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Conn Serv - 2019-24\3_Augmentations\"/>
    </mc:Choice>
  </mc:AlternateContent>
  <xr:revisionPtr revIDLastSave="0" documentId="13_ncr:1_{11AEF18B-696A-434B-A90C-111154FACE56}"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Fee" sheetId="11"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I7" i="13" l="1"/>
  <c r="I8" i="13"/>
  <c r="I9" i="13"/>
  <c r="I6" i="13"/>
  <c r="I15" i="13"/>
  <c r="I16" i="13"/>
  <c r="I14" i="13"/>
  <c r="I5" i="15"/>
  <c r="I6" i="15"/>
  <c r="I7" i="15"/>
  <c r="I8" i="15"/>
  <c r="B20" i="9"/>
  <c r="H5" i="17" l="1"/>
  <c r="G5" i="17"/>
  <c r="F5" i="17"/>
  <c r="E5" i="17"/>
  <c r="D5" i="17"/>
  <c r="H2" i="17"/>
  <c r="G2" i="17"/>
  <c r="F2" i="17"/>
  <c r="E2" i="17"/>
  <c r="D2" i="17"/>
  <c r="H1" i="17"/>
  <c r="G1" i="17"/>
  <c r="F1" i="17"/>
  <c r="E1" i="17"/>
  <c r="D1" i="17"/>
  <c r="P14" i="11"/>
  <c r="P13" i="11"/>
  <c r="K13" i="11"/>
  <c r="I12" i="11"/>
  <c r="H12" i="11"/>
  <c r="I11" i="11"/>
  <c r="H11" i="11"/>
  <c r="I10" i="11"/>
  <c r="H10" i="11"/>
  <c r="I9" i="11"/>
  <c r="H9" i="11"/>
  <c r="I8" i="11"/>
  <c r="H8" i="11"/>
  <c r="I7" i="11"/>
  <c r="H7" i="11"/>
  <c r="E108" i="17" l="1"/>
  <c r="F108" i="17"/>
  <c r="G108" i="17"/>
  <c r="H108" i="17"/>
  <c r="D67" i="8" l="1"/>
  <c r="E67" i="8"/>
  <c r="F67" i="8"/>
  <c r="G67" i="8"/>
  <c r="C67" i="8"/>
  <c r="I26" i="16"/>
  <c r="E114" i="17" l="1"/>
  <c r="F114" i="17"/>
  <c r="G114" i="17"/>
  <c r="H114" i="17"/>
  <c r="D114" i="17"/>
  <c r="E12" i="17"/>
  <c r="E43" i="16" s="1"/>
  <c r="F12" i="17"/>
  <c r="F43" i="16" s="1"/>
  <c r="G12" i="17"/>
  <c r="G43" i="16" s="1"/>
  <c r="H12" i="17"/>
  <c r="H43" i="16" s="1"/>
  <c r="D108" i="17"/>
  <c r="C113" i="17"/>
  <c r="C112" i="17"/>
  <c r="C111" i="17"/>
  <c r="C110" i="17"/>
  <c r="C109" i="17"/>
  <c r="D107" i="17"/>
  <c r="E107" i="17" s="1"/>
  <c r="F107" i="17" s="1"/>
  <c r="G107" i="17" s="1"/>
  <c r="H107" i="17" s="1"/>
  <c r="C107" i="17"/>
  <c r="C106" i="17"/>
  <c r="D106" i="17" s="1"/>
  <c r="E106" i="17" s="1"/>
  <c r="F106" i="17" s="1"/>
  <c r="G106" i="17" s="1"/>
  <c r="H106" i="17" s="1"/>
  <c r="C105" i="17"/>
  <c r="E101" i="17"/>
  <c r="F101" i="17"/>
  <c r="G101" i="17"/>
  <c r="H101" i="17"/>
  <c r="D101" i="17"/>
  <c r="D95" i="17"/>
  <c r="C100" i="17"/>
  <c r="C99" i="17"/>
  <c r="C98" i="17"/>
  <c r="C97" i="17"/>
  <c r="C96" i="17"/>
  <c r="K95" i="17"/>
  <c r="L95" i="17" s="1"/>
  <c r="M95" i="17" s="1"/>
  <c r="N95" i="17" s="1"/>
  <c r="O95" i="17" s="1"/>
  <c r="C95" i="17"/>
  <c r="L94" i="17"/>
  <c r="M94" i="17" s="1"/>
  <c r="N94" i="17" s="1"/>
  <c r="O94" i="17" s="1"/>
  <c r="K94" i="17"/>
  <c r="C94" i="17"/>
  <c r="D94" i="17" s="1"/>
  <c r="E94" i="17" s="1"/>
  <c r="F94" i="17" s="1"/>
  <c r="G94" i="17" s="1"/>
  <c r="H94" i="17" s="1"/>
  <c r="C93" i="17"/>
  <c r="E89" i="17"/>
  <c r="F89" i="17"/>
  <c r="G89" i="17"/>
  <c r="H89" i="17"/>
  <c r="D89" i="17"/>
  <c r="C83" i="17"/>
  <c r="D83" i="17" s="1"/>
  <c r="E83" i="17" s="1"/>
  <c r="F83" i="17" s="1"/>
  <c r="G83" i="17" s="1"/>
  <c r="H83" i="17" s="1"/>
  <c r="E77" i="17"/>
  <c r="F77" i="17"/>
  <c r="G77" i="17"/>
  <c r="H77" i="17"/>
  <c r="D77" i="17"/>
  <c r="C71" i="17"/>
  <c r="D71" i="17" s="1"/>
  <c r="E71" i="17" s="1"/>
  <c r="F71" i="17" s="1"/>
  <c r="G71" i="17" s="1"/>
  <c r="H71" i="17" s="1"/>
  <c r="E65" i="17"/>
  <c r="F65" i="17"/>
  <c r="G65" i="17"/>
  <c r="H65" i="17"/>
  <c r="D65" i="17"/>
  <c r="C59" i="17"/>
  <c r="D59" i="17" s="1"/>
  <c r="E59" i="17" s="1"/>
  <c r="F59" i="17" s="1"/>
  <c r="G59" i="17" s="1"/>
  <c r="H59" i="17" s="1"/>
  <c r="E53" i="17"/>
  <c r="F53" i="17"/>
  <c r="G53" i="17"/>
  <c r="H53" i="17"/>
  <c r="D53" i="17"/>
  <c r="C47" i="17"/>
  <c r="D47" i="17" s="1"/>
  <c r="E47" i="17" s="1"/>
  <c r="F47" i="17" s="1"/>
  <c r="G47" i="17" s="1"/>
  <c r="H47" i="17" s="1"/>
  <c r="E41" i="17"/>
  <c r="F41" i="17"/>
  <c r="G41" i="17"/>
  <c r="H41" i="17"/>
  <c r="D41" i="17"/>
  <c r="C35" i="17"/>
  <c r="D35" i="17" s="1"/>
  <c r="E35" i="17" s="1"/>
  <c r="F35" i="17" s="1"/>
  <c r="G35" i="17" s="1"/>
  <c r="H35" i="17" s="1"/>
  <c r="E29" i="17"/>
  <c r="F29" i="17"/>
  <c r="G29" i="17"/>
  <c r="H29" i="17"/>
  <c r="D29" i="17"/>
  <c r="C23" i="17"/>
  <c r="K83" i="17"/>
  <c r="L83" i="17" s="1"/>
  <c r="M83" i="17" s="1"/>
  <c r="N83" i="17" s="1"/>
  <c r="O83" i="17" s="1"/>
  <c r="K82" i="17"/>
  <c r="L82" i="17" s="1"/>
  <c r="M82" i="17" s="1"/>
  <c r="N82" i="17" s="1"/>
  <c r="O82" i="17" s="1"/>
  <c r="K71" i="17"/>
  <c r="L71" i="17" s="1"/>
  <c r="M71" i="17" s="1"/>
  <c r="N71" i="17" s="1"/>
  <c r="O71" i="17" s="1"/>
  <c r="K70" i="17"/>
  <c r="L70" i="17" s="1"/>
  <c r="M70" i="17" s="1"/>
  <c r="N70" i="17" s="1"/>
  <c r="O70" i="17" s="1"/>
  <c r="K59" i="17"/>
  <c r="L59" i="17" s="1"/>
  <c r="M59" i="17" s="1"/>
  <c r="N59" i="17" s="1"/>
  <c r="O59" i="17" s="1"/>
  <c r="K58" i="17"/>
  <c r="L58" i="17" s="1"/>
  <c r="M58" i="17" s="1"/>
  <c r="N58" i="17" s="1"/>
  <c r="O58" i="17" s="1"/>
  <c r="K47" i="17"/>
  <c r="L47" i="17" s="1"/>
  <c r="M47" i="17" s="1"/>
  <c r="N47" i="17" s="1"/>
  <c r="O47" i="17" s="1"/>
  <c r="K46" i="17"/>
  <c r="L46" i="17" s="1"/>
  <c r="M46" i="17" s="1"/>
  <c r="N46" i="17" s="1"/>
  <c r="O46" i="17" s="1"/>
  <c r="K35" i="17"/>
  <c r="L35" i="17" s="1"/>
  <c r="M35" i="17" s="1"/>
  <c r="N35" i="17" s="1"/>
  <c r="O35" i="17" s="1"/>
  <c r="K34" i="17"/>
  <c r="L34" i="17" s="1"/>
  <c r="M34" i="17" s="1"/>
  <c r="N34" i="17" s="1"/>
  <c r="O34" i="17" s="1"/>
  <c r="K23" i="17"/>
  <c r="L23" i="17" s="1"/>
  <c r="M23" i="17" s="1"/>
  <c r="N23" i="17" s="1"/>
  <c r="O23" i="17" s="1"/>
  <c r="D23" i="17"/>
  <c r="E23" i="17" s="1"/>
  <c r="K22" i="17"/>
  <c r="L22" i="17" s="1"/>
  <c r="M22" i="17" s="1"/>
  <c r="N22" i="17" s="1"/>
  <c r="O22" i="17" s="1"/>
  <c r="O5" i="17"/>
  <c r="K5" i="17"/>
  <c r="O1" i="17"/>
  <c r="N1" i="17"/>
  <c r="M1" i="17"/>
  <c r="L1" i="17"/>
  <c r="D17" i="8"/>
  <c r="D12" i="17" l="1"/>
  <c r="D43" i="16" s="1"/>
  <c r="I43" i="16" s="1"/>
  <c r="D15" i="8"/>
  <c r="D105" i="17"/>
  <c r="D109" i="17" s="1"/>
  <c r="D11" i="17"/>
  <c r="D42" i="16" s="1"/>
  <c r="D93" i="17"/>
  <c r="D96" i="17" s="1"/>
  <c r="E95" i="17"/>
  <c r="F95" i="17" s="1"/>
  <c r="G95" i="17" s="1"/>
  <c r="H95" i="17" s="1"/>
  <c r="L5" i="17"/>
  <c r="F23" i="17"/>
  <c r="K1" i="17"/>
  <c r="K93" i="17" s="1"/>
  <c r="K97" i="17" s="1"/>
  <c r="M5" i="17"/>
  <c r="N5" i="17"/>
  <c r="E105" i="17" l="1"/>
  <c r="E109" i="17" s="1"/>
  <c r="G11" i="17"/>
  <c r="G42" i="16" s="1"/>
  <c r="F11" i="17"/>
  <c r="F42" i="16" s="1"/>
  <c r="E11" i="17"/>
  <c r="E42" i="16" s="1"/>
  <c r="E93" i="17"/>
  <c r="F93" i="17" s="1"/>
  <c r="L93" i="17"/>
  <c r="M93" i="17" s="1"/>
  <c r="K81" i="17"/>
  <c r="K69" i="17"/>
  <c r="K57" i="17"/>
  <c r="K33" i="17"/>
  <c r="K21" i="17"/>
  <c r="K45" i="17"/>
  <c r="G23" i="17"/>
  <c r="E96" i="17" l="1"/>
  <c r="F105" i="17"/>
  <c r="F109" i="17" s="1"/>
  <c r="L97" i="17"/>
  <c r="F96" i="17"/>
  <c r="G93" i="17"/>
  <c r="N93" i="17"/>
  <c r="M97" i="17"/>
  <c r="L45" i="17"/>
  <c r="K48" i="17"/>
  <c r="K72" i="17"/>
  <c r="L69" i="17"/>
  <c r="K24" i="17"/>
  <c r="L21" i="17"/>
  <c r="K85" i="17"/>
  <c r="L81" i="17"/>
  <c r="H23" i="17"/>
  <c r="H11" i="17" s="1"/>
  <c r="H42" i="16" s="1"/>
  <c r="K36" i="17"/>
  <c r="L33" i="17"/>
  <c r="K60" i="17"/>
  <c r="L57" i="17"/>
  <c r="G105" i="17" l="1"/>
  <c r="G109" i="17" s="1"/>
  <c r="N97" i="17"/>
  <c r="O93" i="17"/>
  <c r="O97" i="17" s="1"/>
  <c r="G96" i="17"/>
  <c r="H93" i="17"/>
  <c r="H96" i="17" s="1"/>
  <c r="M33" i="17"/>
  <c r="L36" i="17"/>
  <c r="M45" i="17"/>
  <c r="L48" i="17"/>
  <c r="L85" i="17"/>
  <c r="M81" i="17"/>
  <c r="L60" i="17"/>
  <c r="M57" i="17"/>
  <c r="L24" i="17"/>
  <c r="M21" i="17"/>
  <c r="M69" i="17"/>
  <c r="L72" i="17"/>
  <c r="H105" i="17" l="1"/>
  <c r="H109" i="17" s="1"/>
  <c r="N69" i="17"/>
  <c r="M72" i="17"/>
  <c r="N81" i="17"/>
  <c r="M85" i="17"/>
  <c r="N21" i="17"/>
  <c r="M24" i="17"/>
  <c r="M60" i="17"/>
  <c r="N57" i="17"/>
  <c r="M48" i="17"/>
  <c r="N45" i="17"/>
  <c r="N33" i="17"/>
  <c r="M36" i="17"/>
  <c r="N36" i="17" l="1"/>
  <c r="O33" i="17"/>
  <c r="O36" i="17" s="1"/>
  <c r="N48" i="17"/>
  <c r="O45" i="17"/>
  <c r="O48" i="17" s="1"/>
  <c r="O69" i="17"/>
  <c r="O72" i="17" s="1"/>
  <c r="N72" i="17"/>
  <c r="O81" i="17"/>
  <c r="O85" i="17" s="1"/>
  <c r="N85" i="17"/>
  <c r="N60" i="17"/>
  <c r="O57" i="17"/>
  <c r="O60" i="17" s="1"/>
  <c r="N24" i="17"/>
  <c r="O21" i="17"/>
  <c r="O24" i="17" s="1"/>
  <c r="C34" i="17" l="1"/>
  <c r="D34" i="17" s="1"/>
  <c r="E34" i="17" s="1"/>
  <c r="F34" i="17" s="1"/>
  <c r="G34" i="17" s="1"/>
  <c r="H34" i="17" s="1"/>
  <c r="C46" i="17"/>
  <c r="D46" i="17" s="1"/>
  <c r="E46" i="17" s="1"/>
  <c r="F46" i="17" s="1"/>
  <c r="G46" i="17" s="1"/>
  <c r="H46" i="17" s="1"/>
  <c r="C58" i="17"/>
  <c r="D58" i="17" s="1"/>
  <c r="E58" i="17" s="1"/>
  <c r="F58" i="17" s="1"/>
  <c r="G58" i="17" s="1"/>
  <c r="H58" i="17" s="1"/>
  <c r="C70" i="17"/>
  <c r="D70" i="17" s="1"/>
  <c r="E70" i="17" s="1"/>
  <c r="F70" i="17" s="1"/>
  <c r="G70" i="17" s="1"/>
  <c r="H70" i="17" s="1"/>
  <c r="C82" i="17"/>
  <c r="D82" i="17" s="1"/>
  <c r="E82" i="17" s="1"/>
  <c r="F82" i="17" s="1"/>
  <c r="G82" i="17" s="1"/>
  <c r="H82" i="17" s="1"/>
  <c r="C22" i="17"/>
  <c r="D22" i="17" s="1"/>
  <c r="F8" i="11"/>
  <c r="C33" i="17" s="1"/>
  <c r="D33" i="17" s="1"/>
  <c r="F9" i="11"/>
  <c r="F10" i="11"/>
  <c r="C57" i="17" s="1"/>
  <c r="D57" i="17" s="1"/>
  <c r="F11" i="11"/>
  <c r="C69" i="17" s="1"/>
  <c r="D69" i="17" s="1"/>
  <c r="F12" i="11"/>
  <c r="F7" i="11"/>
  <c r="M12" i="11" l="1"/>
  <c r="C81" i="17"/>
  <c r="D81" i="17" s="1"/>
  <c r="D36" i="17"/>
  <c r="E33" i="17"/>
  <c r="E69" i="17"/>
  <c r="D72" i="17"/>
  <c r="M9" i="11"/>
  <c r="C45" i="17"/>
  <c r="D45" i="17" s="1"/>
  <c r="D60" i="17"/>
  <c r="E57" i="17"/>
  <c r="E22" i="17"/>
  <c r="D10" i="17"/>
  <c r="D41" i="16" s="1"/>
  <c r="M7" i="11"/>
  <c r="C21" i="17"/>
  <c r="D21" i="17" s="1"/>
  <c r="M11" i="11"/>
  <c r="M8" i="11"/>
  <c r="M10" i="11"/>
  <c r="G17" i="13"/>
  <c r="H17" i="13"/>
  <c r="G10" i="13"/>
  <c r="H10" i="13"/>
  <c r="I14" i="15"/>
  <c r="I13" i="15"/>
  <c r="G15" i="15"/>
  <c r="H15" i="15"/>
  <c r="I4" i="15"/>
  <c r="G9" i="15"/>
  <c r="H9" i="15"/>
  <c r="C36" i="17" l="1"/>
  <c r="C72" i="17"/>
  <c r="C48" i="17"/>
  <c r="C60" i="17"/>
  <c r="C24" i="17"/>
  <c r="C84" i="17"/>
  <c r="D48" i="17"/>
  <c r="E45" i="17"/>
  <c r="F33" i="17"/>
  <c r="E36" i="17"/>
  <c r="E10" i="17"/>
  <c r="E41" i="16" s="1"/>
  <c r="F22" i="17"/>
  <c r="D24" i="17"/>
  <c r="D9" i="17"/>
  <c r="D40" i="16" s="1"/>
  <c r="E21" i="17"/>
  <c r="E60" i="17"/>
  <c r="F57" i="17"/>
  <c r="D84" i="17"/>
  <c r="E81" i="17"/>
  <c r="F69" i="17"/>
  <c r="E72" i="17"/>
  <c r="D25" i="16"/>
  <c r="F81" i="17" l="1"/>
  <c r="E84" i="17"/>
  <c r="F72" i="17"/>
  <c r="G69" i="17"/>
  <c r="F21" i="17"/>
  <c r="E9" i="17"/>
  <c r="E40" i="16" s="1"/>
  <c r="E24" i="17"/>
  <c r="G33" i="17"/>
  <c r="F36" i="17"/>
  <c r="F10" i="17"/>
  <c r="F41" i="16" s="1"/>
  <c r="G22" i="17"/>
  <c r="E48" i="17"/>
  <c r="F45" i="17"/>
  <c r="F60" i="17"/>
  <c r="G57" i="17"/>
  <c r="D13" i="17"/>
  <c r="I18" i="16"/>
  <c r="I19" i="16"/>
  <c r="I20" i="16"/>
  <c r="I21" i="16"/>
  <c r="I22" i="16"/>
  <c r="I23" i="16"/>
  <c r="I24" i="16"/>
  <c r="I17" i="16"/>
  <c r="H69" i="17" l="1"/>
  <c r="H72" i="17" s="1"/>
  <c r="G72" i="17"/>
  <c r="F9" i="17"/>
  <c r="F40" i="16" s="1"/>
  <c r="F24" i="17"/>
  <c r="G21" i="17"/>
  <c r="D44" i="16"/>
  <c r="C51" i="8" s="1"/>
  <c r="G36" i="17"/>
  <c r="H33" i="17"/>
  <c r="H36" i="17" s="1"/>
  <c r="F48" i="17"/>
  <c r="G45" i="17"/>
  <c r="H57" i="17"/>
  <c r="H60" i="17" s="1"/>
  <c r="G60" i="17"/>
  <c r="G10" i="17"/>
  <c r="G41" i="16" s="1"/>
  <c r="H22" i="17"/>
  <c r="H10" i="17" s="1"/>
  <c r="H41" i="16" s="1"/>
  <c r="E13" i="17"/>
  <c r="F84" i="17"/>
  <c r="G81" i="17"/>
  <c r="G25" i="16"/>
  <c r="F13" i="17" l="1"/>
  <c r="G48" i="17"/>
  <c r="H45" i="17"/>
  <c r="H48" i="17" s="1"/>
  <c r="E44" i="16"/>
  <c r="D51" i="8" s="1"/>
  <c r="G9" i="17"/>
  <c r="G40" i="16" s="1"/>
  <c r="G24" i="17"/>
  <c r="H21" i="17"/>
  <c r="H81" i="17"/>
  <c r="H84" i="17" s="1"/>
  <c r="G84" i="17"/>
  <c r="H25" i="16"/>
  <c r="H9" i="17" l="1"/>
  <c r="H40" i="16" s="1"/>
  <c r="H24" i="17"/>
  <c r="G13" i="17"/>
  <c r="F44" i="16"/>
  <c r="E51" i="8" s="1"/>
  <c r="G44" i="16" l="1"/>
  <c r="F51" i="8" s="1"/>
  <c r="H13" i="17"/>
  <c r="F15" i="15"/>
  <c r="E15" i="15"/>
  <c r="D15" i="15"/>
  <c r="H44" i="16" l="1"/>
  <c r="G51" i="8" s="1"/>
  <c r="I15" i="15"/>
  <c r="E9" i="15"/>
  <c r="D9" i="15"/>
  <c r="F25" i="16"/>
  <c r="E25" i="16"/>
  <c r="I25" i="16"/>
  <c r="F17" i="13"/>
  <c r="E17" i="13"/>
  <c r="D17" i="13"/>
  <c r="F10" i="13"/>
  <c r="E10" i="13"/>
  <c r="D10" i="13"/>
  <c r="I44" i="16" l="1"/>
  <c r="I10" i="13"/>
  <c r="I17" i="13"/>
  <c r="F9" i="15"/>
  <c r="I9" i="15" l="1"/>
  <c r="D3" i="9" l="1"/>
  <c r="H67" i="8" l="1"/>
  <c r="I40" i="16" l="1"/>
  <c r="I41" i="16"/>
  <c r="I42" i="16"/>
  <c r="H51" i="8" l="1"/>
  <c r="E4" i="17" l="1"/>
  <c r="O12" i="11"/>
  <c r="C86" i="17" s="1"/>
  <c r="O8" i="11"/>
  <c r="C38" i="17" s="1"/>
  <c r="H4" i="17"/>
  <c r="D4" i="17"/>
  <c r="O9" i="11"/>
  <c r="C50" i="17" s="1"/>
  <c r="G4" i="17"/>
  <c r="O10" i="11"/>
  <c r="C62" i="17" s="1"/>
  <c r="F4" i="17"/>
  <c r="O11" i="11"/>
  <c r="C74" i="17" s="1"/>
  <c r="O7" i="11"/>
  <c r="C26" i="17" s="1"/>
  <c r="H38" i="17" l="1"/>
  <c r="H26" i="17"/>
  <c r="H74" i="17"/>
  <c r="O4" i="17"/>
  <c r="H50" i="17"/>
  <c r="H62" i="17"/>
  <c r="H86" i="17"/>
  <c r="G74" i="17"/>
  <c r="N4" i="17"/>
  <c r="G86" i="17"/>
  <c r="G38" i="17"/>
  <c r="G50" i="17"/>
  <c r="G62" i="17"/>
  <c r="G26" i="17"/>
  <c r="F62" i="17"/>
  <c r="F86" i="17"/>
  <c r="F38" i="17"/>
  <c r="F50" i="17"/>
  <c r="F74" i="17"/>
  <c r="M4" i="17"/>
  <c r="F26" i="17"/>
  <c r="D74" i="17"/>
  <c r="D86" i="17"/>
  <c r="D38" i="17"/>
  <c r="D50" i="17"/>
  <c r="D62" i="17"/>
  <c r="K4" i="17"/>
  <c r="D26" i="17"/>
  <c r="E38" i="17"/>
  <c r="E50" i="17"/>
  <c r="E62" i="17"/>
  <c r="L4" i="17"/>
  <c r="E86" i="17"/>
  <c r="E74" i="17"/>
  <c r="E26" i="17"/>
  <c r="E15" i="17" l="1"/>
  <c r="E46" i="16" s="1"/>
  <c r="L50" i="17"/>
  <c r="L74" i="17"/>
  <c r="L62" i="17"/>
  <c r="L26" i="17"/>
  <c r="L87" i="17"/>
  <c r="L99" i="17"/>
  <c r="L38" i="17"/>
  <c r="D15" i="17"/>
  <c r="D46" i="16" s="1"/>
  <c r="M38" i="17"/>
  <c r="M99" i="17"/>
  <c r="M26" i="17"/>
  <c r="M74" i="17"/>
  <c r="M50" i="17"/>
  <c r="M62" i="17"/>
  <c r="M87" i="17"/>
  <c r="O87" i="17"/>
  <c r="O99" i="17"/>
  <c r="O26" i="17"/>
  <c r="O50" i="17"/>
  <c r="O62" i="17"/>
  <c r="O38" i="17"/>
  <c r="O74" i="17"/>
  <c r="G15" i="17"/>
  <c r="G46" i="16" s="1"/>
  <c r="H15" i="17"/>
  <c r="H46" i="16" s="1"/>
  <c r="K50" i="17"/>
  <c r="K99" i="17"/>
  <c r="K38" i="17"/>
  <c r="K62" i="17"/>
  <c r="K26" i="17"/>
  <c r="K74" i="17"/>
  <c r="K87" i="17"/>
  <c r="F15" i="17"/>
  <c r="F46" i="16" s="1"/>
  <c r="N99" i="17"/>
  <c r="N50" i="17"/>
  <c r="N87" i="17"/>
  <c r="N74" i="17"/>
  <c r="N38" i="17"/>
  <c r="N26" i="17"/>
  <c r="N62" i="17"/>
  <c r="I46" i="16" l="1"/>
  <c r="F3" i="17" l="1"/>
  <c r="N11" i="11"/>
  <c r="N7" i="11"/>
  <c r="E3" i="17"/>
  <c r="Q14" i="11"/>
  <c r="N12" i="11"/>
  <c r="N8" i="11"/>
  <c r="H3" i="17"/>
  <c r="D3" i="17"/>
  <c r="N13" i="11"/>
  <c r="D16" i="8" s="1"/>
  <c r="N9" i="11"/>
  <c r="G3" i="17"/>
  <c r="N14" i="11"/>
  <c r="N10" i="11"/>
  <c r="Q13" i="11"/>
  <c r="G61" i="17" l="1"/>
  <c r="G63" i="17" s="1"/>
  <c r="G64" i="17" s="1"/>
  <c r="G66" i="17" s="1"/>
  <c r="G8" i="16" s="1"/>
  <c r="G97" i="17"/>
  <c r="G99" i="17" s="1"/>
  <c r="G100" i="17" s="1"/>
  <c r="G102" i="17" s="1"/>
  <c r="G11" i="16" s="1"/>
  <c r="G85" i="17"/>
  <c r="G87" i="17" s="1"/>
  <c r="G88" i="17" s="1"/>
  <c r="G90" i="17" s="1"/>
  <c r="G10" i="16" s="1"/>
  <c r="G73" i="17"/>
  <c r="G75" i="17" s="1"/>
  <c r="G76" i="17" s="1"/>
  <c r="G78" i="17" s="1"/>
  <c r="G9" i="16" s="1"/>
  <c r="G37" i="17"/>
  <c r="G39" i="17" s="1"/>
  <c r="G40" i="17" s="1"/>
  <c r="G42" i="17" s="1"/>
  <c r="G6" i="16" s="1"/>
  <c r="G110" i="17"/>
  <c r="G112" i="17" s="1"/>
  <c r="G113" i="17" s="1"/>
  <c r="G115" i="17" s="1"/>
  <c r="G12" i="16" s="1"/>
  <c r="N3" i="17"/>
  <c r="G49" i="17"/>
  <c r="G51" i="17" s="1"/>
  <c r="G52" i="17" s="1"/>
  <c r="G54" i="17" s="1"/>
  <c r="G7" i="16" s="1"/>
  <c r="G25" i="17"/>
  <c r="H85" i="17"/>
  <c r="H87" i="17" s="1"/>
  <c r="H88" i="17" s="1"/>
  <c r="H90" i="17" s="1"/>
  <c r="H10" i="16" s="1"/>
  <c r="H61" i="17"/>
  <c r="H63" i="17" s="1"/>
  <c r="H64" i="17" s="1"/>
  <c r="H66" i="17" s="1"/>
  <c r="H8" i="16" s="1"/>
  <c r="H25" i="17"/>
  <c r="O3" i="17"/>
  <c r="H49" i="17"/>
  <c r="H51" i="17" s="1"/>
  <c r="H52" i="17" s="1"/>
  <c r="H54" i="17" s="1"/>
  <c r="H7" i="16" s="1"/>
  <c r="H73" i="17"/>
  <c r="H75" i="17" s="1"/>
  <c r="H76" i="17" s="1"/>
  <c r="H78" i="17" s="1"/>
  <c r="H9" i="16" s="1"/>
  <c r="H110" i="17"/>
  <c r="H112" i="17" s="1"/>
  <c r="H113" i="17" s="1"/>
  <c r="H115" i="17" s="1"/>
  <c r="H12" i="16" s="1"/>
  <c r="H97" i="17"/>
  <c r="H99" i="17" s="1"/>
  <c r="H100" i="17" s="1"/>
  <c r="H102" i="17" s="1"/>
  <c r="H11" i="16" s="1"/>
  <c r="H37" i="17"/>
  <c r="H39" i="17" s="1"/>
  <c r="H40" i="17" s="1"/>
  <c r="H42" i="17" s="1"/>
  <c r="H6" i="16" s="1"/>
  <c r="E85" i="17"/>
  <c r="E87" i="17" s="1"/>
  <c r="E88" i="17" s="1"/>
  <c r="E90" i="17" s="1"/>
  <c r="E10" i="16" s="1"/>
  <c r="E73" i="17"/>
  <c r="E75" i="17" s="1"/>
  <c r="E76" i="17" s="1"/>
  <c r="E78" i="17" s="1"/>
  <c r="E9" i="16" s="1"/>
  <c r="E110" i="17"/>
  <c r="E112" i="17" s="1"/>
  <c r="E113" i="17" s="1"/>
  <c r="E115" i="17" s="1"/>
  <c r="E12" i="16" s="1"/>
  <c r="E49" i="17"/>
  <c r="E51" i="17" s="1"/>
  <c r="E52" i="17" s="1"/>
  <c r="E54" i="17" s="1"/>
  <c r="E7" i="16" s="1"/>
  <c r="L3" i="17"/>
  <c r="E37" i="17"/>
  <c r="E39" i="17" s="1"/>
  <c r="E40" i="17" s="1"/>
  <c r="E42" i="17" s="1"/>
  <c r="E6" i="16" s="1"/>
  <c r="E61" i="17"/>
  <c r="E63" i="17" s="1"/>
  <c r="E64" i="17" s="1"/>
  <c r="E66" i="17" s="1"/>
  <c r="E8" i="16" s="1"/>
  <c r="E97" i="17"/>
  <c r="E99" i="17" s="1"/>
  <c r="E100" i="17" s="1"/>
  <c r="E102" i="17" s="1"/>
  <c r="E11" i="16" s="1"/>
  <c r="E25" i="17"/>
  <c r="P9" i="11"/>
  <c r="C51" i="17" s="1"/>
  <c r="C49" i="17"/>
  <c r="P8" i="11"/>
  <c r="C39" i="17" s="1"/>
  <c r="C37" i="17"/>
  <c r="P7" i="11"/>
  <c r="C27" i="17" s="1"/>
  <c r="C25" i="17"/>
  <c r="P10" i="11"/>
  <c r="C63" i="17" s="1"/>
  <c r="C61" i="17"/>
  <c r="D14" i="8"/>
  <c r="D13" i="8"/>
  <c r="P12" i="11"/>
  <c r="C87" i="17" s="1"/>
  <c r="C85" i="17"/>
  <c r="P11" i="11"/>
  <c r="C75" i="17" s="1"/>
  <c r="C73" i="17"/>
  <c r="K3" i="17"/>
  <c r="D97" i="17"/>
  <c r="D99" i="17" s="1"/>
  <c r="D100" i="17" s="1"/>
  <c r="D102" i="17" s="1"/>
  <c r="D11" i="16" s="1"/>
  <c r="D61" i="17"/>
  <c r="D63" i="17" s="1"/>
  <c r="D64" i="17" s="1"/>
  <c r="D66" i="17" s="1"/>
  <c r="D8" i="16" s="1"/>
  <c r="D73" i="17"/>
  <c r="D75" i="17" s="1"/>
  <c r="D76" i="17" s="1"/>
  <c r="D78" i="17" s="1"/>
  <c r="D9" i="16" s="1"/>
  <c r="D49" i="17"/>
  <c r="D51" i="17" s="1"/>
  <c r="D52" i="17" s="1"/>
  <c r="D54" i="17" s="1"/>
  <c r="D7" i="16" s="1"/>
  <c r="D85" i="17"/>
  <c r="D87" i="17" s="1"/>
  <c r="D88" i="17" s="1"/>
  <c r="D90" i="17" s="1"/>
  <c r="D10" i="16" s="1"/>
  <c r="D25" i="17"/>
  <c r="D110" i="17"/>
  <c r="D112" i="17" s="1"/>
  <c r="D113" i="17" s="1"/>
  <c r="D115" i="17" s="1"/>
  <c r="D12" i="16" s="1"/>
  <c r="D37" i="17"/>
  <c r="D39" i="17" s="1"/>
  <c r="D40" i="17" s="1"/>
  <c r="D42" i="17" s="1"/>
  <c r="D6" i="16" s="1"/>
  <c r="F49" i="17"/>
  <c r="F51" i="17" s="1"/>
  <c r="F52" i="17" s="1"/>
  <c r="F54" i="17" s="1"/>
  <c r="F7" i="16" s="1"/>
  <c r="F37" i="17"/>
  <c r="F39" i="17" s="1"/>
  <c r="F40" i="17" s="1"/>
  <c r="F42" i="17" s="1"/>
  <c r="F6" i="16" s="1"/>
  <c r="F25" i="17"/>
  <c r="F97" i="17"/>
  <c r="F99" i="17" s="1"/>
  <c r="F100" i="17" s="1"/>
  <c r="F102" i="17" s="1"/>
  <c r="F11" i="16" s="1"/>
  <c r="F61" i="17"/>
  <c r="F63" i="17" s="1"/>
  <c r="F64" i="17" s="1"/>
  <c r="F66" i="17" s="1"/>
  <c r="F8" i="16" s="1"/>
  <c r="M3" i="17"/>
  <c r="F85" i="17"/>
  <c r="F87" i="17" s="1"/>
  <c r="F88" i="17" s="1"/>
  <c r="F90" i="17" s="1"/>
  <c r="F10" i="16" s="1"/>
  <c r="F73" i="17"/>
  <c r="F75" i="17" s="1"/>
  <c r="F76" i="17" s="1"/>
  <c r="F78" i="17" s="1"/>
  <c r="F9" i="16" s="1"/>
  <c r="F110" i="17"/>
  <c r="F112" i="17" s="1"/>
  <c r="F113" i="17" s="1"/>
  <c r="F115" i="17" s="1"/>
  <c r="F12" i="16" s="1"/>
  <c r="Q8" i="11" l="1"/>
  <c r="C40" i="17" s="1"/>
  <c r="Q7" i="11"/>
  <c r="D7" i="8" s="1"/>
  <c r="I10" i="16"/>
  <c r="Q12" i="11"/>
  <c r="D12" i="8" s="1"/>
  <c r="I6" i="16"/>
  <c r="I7" i="16"/>
  <c r="K73" i="17"/>
  <c r="K75" i="17" s="1"/>
  <c r="K76" i="17" s="1"/>
  <c r="K61" i="17"/>
  <c r="K63" i="17" s="1"/>
  <c r="K64" i="17" s="1"/>
  <c r="K25" i="17"/>
  <c r="K27" i="17" s="1"/>
  <c r="K28" i="17" s="1"/>
  <c r="K86" i="17"/>
  <c r="K88" i="17" s="1"/>
  <c r="K89" i="17" s="1"/>
  <c r="K37" i="17"/>
  <c r="K39" i="17" s="1"/>
  <c r="K40" i="17" s="1"/>
  <c r="K49" i="17"/>
  <c r="K51" i="17" s="1"/>
  <c r="K52" i="17" s="1"/>
  <c r="K98" i="17"/>
  <c r="K100" i="17" s="1"/>
  <c r="K101" i="17" s="1"/>
  <c r="C28" i="17"/>
  <c r="H14" i="17"/>
  <c r="H27" i="17"/>
  <c r="F27" i="17"/>
  <c r="F14" i="17"/>
  <c r="I12" i="16"/>
  <c r="I9" i="16"/>
  <c r="Q11" i="11"/>
  <c r="Q10" i="11"/>
  <c r="E14" i="17"/>
  <c r="E27" i="17"/>
  <c r="L37" i="17"/>
  <c r="L39" i="17" s="1"/>
  <c r="L40" i="17" s="1"/>
  <c r="L73" i="17"/>
  <c r="L75" i="17" s="1"/>
  <c r="L76" i="17" s="1"/>
  <c r="L86" i="17"/>
  <c r="L88" i="17" s="1"/>
  <c r="L89" i="17" s="1"/>
  <c r="L25" i="17"/>
  <c r="L27" i="17" s="1"/>
  <c r="L28" i="17" s="1"/>
  <c r="L61" i="17"/>
  <c r="L63" i="17" s="1"/>
  <c r="L64" i="17" s="1"/>
  <c r="L49" i="17"/>
  <c r="L51" i="17" s="1"/>
  <c r="L52" i="17" s="1"/>
  <c r="L98" i="17"/>
  <c r="L100" i="17" s="1"/>
  <c r="L101" i="17" s="1"/>
  <c r="N73" i="17"/>
  <c r="N75" i="17" s="1"/>
  <c r="N76" i="17" s="1"/>
  <c r="N37" i="17"/>
  <c r="N39" i="17" s="1"/>
  <c r="N40" i="17" s="1"/>
  <c r="N25" i="17"/>
  <c r="N27" i="17" s="1"/>
  <c r="N28" i="17" s="1"/>
  <c r="N98" i="17"/>
  <c r="N100" i="17" s="1"/>
  <c r="N101" i="17" s="1"/>
  <c r="N49" i="17"/>
  <c r="N51" i="17" s="1"/>
  <c r="N52" i="17" s="1"/>
  <c r="N86" i="17"/>
  <c r="N88" i="17" s="1"/>
  <c r="N89" i="17" s="1"/>
  <c r="N61" i="17"/>
  <c r="N63" i="17" s="1"/>
  <c r="N64" i="17" s="1"/>
  <c r="M37" i="17"/>
  <c r="M39" i="17" s="1"/>
  <c r="M40" i="17" s="1"/>
  <c r="M61" i="17"/>
  <c r="M63" i="17" s="1"/>
  <c r="M64" i="17" s="1"/>
  <c r="M49" i="17"/>
  <c r="M51" i="17" s="1"/>
  <c r="M52" i="17" s="1"/>
  <c r="M73" i="17"/>
  <c r="M75" i="17" s="1"/>
  <c r="M76" i="17" s="1"/>
  <c r="M25" i="17"/>
  <c r="M27" i="17" s="1"/>
  <c r="M28" i="17" s="1"/>
  <c r="M98" i="17"/>
  <c r="M100" i="17" s="1"/>
  <c r="M101" i="17" s="1"/>
  <c r="M86" i="17"/>
  <c r="M88" i="17" s="1"/>
  <c r="M89" i="17" s="1"/>
  <c r="D27" i="17"/>
  <c r="D16" i="17" s="1"/>
  <c r="D47" i="16" s="1"/>
  <c r="D14" i="17"/>
  <c r="I8" i="16"/>
  <c r="Q9" i="11"/>
  <c r="I11" i="16"/>
  <c r="O61" i="17"/>
  <c r="O63" i="17" s="1"/>
  <c r="O64" i="17" s="1"/>
  <c r="O86" i="17"/>
  <c r="O88" i="17" s="1"/>
  <c r="O89" i="17" s="1"/>
  <c r="O25" i="17"/>
  <c r="O27" i="17" s="1"/>
  <c r="O28" i="17" s="1"/>
  <c r="O49" i="17"/>
  <c r="O51" i="17" s="1"/>
  <c r="O52" i="17" s="1"/>
  <c r="O73" i="17"/>
  <c r="O75" i="17" s="1"/>
  <c r="O76" i="17" s="1"/>
  <c r="O98" i="17"/>
  <c r="O100" i="17" s="1"/>
  <c r="O101" i="17" s="1"/>
  <c r="O37" i="17"/>
  <c r="O39" i="17" s="1"/>
  <c r="O40" i="17" s="1"/>
  <c r="G27" i="17"/>
  <c r="G16" i="17" s="1"/>
  <c r="G47" i="16" s="1"/>
  <c r="G14" i="17"/>
  <c r="D8" i="8" l="1"/>
  <c r="C88" i="17"/>
  <c r="G28" i="17"/>
  <c r="G30" i="17" s="1"/>
  <c r="G5" i="16" s="1"/>
  <c r="G13" i="16" s="1"/>
  <c r="D28" i="17"/>
  <c r="D30" i="17" s="1"/>
  <c r="D5" i="16" s="1"/>
  <c r="E28" i="17"/>
  <c r="E30" i="17" s="1"/>
  <c r="E5" i="16" s="1"/>
  <c r="E13" i="16" s="1"/>
  <c r="E16" i="17"/>
  <c r="E47" i="16" s="1"/>
  <c r="H28" i="17"/>
  <c r="H30" i="17" s="1"/>
  <c r="H5" i="16" s="1"/>
  <c r="H13" i="16" s="1"/>
  <c r="H16" i="17"/>
  <c r="H47" i="16" s="1"/>
  <c r="D45" i="16"/>
  <c r="D17" i="17"/>
  <c r="E45" i="16"/>
  <c r="H45" i="16"/>
  <c r="G45" i="16"/>
  <c r="F53" i="8" s="1"/>
  <c r="F55" i="8" s="1"/>
  <c r="G17" i="17"/>
  <c r="C52" i="17"/>
  <c r="D9" i="8"/>
  <c r="C64" i="17"/>
  <c r="D10" i="8"/>
  <c r="F45" i="16"/>
  <c r="D11" i="8"/>
  <c r="C76" i="17"/>
  <c r="F28" i="17"/>
  <c r="F30" i="17" s="1"/>
  <c r="F5" i="16" s="1"/>
  <c r="F13" i="16" s="1"/>
  <c r="F16" i="17"/>
  <c r="F47" i="16" s="1"/>
  <c r="G18" i="17" l="1"/>
  <c r="D18" i="17"/>
  <c r="E17" i="17"/>
  <c r="E18" i="17" s="1"/>
  <c r="G48" i="16"/>
  <c r="H17" i="17"/>
  <c r="I47" i="16"/>
  <c r="F17" i="17"/>
  <c r="F18" i="17" s="1"/>
  <c r="E48" i="16"/>
  <c r="D53" i="8"/>
  <c r="D55" i="8" s="1"/>
  <c r="H48" i="16"/>
  <c r="G53" i="8"/>
  <c r="G55" i="8" s="1"/>
  <c r="C53" i="8"/>
  <c r="D48" i="16"/>
  <c r="I45" i="16"/>
  <c r="I48" i="16" s="1"/>
  <c r="F48" i="16"/>
  <c r="E53" i="8"/>
  <c r="E55" i="8" s="1"/>
  <c r="H18" i="17"/>
  <c r="D13" i="16"/>
  <c r="I5" i="16"/>
  <c r="I13" i="16" s="1"/>
  <c r="C55" i="8" l="1"/>
  <c r="H53" i="8"/>
  <c r="H55" i="8" s="1"/>
</calcChain>
</file>

<file path=xl/sharedStrings.xml><?xml version="1.0" encoding="utf-8"?>
<sst xmlns="http://schemas.openxmlformats.org/spreadsheetml/2006/main" count="343" uniqueCount="169">
  <si>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</si>
  <si>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</si>
  <si>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</si>
  <si>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</si>
  <si>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</si>
  <si>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</si>
  <si>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</si>
  <si>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</si>
  <si>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</si>
  <si>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</si>
  <si>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</si>
  <si>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</si>
  <si>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</si>
  <si>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</si>
  <si>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</si>
  <si>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</si>
  <si>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</si>
  <si>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</si>
  <si>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</si>
  <si>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</si>
  <si>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</si>
  <si>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</si>
  <si>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</si>
  <si>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</si>
  <si>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</si>
  <si>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</si>
  <si>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</si>
  <si>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</si>
  <si>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</si>
  <si>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</si>
  <si>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</si>
  <si>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</si>
  <si>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</si>
  <si>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</si>
  <si>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</si>
  <si>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</si>
  <si>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</si>
  <si>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</si>
  <si>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</si>
  <si>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</si>
  <si>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</si>
  <si>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</si>
  <si>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</si>
  <si>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</si>
  <si>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</si>
  <si>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</si>
  <si>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</si>
  <si>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Botom Up Estimation</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</si>
  <si>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</si>
  <si>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</si>
  <si>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</si>
  <si>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</si>
  <si>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Network Service:</t>
  </si>
  <si>
    <t>FY16/17</t>
  </si>
  <si>
    <t>FY15/16</t>
  </si>
  <si>
    <t>FY14/15</t>
  </si>
  <si>
    <t>FY19/20</t>
  </si>
  <si>
    <t>FY20/21</t>
  </si>
  <si>
    <t>FY21/22</t>
  </si>
  <si>
    <t>FY23/24</t>
  </si>
  <si>
    <t>New service - no historical information available.</t>
  </si>
  <si>
    <t xml:space="preserve">Existing Service Description (2014 - 19) </t>
  </si>
  <si>
    <t xml:space="preserve">New service - no historical revenue </t>
  </si>
  <si>
    <t>R2a</t>
  </si>
  <si>
    <t>R3</t>
  </si>
  <si>
    <t>Material Price Oncost %</t>
  </si>
  <si>
    <t>R4</t>
  </si>
  <si>
    <t>FY2019 Direct Cost</t>
  </si>
  <si>
    <t>New Service</t>
  </si>
  <si>
    <t xml:space="preserve"> - </t>
  </si>
  <si>
    <t>Bottom Up Estimation</t>
  </si>
  <si>
    <t>FY2019 Fully Loaded Cost</t>
  </si>
  <si>
    <t>Engineer - Hr</t>
  </si>
  <si>
    <t>Admin</t>
  </si>
  <si>
    <t>Projected Volumes for FY2019-24 Regulatory Period</t>
  </si>
  <si>
    <t>Operating Costs (on IO's, work orders, cost objects, cost centres)</t>
  </si>
  <si>
    <t>Admin - Hr</t>
  </si>
  <si>
    <t>R1a</t>
  </si>
  <si>
    <t>R1b</t>
  </si>
  <si>
    <t>Outdoor Technician</t>
  </si>
  <si>
    <t>Construction - Field Worker</t>
  </si>
  <si>
    <t>R2b</t>
  </si>
  <si>
    <t>Para Legal - Hr</t>
  </si>
  <si>
    <t>Para Legal</t>
  </si>
  <si>
    <t>Engineer / Professional</t>
  </si>
  <si>
    <t>FY22/23</t>
  </si>
  <si>
    <r>
      <t xml:space="preserve">
</t>
    </r>
    <r>
      <rPr>
        <sz val="10"/>
        <color rgb="FFFF0000"/>
        <rFont val="Arial"/>
        <family val="2"/>
      </rPr>
      <t>New Service</t>
    </r>
  </si>
  <si>
    <t>Project Code</t>
  </si>
  <si>
    <t>Design &amp; Construction of New Connection Assets</t>
  </si>
  <si>
    <t xml:space="preserve">Operating Costs - </t>
  </si>
  <si>
    <t>All</t>
  </si>
  <si>
    <t>Materials - Cost ($)</t>
  </si>
  <si>
    <t>Contractor Invoice ($)</t>
  </si>
  <si>
    <t>FY17/18</t>
  </si>
  <si>
    <t>FY18/19</t>
  </si>
  <si>
    <t>Time on Task (Hours)</t>
  </si>
  <si>
    <t>Number of Staff</t>
  </si>
  <si>
    <t>Total Time
(Hours)</t>
  </si>
  <si>
    <t>Overtime loading?
0 = No
1 = Yes</t>
  </si>
  <si>
    <t>Fleet rate</t>
  </si>
  <si>
    <t>Materials</t>
  </si>
  <si>
    <t>Overheads</t>
  </si>
  <si>
    <t>Non-system charge</t>
  </si>
  <si>
    <t>Profit margin (WACC FY20) per service</t>
  </si>
  <si>
    <t>Direct Labour Rate (incl on-costs)</t>
  </si>
  <si>
    <t>Real $2018-19</t>
  </si>
  <si>
    <t>Per service</t>
  </si>
  <si>
    <t>Material Price</t>
  </si>
  <si>
    <t>Total Material Cost</t>
  </si>
  <si>
    <t>Labour escalation</t>
  </si>
  <si>
    <t>Contractor rate increase</t>
  </si>
  <si>
    <t>Overhead rate</t>
  </si>
  <si>
    <t>Average non-system charge</t>
  </si>
  <si>
    <t>WACC rate</t>
  </si>
  <si>
    <t>ORDINARY LABOUR TIME</t>
  </si>
  <si>
    <t>OVERTIME</t>
  </si>
  <si>
    <t>Real 2018-19 including escalation</t>
  </si>
  <si>
    <t>2019-20</t>
  </si>
  <si>
    <t>2020-21</t>
  </si>
  <si>
    <t>2021-22</t>
  </si>
  <si>
    <t>2022-23</t>
  </si>
  <si>
    <t>2023-24</t>
  </si>
  <si>
    <t>Contractor costs</t>
  </si>
  <si>
    <t>Total before OHDs, non-system &amp; margin</t>
  </si>
  <si>
    <t>Profit margin</t>
  </si>
  <si>
    <t>Fully Loaded Costs</t>
  </si>
  <si>
    <t>Forecast revenue (check)</t>
  </si>
  <si>
    <t>Materials (hire per week)</t>
  </si>
  <si>
    <t>Fully Loaded Cost per service</t>
  </si>
  <si>
    <t>Forecast volumes (hours)</t>
  </si>
  <si>
    <t>Forecast revenue</t>
  </si>
  <si>
    <t>Forecast volumes</t>
  </si>
  <si>
    <t>Para legal (hrs)</t>
  </si>
  <si>
    <t>Admin (hrs)</t>
  </si>
  <si>
    <t>Outdoor technician (hrs)</t>
  </si>
  <si>
    <t>Engineer (hrs)</t>
  </si>
  <si>
    <t>Materials $</t>
  </si>
  <si>
    <t>Forecast contractor costs</t>
  </si>
  <si>
    <t>Forecast material costs</t>
  </si>
  <si>
    <t>Contractors $</t>
  </si>
  <si>
    <t>Labour</t>
  </si>
  <si>
    <t>Fleet</t>
  </si>
  <si>
    <t>Total costs before OHDs, non-system and margin</t>
  </si>
  <si>
    <t>Margin</t>
  </si>
  <si>
    <t>Overheads rate</t>
  </si>
  <si>
    <t>Contractor management eg. T/C - [Invoice + overheads] + margin</t>
  </si>
  <si>
    <t>Material Supply - [(purchase price + On-cost %) + overheads] + margin</t>
  </si>
  <si>
    <t>Material Supply 
[(Purchase Price + Materials On-cost) + Overheads] + Margin</t>
  </si>
  <si>
    <t>Contractor management eg. T/C 
(Invoice + Overheads) + Margin</t>
  </si>
  <si>
    <t>Materials On-cost %</t>
  </si>
  <si>
    <t xml:space="preserve">Contractor </t>
  </si>
  <si>
    <t>Proposed Fee ($2018/19 - Excl GST)</t>
  </si>
  <si>
    <t>Total Direct Costs $2018/19</t>
  </si>
  <si>
    <t>Total Indirect Costs $2018/19</t>
  </si>
  <si>
    <t>TOTAL COSTS $2018/19</t>
  </si>
  <si>
    <t>Design &amp; Construction of Connection Services</t>
  </si>
  <si>
    <t>Design &amp; Construction of Connection Services (Hourly Rate / Fee Service)</t>
  </si>
  <si>
    <t>Hourly Rate / Fee</t>
  </si>
  <si>
    <t>Design &amp; Construction of Augmentation Services (NEW)</t>
  </si>
  <si>
    <r>
      <t xml:space="preserve">
</t>
    </r>
    <r>
      <rPr>
        <sz val="10"/>
        <rFont val="Arial"/>
        <family val="2"/>
      </rPr>
      <t>Augmentations
C. Any shared network enlargement/enhancement undertaken by a customer.</t>
    </r>
    <r>
      <rPr>
        <sz val="10"/>
        <color rgb="FFFF0000"/>
        <rFont val="Arial"/>
        <family val="2"/>
      </rPr>
      <t xml:space="preserve">
</t>
    </r>
    <r>
      <rPr>
        <sz val="10"/>
        <rFont val="Arial"/>
        <family val="2"/>
      </rPr>
      <t xml:space="preserve">
</t>
    </r>
  </si>
  <si>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</si>
  <si>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r>
      <t xml:space="preserve">
</t>
    </r>
    <r>
      <rPr>
        <b/>
        <sz val="10"/>
        <color theme="1"/>
        <rFont val="Arial"/>
        <family val="2"/>
      </rPr>
      <t>Design &amp; Construction of Augmentation Services</t>
    </r>
    <r>
      <rPr>
        <sz val="10"/>
        <color theme="1"/>
        <rFont val="Arial"/>
        <family val="2"/>
      </rPr>
      <t xml:space="preserve">
Provision of contestable design and construction services (ASP LV1,2 &amp;3) including both overhead and underground assets where a customer is unable to secure the service from the contestable market. The service will only be offered where it has been validated that there is no alternate supplier via Essential Energy’s ‘Provider of Last Resort process. Augmentation services include any additions or upgrades of Sub Transmission or Distribution infrastructure which is not an extension.</t>
    </r>
  </si>
  <si>
    <t>3.1 Part A. Design &amp; Construction of Augmentations</t>
  </si>
  <si>
    <t>Indoor Technician</t>
  </si>
  <si>
    <t>Indoor Technician - Hr</t>
  </si>
  <si>
    <t>Field Worker - Hr</t>
  </si>
  <si>
    <t>Field Worker (hrs)</t>
  </si>
  <si>
    <t>Indoor Technician (hrs)</t>
  </si>
  <si>
    <t>Estimates have been provided on the work effort that will be required to complete each service. Forecast volume based on 1 small scale construction project each year.
Forecast cost break up based on similar small scale Capex Project cost breakup.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</si>
</sst>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quot;$&quot;* #,##0.00_);_(&quot;$&quot;* \(#,##0.00\);_(&quot;$&quot;* &quot;-&quot;??_);_(@_)"/>
    <numFmt numFmtId="165" formatCode="_(* #,##0.00_);_(* \(#,##0.00\);_(* &quot;-&quot;??_);_(@_)"/>
    <numFmt numFmtId="166" formatCode="_-&quot;$&quot;* #,##0_-;\-&quot;$&quot;* #,##0_-;_-&quot;$&quot;* &quot;-&quot;??_-;_-@_-"/>
    <numFmt numFmtId="167" formatCode="_-* #,##0_-;\-* #,##0_-;_-* &quot;-&quot;??_-;_-@_-"/>
    <numFmt numFmtId="168" formatCode="&quot;$&quot;#,##0.00"/>
    <numFmt numFmtId="169" formatCode="#,##0.00\ ;\(#,##0.00\);\-\ "/>
    <numFmt numFmtId="170" formatCode="#,##0\ ;\(#,##0\);\-\ "/>
    <numFmt numFmtId="171" formatCode="&quot;$&quot;#,##0"/>
    <numFmt numFmtId="172" formatCode="_(* #,##0_);_(* \(#,##0\);_(* &quot;-&quot;??_);_(@_)"/>
  </numFmts>
  <fonts count="29"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0"/>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sz val="10"/>
      <color rgb="FF0065A6"/>
      <name val="Arial"/>
      <family val="2"/>
    </font>
    <font>
      <b/>
      <sz val="10"/>
      <color rgb="FFFF0000"/>
      <name val="Arial"/>
      <family val="2"/>
    </font>
    <font>
      <sz val="10"/>
      <color theme="1"/>
      <name val="Calibri"/>
      <family val="2"/>
      <scheme val="minor"/>
    </font>
    <font>
      <b/>
      <sz val="7"/>
      <color theme="1"/>
      <name val="Arial"/>
      <family val="2"/>
    </font>
    <font>
      <b/>
      <sz val="7"/>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
      <b/>
      <sz val="8"/>
      <color theme="1"/>
      <name val="Arial"/>
      <family val="2"/>
    </font>
    <font>
      <sz val="10"/>
      <color theme="1"/>
      <name val="Arial"/>
      <family val="2"/>
    </font>
    <font>
      <b/>
      <sz val="10"/>
      <color theme="0"/>
      <name val="Arial"/>
      <family val="2"/>
    </font>
    <font>
      <b/>
      <sz val="12"/>
      <color theme="0"/>
      <name val="Arial"/>
      <family val="2"/>
    </font>
    <font>
      <b/>
      <sz val="10"/>
      <name val="Arial"/>
      <family val="2"/>
    </font>
    <font>
      <sz val="10"/>
      <name val="Arial"/>
      <family val="2"/>
    </font>
    <font>
      <sz val="10"/>
      <color theme="0"/>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4" fillId="0" borderId="0" applyFont="0" applyFill="0" applyBorder="0" applyAlignment="0" applyProtection="0"/>
    <xf numFmtId="164" fontId="4" fillId="0" borderId="0" applyFont="0" applyFill="0" applyBorder="0" applyAlignment="0" applyProtection="0"/>
    <xf numFmtId="165" fontId="4" fillId="0" borderId="0" applyFont="0" applyFill="0" applyBorder="0" applyAlignment="0" applyProtection="0"/>
    <xf numFmtId="164" fontId="4" fillId="0" borderId="0" applyFont="0" applyFill="0" applyBorder="0" applyAlignment="0" applyProtection="0"/>
    <xf numFmtId="0" fontId="6" fillId="0" borderId="0"/>
  </cellStyleXfs>
  <cellXfs count="242">
    <xf numFmtId="0" fontId="0" fillId="0" borderId="0" xfId="0"/>
    <xf numFmtId="0" fontId="3" fillId="0" borderId="0" xfId="0" applyFont="1"/>
    <xf numFmtId="0" fontId="9" fillId="5" borderId="3" xfId="0" applyFont="1" applyFill="1" applyBorder="1"/>
    <xf numFmtId="0" fontId="9" fillId="5" borderId="7" xfId="0" applyFont="1" applyFill="1" applyBorder="1" applyAlignment="1">
      <alignment horizontal="left"/>
    </xf>
    <xf numFmtId="0" fontId="9" fillId="5" borderId="8" xfId="0" applyFont="1" applyFill="1" applyBorder="1" applyAlignment="1">
      <alignment horizontal="right"/>
    </xf>
    <xf numFmtId="0" fontId="3" fillId="4" borderId="4" xfId="0" applyFont="1" applyFill="1" applyBorder="1" applyAlignment="1">
      <alignment horizontal="left"/>
    </xf>
    <xf numFmtId="0" fontId="3" fillId="4" borderId="4" xfId="0" applyFont="1" applyFill="1" applyBorder="1"/>
    <xf numFmtId="166" fontId="3" fillId="4" borderId="4" xfId="2" applyNumberFormat="1" applyFont="1" applyFill="1" applyBorder="1"/>
    <xf numFmtId="0" fontId="3" fillId="4" borderId="3" xfId="0" applyFont="1" applyFill="1" applyBorder="1"/>
    <xf numFmtId="0" fontId="9" fillId="5" borderId="8" xfId="0" applyFont="1" applyFill="1" applyBorder="1"/>
    <xf numFmtId="0" fontId="9" fillId="5" borderId="0" xfId="0" applyFont="1" applyFill="1" applyBorder="1"/>
    <xf numFmtId="166" fontId="9" fillId="5" borderId="8" xfId="2" applyNumberFormat="1" applyFont="1" applyFill="1" applyBorder="1"/>
    <xf numFmtId="0" fontId="9" fillId="5" borderId="11" xfId="0" applyFont="1" applyFill="1" applyBorder="1" applyAlignment="1">
      <alignment horizontal="left"/>
    </xf>
    <xf numFmtId="0" fontId="3" fillId="4" borderId="5" xfId="0" applyFont="1" applyFill="1" applyBorder="1"/>
    <xf numFmtId="3" fontId="3" fillId="4" borderId="4" xfId="0" applyNumberFormat="1" applyFont="1" applyFill="1" applyBorder="1"/>
    <xf numFmtId="0" fontId="3" fillId="4" borderId="5" xfId="0" quotePrefix="1" applyFont="1" applyFill="1" applyBorder="1"/>
    <xf numFmtId="3" fontId="9" fillId="5" borderId="8" xfId="0" applyNumberFormat="1" applyFont="1" applyFill="1" applyBorder="1"/>
    <xf numFmtId="0" fontId="8" fillId="0" borderId="0" xfId="0" applyFont="1"/>
    <xf numFmtId="0" fontId="9" fillId="5" borderId="6" xfId="0" applyFont="1" applyFill="1" applyBorder="1" applyAlignment="1">
      <alignment horizontal="left"/>
    </xf>
    <xf numFmtId="0" fontId="9" fillId="5" borderId="12" xfId="0" applyFont="1" applyFill="1" applyBorder="1"/>
    <xf numFmtId="0" fontId="6" fillId="5" borderId="12" xfId="0" applyFont="1" applyFill="1" applyBorder="1"/>
    <xf numFmtId="0" fontId="3" fillId="4" borderId="0" xfId="0" quotePrefix="1" applyFont="1" applyFill="1" applyBorder="1" applyAlignment="1">
      <alignment vertical="top"/>
    </xf>
    <xf numFmtId="0" fontId="3" fillId="4" borderId="0" xfId="0" applyFont="1" applyFill="1" applyBorder="1" applyAlignment="1">
      <alignment vertical="top"/>
    </xf>
    <xf numFmtId="0" fontId="9" fillId="5" borderId="4" xfId="0" applyFont="1" applyFill="1" applyBorder="1"/>
    <xf numFmtId="0" fontId="9" fillId="5" borderId="5" xfId="0" applyFont="1" applyFill="1" applyBorder="1" applyAlignment="1">
      <alignment horizontal="right"/>
    </xf>
    <xf numFmtId="166" fontId="3" fillId="4" borderId="5" xfId="2" applyNumberFormat="1" applyFont="1" applyFill="1" applyBorder="1" applyAlignment="1">
      <alignment horizontal="center"/>
    </xf>
    <xf numFmtId="0" fontId="9" fillId="5" borderId="1" xfId="0" applyFont="1" applyFill="1" applyBorder="1"/>
    <xf numFmtId="0" fontId="6" fillId="5" borderId="1" xfId="0" applyFont="1" applyFill="1" applyBorder="1"/>
    <xf numFmtId="166" fontId="9" fillId="5" borderId="9" xfId="2" applyNumberFormat="1" applyFont="1" applyFill="1" applyBorder="1"/>
    <xf numFmtId="166" fontId="9" fillId="5" borderId="10" xfId="2" applyNumberFormat="1" applyFont="1" applyFill="1" applyBorder="1"/>
    <xf numFmtId="0" fontId="7" fillId="8" borderId="0" xfId="0" applyFont="1" applyFill="1"/>
    <xf numFmtId="0" fontId="10" fillId="8" borderId="0" xfId="0" applyFont="1" applyFill="1"/>
    <xf numFmtId="0" fontId="9" fillId="9" borderId="7" xfId="0" applyFont="1" applyFill="1" applyBorder="1" applyAlignment="1">
      <alignment horizontal="right"/>
    </xf>
    <xf numFmtId="0" fontId="9" fillId="9" borderId="8" xfId="0" applyFont="1" applyFill="1" applyBorder="1" applyAlignment="1">
      <alignment horizontal="right"/>
    </xf>
    <xf numFmtId="0" fontId="3" fillId="10" borderId="4" xfId="0" applyFont="1" applyFill="1" applyBorder="1"/>
    <xf numFmtId="166" fontId="3" fillId="10" borderId="4" xfId="2" applyNumberFormat="1" applyFont="1" applyFill="1" applyBorder="1"/>
    <xf numFmtId="0" fontId="3" fillId="10" borderId="4" xfId="0" applyFont="1" applyFill="1" applyBorder="1" applyAlignment="1">
      <alignment wrapText="1"/>
    </xf>
    <xf numFmtId="0" fontId="7" fillId="8" borderId="12" xfId="0" applyFont="1" applyFill="1" applyBorder="1"/>
    <xf numFmtId="0" fontId="10" fillId="8" borderId="12" xfId="0" applyFont="1" applyFill="1" applyBorder="1"/>
    <xf numFmtId="0" fontId="11" fillId="4" borderId="0" xfId="0" applyFont="1" applyFill="1" applyBorder="1" applyAlignment="1">
      <alignment horizontal="left" vertical="top" wrapText="1"/>
    </xf>
    <xf numFmtId="0" fontId="3" fillId="0" borderId="0" xfId="0" applyFont="1" applyAlignment="1">
      <alignment horizontal="left" indent="15"/>
    </xf>
    <xf numFmtId="0" fontId="3" fillId="0" borderId="0" xfId="0" applyFont="1" applyFill="1"/>
    <xf numFmtId="0" fontId="9" fillId="9" borderId="0" xfId="0" applyFont="1" applyFill="1" applyBorder="1" applyAlignment="1">
      <alignment horizontal="left"/>
    </xf>
    <xf numFmtId="0" fontId="8" fillId="7" borderId="0" xfId="0" applyFont="1" applyFill="1" applyBorder="1" applyAlignment="1">
      <alignment horizontal="left"/>
    </xf>
    <xf numFmtId="0" fontId="7" fillId="8" borderId="0" xfId="0" applyFont="1" applyFill="1" applyAlignment="1">
      <alignment horizontal="left"/>
    </xf>
    <xf numFmtId="0" fontId="9" fillId="9" borderId="6" xfId="0" applyFont="1" applyFill="1" applyBorder="1" applyAlignment="1">
      <alignment horizontal="left"/>
    </xf>
    <xf numFmtId="0" fontId="7" fillId="8" borderId="11" xfId="0" applyFont="1" applyFill="1" applyBorder="1"/>
    <xf numFmtId="0" fontId="9" fillId="9" borderId="4" xfId="0" applyFont="1" applyFill="1" applyBorder="1"/>
    <xf numFmtId="0" fontId="3" fillId="6" borderId="0" xfId="0" applyFont="1" applyFill="1"/>
    <xf numFmtId="168" fontId="3" fillId="7" borderId="4" xfId="0" applyNumberFormat="1" applyFont="1" applyFill="1" applyBorder="1" applyAlignment="1">
      <alignment horizontal="center"/>
    </xf>
    <xf numFmtId="0" fontId="10" fillId="8" borderId="2" xfId="0" applyFont="1" applyFill="1" applyBorder="1"/>
    <xf numFmtId="0" fontId="3" fillId="7" borderId="0" xfId="0" applyFont="1" applyFill="1" applyBorder="1" applyAlignment="1">
      <alignment horizontal="left" vertical="top" wrapText="1"/>
    </xf>
    <xf numFmtId="0" fontId="3" fillId="7" borderId="0" xfId="0" applyFont="1" applyFill="1" applyBorder="1" applyAlignment="1">
      <alignment horizontal="left" wrapText="1"/>
    </xf>
    <xf numFmtId="0" fontId="3" fillId="7" borderId="0" xfId="0" applyFont="1" applyFill="1" applyBorder="1" applyAlignment="1">
      <alignment horizontal="left"/>
    </xf>
    <xf numFmtId="0" fontId="3" fillId="0" borderId="0" xfId="0" applyFont="1" applyAlignment="1">
      <alignment horizontal="left"/>
    </xf>
    <xf numFmtId="0" fontId="3" fillId="0" borderId="0" xfId="0" applyFont="1" applyFill="1" applyBorder="1" applyAlignment="1">
      <alignment horizontal="left"/>
    </xf>
    <xf numFmtId="0" fontId="9" fillId="2" borderId="3" xfId="0" applyFont="1" applyFill="1" applyBorder="1"/>
    <xf numFmtId="0" fontId="3" fillId="7" borderId="0" xfId="0" applyFont="1" applyFill="1" applyAlignment="1">
      <alignment horizontal="left"/>
    </xf>
    <xf numFmtId="0" fontId="9" fillId="2" borderId="1" xfId="0" applyFont="1" applyFill="1" applyBorder="1"/>
    <xf numFmtId="166" fontId="6" fillId="0" borderId="0" xfId="2" applyNumberFormat="1" applyFont="1"/>
    <xf numFmtId="0" fontId="9" fillId="2" borderId="6" xfId="0" applyFont="1" applyFill="1" applyBorder="1"/>
    <xf numFmtId="166" fontId="9" fillId="2" borderId="7" xfId="2" applyNumberFormat="1" applyFont="1" applyFill="1" applyBorder="1"/>
    <xf numFmtId="10" fontId="3" fillId="0" borderId="0" xfId="1" applyNumberFormat="1" applyFont="1"/>
    <xf numFmtId="10" fontId="3" fillId="0" borderId="0" xfId="0" applyNumberFormat="1" applyFont="1"/>
    <xf numFmtId="0" fontId="7" fillId="8" borderId="6" xfId="0" applyFont="1" applyFill="1" applyBorder="1" applyAlignment="1">
      <alignment horizontal="left"/>
    </xf>
    <xf numFmtId="0" fontId="9" fillId="2" borderId="6" xfId="0" applyFont="1" applyFill="1" applyBorder="1" applyAlignment="1">
      <alignment horizontal="left"/>
    </xf>
    <xf numFmtId="0" fontId="9" fillId="2" borderId="7" xfId="0" applyFont="1" applyFill="1" applyBorder="1" applyAlignment="1">
      <alignment horizontal="right"/>
    </xf>
    <xf numFmtId="0" fontId="9" fillId="2" borderId="8" xfId="0" applyFont="1" applyFill="1" applyBorder="1" applyAlignment="1">
      <alignment horizontal="right"/>
    </xf>
    <xf numFmtId="167" fontId="6" fillId="0" borderId="0" xfId="3" applyNumberFormat="1" applyFont="1" applyAlignment="1"/>
    <xf numFmtId="170" fontId="9" fillId="2" borderId="7" xfId="2" applyNumberFormat="1" applyFont="1" applyFill="1" applyBorder="1" applyAlignment="1"/>
    <xf numFmtId="167" fontId="12" fillId="0" borderId="0" xfId="3" applyNumberFormat="1" applyFont="1" applyAlignment="1">
      <alignment horizontal="right"/>
    </xf>
    <xf numFmtId="167" fontId="12" fillId="0" borderId="0" xfId="3" applyNumberFormat="1" applyFont="1" applyAlignment="1">
      <alignment horizontal="center" vertical="center"/>
    </xf>
    <xf numFmtId="0" fontId="3" fillId="0" borderId="0" xfId="0" applyFont="1" applyFill="1" applyAlignment="1">
      <alignment horizontal="left"/>
    </xf>
    <xf numFmtId="0" fontId="14" fillId="0" borderId="0" xfId="0" applyFont="1"/>
    <xf numFmtId="0" fontId="9" fillId="0" borderId="0" xfId="0" applyFont="1" applyFill="1" applyBorder="1"/>
    <xf numFmtId="0" fontId="6" fillId="0" borderId="0" xfId="0" applyFont="1" applyFill="1" applyBorder="1"/>
    <xf numFmtId="166" fontId="9" fillId="0" borderId="0" xfId="2" applyNumberFormat="1" applyFont="1" applyFill="1" applyBorder="1"/>
    <xf numFmtId="0" fontId="7" fillId="8" borderId="8" xfId="0" applyFont="1" applyFill="1" applyBorder="1"/>
    <xf numFmtId="0" fontId="9" fillId="5" borderId="10" xfId="0" applyFont="1" applyFill="1" applyBorder="1"/>
    <xf numFmtId="0" fontId="9" fillId="5" borderId="13" xfId="0" applyFont="1" applyFill="1" applyBorder="1" applyAlignment="1">
      <alignment horizontal="left"/>
    </xf>
    <xf numFmtId="0" fontId="14" fillId="0" borderId="6" xfId="0" applyFont="1" applyBorder="1"/>
    <xf numFmtId="0" fontId="9" fillId="11" borderId="10" xfId="0" applyFont="1" applyFill="1" applyBorder="1"/>
    <xf numFmtId="0" fontId="11" fillId="4" borderId="8" xfId="0" applyFont="1" applyFill="1" applyBorder="1" applyAlignment="1">
      <alignment horizontal="left" vertical="top" wrapText="1"/>
    </xf>
    <xf numFmtId="0" fontId="9" fillId="5" borderId="11" xfId="0" applyFont="1" applyFill="1" applyBorder="1"/>
    <xf numFmtId="0" fontId="3" fillId="4" borderId="8" xfId="0" quotePrefix="1" applyFont="1" applyFill="1" applyBorder="1" applyAlignment="1">
      <alignment vertical="top"/>
    </xf>
    <xf numFmtId="0" fontId="9" fillId="5" borderId="4" xfId="0" applyFont="1" applyFill="1" applyBorder="1" applyAlignment="1">
      <alignment horizontal="center"/>
    </xf>
    <xf numFmtId="0" fontId="9" fillId="5" borderId="7" xfId="0" applyFont="1" applyFill="1" applyBorder="1" applyAlignment="1">
      <alignment horizontal="center"/>
    </xf>
    <xf numFmtId="0" fontId="15" fillId="7" borderId="0" xfId="0" applyFont="1" applyFill="1" applyBorder="1" applyAlignment="1">
      <alignment horizontal="center" vertical="center" wrapText="1"/>
    </xf>
    <xf numFmtId="0" fontId="16" fillId="7" borderId="0" xfId="0" applyFont="1" applyFill="1" applyBorder="1" applyAlignment="1">
      <alignment horizontal="center" vertical="center"/>
    </xf>
    <xf numFmtId="0" fontId="3" fillId="7" borderId="0" xfId="0" applyFont="1" applyFill="1" applyBorder="1" applyAlignment="1">
      <alignment horizontal="center" vertical="center"/>
    </xf>
    <xf numFmtId="0" fontId="9" fillId="9" borderId="10" xfId="0" applyFont="1" applyFill="1" applyBorder="1"/>
    <xf numFmtId="0" fontId="9" fillId="9" borderId="5" xfId="0" applyFont="1" applyFill="1" applyBorder="1"/>
    <xf numFmtId="0" fontId="10" fillId="8" borderId="3" xfId="0" applyFont="1" applyFill="1" applyBorder="1"/>
    <xf numFmtId="166" fontId="3" fillId="10" borderId="5" xfId="2" applyNumberFormat="1" applyFont="1" applyFill="1" applyBorder="1" applyAlignment="1">
      <alignment horizontal="center"/>
    </xf>
    <xf numFmtId="3" fontId="3" fillId="10" borderId="4" xfId="0" applyNumberFormat="1" applyFont="1" applyFill="1" applyBorder="1"/>
    <xf numFmtId="0" fontId="9" fillId="9" borderId="4" xfId="0" applyFont="1" applyFill="1" applyBorder="1" applyAlignment="1">
      <alignment horizontal="left" vertical="center"/>
    </xf>
    <xf numFmtId="168" fontId="3" fillId="3" borderId="4" xfId="0" applyNumberFormat="1" applyFont="1" applyFill="1" applyBorder="1" applyAlignment="1">
      <alignment horizontal="center"/>
    </xf>
    <xf numFmtId="168" fontId="3" fillId="7" borderId="4" xfId="0" applyNumberFormat="1" applyFont="1" applyFill="1" applyBorder="1" applyAlignment="1">
      <alignment horizontal="left"/>
    </xf>
    <xf numFmtId="10" fontId="3" fillId="3" borderId="4" xfId="0" applyNumberFormat="1" applyFont="1" applyFill="1" applyBorder="1" applyAlignment="1">
      <alignment horizontal="center"/>
    </xf>
    <xf numFmtId="0" fontId="11" fillId="10" borderId="4" xfId="0" applyFont="1" applyFill="1" applyBorder="1" applyAlignment="1">
      <alignment horizontal="left"/>
    </xf>
    <xf numFmtId="171" fontId="3" fillId="10" borderId="4" xfId="0" applyNumberFormat="1" applyFont="1" applyFill="1" applyBorder="1"/>
    <xf numFmtId="0" fontId="11" fillId="4" borderId="0" xfId="0" applyFont="1" applyFill="1" applyBorder="1" applyAlignment="1">
      <alignment horizontal="left" vertical="top" wrapText="1"/>
    </xf>
    <xf numFmtId="0" fontId="9" fillId="5" borderId="5" xfId="0" applyFont="1" applyFill="1" applyBorder="1" applyAlignment="1">
      <alignment horizontal="center"/>
    </xf>
    <xf numFmtId="0" fontId="9" fillId="5" borderId="8" xfId="0" applyFont="1" applyFill="1" applyBorder="1" applyAlignment="1">
      <alignment horizontal="center"/>
    </xf>
    <xf numFmtId="0" fontId="4" fillId="0" borderId="0" xfId="0" applyFont="1"/>
    <xf numFmtId="10" fontId="4" fillId="0" borderId="0" xfId="1" applyNumberFormat="1" applyFont="1"/>
    <xf numFmtId="10" fontId="4" fillId="0" borderId="0" xfId="0" applyNumberFormat="1" applyFont="1"/>
    <xf numFmtId="0" fontId="18" fillId="0" borderId="0" xfId="0" applyFont="1"/>
    <xf numFmtId="165" fontId="7" fillId="15" borderId="4" xfId="3" applyFont="1" applyFill="1" applyBorder="1" applyAlignment="1">
      <alignment horizontal="left"/>
    </xf>
    <xf numFmtId="165" fontId="7" fillId="15" borderId="4" xfId="3" applyFont="1" applyFill="1" applyBorder="1" applyAlignment="1">
      <alignment horizontal="center"/>
    </xf>
    <xf numFmtId="165" fontId="3" fillId="5" borderId="4" xfId="3" applyFont="1" applyFill="1" applyBorder="1" applyAlignment="1">
      <alignment horizontal="left" indent="2"/>
    </xf>
    <xf numFmtId="165" fontId="3" fillId="5" borderId="4" xfId="3" applyFont="1" applyFill="1" applyBorder="1"/>
    <xf numFmtId="172" fontId="3" fillId="5" borderId="4" xfId="3" applyNumberFormat="1" applyFont="1" applyFill="1" applyBorder="1"/>
    <xf numFmtId="165" fontId="8" fillId="5" borderId="4" xfId="3" applyFont="1" applyFill="1" applyBorder="1"/>
    <xf numFmtId="0" fontId="8" fillId="5" borderId="5" xfId="0" applyFont="1" applyFill="1" applyBorder="1"/>
    <xf numFmtId="172" fontId="8" fillId="5" borderId="4" xfId="3" applyNumberFormat="1" applyFont="1" applyFill="1" applyBorder="1"/>
    <xf numFmtId="0" fontId="8" fillId="5" borderId="0" xfId="0" applyFont="1" applyFill="1" applyBorder="1"/>
    <xf numFmtId="0" fontId="17" fillId="0" borderId="0" xfId="0" applyFont="1"/>
    <xf numFmtId="0" fontId="9" fillId="0" borderId="8" xfId="0" applyFont="1" applyFill="1" applyBorder="1"/>
    <xf numFmtId="0" fontId="19" fillId="4" borderId="5" xfId="0" applyFont="1" applyFill="1" applyBorder="1"/>
    <xf numFmtId="0" fontId="8" fillId="4" borderId="5" xfId="0" applyFont="1" applyFill="1" applyBorder="1"/>
    <xf numFmtId="0" fontId="8" fillId="4" borderId="5" xfId="0" applyFont="1" applyFill="1" applyBorder="1" applyAlignment="1"/>
    <xf numFmtId="0" fontId="8" fillId="4" borderId="2" xfId="0" applyFont="1" applyFill="1" applyBorder="1" applyAlignment="1"/>
    <xf numFmtId="165" fontId="20" fillId="10" borderId="4" xfId="3" applyFont="1" applyFill="1" applyBorder="1"/>
    <xf numFmtId="165" fontId="3" fillId="10" borderId="4" xfId="3" applyFont="1" applyFill="1" applyBorder="1"/>
    <xf numFmtId="165" fontId="8" fillId="5" borderId="4" xfId="3" applyFont="1" applyFill="1" applyBorder="1" applyAlignment="1">
      <alignment horizontal="left"/>
    </xf>
    <xf numFmtId="165" fontId="20" fillId="5" borderId="4" xfId="3" applyFont="1" applyFill="1" applyBorder="1"/>
    <xf numFmtId="0" fontId="8" fillId="4" borderId="4" xfId="0" applyFont="1" applyFill="1" applyBorder="1" applyAlignment="1">
      <alignment horizontal="left"/>
    </xf>
    <xf numFmtId="165" fontId="21" fillId="10" borderId="4" xfId="3" applyFont="1" applyFill="1" applyBorder="1"/>
    <xf numFmtId="165" fontId="8" fillId="10" borderId="4" xfId="3" applyFont="1" applyFill="1" applyBorder="1"/>
    <xf numFmtId="0" fontId="3" fillId="4" borderId="7" xfId="0" applyFont="1" applyFill="1" applyBorder="1" applyAlignment="1">
      <alignment horizontal="left"/>
    </xf>
    <xf numFmtId="172" fontId="3" fillId="10" borderId="4" xfId="3" applyNumberFormat="1" applyFont="1" applyFill="1" applyBorder="1"/>
    <xf numFmtId="0" fontId="3" fillId="4" borderId="3" xfId="0" applyFont="1" applyFill="1" applyBorder="1" applyAlignment="1">
      <alignment horizontal="left" indent="1"/>
    </xf>
    <xf numFmtId="0" fontId="8" fillId="4" borderId="3" xfId="0" applyFont="1" applyFill="1" applyBorder="1"/>
    <xf numFmtId="0" fontId="3" fillId="4" borderId="1" xfId="0" applyFont="1" applyFill="1" applyBorder="1"/>
    <xf numFmtId="0" fontId="8" fillId="4" borderId="4" xfId="0" applyFont="1" applyFill="1" applyBorder="1"/>
    <xf numFmtId="166" fontId="8" fillId="10" borderId="5" xfId="2" applyNumberFormat="1" applyFont="1" applyFill="1" applyBorder="1" applyAlignment="1">
      <alignment horizontal="center"/>
    </xf>
    <xf numFmtId="168" fontId="3" fillId="7" borderId="4" xfId="0" applyNumberFormat="1" applyFont="1" applyFill="1" applyBorder="1" applyAlignment="1">
      <alignment horizontal="left" wrapText="1"/>
    </xf>
    <xf numFmtId="10" fontId="3" fillId="3" borderId="4" xfId="0" applyNumberFormat="1" applyFont="1" applyFill="1" applyBorder="1" applyAlignment="1">
      <alignment horizontal="center" vertical="center"/>
    </xf>
    <xf numFmtId="0" fontId="4" fillId="0" borderId="6" xfId="0" applyFont="1" applyFill="1" applyBorder="1" applyAlignment="1">
      <alignment textRotation="90"/>
    </xf>
    <xf numFmtId="169" fontId="11" fillId="0" borderId="0" xfId="1" applyNumberFormat="1" applyFont="1" applyFill="1"/>
    <xf numFmtId="0" fontId="3" fillId="4" borderId="10" xfId="0" applyFont="1" applyFill="1" applyBorder="1"/>
    <xf numFmtId="171" fontId="3" fillId="10" borderId="9" xfId="0" applyNumberFormat="1" applyFont="1" applyFill="1" applyBorder="1"/>
    <xf numFmtId="0" fontId="9" fillId="5" borderId="5" xfId="0" applyFont="1" applyFill="1" applyBorder="1"/>
    <xf numFmtId="0" fontId="9" fillId="5" borderId="2" xfId="0" applyFont="1" applyFill="1" applyBorder="1"/>
    <xf numFmtId="3" fontId="9" fillId="5" borderId="4" xfId="0" applyNumberFormat="1" applyFont="1" applyFill="1" applyBorder="1"/>
    <xf numFmtId="3" fontId="8" fillId="11" borderId="10" xfId="0" applyNumberFormat="1" applyFont="1" applyFill="1" applyBorder="1"/>
    <xf numFmtId="171" fontId="8" fillId="11" borderId="10" xfId="0" applyNumberFormat="1" applyFont="1" applyFill="1" applyBorder="1"/>
    <xf numFmtId="166" fontId="8" fillId="11" borderId="5" xfId="2" applyNumberFormat="1" applyFont="1" applyFill="1" applyBorder="1"/>
    <xf numFmtId="3" fontId="8" fillId="11" borderId="4" xfId="0" applyNumberFormat="1" applyFont="1" applyFill="1" applyBorder="1"/>
    <xf numFmtId="3" fontId="8" fillId="11" borderId="5" xfId="0" applyNumberFormat="1" applyFont="1" applyFill="1" applyBorder="1"/>
    <xf numFmtId="168" fontId="3" fillId="7" borderId="4" xfId="0" applyNumberFormat="1" applyFont="1" applyFill="1" applyBorder="1" applyAlignment="1"/>
    <xf numFmtId="0" fontId="23" fillId="0" borderId="0" xfId="0" applyFont="1"/>
    <xf numFmtId="0" fontId="24" fillId="8" borderId="8" xfId="0" applyFont="1" applyFill="1" applyBorder="1" applyAlignment="1"/>
    <xf numFmtId="0" fontId="24" fillId="8" borderId="0" xfId="0" applyFont="1" applyFill="1" applyBorder="1" applyAlignment="1"/>
    <xf numFmtId="0" fontId="25" fillId="8" borderId="8" xfId="0" applyNumberFormat="1" applyFont="1" applyFill="1" applyBorder="1" applyAlignment="1">
      <alignment horizontal="left"/>
    </xf>
    <xf numFmtId="0" fontId="24" fillId="8" borderId="0" xfId="0" applyFont="1" applyFill="1" applyAlignment="1">
      <alignment horizontal="left"/>
    </xf>
    <xf numFmtId="0" fontId="23" fillId="0" borderId="0" xfId="0" applyFont="1" applyFill="1"/>
    <xf numFmtId="0" fontId="24" fillId="0" borderId="0" xfId="0" applyFont="1" applyFill="1" applyAlignment="1">
      <alignment horizontal="left"/>
    </xf>
    <xf numFmtId="0" fontId="24" fillId="8" borderId="9" xfId="0" applyFont="1" applyFill="1" applyBorder="1" applyAlignment="1">
      <alignment horizontal="center" vertical="center"/>
    </xf>
    <xf numFmtId="2" fontId="24" fillId="8" borderId="9" xfId="0" applyNumberFormat="1" applyFont="1" applyFill="1" applyBorder="1" applyAlignment="1">
      <alignment horizontal="center" vertical="center" wrapText="1"/>
    </xf>
    <xf numFmtId="1" fontId="24" fillId="8" borderId="9" xfId="0" applyNumberFormat="1" applyFont="1" applyFill="1" applyBorder="1" applyAlignment="1">
      <alignment horizontal="center" vertical="center" wrapText="1"/>
    </xf>
    <xf numFmtId="0" fontId="24" fillId="8" borderId="9" xfId="0" applyFont="1" applyFill="1" applyBorder="1" applyAlignment="1">
      <alignment horizontal="center" vertical="center" wrapText="1"/>
    </xf>
    <xf numFmtId="168" fontId="24" fillId="8" borderId="4" xfId="0" applyNumberFormat="1" applyFont="1" applyFill="1" applyBorder="1" applyAlignment="1">
      <alignment horizontal="center" vertical="center" wrapText="1"/>
    </xf>
    <xf numFmtId="168" fontId="26" fillId="9" borderId="9" xfId="0" applyNumberFormat="1" applyFont="1" applyFill="1" applyBorder="1" applyAlignment="1"/>
    <xf numFmtId="168" fontId="26" fillId="9" borderId="0" xfId="0" applyNumberFormat="1" applyFont="1" applyFill="1" applyBorder="1" applyAlignment="1"/>
    <xf numFmtId="168" fontId="26" fillId="9" borderId="0" xfId="0" applyNumberFormat="1" applyFont="1" applyFill="1" applyBorder="1" applyAlignment="1">
      <alignment horizontal="left"/>
    </xf>
    <xf numFmtId="0" fontId="27" fillId="10" borderId="4" xfId="0" applyFont="1" applyFill="1" applyBorder="1" applyAlignment="1">
      <alignment horizontal="left" vertical="center"/>
    </xf>
    <xf numFmtId="0" fontId="27" fillId="10" borderId="4" xfId="0" applyFont="1" applyFill="1" applyBorder="1" applyAlignment="1">
      <alignment horizontal="center"/>
    </xf>
    <xf numFmtId="2" fontId="27" fillId="10" borderId="4" xfId="3" applyNumberFormat="1" applyFont="1" applyFill="1" applyBorder="1" applyAlignment="1">
      <alignment horizontal="center"/>
    </xf>
    <xf numFmtId="168" fontId="27" fillId="10" borderId="4" xfId="0" applyNumberFormat="1" applyFont="1" applyFill="1" applyBorder="1" applyAlignment="1">
      <alignment horizontal="center"/>
    </xf>
    <xf numFmtId="0" fontId="27" fillId="10" borderId="4" xfId="0" applyFont="1" applyFill="1" applyBorder="1" applyAlignment="1">
      <alignment horizontal="left" vertical="center" wrapText="1"/>
    </xf>
    <xf numFmtId="10" fontId="27" fillId="10" borderId="4" xfId="1" applyNumberFormat="1" applyFont="1" applyFill="1" applyBorder="1" applyAlignment="1">
      <alignment horizontal="center" vertical="center"/>
    </xf>
    <xf numFmtId="10" fontId="27" fillId="10" borderId="4" xfId="1" applyNumberFormat="1" applyFont="1" applyFill="1" applyBorder="1" applyAlignment="1">
      <alignment horizontal="center"/>
    </xf>
    <xf numFmtId="10" fontId="27" fillId="10" borderId="4" xfId="1" applyNumberFormat="1" applyFont="1" applyFill="1" applyBorder="1" applyAlignment="1">
      <alignment horizontal="center" wrapText="1"/>
    </xf>
    <xf numFmtId="10" fontId="27" fillId="10" borderId="4" xfId="1" applyNumberFormat="1" applyFont="1" applyFill="1" applyBorder="1" applyAlignment="1">
      <alignment horizontal="center" vertical="center" wrapText="1"/>
    </xf>
    <xf numFmtId="0" fontId="26" fillId="11" borderId="4" xfId="0" applyFont="1" applyFill="1" applyBorder="1" applyAlignment="1">
      <alignment horizontal="left" vertical="center"/>
    </xf>
    <xf numFmtId="0" fontId="27" fillId="11" borderId="4" xfId="0" applyFont="1" applyFill="1" applyBorder="1"/>
    <xf numFmtId="168" fontId="27" fillId="11" borderId="4" xfId="0" applyNumberFormat="1" applyFont="1" applyFill="1" applyBorder="1" applyAlignment="1">
      <alignment horizontal="center"/>
    </xf>
    <xf numFmtId="0" fontId="23" fillId="0" borderId="6" xfId="0" applyFont="1" applyBorder="1"/>
    <xf numFmtId="0" fontId="28" fillId="0" borderId="0" xfId="0" applyFont="1"/>
    <xf numFmtId="0" fontId="28" fillId="0" borderId="12" xfId="0" applyFont="1" applyBorder="1"/>
    <xf numFmtId="0" fontId="28" fillId="0" borderId="0" xfId="0" applyFont="1" applyBorder="1"/>
    <xf numFmtId="168" fontId="28" fillId="0" borderId="0" xfId="0" applyNumberFormat="1" applyFont="1" applyBorder="1" applyAlignment="1">
      <alignment horizontal="center"/>
    </xf>
    <xf numFmtId="0" fontId="23" fillId="0" borderId="0" xfId="0" applyFont="1" applyAlignment="1">
      <alignment horizontal="left" wrapText="1"/>
    </xf>
    <xf numFmtId="10" fontId="3" fillId="7" borderId="0" xfId="0" applyNumberFormat="1" applyFont="1" applyFill="1" applyBorder="1" applyAlignment="1">
      <alignment horizontal="center" vertical="center"/>
    </xf>
    <xf numFmtId="168" fontId="9" fillId="9" borderId="10" xfId="0" applyNumberFormat="1" applyFont="1" applyFill="1" applyBorder="1" applyAlignment="1"/>
    <xf numFmtId="0" fontId="15" fillId="2" borderId="13" xfId="0" applyFont="1" applyFill="1" applyBorder="1" applyAlignment="1">
      <alignment horizontal="center" vertical="center"/>
    </xf>
    <xf numFmtId="0" fontId="22" fillId="2" borderId="13" xfId="0" applyFont="1" applyFill="1" applyBorder="1" applyAlignment="1">
      <alignment horizontal="center" vertical="center"/>
    </xf>
    <xf numFmtId="0" fontId="9" fillId="11" borderId="4" xfId="0" applyFont="1" applyFill="1" applyBorder="1" applyAlignment="1">
      <alignment horizontal="left"/>
    </xf>
    <xf numFmtId="0" fontId="9" fillId="11" borderId="4" xfId="0" applyFont="1" applyFill="1" applyBorder="1" applyAlignment="1">
      <alignment horizontal="center"/>
    </xf>
    <xf numFmtId="0" fontId="9" fillId="11" borderId="4" xfId="0" applyFont="1" applyFill="1" applyBorder="1" applyAlignment="1">
      <alignment horizontal="right"/>
    </xf>
    <xf numFmtId="0" fontId="3" fillId="4" borderId="4" xfId="0" quotePrefix="1" applyFont="1" applyFill="1" applyBorder="1"/>
    <xf numFmtId="0" fontId="9" fillId="11" borderId="4" xfId="0" applyFont="1" applyFill="1" applyBorder="1"/>
    <xf numFmtId="166" fontId="8" fillId="11" borderId="4" xfId="2" applyNumberFormat="1" applyFont="1" applyFill="1" applyBorder="1"/>
    <xf numFmtId="166" fontId="9" fillId="5" borderId="4" xfId="2" applyNumberFormat="1" applyFont="1" applyFill="1" applyBorder="1"/>
    <xf numFmtId="0" fontId="6" fillId="10" borderId="4" xfId="0" applyFont="1" applyFill="1" applyBorder="1" applyAlignment="1">
      <alignment horizontal="left" vertical="center"/>
    </xf>
    <xf numFmtId="168" fontId="2" fillId="7" borderId="4" xfId="0" applyNumberFormat="1" applyFont="1" applyFill="1" applyBorder="1" applyAlignment="1">
      <alignment horizontal="left"/>
    </xf>
    <xf numFmtId="0" fontId="3" fillId="7" borderId="1" xfId="0" applyFont="1" applyFill="1" applyBorder="1" applyAlignment="1">
      <alignment horizontal="left" wrapText="1"/>
    </xf>
    <xf numFmtId="0" fontId="3" fillId="7" borderId="0" xfId="0" applyFont="1" applyFill="1" applyBorder="1" applyAlignment="1">
      <alignment horizontal="left" wrapText="1"/>
    </xf>
    <xf numFmtId="0" fontId="11" fillId="7" borderId="0" xfId="0" quotePrefix="1" applyFont="1" applyFill="1" applyBorder="1" applyAlignment="1">
      <alignment horizontal="left" vertical="top" wrapText="1"/>
    </xf>
    <xf numFmtId="0" fontId="3" fillId="7" borderId="0" xfId="0" quotePrefix="1" applyFont="1" applyFill="1" applyBorder="1" applyAlignment="1">
      <alignment horizontal="left" vertical="top" wrapText="1"/>
    </xf>
    <xf numFmtId="0" fontId="3" fillId="7" borderId="0" xfId="0" applyFont="1" applyFill="1" applyBorder="1" applyAlignment="1">
      <alignment horizontal="left" vertical="top" wrapText="1"/>
    </xf>
    <xf numFmtId="0" fontId="8" fillId="7" borderId="10" xfId="0" applyNumberFormat="1" applyFont="1" applyFill="1" applyBorder="1" applyAlignment="1">
      <alignment horizontal="left" wrapText="1"/>
    </xf>
    <xf numFmtId="0" fontId="8" fillId="7" borderId="1" xfId="0" applyNumberFormat="1" applyFont="1" applyFill="1" applyBorder="1" applyAlignment="1">
      <alignment horizontal="left" wrapText="1"/>
    </xf>
    <xf numFmtId="0" fontId="3" fillId="7" borderId="1" xfId="0" applyFont="1" applyFill="1" applyBorder="1" applyAlignment="1">
      <alignment horizontal="left" vertical="top" wrapText="1"/>
    </xf>
    <xf numFmtId="0" fontId="3" fillId="2" borderId="5" xfId="0" applyFont="1" applyFill="1" applyBorder="1" applyAlignment="1">
      <alignment horizontal="center"/>
    </xf>
    <xf numFmtId="0" fontId="3" fillId="2" borderId="3" xfId="0" applyFont="1" applyFill="1" applyBorder="1" applyAlignment="1">
      <alignment horizontal="center"/>
    </xf>
    <xf numFmtId="168" fontId="6" fillId="7" borderId="4" xfId="0" applyNumberFormat="1" applyFont="1" applyFill="1" applyBorder="1" applyAlignment="1">
      <alignment horizontal="left"/>
    </xf>
    <xf numFmtId="0" fontId="9" fillId="9" borderId="9" xfId="0" applyFont="1" applyFill="1" applyBorder="1" applyAlignment="1">
      <alignment horizontal="left" vertical="center"/>
    </xf>
    <xf numFmtId="0" fontId="9" fillId="9" borderId="7" xfId="0" applyFont="1" applyFill="1" applyBorder="1" applyAlignment="1">
      <alignment horizontal="left" vertical="center"/>
    </xf>
    <xf numFmtId="0" fontId="9" fillId="9" borderId="13" xfId="0" applyFont="1" applyFill="1" applyBorder="1" applyAlignment="1">
      <alignment horizontal="left" vertical="center"/>
    </xf>
    <xf numFmtId="0" fontId="13" fillId="10" borderId="0" xfId="0" applyFont="1" applyFill="1" applyAlignment="1">
      <alignment horizontal="center"/>
    </xf>
    <xf numFmtId="0" fontId="3" fillId="4" borderId="1" xfId="0" applyFont="1" applyFill="1" applyBorder="1" applyAlignment="1">
      <alignment horizontal="left" vertical="top" wrapText="1"/>
    </xf>
    <xf numFmtId="0" fontId="8" fillId="4" borderId="8" xfId="0" applyFont="1" applyFill="1" applyBorder="1" applyAlignment="1">
      <alignment horizontal="left"/>
    </xf>
    <xf numFmtId="0" fontId="8" fillId="4" borderId="0" xfId="0" applyFont="1" applyFill="1" applyBorder="1" applyAlignment="1">
      <alignment horizontal="left"/>
    </xf>
    <xf numFmtId="0" fontId="7" fillId="8" borderId="12" xfId="0" applyFont="1" applyFill="1" applyBorder="1" applyAlignment="1">
      <alignment horizontal="left"/>
    </xf>
    <xf numFmtId="49" fontId="3" fillId="10" borderId="1" xfId="0" applyNumberFormat="1" applyFont="1" applyFill="1" applyBorder="1" applyAlignment="1">
      <alignment horizontal="left" vertical="top" wrapText="1"/>
    </xf>
    <xf numFmtId="0" fontId="3" fillId="10" borderId="1" xfId="0" applyFont="1" applyFill="1" applyBorder="1" applyAlignment="1">
      <alignment horizontal="left" vertical="top" wrapText="1"/>
    </xf>
    <xf numFmtId="0" fontId="11" fillId="4" borderId="1" xfId="0" applyFont="1" applyFill="1" applyBorder="1" applyAlignment="1">
      <alignment horizontal="left" vertical="top" wrapText="1"/>
    </xf>
    <xf numFmtId="0" fontId="3" fillId="4" borderId="0" xfId="0" applyFont="1" applyFill="1" applyBorder="1" applyAlignment="1">
      <alignment horizontal="left" vertical="top" wrapText="1"/>
    </xf>
    <xf numFmtId="0" fontId="11" fillId="4" borderId="10" xfId="0" applyFont="1" applyFill="1" applyBorder="1" applyAlignment="1">
      <alignment horizontal="left" vertical="top" wrapText="1"/>
    </xf>
    <xf numFmtId="0" fontId="11" fillId="4" borderId="8" xfId="0" applyFont="1" applyFill="1" applyBorder="1" applyAlignment="1">
      <alignment horizontal="left" vertical="top" wrapText="1"/>
    </xf>
    <xf numFmtId="0" fontId="11" fillId="4" borderId="0" xfId="0" applyFont="1" applyFill="1" applyBorder="1" applyAlignment="1">
      <alignment horizontal="left" vertical="top" wrapText="1"/>
    </xf>
    <xf numFmtId="0" fontId="3" fillId="4" borderId="10" xfId="0" quotePrefix="1" applyFont="1" applyFill="1" applyBorder="1" applyAlignment="1">
      <alignment horizontal="left" vertical="top" wrapText="1"/>
    </xf>
    <xf numFmtId="0" fontId="3" fillId="4" borderId="1" xfId="0" quotePrefix="1" applyFont="1" applyFill="1" applyBorder="1" applyAlignment="1">
      <alignment horizontal="left" vertical="top" wrapText="1"/>
    </xf>
    <xf numFmtId="0" fontId="3" fillId="4" borderId="8" xfId="0" quotePrefix="1" applyFont="1" applyFill="1" applyBorder="1" applyAlignment="1">
      <alignment horizontal="left" vertical="top" wrapText="1"/>
    </xf>
    <xf numFmtId="0" fontId="3" fillId="4" borderId="0" xfId="0" quotePrefix="1" applyFont="1" applyFill="1" applyBorder="1" applyAlignment="1">
      <alignment horizontal="left" vertical="top" wrapText="1"/>
    </xf>
    <xf numFmtId="0" fontId="24" fillId="12" borderId="0" xfId="0" applyFont="1" applyFill="1" applyBorder="1" applyAlignment="1">
      <alignment horizontal="center"/>
    </xf>
    <xf numFmtId="2" fontId="24" fillId="13" borderId="0" xfId="0" applyNumberFormat="1" applyFont="1" applyFill="1" applyAlignment="1">
      <alignment horizontal="center"/>
    </xf>
    <xf numFmtId="0" fontId="0" fillId="0" borderId="6" xfId="0" applyFont="1" applyFill="1" applyBorder="1" applyAlignment="1">
      <alignment horizontal="center" textRotation="90"/>
    </xf>
    <xf numFmtId="0" fontId="4" fillId="0" borderId="6" xfId="0" applyFont="1" applyFill="1" applyBorder="1" applyAlignment="1">
      <alignment horizontal="center" textRotation="90"/>
    </xf>
    <xf numFmtId="0" fontId="5" fillId="0" borderId="6" xfId="0" applyFont="1" applyFill="1" applyBorder="1" applyAlignment="1">
      <alignment horizontal="center" textRotation="90"/>
    </xf>
    <xf numFmtId="0" fontId="8" fillId="4" borderId="5" xfId="0" applyFont="1" applyFill="1" applyBorder="1" applyAlignment="1">
      <alignment horizontal="center"/>
    </xf>
    <xf numFmtId="0" fontId="8" fillId="4" borderId="2" xfId="0" applyFont="1" applyFill="1" applyBorder="1" applyAlignment="1">
      <alignment horizontal="center"/>
    </xf>
    <xf numFmtId="10" fontId="18" fillId="14" borderId="12" xfId="0" applyNumberFormat="1" applyFont="1" applyFill="1" applyBorder="1" applyAlignment="1">
      <alignment horizontal="center"/>
    </xf>
    <xf numFmtId="10" fontId="18" fillId="14" borderId="0" xfId="0" applyNumberFormat="1" applyFont="1" applyFill="1" applyBorder="1" applyAlignment="1">
      <alignment horizontal="center"/>
    </xf>
    <xf numFmtId="0" fontId="6" fillId="4" borderId="1" xfId="0" applyFont="1" applyFill="1" applyBorder="1" applyAlignment="1">
      <alignment horizontal="left" vertical="top"/>
    </xf>
    <xf numFmtId="0" fontId="6" fillId="4" borderId="0" xfId="0" applyFont="1" applyFill="1" applyBorder="1" applyAlignment="1">
      <alignment horizontal="left" vertical="top"/>
    </xf>
    <xf numFmtId="0" fontId="1" fillId="4" borderId="4" xfId="0" applyFont="1" applyFill="1" applyBorder="1"/>
    <xf numFmtId="0" fontId="1" fillId="4" borderId="5" xfId="0" applyFont="1" applyFill="1" applyBorder="1"/>
    <xf numFmtId="0" fontId="1" fillId="4" borderId="1" xfId="0" quotePrefix="1"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A6A6A6"/>
      <color rgb="FFD9D9D9"/>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row>
        <row r="21">
          <cell r="B21" t="str">
            <v>R1b</v>
          </cell>
          <cell r="C21" t="str">
            <v>AO23</v>
          </cell>
          <cell r="D21">
            <v>40</v>
          </cell>
          <cell r="E21">
            <v>62.63</v>
          </cell>
          <cell r="F21">
            <v>63.882600000000004</v>
          </cell>
          <cell r="G21">
            <v>64.505455350000005</v>
          </cell>
          <cell r="H21">
            <v>100.75107071116501</v>
          </cell>
        </row>
        <row r="22">
          <cell r="B22" t="str">
            <v>R2a</v>
          </cell>
          <cell r="C22" t="str">
            <v>TO16</v>
          </cell>
          <cell r="D22">
            <v>40</v>
          </cell>
          <cell r="E22">
            <v>64.19</v>
          </cell>
          <cell r="F22">
            <v>65.473799999999997</v>
          </cell>
          <cell r="G22">
            <v>66.11216954999999</v>
          </cell>
          <cell r="H22">
            <v>103.26059762014499</v>
          </cell>
        </row>
        <row r="23">
          <cell r="B23" t="str">
            <v>R2b</v>
          </cell>
          <cell r="C23" t="str">
            <v>TO16</v>
          </cell>
          <cell r="D23">
            <v>40</v>
          </cell>
          <cell r="E23">
            <v>64.19</v>
          </cell>
          <cell r="F23">
            <v>65.473799999999997</v>
          </cell>
          <cell r="G23">
            <v>66.11216954999999</v>
          </cell>
          <cell r="H23">
            <v>103.26059762014499</v>
          </cell>
        </row>
        <row r="24">
          <cell r="B24" t="str">
            <v>R3</v>
          </cell>
          <cell r="C24" t="str">
            <v>EAMS8</v>
          </cell>
          <cell r="D24">
            <v>44</v>
          </cell>
          <cell r="E24">
            <v>73.73</v>
          </cell>
          <cell r="F24">
            <v>75.204599999999999</v>
          </cell>
          <cell r="G24">
            <v>75.937844849999991</v>
          </cell>
          <cell r="H24">
            <v>118.60731987121498</v>
          </cell>
        </row>
        <row r="25">
          <cell r="B25" t="str">
            <v>R4</v>
          </cell>
          <cell r="C25" t="str">
            <v>TO8</v>
          </cell>
          <cell r="D25">
            <v>32</v>
          </cell>
          <cell r="E25">
            <v>49.63</v>
          </cell>
          <cell r="F25">
            <v>50.622600000000006</v>
          </cell>
          <cell r="G25">
            <v>51.116170350000004</v>
          </cell>
          <cell r="H25">
            <v>79.838346469665012</v>
          </cell>
        </row>
        <row r="38">
          <cell r="G38">
            <v>0.1031</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8"/>
  <sheetViews>
    <sheetView showGridLines="0" tabSelected="1" zoomScale="90" zoomScaleNormal="90" workbookViewId="0">
      <selection activeCell="C11" sqref="C11"/>
    </sheetView>
  </sheetViews>
  <sheetFormatPr defaultColWidth="9.140625" defaultRowHeight="12.75" x14ac:dyDescent="0.2"/>
  <cols>
    <col min="1" max="1" width="2.42578125" style="1" customWidth="1"/>
    <col min="2" max="2" width="41.85546875" style="1" customWidth="1"/>
    <col min="3" max="3" width="28.28515625" style="1" customWidth="1"/>
    <col min="4" max="4" width="18" style="1" customWidth="1"/>
    <col min="5" max="5" width="13.85546875" style="1" customWidth="1"/>
    <col min="6" max="6" width="14" style="1" customWidth="1"/>
    <col min="7" max="7" width="12.85546875" style="1" customWidth="1"/>
    <col min="8" max="8" width="13.28515625" style="1" customWidth="1"/>
    <col min="9" max="9" width="11.5703125" style="1" customWidth="1"/>
    <col min="10" max="16384" width="9.140625" style="1"/>
  </cols>
  <sheetData>
    <row r="2" spans="2:19" x14ac:dyDescent="0.2">
      <c r="B2" s="46" t="s">
        <v>7</v>
      </c>
      <c r="C2" s="31"/>
      <c r="D2" s="31"/>
      <c r="E2" s="31"/>
      <c r="F2" s="31"/>
      <c r="G2" s="31"/>
      <c r="H2" s="31"/>
      <c r="O2" s="41"/>
      <c r="P2" s="41"/>
      <c r="Q2" s="41"/>
      <c r="R2" s="41"/>
      <c r="S2" s="41"/>
    </row>
    <row r="3" spans="2:19" ht="75.75" customHeight="1" x14ac:dyDescent="0.2">
      <c r="B3" s="47" t="s">
        <v>52</v>
      </c>
      <c r="C3" s="203" t="s">
        <v>158</v>
      </c>
      <c r="D3" s="204"/>
      <c r="E3" s="204"/>
      <c r="F3" s="204"/>
      <c r="G3" s="204"/>
      <c r="H3" s="204"/>
      <c r="M3" s="48"/>
      <c r="N3" s="48"/>
      <c r="O3" s="41"/>
      <c r="P3" s="41"/>
      <c r="Q3" s="41"/>
      <c r="R3" s="41"/>
      <c r="S3" s="41"/>
    </row>
    <row r="4" spans="2:19" ht="55.5" customHeight="1" x14ac:dyDescent="0.2">
      <c r="B4" s="90"/>
      <c r="C4" s="206"/>
      <c r="D4" s="207"/>
      <c r="E4" s="87"/>
      <c r="F4" s="87"/>
      <c r="G4" s="87"/>
      <c r="H4" s="87"/>
      <c r="M4" s="48"/>
      <c r="N4" s="48"/>
      <c r="O4" s="41"/>
      <c r="P4" s="41"/>
      <c r="Q4" s="41"/>
      <c r="R4" s="41"/>
      <c r="S4" s="41"/>
    </row>
    <row r="5" spans="2:19" x14ac:dyDescent="0.2">
      <c r="B5" s="91" t="s">
        <v>13</v>
      </c>
      <c r="C5" s="187"/>
      <c r="D5" s="188" t="s">
        <v>157</v>
      </c>
      <c r="E5" s="88"/>
      <c r="F5" s="88"/>
      <c r="G5" s="88"/>
      <c r="H5" s="88"/>
      <c r="M5" s="48"/>
      <c r="N5" s="48"/>
      <c r="O5" s="41"/>
      <c r="P5" s="41"/>
      <c r="Q5" s="41"/>
      <c r="R5" s="41"/>
      <c r="S5" s="41"/>
    </row>
    <row r="6" spans="2:19" x14ac:dyDescent="0.2">
      <c r="B6" s="95" t="s">
        <v>39</v>
      </c>
      <c r="C6" s="49"/>
      <c r="D6" s="49" t="s">
        <v>69</v>
      </c>
      <c r="E6" s="89"/>
      <c r="F6" s="89"/>
      <c r="G6" s="89"/>
      <c r="H6" s="89"/>
      <c r="M6" s="48"/>
      <c r="N6" s="48"/>
      <c r="O6" s="41"/>
      <c r="P6" s="41"/>
      <c r="Q6" s="41"/>
      <c r="R6" s="41"/>
      <c r="S6" s="41"/>
    </row>
    <row r="7" spans="2:19" x14ac:dyDescent="0.2">
      <c r="B7" s="209" t="s">
        <v>151</v>
      </c>
      <c r="C7" s="97" t="s">
        <v>76</v>
      </c>
      <c r="D7" s="96">
        <f>'Proposed Fee'!Q7</f>
        <v>127.53179550063933</v>
      </c>
      <c r="E7" s="89"/>
      <c r="F7" s="89"/>
      <c r="G7" s="89"/>
      <c r="H7" s="89"/>
      <c r="O7" s="41"/>
      <c r="P7" s="41"/>
      <c r="Q7" s="41"/>
      <c r="R7" s="41"/>
      <c r="S7" s="41"/>
    </row>
    <row r="8" spans="2:19" x14ac:dyDescent="0.2">
      <c r="B8" s="210"/>
      <c r="C8" s="97" t="s">
        <v>82</v>
      </c>
      <c r="D8" s="96">
        <f>'Proposed Fee'!Q8</f>
        <v>174.24337592070339</v>
      </c>
      <c r="E8" s="89"/>
      <c r="F8" s="89"/>
      <c r="G8" s="89"/>
      <c r="H8" s="89"/>
      <c r="O8" s="41"/>
      <c r="P8" s="41"/>
      <c r="Q8" s="41"/>
      <c r="R8" s="41"/>
      <c r="S8" s="41"/>
    </row>
    <row r="9" spans="2:19" x14ac:dyDescent="0.2">
      <c r="B9" s="210"/>
      <c r="C9" s="197" t="s">
        <v>164</v>
      </c>
      <c r="D9" s="96">
        <f>'Proposed Fee'!Q9</f>
        <v>178.58346320213872</v>
      </c>
      <c r="E9" s="89"/>
      <c r="F9" s="89"/>
      <c r="G9" s="89"/>
      <c r="H9" s="89"/>
      <c r="O9" s="41"/>
      <c r="P9" s="41"/>
      <c r="Q9" s="41"/>
      <c r="R9" s="41"/>
      <c r="S9" s="41"/>
    </row>
    <row r="10" spans="2:19" x14ac:dyDescent="0.2">
      <c r="B10" s="210"/>
      <c r="C10" s="197" t="s">
        <v>165</v>
      </c>
      <c r="D10" s="96">
        <f>'Proposed Fee'!Q10</f>
        <v>172.20213351936337</v>
      </c>
      <c r="E10" s="89"/>
      <c r="F10" s="89"/>
      <c r="G10" s="89"/>
      <c r="H10" s="89"/>
      <c r="O10" s="41"/>
      <c r="P10" s="41"/>
      <c r="Q10" s="41"/>
      <c r="R10" s="41"/>
      <c r="S10" s="41"/>
    </row>
    <row r="11" spans="2:19" x14ac:dyDescent="0.2">
      <c r="B11" s="210"/>
      <c r="C11" s="97" t="s">
        <v>79</v>
      </c>
      <c r="D11" s="96">
        <f>'Proposed Fee'!Q11</f>
        <v>212.70961481276012</v>
      </c>
      <c r="E11" s="89"/>
      <c r="F11" s="89"/>
      <c r="G11" s="89"/>
      <c r="H11" s="89"/>
      <c r="O11" s="41"/>
      <c r="P11" s="41"/>
      <c r="Q11" s="41"/>
      <c r="R11" s="41"/>
      <c r="S11" s="41"/>
    </row>
    <row r="12" spans="2:19" x14ac:dyDescent="0.2">
      <c r="B12" s="210"/>
      <c r="C12" s="97" t="s">
        <v>72</v>
      </c>
      <c r="D12" s="96">
        <f>'Proposed Fee'!Q12</f>
        <v>239.25091780307636</v>
      </c>
      <c r="E12" s="89"/>
      <c r="F12" s="89"/>
      <c r="G12" s="89"/>
      <c r="H12" s="89"/>
      <c r="O12" s="41"/>
      <c r="P12" s="41"/>
      <c r="Q12" s="41"/>
      <c r="R12" s="41"/>
      <c r="S12" s="41"/>
    </row>
    <row r="13" spans="2:19" ht="38.25" x14ac:dyDescent="0.2">
      <c r="B13" s="210"/>
      <c r="C13" s="137" t="s">
        <v>147</v>
      </c>
      <c r="D13" s="138">
        <f>(1+D15)*(1+D16)*(1+D17)-1</f>
        <v>0.71961782154044762</v>
      </c>
      <c r="E13" s="89"/>
      <c r="F13" s="89"/>
      <c r="G13" s="89"/>
      <c r="H13" s="89"/>
      <c r="O13" s="41"/>
      <c r="P13" s="41"/>
      <c r="Q13" s="41"/>
      <c r="R13" s="41"/>
      <c r="S13" s="41"/>
    </row>
    <row r="14" spans="2:19" ht="44.25" customHeight="1" x14ac:dyDescent="0.2">
      <c r="B14" s="210"/>
      <c r="C14" s="137" t="s">
        <v>148</v>
      </c>
      <c r="D14" s="138">
        <f>(1+D16)*(1+D17)-1</f>
        <v>0.55889567721915312</v>
      </c>
      <c r="E14" s="89"/>
      <c r="F14" s="89"/>
      <c r="G14" s="89"/>
      <c r="H14" s="89"/>
      <c r="O14" s="41"/>
      <c r="P14" s="41"/>
      <c r="Q14" s="41"/>
      <c r="R14" s="41"/>
      <c r="S14" s="41"/>
    </row>
    <row r="15" spans="2:19" x14ac:dyDescent="0.2">
      <c r="B15" s="210"/>
      <c r="C15" s="151" t="s">
        <v>149</v>
      </c>
      <c r="D15" s="98">
        <f>'Proposed Fee'!K13</f>
        <v>0.1031</v>
      </c>
      <c r="E15" s="89"/>
      <c r="F15" s="89"/>
      <c r="G15" s="89"/>
      <c r="H15" s="89"/>
      <c r="O15" s="41"/>
      <c r="P15" s="41"/>
      <c r="Q15" s="41"/>
      <c r="R15" s="41"/>
      <c r="S15" s="41"/>
    </row>
    <row r="16" spans="2:19" x14ac:dyDescent="0.2">
      <c r="B16" s="210"/>
      <c r="C16" s="151" t="s">
        <v>144</v>
      </c>
      <c r="D16" s="98">
        <f>'Proposed Fee'!N13</f>
        <v>0.46592661151676018</v>
      </c>
      <c r="E16" s="185"/>
      <c r="F16" s="89"/>
      <c r="G16" s="89"/>
      <c r="H16" s="89"/>
      <c r="O16" s="41"/>
      <c r="P16" s="41"/>
      <c r="Q16" s="41"/>
      <c r="R16" s="41"/>
      <c r="S16" s="41"/>
    </row>
    <row r="17" spans="2:19" x14ac:dyDescent="0.2">
      <c r="B17" s="211"/>
      <c r="C17" s="151" t="s">
        <v>143</v>
      </c>
      <c r="D17" s="98">
        <f>'Proposed Fee'!P13</f>
        <v>6.3420000000000004E-2</v>
      </c>
      <c r="E17" s="89"/>
      <c r="F17" s="89"/>
      <c r="G17" s="89"/>
      <c r="H17" s="89"/>
      <c r="O17" s="41"/>
      <c r="P17" s="41"/>
      <c r="Q17" s="41"/>
      <c r="R17" s="41"/>
      <c r="S17" s="41"/>
    </row>
    <row r="18" spans="2:19" x14ac:dyDescent="0.2">
      <c r="B18" s="95" t="s">
        <v>45</v>
      </c>
      <c r="C18" s="208" t="s">
        <v>70</v>
      </c>
      <c r="D18" s="208"/>
      <c r="E18" s="43"/>
      <c r="F18" s="43"/>
      <c r="G18" s="43"/>
      <c r="H18" s="43"/>
      <c r="O18" s="41"/>
      <c r="P18" s="41"/>
      <c r="Q18" s="41"/>
      <c r="R18" s="41"/>
      <c r="S18" s="41"/>
    </row>
    <row r="19" spans="2:19" x14ac:dyDescent="0.2">
      <c r="B19" s="46" t="s">
        <v>5</v>
      </c>
      <c r="C19" s="50"/>
      <c r="D19" s="50"/>
      <c r="E19" s="50"/>
      <c r="F19" s="50"/>
      <c r="G19" s="50"/>
      <c r="H19" s="92"/>
      <c r="O19" s="41"/>
      <c r="P19" s="41"/>
      <c r="Q19" s="41"/>
      <c r="R19" s="41"/>
      <c r="S19" s="41"/>
    </row>
    <row r="20" spans="2:19" ht="111.75" customHeight="1" x14ac:dyDescent="0.2">
      <c r="B20" s="205" t="s">
        <v>161</v>
      </c>
      <c r="C20" s="205"/>
      <c r="D20" s="205"/>
      <c r="E20" s="205"/>
      <c r="F20" s="205"/>
      <c r="G20" s="205"/>
      <c r="H20" s="205"/>
      <c r="O20" s="41"/>
      <c r="P20" s="41"/>
      <c r="Q20" s="41"/>
      <c r="R20" s="41"/>
      <c r="S20" s="41"/>
    </row>
    <row r="21" spans="2:19" x14ac:dyDescent="0.2">
      <c r="B21" s="51"/>
      <c r="C21" s="51"/>
      <c r="D21" s="51"/>
      <c r="E21" s="51"/>
      <c r="F21" s="51"/>
      <c r="G21" s="51"/>
      <c r="H21" s="51"/>
      <c r="O21" s="41"/>
      <c r="P21" s="41"/>
      <c r="Q21" s="41"/>
      <c r="R21" s="41"/>
      <c r="S21" s="41"/>
    </row>
    <row r="22" spans="2:19" x14ac:dyDescent="0.2">
      <c r="O22" s="41"/>
      <c r="P22" s="41"/>
      <c r="Q22" s="41"/>
      <c r="R22" s="41"/>
      <c r="S22" s="41"/>
    </row>
    <row r="23" spans="2:19" x14ac:dyDescent="0.2">
      <c r="B23" s="30" t="s">
        <v>32</v>
      </c>
      <c r="C23" s="31"/>
      <c r="D23" s="31"/>
      <c r="E23" s="31"/>
      <c r="F23" s="31"/>
      <c r="G23" s="31"/>
      <c r="H23" s="31"/>
      <c r="O23" s="41"/>
      <c r="P23" s="41"/>
      <c r="Q23" s="41"/>
      <c r="R23" s="41"/>
      <c r="S23" s="41"/>
    </row>
    <row r="24" spans="2:19" x14ac:dyDescent="0.2">
      <c r="B24" s="199"/>
      <c r="C24" s="199"/>
      <c r="D24" s="199"/>
      <c r="E24" s="199"/>
      <c r="F24" s="199"/>
      <c r="G24" s="199"/>
      <c r="H24" s="199"/>
    </row>
    <row r="25" spans="2:19" ht="132.75" customHeight="1" x14ac:dyDescent="0.2">
      <c r="B25" s="201" t="s">
        <v>160</v>
      </c>
      <c r="C25" s="201"/>
      <c r="D25" s="201"/>
      <c r="E25" s="201"/>
      <c r="F25" s="201"/>
      <c r="G25" s="201"/>
      <c r="H25" s="201"/>
      <c r="I25" s="41"/>
    </row>
    <row r="26" spans="2:19" x14ac:dyDescent="0.2">
      <c r="B26" s="53"/>
      <c r="C26" s="53"/>
      <c r="D26" s="53"/>
      <c r="E26" s="53"/>
      <c r="F26" s="53"/>
      <c r="G26" s="53"/>
      <c r="H26" s="53"/>
    </row>
    <row r="27" spans="2:19" x14ac:dyDescent="0.2">
      <c r="B27" s="54"/>
      <c r="C27" s="54"/>
      <c r="D27" s="54"/>
      <c r="E27" s="54"/>
      <c r="F27" s="54"/>
      <c r="G27" s="54"/>
      <c r="H27" s="54"/>
    </row>
    <row r="28" spans="2:19" x14ac:dyDescent="0.2">
      <c r="B28" s="30" t="s">
        <v>40</v>
      </c>
      <c r="C28" s="31"/>
      <c r="D28" s="31"/>
      <c r="E28" s="31"/>
      <c r="F28" s="31"/>
      <c r="G28" s="31"/>
      <c r="H28" s="31"/>
    </row>
    <row r="29" spans="2:19" x14ac:dyDescent="0.2">
      <c r="B29" s="199"/>
      <c r="C29" s="199"/>
      <c r="D29" s="199"/>
      <c r="E29" s="199"/>
      <c r="F29" s="199"/>
      <c r="G29" s="199"/>
      <c r="H29" s="199"/>
    </row>
    <row r="30" spans="2:19" x14ac:dyDescent="0.2">
      <c r="B30" s="200" t="s">
        <v>68</v>
      </c>
      <c r="C30" s="200"/>
      <c r="D30" s="200"/>
      <c r="E30" s="200"/>
      <c r="F30" s="200"/>
      <c r="G30" s="200"/>
      <c r="H30" s="200"/>
    </row>
    <row r="31" spans="2:19" x14ac:dyDescent="0.2">
      <c r="B31" s="201"/>
      <c r="C31" s="201"/>
      <c r="D31" s="201"/>
      <c r="E31" s="201"/>
      <c r="F31" s="201"/>
      <c r="G31" s="201"/>
      <c r="H31" s="201"/>
    </row>
    <row r="32" spans="2:19" x14ac:dyDescent="0.2">
      <c r="B32" s="201"/>
      <c r="C32" s="202"/>
      <c r="D32" s="202"/>
      <c r="E32" s="202"/>
      <c r="F32" s="202"/>
      <c r="G32" s="202"/>
      <c r="H32" s="202"/>
    </row>
    <row r="33" spans="2:9" x14ac:dyDescent="0.2">
      <c r="B33" s="52"/>
      <c r="C33" s="52"/>
      <c r="D33" s="52"/>
      <c r="E33" s="52"/>
      <c r="F33" s="52"/>
      <c r="G33" s="52"/>
      <c r="H33" s="52"/>
    </row>
    <row r="34" spans="2:9" x14ac:dyDescent="0.2">
      <c r="B34" s="199"/>
      <c r="C34" s="199"/>
      <c r="D34" s="199"/>
      <c r="E34" s="199"/>
      <c r="F34" s="199"/>
      <c r="G34" s="199"/>
      <c r="H34" s="199"/>
    </row>
    <row r="35" spans="2:9" x14ac:dyDescent="0.2">
      <c r="B35" s="53"/>
      <c r="C35" s="53"/>
      <c r="D35" s="53"/>
      <c r="E35" s="53"/>
      <c r="F35" s="53"/>
      <c r="G35" s="53"/>
      <c r="H35" s="53"/>
    </row>
    <row r="36" spans="2:9" x14ac:dyDescent="0.2">
      <c r="B36" s="53"/>
      <c r="C36" s="53"/>
      <c r="D36" s="53"/>
      <c r="E36" s="53"/>
      <c r="F36" s="53"/>
      <c r="G36" s="53"/>
      <c r="H36" s="53"/>
    </row>
    <row r="37" spans="2:9" x14ac:dyDescent="0.2">
      <c r="B37" s="53"/>
      <c r="C37" s="53"/>
      <c r="D37" s="53"/>
      <c r="E37" s="53"/>
      <c r="F37" s="53"/>
      <c r="G37" s="53"/>
      <c r="H37" s="53"/>
    </row>
    <row r="38" spans="2:9" x14ac:dyDescent="0.2">
      <c r="B38" s="53"/>
      <c r="C38" s="53"/>
      <c r="D38" s="53"/>
      <c r="E38" s="53"/>
      <c r="F38" s="53"/>
      <c r="G38" s="53"/>
      <c r="H38" s="53"/>
    </row>
    <row r="39" spans="2:9" x14ac:dyDescent="0.2">
      <c r="B39" s="55"/>
      <c r="C39" s="55"/>
      <c r="D39" s="55"/>
      <c r="E39" s="55"/>
      <c r="F39" s="55"/>
      <c r="G39" s="55"/>
      <c r="H39" s="55"/>
      <c r="I39" s="41"/>
    </row>
    <row r="40" spans="2:9" x14ac:dyDescent="0.2">
      <c r="B40" s="30" t="s">
        <v>6</v>
      </c>
    </row>
    <row r="41" spans="2:9" x14ac:dyDescent="0.2">
      <c r="B41" s="56" t="s">
        <v>14</v>
      </c>
      <c r="C41" s="57" t="s">
        <v>29</v>
      </c>
      <c r="D41" s="57"/>
      <c r="E41" s="57"/>
      <c r="F41" s="57"/>
      <c r="G41" s="57"/>
      <c r="H41" s="57"/>
    </row>
    <row r="42" spans="2:9" x14ac:dyDescent="0.2">
      <c r="B42" s="58" t="s">
        <v>43</v>
      </c>
      <c r="C42" s="57" t="s">
        <v>49</v>
      </c>
      <c r="D42" s="57"/>
      <c r="E42" s="57"/>
      <c r="F42" s="57"/>
      <c r="G42" s="57"/>
      <c r="H42" s="57"/>
    </row>
    <row r="43" spans="2:9" x14ac:dyDescent="0.2">
      <c r="B43" s="58" t="s">
        <v>44</v>
      </c>
      <c r="C43" s="57" t="s">
        <v>50</v>
      </c>
      <c r="D43" s="57"/>
      <c r="E43" s="57"/>
      <c r="F43" s="57"/>
      <c r="G43" s="57"/>
      <c r="H43" s="57"/>
    </row>
    <row r="44" spans="2:9" x14ac:dyDescent="0.2">
      <c r="B44" s="58" t="s">
        <v>15</v>
      </c>
      <c r="C44" s="57" t="s">
        <v>30</v>
      </c>
      <c r="D44" s="57"/>
      <c r="E44" s="57"/>
      <c r="F44" s="57"/>
      <c r="G44" s="57"/>
      <c r="H44" s="57"/>
    </row>
    <row r="47" spans="2:9" x14ac:dyDescent="0.2">
      <c r="B47" s="30" t="s">
        <v>33</v>
      </c>
      <c r="C47" s="31"/>
      <c r="D47" s="31"/>
      <c r="E47" s="31"/>
      <c r="F47" s="31"/>
      <c r="G47" s="31"/>
      <c r="H47" s="31"/>
    </row>
    <row r="49" spans="2:9" x14ac:dyDescent="0.2">
      <c r="B49" s="45"/>
      <c r="C49" s="32" t="s">
        <v>34</v>
      </c>
      <c r="D49" s="32" t="s">
        <v>35</v>
      </c>
      <c r="E49" s="32" t="s">
        <v>36</v>
      </c>
      <c r="F49" s="32" t="s">
        <v>38</v>
      </c>
      <c r="G49" s="32" t="s">
        <v>37</v>
      </c>
      <c r="H49" s="33" t="s">
        <v>1</v>
      </c>
    </row>
    <row r="50" spans="2:9" x14ac:dyDescent="0.2">
      <c r="C50" s="59"/>
      <c r="D50" s="59"/>
      <c r="E50" s="59"/>
      <c r="F50" s="59"/>
      <c r="G50" s="59"/>
      <c r="H50" s="59"/>
    </row>
    <row r="51" spans="2:9" x14ac:dyDescent="0.2">
      <c r="B51" s="60" t="s">
        <v>152</v>
      </c>
      <c r="C51" s="61">
        <f>'Forecast Revenue - Costs'!D44</f>
        <v>32834.916991379388</v>
      </c>
      <c r="D51" s="61">
        <f>'Forecast Revenue - Costs'!E44</f>
        <v>32834.916991379388</v>
      </c>
      <c r="E51" s="61">
        <f>'Forecast Revenue - Costs'!F44</f>
        <v>33077.933866462619</v>
      </c>
      <c r="F51" s="61">
        <f>'Forecast Revenue - Costs'!G44</f>
        <v>33594.597728673893</v>
      </c>
      <c r="G51" s="61">
        <f>'Forecast Revenue - Costs'!H44</f>
        <v>34366.372747622292</v>
      </c>
      <c r="H51" s="61">
        <f>SUM(C51:G51)</f>
        <v>166708.73832551757</v>
      </c>
    </row>
    <row r="52" spans="2:9" x14ac:dyDescent="0.2">
      <c r="C52" s="62"/>
      <c r="D52" s="63"/>
      <c r="E52" s="62"/>
      <c r="F52" s="62"/>
      <c r="G52" s="62"/>
    </row>
    <row r="53" spans="2:9" x14ac:dyDescent="0.2">
      <c r="B53" s="60" t="s">
        <v>153</v>
      </c>
      <c r="C53" s="61">
        <f>SUM('Forecast Revenue - Costs'!D45:D47)</f>
        <v>22842.679857149516</v>
      </c>
      <c r="D53" s="61">
        <f>SUM('Forecast Revenue - Costs'!E45:E47)</f>
        <v>22842.679857149516</v>
      </c>
      <c r="E53" s="61">
        <f>SUM('Forecast Revenue - Costs'!F45:F47)</f>
        <v>23019.947157919811</v>
      </c>
      <c r="F53" s="61">
        <f>SUM('Forecast Revenue - Costs'!G45:G47)</f>
        <v>23396.824723431993</v>
      </c>
      <c r="G53" s="61">
        <f>SUM('Forecast Revenue - Costs'!H45:H47)</f>
        <v>23959.791695845193</v>
      </c>
      <c r="H53" s="61">
        <f>SUM(C53:G53)</f>
        <v>116061.92329149603</v>
      </c>
    </row>
    <row r="54" spans="2:9" x14ac:dyDescent="0.2">
      <c r="C54" s="62"/>
      <c r="D54" s="63"/>
      <c r="E54" s="62"/>
      <c r="F54" s="62"/>
      <c r="G54" s="62"/>
    </row>
    <row r="55" spans="2:9" x14ac:dyDescent="0.2">
      <c r="B55" s="60" t="s">
        <v>154</v>
      </c>
      <c r="C55" s="61">
        <f t="shared" ref="C55:H55" si="0">+C51+C53</f>
        <v>55677.596848528905</v>
      </c>
      <c r="D55" s="61">
        <f t="shared" si="0"/>
        <v>55677.596848528905</v>
      </c>
      <c r="E55" s="61">
        <f t="shared" si="0"/>
        <v>56097.881024382426</v>
      </c>
      <c r="F55" s="61">
        <f t="shared" si="0"/>
        <v>56991.422452105886</v>
      </c>
      <c r="G55" s="61">
        <f t="shared" si="0"/>
        <v>58326.164443467482</v>
      </c>
      <c r="H55" s="61">
        <f t="shared" si="0"/>
        <v>282770.66161701363</v>
      </c>
    </row>
    <row r="56" spans="2:9" x14ac:dyDescent="0.2">
      <c r="C56" s="140"/>
      <c r="D56" s="140"/>
      <c r="E56" s="140"/>
      <c r="F56" s="140"/>
      <c r="G56" s="140"/>
    </row>
    <row r="57" spans="2:9" x14ac:dyDescent="0.2">
      <c r="B57" s="64" t="s">
        <v>6</v>
      </c>
    </row>
    <row r="58" spans="2:9" ht="14.25" customHeight="1" x14ac:dyDescent="0.2">
      <c r="B58" s="198"/>
      <c r="C58" s="198"/>
      <c r="D58" s="198"/>
      <c r="E58" s="198"/>
      <c r="F58" s="198"/>
      <c r="G58" s="198"/>
      <c r="H58" s="198"/>
    </row>
    <row r="59" spans="2:9" x14ac:dyDescent="0.2">
      <c r="B59" s="199"/>
      <c r="C59" s="199"/>
      <c r="D59" s="199"/>
      <c r="E59" s="199"/>
      <c r="F59" s="199"/>
      <c r="G59" s="199"/>
      <c r="H59" s="199"/>
      <c r="I59" s="41"/>
    </row>
    <row r="60" spans="2:9" ht="27.75" customHeight="1" x14ac:dyDescent="0.2">
      <c r="B60" s="199"/>
      <c r="C60" s="199"/>
      <c r="D60" s="199"/>
      <c r="E60" s="199"/>
      <c r="F60" s="199"/>
      <c r="G60" s="199"/>
      <c r="H60" s="199"/>
    </row>
    <row r="63" spans="2:9" x14ac:dyDescent="0.2">
      <c r="B63" s="30" t="s">
        <v>74</v>
      </c>
      <c r="C63" s="31"/>
      <c r="D63" s="31"/>
      <c r="E63" s="31"/>
      <c r="F63" s="31"/>
      <c r="G63" s="31"/>
      <c r="H63" s="31"/>
    </row>
    <row r="64" spans="2:9" x14ac:dyDescent="0.2">
      <c r="B64" s="17"/>
    </row>
    <row r="65" spans="2:8" x14ac:dyDescent="0.2">
      <c r="B65" s="65"/>
      <c r="C65" s="66" t="s">
        <v>34</v>
      </c>
      <c r="D65" s="66" t="s">
        <v>35</v>
      </c>
      <c r="E65" s="66" t="s">
        <v>36</v>
      </c>
      <c r="F65" s="66" t="s">
        <v>38</v>
      </c>
      <c r="G65" s="66" t="s">
        <v>37</v>
      </c>
      <c r="H65" s="67" t="s">
        <v>1</v>
      </c>
    </row>
    <row r="66" spans="2:8" x14ac:dyDescent="0.2">
      <c r="C66" s="68"/>
      <c r="D66" s="68"/>
      <c r="E66" s="68"/>
      <c r="F66" s="68"/>
      <c r="G66" s="68"/>
      <c r="H66" s="68"/>
    </row>
    <row r="67" spans="2:8" x14ac:dyDescent="0.2">
      <c r="B67" s="65" t="s">
        <v>12</v>
      </c>
      <c r="C67" s="69">
        <f>'Forecast Revenue - Costs'!D26</f>
        <v>1</v>
      </c>
      <c r="D67" s="69">
        <f>'Forecast Revenue - Costs'!E26</f>
        <v>1</v>
      </c>
      <c r="E67" s="69">
        <f>'Forecast Revenue - Costs'!F26</f>
        <v>1</v>
      </c>
      <c r="F67" s="69">
        <f>'Forecast Revenue - Costs'!G26</f>
        <v>1</v>
      </c>
      <c r="G67" s="69">
        <f>'Forecast Revenue - Costs'!H26</f>
        <v>1</v>
      </c>
      <c r="H67" s="69">
        <f>SUM(C67:G67)</f>
        <v>5</v>
      </c>
    </row>
    <row r="68" spans="2:8" x14ac:dyDescent="0.2">
      <c r="C68" s="70"/>
      <c r="D68" s="70"/>
      <c r="E68" s="70"/>
      <c r="F68" s="70"/>
      <c r="G68" s="70"/>
      <c r="H68" s="71"/>
    </row>
  </sheetData>
  <mergeCells count="13">
    <mergeCell ref="C3:H3"/>
    <mergeCell ref="B24:H24"/>
    <mergeCell ref="B20:H20"/>
    <mergeCell ref="B25:H25"/>
    <mergeCell ref="C4:D4"/>
    <mergeCell ref="C18:D18"/>
    <mergeCell ref="B7:B17"/>
    <mergeCell ref="B58:H60"/>
    <mergeCell ref="B29:H29"/>
    <mergeCell ref="B30:H30"/>
    <mergeCell ref="B31:H31"/>
    <mergeCell ref="B32:H32"/>
    <mergeCell ref="B34:H34"/>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ColWidth="9.140625" defaultRowHeight="12.75" x14ac:dyDescent="0.2"/>
  <cols>
    <col min="1" max="1" width="2.28515625" style="1" customWidth="1"/>
    <col min="2" max="2" width="2.42578125" style="54" customWidth="1"/>
    <col min="3" max="3" width="10.140625" style="54" customWidth="1"/>
    <col min="4" max="9" width="13.140625" style="54" customWidth="1"/>
    <col min="10" max="11" width="9.140625" style="54"/>
    <col min="12" max="12" width="5.28515625" style="54" customWidth="1"/>
    <col min="13" max="13" width="2.42578125" style="1" customWidth="1"/>
    <col min="14" max="16384" width="9.140625" style="1"/>
  </cols>
  <sheetData>
    <row r="1" spans="2:14" ht="9" customHeight="1" x14ac:dyDescent="0.2"/>
    <row r="2" spans="2:14" ht="18" customHeight="1" x14ac:dyDescent="0.2">
      <c r="B2" s="44" t="s">
        <v>16</v>
      </c>
      <c r="C2" s="44"/>
      <c r="D2" s="44"/>
      <c r="E2" s="44"/>
      <c r="F2" s="44"/>
      <c r="G2" s="44"/>
      <c r="H2" s="44"/>
      <c r="I2" s="44"/>
      <c r="J2" s="44"/>
      <c r="K2" s="44"/>
    </row>
    <row r="3" spans="2:14" x14ac:dyDescent="0.2">
      <c r="B3" s="42" t="s">
        <v>0</v>
      </c>
      <c r="C3" s="45"/>
      <c r="D3" s="214" t="str">
        <f>'AER Summary'!C3</f>
        <v>Design &amp; Construction of Augmentation Services (NEW)</v>
      </c>
      <c r="E3" s="215"/>
      <c r="F3" s="215"/>
      <c r="G3" s="215"/>
      <c r="H3" s="215"/>
      <c r="I3" s="215"/>
      <c r="J3" s="215"/>
      <c r="K3" s="215"/>
      <c r="N3" s="40"/>
    </row>
    <row r="4" spans="2:14" x14ac:dyDescent="0.2">
      <c r="N4" s="40"/>
    </row>
    <row r="5" spans="2:14" x14ac:dyDescent="0.2">
      <c r="B5" s="216" t="s">
        <v>61</v>
      </c>
      <c r="C5" s="216"/>
      <c r="D5" s="216"/>
      <c r="E5" s="216"/>
      <c r="F5" s="216"/>
      <c r="G5" s="216"/>
      <c r="H5" s="216"/>
      <c r="I5" s="216"/>
      <c r="J5" s="216"/>
      <c r="K5" s="216"/>
      <c r="N5" s="40"/>
    </row>
    <row r="6" spans="2:14" ht="48.75" customHeight="1" x14ac:dyDescent="0.2">
      <c r="B6" s="217" t="s">
        <v>86</v>
      </c>
      <c r="C6" s="218"/>
      <c r="D6" s="218"/>
      <c r="E6" s="218"/>
      <c r="F6" s="218"/>
      <c r="G6" s="218"/>
      <c r="H6" s="218"/>
      <c r="I6" s="218"/>
      <c r="J6" s="218"/>
      <c r="K6" s="218"/>
      <c r="N6" s="40"/>
    </row>
    <row r="9" spans="2:14" x14ac:dyDescent="0.2">
      <c r="B9" s="216" t="s">
        <v>41</v>
      </c>
      <c r="C9" s="216"/>
      <c r="D9" s="216"/>
      <c r="E9" s="216"/>
      <c r="F9" s="216"/>
      <c r="G9" s="216"/>
      <c r="H9" s="216"/>
      <c r="I9" s="216"/>
      <c r="J9" s="216"/>
      <c r="K9" s="216"/>
    </row>
    <row r="10" spans="2:14" ht="15" customHeight="1" x14ac:dyDescent="0.2">
      <c r="B10" s="219" t="s">
        <v>159</v>
      </c>
      <c r="C10" s="213"/>
      <c r="D10" s="213"/>
      <c r="E10" s="213"/>
      <c r="F10" s="213"/>
      <c r="G10" s="213"/>
      <c r="H10" s="213"/>
      <c r="I10" s="213"/>
      <c r="J10" s="213"/>
      <c r="K10" s="213"/>
    </row>
    <row r="11" spans="2:14" ht="24.75" customHeight="1" x14ac:dyDescent="0.2">
      <c r="B11" s="220"/>
      <c r="C11" s="220"/>
      <c r="D11" s="220"/>
      <c r="E11" s="220"/>
      <c r="F11" s="220"/>
      <c r="G11" s="220"/>
      <c r="H11" s="220"/>
      <c r="I11" s="220"/>
      <c r="J11" s="220"/>
      <c r="K11" s="220"/>
      <c r="L11" s="72"/>
      <c r="M11" s="41"/>
      <c r="N11" s="41"/>
    </row>
    <row r="12" spans="2:14" x14ac:dyDescent="0.2">
      <c r="B12" s="220"/>
      <c r="C12" s="220"/>
      <c r="D12" s="220"/>
      <c r="E12" s="220"/>
      <c r="F12" s="220"/>
      <c r="G12" s="220"/>
      <c r="H12" s="220"/>
      <c r="I12" s="220"/>
      <c r="J12" s="220"/>
      <c r="K12" s="220"/>
      <c r="L12" s="72"/>
      <c r="M12" s="41"/>
      <c r="N12" s="41"/>
    </row>
    <row r="13" spans="2:14" x14ac:dyDescent="0.2">
      <c r="B13" s="220"/>
      <c r="C13" s="220"/>
      <c r="D13" s="220"/>
      <c r="E13" s="220"/>
      <c r="F13" s="220"/>
      <c r="G13" s="220"/>
      <c r="H13" s="220"/>
      <c r="I13" s="220"/>
      <c r="J13" s="220"/>
      <c r="K13" s="220"/>
      <c r="L13" s="72"/>
      <c r="M13" s="41"/>
      <c r="N13" s="41"/>
    </row>
    <row r="14" spans="2:14" ht="48" customHeight="1" x14ac:dyDescent="0.2">
      <c r="B14" s="220"/>
      <c r="C14" s="220"/>
      <c r="D14" s="220"/>
      <c r="E14" s="220"/>
      <c r="F14" s="220"/>
      <c r="G14" s="220"/>
      <c r="H14" s="220"/>
      <c r="I14" s="220"/>
      <c r="J14" s="220"/>
      <c r="K14" s="220"/>
      <c r="L14" s="72"/>
      <c r="M14" s="41"/>
      <c r="N14" s="41"/>
    </row>
    <row r="15" spans="2:14" x14ac:dyDescent="0.2">
      <c r="B15" s="220"/>
      <c r="C15" s="220"/>
      <c r="D15" s="220"/>
      <c r="E15" s="220"/>
      <c r="F15" s="220"/>
      <c r="G15" s="220"/>
      <c r="H15" s="220"/>
      <c r="I15" s="220"/>
      <c r="J15" s="220"/>
      <c r="K15" s="220"/>
      <c r="L15" s="72"/>
      <c r="M15" s="41"/>
      <c r="N15" s="41"/>
    </row>
    <row r="16" spans="2:14" x14ac:dyDescent="0.2">
      <c r="B16" s="220"/>
      <c r="C16" s="220"/>
      <c r="D16" s="220"/>
      <c r="E16" s="220"/>
      <c r="F16" s="220"/>
      <c r="G16" s="220"/>
      <c r="H16" s="220"/>
      <c r="I16" s="220"/>
      <c r="J16" s="220"/>
      <c r="K16" s="220"/>
      <c r="L16" s="72"/>
      <c r="M16" s="41"/>
      <c r="N16" s="41"/>
    </row>
    <row r="17" spans="2:14" x14ac:dyDescent="0.2">
      <c r="L17" s="72"/>
      <c r="M17" s="41"/>
      <c r="N17" s="41"/>
    </row>
    <row r="18" spans="2:14" x14ac:dyDescent="0.2">
      <c r="L18" s="72"/>
      <c r="M18" s="41"/>
      <c r="N18" s="41"/>
    </row>
    <row r="19" spans="2:14" x14ac:dyDescent="0.2">
      <c r="B19" s="216" t="s">
        <v>42</v>
      </c>
      <c r="C19" s="216"/>
      <c r="D19" s="216"/>
      <c r="E19" s="216"/>
      <c r="F19" s="216"/>
      <c r="G19" s="216"/>
      <c r="H19" s="216"/>
      <c r="I19" s="216"/>
      <c r="J19" s="216"/>
      <c r="K19" s="216"/>
      <c r="L19" s="72"/>
      <c r="M19" s="41"/>
      <c r="N19" s="41"/>
    </row>
    <row r="20" spans="2:14" ht="93.75" customHeight="1" x14ac:dyDescent="0.2">
      <c r="B20" s="213" t="str">
        <f>'AER Summary'!B20:H20</f>
        <v xml:space="preserve">
Design &amp; Construction of Augmentation Services
Provision of contestable design and construction services (ASP LV1,2 &amp;3) including both overhead and underground assets where a customer is unable to secure the service from the contestable market. The service will only be offered where it has been validated that there is no alternate supplier via Essential Energy’s ‘Provider of Last Resort process. Augmentation services include any additions or upgrades of Sub Transmission or Distribution infrastructure which is not an extension.</v>
      </c>
      <c r="C20" s="213"/>
      <c r="D20" s="213"/>
      <c r="E20" s="213"/>
      <c r="F20" s="213"/>
      <c r="G20" s="213"/>
      <c r="H20" s="213"/>
      <c r="I20" s="213"/>
      <c r="J20" s="213"/>
      <c r="K20" s="213"/>
    </row>
    <row r="21" spans="2:14" x14ac:dyDescent="0.2">
      <c r="B21" s="212"/>
      <c r="C21" s="212"/>
      <c r="D21" s="212"/>
      <c r="E21" s="212"/>
      <c r="F21" s="212"/>
      <c r="G21" s="212"/>
      <c r="H21" s="212"/>
      <c r="I21" s="212"/>
      <c r="J21" s="212"/>
      <c r="K21" s="212"/>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7"/>
  <sheetViews>
    <sheetView showGridLines="0" workbookViewId="0">
      <selection activeCell="F33" sqref="F33"/>
    </sheetView>
  </sheetViews>
  <sheetFormatPr defaultColWidth="9.140625" defaultRowHeight="12.75" x14ac:dyDescent="0.2"/>
  <cols>
    <col min="1" max="1" width="3.5703125" style="73" customWidth="1"/>
    <col min="2" max="2" width="58.7109375" style="73" customWidth="1"/>
    <col min="3" max="3" width="65.140625" style="73" customWidth="1"/>
    <col min="4" max="4" width="12.85546875" style="73" customWidth="1"/>
    <col min="5" max="8" width="11.28515625" style="73" customWidth="1"/>
    <col min="9" max="9" width="12.7109375" style="73" customWidth="1"/>
    <col min="10" max="16384" width="9.140625" style="73"/>
  </cols>
  <sheetData>
    <row r="2" spans="1:9" x14ac:dyDescent="0.2">
      <c r="B2" s="46" t="s">
        <v>75</v>
      </c>
      <c r="C2" s="38"/>
      <c r="D2" s="38"/>
      <c r="E2" s="38"/>
      <c r="F2" s="38"/>
      <c r="G2" s="38"/>
      <c r="H2" s="38"/>
      <c r="I2" s="38"/>
    </row>
    <row r="3" spans="1:9" x14ac:dyDescent="0.2">
      <c r="B3" s="23" t="s">
        <v>20</v>
      </c>
      <c r="C3" s="23" t="s">
        <v>3</v>
      </c>
      <c r="D3" s="85" t="s">
        <v>55</v>
      </c>
      <c r="E3" s="85" t="s">
        <v>54</v>
      </c>
      <c r="F3" s="85" t="s">
        <v>53</v>
      </c>
      <c r="G3" s="102" t="s">
        <v>93</v>
      </c>
      <c r="H3" s="102" t="s">
        <v>94</v>
      </c>
      <c r="I3" s="24" t="s">
        <v>1</v>
      </c>
    </row>
    <row r="4" spans="1:9" x14ac:dyDescent="0.2">
      <c r="B4" s="6" t="s">
        <v>21</v>
      </c>
      <c r="C4" s="6"/>
      <c r="D4" s="93"/>
      <c r="E4" s="93"/>
      <c r="F4" s="93"/>
      <c r="G4" s="93"/>
      <c r="H4" s="93"/>
      <c r="I4" s="148">
        <f>SUM(D4:H4)</f>
        <v>0</v>
      </c>
    </row>
    <row r="5" spans="1:9" x14ac:dyDescent="0.2">
      <c r="B5" s="6" t="s">
        <v>23</v>
      </c>
      <c r="C5" s="13"/>
      <c r="D5" s="93"/>
      <c r="E5" s="93"/>
      <c r="F5" s="93"/>
      <c r="G5" s="93"/>
      <c r="H5" s="93"/>
      <c r="I5" s="148">
        <f t="shared" ref="I5:I8" si="0">SUM(D5:H5)</f>
        <v>0</v>
      </c>
    </row>
    <row r="6" spans="1:9" x14ac:dyDescent="0.2">
      <c r="B6" s="6" t="s">
        <v>24</v>
      </c>
      <c r="C6" s="6"/>
      <c r="D6" s="93">
        <v>0</v>
      </c>
      <c r="E6" s="93">
        <v>0</v>
      </c>
      <c r="F6" s="93">
        <v>0</v>
      </c>
      <c r="G6" s="93">
        <v>0</v>
      </c>
      <c r="H6" s="93">
        <v>0</v>
      </c>
      <c r="I6" s="148">
        <f t="shared" si="0"/>
        <v>0</v>
      </c>
    </row>
    <row r="7" spans="1:9" x14ac:dyDescent="0.2">
      <c r="B7" s="6" t="s">
        <v>25</v>
      </c>
      <c r="C7" s="6"/>
      <c r="D7" s="93"/>
      <c r="E7" s="93"/>
      <c r="F7" s="93"/>
      <c r="G7" s="93"/>
      <c r="H7" s="93"/>
      <c r="I7" s="148">
        <f t="shared" si="0"/>
        <v>0</v>
      </c>
    </row>
    <row r="8" spans="1:9" x14ac:dyDescent="0.2">
      <c r="B8" s="6" t="s">
        <v>22</v>
      </c>
      <c r="C8" s="6"/>
      <c r="D8" s="25"/>
      <c r="E8" s="25"/>
      <c r="F8" s="25"/>
      <c r="G8" s="25"/>
      <c r="H8" s="25"/>
      <c r="I8" s="148">
        <f t="shared" si="0"/>
        <v>0</v>
      </c>
    </row>
    <row r="9" spans="1:9" x14ac:dyDescent="0.2">
      <c r="B9" s="78" t="s">
        <v>1</v>
      </c>
      <c r="C9" s="27"/>
      <c r="D9" s="28">
        <f t="shared" ref="D9:I9" si="1">SUM(D4:D8)</f>
        <v>0</v>
      </c>
      <c r="E9" s="28">
        <f t="shared" si="1"/>
        <v>0</v>
      </c>
      <c r="F9" s="28">
        <f t="shared" si="1"/>
        <v>0</v>
      </c>
      <c r="G9" s="28">
        <f t="shared" ref="G9:H9" si="2">SUM(G4:G8)</f>
        <v>0</v>
      </c>
      <c r="H9" s="28">
        <f t="shared" si="2"/>
        <v>0</v>
      </c>
      <c r="I9" s="29">
        <f t="shared" si="1"/>
        <v>0</v>
      </c>
    </row>
    <row r="10" spans="1:9" x14ac:dyDescent="0.2">
      <c r="B10" s="74"/>
      <c r="C10" s="75"/>
      <c r="D10" s="76"/>
      <c r="E10" s="76"/>
      <c r="F10" s="76"/>
      <c r="G10" s="76"/>
      <c r="H10" s="76"/>
      <c r="I10" s="76"/>
    </row>
    <row r="11" spans="1:9" x14ac:dyDescent="0.2">
      <c r="B11" s="77" t="s">
        <v>10</v>
      </c>
      <c r="C11" s="31"/>
      <c r="D11" s="31"/>
      <c r="E11" s="31"/>
      <c r="F11" s="31"/>
      <c r="G11" s="31"/>
      <c r="H11" s="31"/>
      <c r="I11" s="31"/>
    </row>
    <row r="12" spans="1:9" x14ac:dyDescent="0.2">
      <c r="B12" s="79" t="s">
        <v>4</v>
      </c>
      <c r="C12" s="12" t="s">
        <v>9</v>
      </c>
      <c r="D12" s="86" t="s">
        <v>55</v>
      </c>
      <c r="E12" s="86" t="s">
        <v>54</v>
      </c>
      <c r="F12" s="86" t="s">
        <v>53</v>
      </c>
      <c r="G12" s="103" t="s">
        <v>93</v>
      </c>
      <c r="H12" s="103" t="s">
        <v>94</v>
      </c>
      <c r="I12" s="4" t="s">
        <v>1</v>
      </c>
    </row>
    <row r="13" spans="1:9" x14ac:dyDescent="0.2">
      <c r="B13" s="6" t="s">
        <v>19</v>
      </c>
      <c r="C13" s="13"/>
      <c r="D13" s="94"/>
      <c r="E13" s="94"/>
      <c r="F13" s="94"/>
      <c r="G13" s="94"/>
      <c r="H13" s="94"/>
      <c r="I13" s="146">
        <f>SUM(D13:H13)</f>
        <v>0</v>
      </c>
    </row>
    <row r="14" spans="1:9" x14ac:dyDescent="0.2">
      <c r="B14" s="13"/>
      <c r="C14" s="15"/>
      <c r="D14" s="14"/>
      <c r="E14" s="14"/>
      <c r="F14" s="14"/>
      <c r="G14" s="14"/>
      <c r="H14" s="14"/>
      <c r="I14" s="150">
        <f>SUM(D14:H14)</f>
        <v>0</v>
      </c>
    </row>
    <row r="15" spans="1:9" x14ac:dyDescent="0.2">
      <c r="A15" s="80"/>
      <c r="B15" s="81" t="s">
        <v>51</v>
      </c>
      <c r="C15" s="10"/>
      <c r="D15" s="16">
        <f t="shared" ref="D15:I15" si="3">SUM(D13:D14)</f>
        <v>0</v>
      </c>
      <c r="E15" s="16">
        <f t="shared" si="3"/>
        <v>0</v>
      </c>
      <c r="F15" s="16">
        <f t="shared" si="3"/>
        <v>0</v>
      </c>
      <c r="G15" s="16">
        <f t="shared" ref="G15:H15" si="4">SUM(G13:G14)</f>
        <v>0</v>
      </c>
      <c r="H15" s="16">
        <f t="shared" si="4"/>
        <v>0</v>
      </c>
      <c r="I15" s="16">
        <f t="shared" si="3"/>
        <v>0</v>
      </c>
    </row>
    <row r="17" spans="1:9" x14ac:dyDescent="0.2">
      <c r="A17" s="80"/>
      <c r="B17" s="18" t="s">
        <v>6</v>
      </c>
      <c r="C17" s="1"/>
      <c r="D17" s="17"/>
      <c r="E17" s="17"/>
      <c r="F17" s="17"/>
      <c r="G17" s="17"/>
      <c r="H17" s="17"/>
      <c r="I17" s="17"/>
    </row>
    <row r="18" spans="1:9" x14ac:dyDescent="0.2">
      <c r="B18" s="221" t="s">
        <v>60</v>
      </c>
      <c r="C18" s="219"/>
      <c r="D18" s="219"/>
      <c r="E18" s="219"/>
      <c r="F18" s="219"/>
      <c r="G18" s="219"/>
      <c r="H18" s="219"/>
      <c r="I18" s="219"/>
    </row>
    <row r="19" spans="1:9" x14ac:dyDescent="0.2">
      <c r="B19" s="222"/>
      <c r="C19" s="223"/>
      <c r="D19" s="223"/>
      <c r="E19" s="223"/>
      <c r="F19" s="223"/>
      <c r="G19" s="223"/>
      <c r="H19" s="223"/>
      <c r="I19" s="223"/>
    </row>
    <row r="20" spans="1:9" x14ac:dyDescent="0.2">
      <c r="B20" s="82"/>
      <c r="C20" s="39"/>
      <c r="D20" s="39"/>
      <c r="E20" s="39"/>
      <c r="F20" s="39"/>
      <c r="G20" s="101"/>
      <c r="H20" s="101"/>
      <c r="I20" s="39"/>
    </row>
    <row r="21" spans="1:9" x14ac:dyDescent="0.2">
      <c r="B21" s="1"/>
      <c r="C21" s="1"/>
      <c r="D21" s="17"/>
      <c r="E21" s="17"/>
      <c r="F21" s="17"/>
      <c r="G21" s="17"/>
      <c r="H21" s="17"/>
      <c r="I21" s="17"/>
    </row>
    <row r="22" spans="1:9" x14ac:dyDescent="0.2">
      <c r="B22" s="77" t="s">
        <v>89</v>
      </c>
      <c r="C22" s="31"/>
      <c r="D22" s="31"/>
      <c r="E22" s="31"/>
      <c r="F22" s="31"/>
      <c r="G22" s="31"/>
      <c r="H22" s="31"/>
      <c r="I22" s="31"/>
    </row>
    <row r="23" spans="1:9" x14ac:dyDescent="0.2">
      <c r="B23" s="1"/>
      <c r="C23" s="1"/>
      <c r="D23" s="1"/>
      <c r="E23" s="1"/>
      <c r="F23" s="1"/>
      <c r="G23" s="1"/>
      <c r="H23" s="1"/>
      <c r="I23" s="1"/>
    </row>
    <row r="24" spans="1:9" x14ac:dyDescent="0.2">
      <c r="B24" s="83" t="s">
        <v>11</v>
      </c>
      <c r="C24" s="20"/>
      <c r="D24" s="20"/>
      <c r="E24" s="20"/>
      <c r="F24" s="20"/>
      <c r="G24" s="20"/>
      <c r="H24" s="20"/>
      <c r="I24" s="20"/>
    </row>
    <row r="25" spans="1:9" x14ac:dyDescent="0.2">
      <c r="B25" s="224"/>
      <c r="C25" s="225"/>
      <c r="D25" s="225"/>
      <c r="E25" s="225"/>
      <c r="F25" s="225"/>
      <c r="G25" s="225"/>
      <c r="H25" s="225"/>
      <c r="I25" s="225"/>
    </row>
    <row r="26" spans="1:9" x14ac:dyDescent="0.2">
      <c r="B26" s="226"/>
      <c r="C26" s="227"/>
      <c r="D26" s="227"/>
      <c r="E26" s="227"/>
      <c r="F26" s="227"/>
      <c r="G26" s="227"/>
      <c r="H26" s="227"/>
      <c r="I26" s="227"/>
    </row>
    <row r="27" spans="1:9" x14ac:dyDescent="0.2">
      <c r="B27" s="84"/>
      <c r="C27" s="22"/>
      <c r="D27" s="22"/>
      <c r="E27" s="22"/>
      <c r="F27" s="22"/>
      <c r="G27" s="22"/>
      <c r="H27" s="22"/>
      <c r="I27" s="22"/>
    </row>
  </sheetData>
  <mergeCells count="2">
    <mergeCell ref="B18:I19"/>
    <mergeCell ref="B25:I26"/>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B35" sqref="B35"/>
    </sheetView>
  </sheetViews>
  <sheetFormatPr defaultColWidth="9.140625" defaultRowHeight="12.75" x14ac:dyDescent="0.2"/>
  <cols>
    <col min="1" max="1" width="3.140625" style="73" customWidth="1"/>
    <col min="2" max="2" width="69.140625" style="73" customWidth="1"/>
    <col min="3" max="3" width="65.140625" style="73" customWidth="1"/>
    <col min="4" max="4" width="12.85546875" style="73" customWidth="1"/>
    <col min="5" max="8" width="11.28515625" style="73" customWidth="1"/>
    <col min="9" max="9" width="12.7109375" style="73" customWidth="1"/>
    <col min="10" max="16384" width="9.140625" style="73"/>
  </cols>
  <sheetData>
    <row r="2" spans="2:9" x14ac:dyDescent="0.2">
      <c r="B2" s="30" t="s">
        <v>8</v>
      </c>
      <c r="C2" s="31"/>
      <c r="D2" s="31"/>
      <c r="E2" s="31"/>
      <c r="F2" s="31"/>
      <c r="G2" s="31"/>
      <c r="H2" s="31"/>
      <c r="I2" s="31"/>
    </row>
    <row r="3" spans="2:9" x14ac:dyDescent="0.2">
      <c r="B3" s="1"/>
      <c r="C3" s="1"/>
      <c r="D3" s="1"/>
      <c r="E3" s="1"/>
      <c r="F3" s="1"/>
      <c r="G3" s="1"/>
      <c r="H3" s="1"/>
      <c r="I3" s="1"/>
    </row>
    <row r="4" spans="2:9" x14ac:dyDescent="0.2">
      <c r="B4" s="30" t="s">
        <v>2</v>
      </c>
      <c r="C4" s="31"/>
      <c r="D4" s="31"/>
      <c r="E4" s="31"/>
      <c r="F4" s="31"/>
      <c r="G4" s="31"/>
      <c r="H4" s="31"/>
      <c r="I4" s="31"/>
    </row>
    <row r="5" spans="2:9" x14ac:dyDescent="0.2">
      <c r="B5" s="189" t="s">
        <v>87</v>
      </c>
      <c r="C5" s="189" t="s">
        <v>9</v>
      </c>
      <c r="D5" s="190" t="s">
        <v>55</v>
      </c>
      <c r="E5" s="190" t="s">
        <v>54</v>
      </c>
      <c r="F5" s="190" t="s">
        <v>53</v>
      </c>
      <c r="G5" s="190" t="s">
        <v>93</v>
      </c>
      <c r="H5" s="190" t="s">
        <v>94</v>
      </c>
      <c r="I5" s="191" t="s">
        <v>1</v>
      </c>
    </row>
    <row r="6" spans="2:9" ht="13.5" customHeight="1" x14ac:dyDescent="0.2">
      <c r="B6" s="99" t="s">
        <v>68</v>
      </c>
      <c r="C6" s="36"/>
      <c r="D6" s="35"/>
      <c r="E6" s="35"/>
      <c r="F6" s="35"/>
      <c r="G6" s="35"/>
      <c r="H6" s="35"/>
      <c r="I6" s="194">
        <f>SUM(D6:H6)</f>
        <v>0</v>
      </c>
    </row>
    <row r="7" spans="2:9" x14ac:dyDescent="0.2">
      <c r="B7" s="34"/>
      <c r="C7" s="34"/>
      <c r="D7" s="35"/>
      <c r="E7" s="35"/>
      <c r="F7" s="35"/>
      <c r="G7" s="35"/>
      <c r="H7" s="35"/>
      <c r="I7" s="194">
        <f t="shared" ref="I7:I9" si="0">SUM(D7:H7)</f>
        <v>0</v>
      </c>
    </row>
    <row r="8" spans="2:9" x14ac:dyDescent="0.2">
      <c r="B8" s="34"/>
      <c r="C8" s="34"/>
      <c r="D8" s="35"/>
      <c r="E8" s="35"/>
      <c r="F8" s="35"/>
      <c r="G8" s="35"/>
      <c r="H8" s="35"/>
      <c r="I8" s="194">
        <f t="shared" si="0"/>
        <v>0</v>
      </c>
    </row>
    <row r="9" spans="2:9" x14ac:dyDescent="0.2">
      <c r="B9" s="6"/>
      <c r="C9" s="34"/>
      <c r="D9" s="35"/>
      <c r="E9" s="35"/>
      <c r="F9" s="35"/>
      <c r="G9" s="35"/>
      <c r="H9" s="35"/>
      <c r="I9" s="194">
        <f t="shared" si="0"/>
        <v>0</v>
      </c>
    </row>
    <row r="10" spans="2:9" x14ac:dyDescent="0.2">
      <c r="B10" s="23" t="s">
        <v>1</v>
      </c>
      <c r="C10" s="23"/>
      <c r="D10" s="195">
        <f t="shared" ref="D10:I10" si="1">SUM(D6:D9)</f>
        <v>0</v>
      </c>
      <c r="E10" s="195">
        <f t="shared" si="1"/>
        <v>0</v>
      </c>
      <c r="F10" s="195">
        <f t="shared" si="1"/>
        <v>0</v>
      </c>
      <c r="G10" s="195">
        <f t="shared" ref="G10:H10" si="2">SUM(G6:G9)</f>
        <v>0</v>
      </c>
      <c r="H10" s="195">
        <f t="shared" si="2"/>
        <v>0</v>
      </c>
      <c r="I10" s="195">
        <f t="shared" si="1"/>
        <v>0</v>
      </c>
    </row>
    <row r="11" spans="2:9" x14ac:dyDescent="0.2">
      <c r="B11" s="1"/>
      <c r="C11" s="1"/>
      <c r="D11" s="1"/>
      <c r="E11" s="1"/>
      <c r="F11" s="1"/>
      <c r="G11" s="1"/>
      <c r="H11" s="1"/>
      <c r="I11" s="1"/>
    </row>
    <row r="12" spans="2:9" x14ac:dyDescent="0.2">
      <c r="B12" s="30" t="s">
        <v>10</v>
      </c>
      <c r="C12" s="31"/>
      <c r="D12" s="31"/>
      <c r="E12" s="31"/>
      <c r="F12" s="31"/>
      <c r="G12" s="31"/>
      <c r="H12" s="31"/>
      <c r="I12" s="31"/>
    </row>
    <row r="13" spans="2:9" x14ac:dyDescent="0.2">
      <c r="B13" s="189" t="s">
        <v>4</v>
      </c>
      <c r="C13" s="189" t="s">
        <v>9</v>
      </c>
      <c r="D13" s="190" t="s">
        <v>55</v>
      </c>
      <c r="E13" s="190" t="s">
        <v>54</v>
      </c>
      <c r="F13" s="190" t="s">
        <v>53</v>
      </c>
      <c r="G13" s="190" t="s">
        <v>93</v>
      </c>
      <c r="H13" s="190" t="s">
        <v>94</v>
      </c>
      <c r="I13" s="191" t="s">
        <v>1</v>
      </c>
    </row>
    <row r="14" spans="2:9" x14ac:dyDescent="0.2">
      <c r="B14" s="6"/>
      <c r="C14" s="6"/>
      <c r="D14" s="94"/>
      <c r="E14" s="94"/>
      <c r="F14" s="94"/>
      <c r="G14" s="94"/>
      <c r="H14" s="94"/>
      <c r="I14" s="149">
        <f>SUM(D14:H14)</f>
        <v>0</v>
      </c>
    </row>
    <row r="15" spans="2:9" x14ac:dyDescent="0.2">
      <c r="B15" s="6"/>
      <c r="C15" s="192"/>
      <c r="D15" s="14"/>
      <c r="E15" s="14"/>
      <c r="F15" s="14"/>
      <c r="G15" s="14"/>
      <c r="H15" s="14"/>
      <c r="I15" s="149">
        <f t="shared" ref="I15:I16" si="3">SUM(D15:H15)</f>
        <v>0</v>
      </c>
    </row>
    <row r="16" spans="2:9" x14ac:dyDescent="0.2">
      <c r="B16" s="6"/>
      <c r="C16" s="6"/>
      <c r="D16" s="14"/>
      <c r="E16" s="14"/>
      <c r="F16" s="14"/>
      <c r="G16" s="14"/>
      <c r="H16" s="14"/>
      <c r="I16" s="149">
        <f t="shared" si="3"/>
        <v>0</v>
      </c>
    </row>
    <row r="17" spans="2:9" x14ac:dyDescent="0.2">
      <c r="B17" s="193" t="s">
        <v>17</v>
      </c>
      <c r="C17" s="23"/>
      <c r="D17" s="145">
        <f t="shared" ref="D17:F17" si="4">SUM(D14:D16)</f>
        <v>0</v>
      </c>
      <c r="E17" s="145">
        <f t="shared" si="4"/>
        <v>0</v>
      </c>
      <c r="F17" s="145">
        <f t="shared" si="4"/>
        <v>0</v>
      </c>
      <c r="G17" s="145">
        <f t="shared" ref="G17:H17" si="5">SUM(G14:G16)</f>
        <v>0</v>
      </c>
      <c r="H17" s="145">
        <f t="shared" si="5"/>
        <v>0</v>
      </c>
      <c r="I17" s="145">
        <f>SUM(I14:I16)</f>
        <v>0</v>
      </c>
    </row>
    <row r="18" spans="2:9" x14ac:dyDescent="0.2">
      <c r="B18" s="1"/>
      <c r="C18" s="1"/>
      <c r="D18" s="17"/>
      <c r="E18" s="17"/>
      <c r="F18" s="17"/>
      <c r="G18" s="17"/>
      <c r="H18" s="17"/>
      <c r="I18" s="17"/>
    </row>
    <row r="19" spans="2:9" x14ac:dyDescent="0.2">
      <c r="B19" s="18" t="s">
        <v>6</v>
      </c>
      <c r="C19" s="1"/>
      <c r="D19" s="17"/>
      <c r="E19" s="17"/>
      <c r="F19" s="17"/>
      <c r="G19" s="17"/>
      <c r="H19" s="17"/>
      <c r="I19" s="17"/>
    </row>
    <row r="20" spans="2:9" x14ac:dyDescent="0.2">
      <c r="B20" s="219" t="s">
        <v>62</v>
      </c>
      <c r="C20" s="219"/>
      <c r="D20" s="219"/>
      <c r="E20" s="219"/>
      <c r="F20" s="219"/>
      <c r="G20" s="219"/>
      <c r="H20" s="219"/>
      <c r="I20" s="219"/>
    </row>
    <row r="21" spans="2:9" x14ac:dyDescent="0.2">
      <c r="B21" s="223"/>
      <c r="C21" s="223"/>
      <c r="D21" s="223"/>
      <c r="E21" s="223"/>
      <c r="F21" s="223"/>
      <c r="G21" s="223"/>
      <c r="H21" s="223"/>
      <c r="I21" s="223"/>
    </row>
    <row r="22" spans="2:9" x14ac:dyDescent="0.2">
      <c r="B22" s="1"/>
      <c r="C22" s="1"/>
      <c r="D22" s="17"/>
      <c r="E22" s="17"/>
      <c r="F22" s="17"/>
      <c r="G22" s="17"/>
      <c r="H22" s="17"/>
      <c r="I22" s="17"/>
    </row>
    <row r="23" spans="2:9" x14ac:dyDescent="0.2">
      <c r="B23" s="30" t="s">
        <v>2</v>
      </c>
      <c r="C23" s="31"/>
      <c r="D23" s="31"/>
      <c r="E23" s="31"/>
      <c r="F23" s="31"/>
      <c r="G23" s="31"/>
      <c r="H23" s="31"/>
      <c r="I23" s="31"/>
    </row>
    <row r="24" spans="2:9" x14ac:dyDescent="0.2">
      <c r="B24" s="19" t="s">
        <v>11</v>
      </c>
      <c r="C24" s="20"/>
      <c r="D24" s="20"/>
      <c r="E24" s="20"/>
      <c r="F24" s="20"/>
      <c r="G24" s="20"/>
      <c r="H24" s="20"/>
      <c r="I24" s="20"/>
    </row>
    <row r="25" spans="2:9" x14ac:dyDescent="0.2">
      <c r="B25" s="225"/>
      <c r="C25" s="225"/>
      <c r="D25" s="225"/>
      <c r="E25" s="225"/>
      <c r="F25" s="225"/>
      <c r="G25" s="225"/>
      <c r="H25" s="225"/>
      <c r="I25" s="225"/>
    </row>
    <row r="26" spans="2:9" x14ac:dyDescent="0.2">
      <c r="B26" s="227"/>
      <c r="C26" s="227"/>
      <c r="D26" s="227"/>
      <c r="E26" s="227"/>
      <c r="F26" s="227"/>
      <c r="G26" s="227"/>
      <c r="H26" s="227"/>
      <c r="I26" s="227"/>
    </row>
    <row r="27" spans="2:9" x14ac:dyDescent="0.2">
      <c r="B27" s="21"/>
      <c r="C27" s="22"/>
      <c r="D27" s="22"/>
      <c r="E27" s="22"/>
      <c r="F27" s="22"/>
      <c r="G27" s="22"/>
      <c r="H27" s="22"/>
      <c r="I27" s="22"/>
    </row>
  </sheetData>
  <mergeCells count="2">
    <mergeCell ref="B20:I21"/>
    <mergeCell ref="B25:I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18"/>
  <sheetViews>
    <sheetView showGridLines="0" zoomScaleNormal="100" workbookViewId="0">
      <selection activeCell="B19" sqref="B19"/>
    </sheetView>
  </sheetViews>
  <sheetFormatPr defaultColWidth="9.140625" defaultRowHeight="12.75" x14ac:dyDescent="0.2"/>
  <cols>
    <col min="1" max="1" width="2.28515625" style="152" customWidth="1"/>
    <col min="2" max="2" width="60.140625" style="152" customWidth="1"/>
    <col min="3" max="3" width="15.140625" style="152" customWidth="1"/>
    <col min="4" max="5" width="9.42578125" style="152" customWidth="1"/>
    <col min="6" max="6" width="10.85546875" style="152" customWidth="1"/>
    <col min="7" max="7" width="10.42578125" style="152" customWidth="1"/>
    <col min="8" max="10" width="9.140625" style="152"/>
    <col min="11" max="11" width="14.140625" style="152" customWidth="1"/>
    <col min="12" max="12" width="10.140625" style="152" customWidth="1"/>
    <col min="13" max="13" width="10.140625" style="152" bestFit="1" customWidth="1"/>
    <col min="14" max="14" width="11.140625" style="152" customWidth="1"/>
    <col min="15" max="16" width="10.140625" style="152" customWidth="1"/>
    <col min="17" max="17" width="25.140625" style="152" customWidth="1"/>
    <col min="18" max="18" width="3.28515625" style="152" customWidth="1"/>
    <col min="19" max="19" width="53.7109375" style="152" customWidth="1"/>
    <col min="20" max="20" width="15.7109375" style="152" customWidth="1"/>
    <col min="21" max="25" width="9.140625" style="152"/>
    <col min="26" max="26" width="4" style="152" customWidth="1"/>
    <col min="27" max="27" width="53.7109375" style="152" customWidth="1"/>
    <col min="28" max="28" width="15.7109375" style="152" customWidth="1"/>
    <col min="29" max="33" width="9.140625" style="152"/>
    <col min="34" max="34" width="9.140625" style="152" customWidth="1"/>
    <col min="35" max="35" width="53.7109375" style="152" customWidth="1"/>
    <col min="36" max="36" width="15.7109375" style="152" customWidth="1"/>
    <col min="37" max="16384" width="9.140625" style="152"/>
  </cols>
  <sheetData>
    <row r="2" spans="1:17" x14ac:dyDescent="0.2">
      <c r="B2" s="153" t="s">
        <v>47</v>
      </c>
      <c r="C2" s="154"/>
      <c r="D2" s="154"/>
      <c r="E2" s="154"/>
      <c r="F2" s="154"/>
      <c r="G2" s="154"/>
      <c r="H2" s="154"/>
      <c r="I2" s="228" t="s">
        <v>105</v>
      </c>
      <c r="J2" s="228"/>
      <c r="K2" s="228"/>
      <c r="L2" s="228"/>
      <c r="M2" s="228"/>
      <c r="N2" s="228"/>
      <c r="O2" s="228"/>
      <c r="P2" s="228"/>
      <c r="Q2" s="228"/>
    </row>
    <row r="3" spans="1:17" ht="15.75" x14ac:dyDescent="0.25">
      <c r="B3" s="155" t="s">
        <v>155</v>
      </c>
      <c r="C3" s="156"/>
      <c r="D3" s="156"/>
      <c r="E3" s="156"/>
      <c r="F3" s="156"/>
      <c r="G3" s="156"/>
      <c r="H3" s="156"/>
      <c r="I3" s="229" t="s">
        <v>106</v>
      </c>
      <c r="J3" s="229"/>
      <c r="K3" s="229"/>
      <c r="L3" s="229"/>
      <c r="M3" s="229"/>
      <c r="N3" s="229"/>
      <c r="O3" s="229"/>
      <c r="P3" s="229"/>
      <c r="Q3" s="229"/>
    </row>
    <row r="4" spans="1:17" s="157" customFormat="1" ht="3" customHeight="1" x14ac:dyDescent="0.2">
      <c r="B4" s="158"/>
      <c r="C4" s="158"/>
      <c r="D4" s="158"/>
      <c r="E4" s="158"/>
      <c r="F4" s="158"/>
      <c r="G4" s="158"/>
      <c r="H4" s="158"/>
      <c r="I4" s="158"/>
      <c r="J4" s="158"/>
      <c r="K4" s="158"/>
      <c r="L4" s="158"/>
      <c r="M4" s="158"/>
      <c r="N4" s="158"/>
      <c r="O4" s="158"/>
      <c r="P4" s="158"/>
      <c r="Q4" s="158"/>
    </row>
    <row r="5" spans="1:17" ht="63.75" x14ac:dyDescent="0.2">
      <c r="B5" s="159" t="s">
        <v>18</v>
      </c>
      <c r="C5" s="159" t="s">
        <v>31</v>
      </c>
      <c r="D5" s="160" t="s">
        <v>95</v>
      </c>
      <c r="E5" s="161" t="s">
        <v>96</v>
      </c>
      <c r="F5" s="160" t="s">
        <v>97</v>
      </c>
      <c r="G5" s="160" t="s">
        <v>98</v>
      </c>
      <c r="H5" s="160" t="s">
        <v>104</v>
      </c>
      <c r="I5" s="160" t="s">
        <v>99</v>
      </c>
      <c r="J5" s="162" t="s">
        <v>107</v>
      </c>
      <c r="K5" s="162" t="s">
        <v>65</v>
      </c>
      <c r="L5" s="162" t="s">
        <v>108</v>
      </c>
      <c r="M5" s="163" t="s">
        <v>67</v>
      </c>
      <c r="N5" s="160" t="s">
        <v>101</v>
      </c>
      <c r="O5" s="160" t="s">
        <v>102</v>
      </c>
      <c r="P5" s="160" t="s">
        <v>103</v>
      </c>
      <c r="Q5" s="163" t="s">
        <v>71</v>
      </c>
    </row>
    <row r="6" spans="1:17" x14ac:dyDescent="0.2">
      <c r="B6" s="186" t="s">
        <v>156</v>
      </c>
      <c r="C6" s="164"/>
      <c r="D6" s="164"/>
      <c r="E6" s="164"/>
      <c r="F6" s="164"/>
      <c r="G6" s="164"/>
      <c r="H6" s="164"/>
      <c r="I6" s="164"/>
      <c r="J6" s="164"/>
      <c r="K6" s="164"/>
      <c r="L6" s="164"/>
      <c r="M6" s="164"/>
      <c r="N6" s="165"/>
      <c r="O6" s="165"/>
      <c r="P6" s="166"/>
      <c r="Q6" s="166"/>
    </row>
    <row r="7" spans="1:17" x14ac:dyDescent="0.2">
      <c r="B7" s="167" t="s">
        <v>73</v>
      </c>
      <c r="C7" s="168" t="s">
        <v>77</v>
      </c>
      <c r="D7" s="168">
        <v>1</v>
      </c>
      <c r="E7" s="168">
        <v>1</v>
      </c>
      <c r="F7" s="168">
        <f>D7*E7</f>
        <v>1</v>
      </c>
      <c r="G7" s="168">
        <v>0</v>
      </c>
      <c r="H7" s="169">
        <f>VLOOKUP(C:C,[1]Inputs!$B$20:$H$25,7,FALSE)*F7</f>
        <v>73.74148301772</v>
      </c>
      <c r="I7" s="169">
        <f>VLOOKUP(C:C,[1]Inputs!$C$54:$G$59,5,FALSE)</f>
        <v>0</v>
      </c>
      <c r="J7" s="170"/>
      <c r="K7" s="168"/>
      <c r="L7" s="168"/>
      <c r="M7" s="169">
        <f>SUM(H7:K7)</f>
        <v>73.74148301772</v>
      </c>
      <c r="N7" s="169">
        <f>[1]Inputs!$M$43*M7</f>
        <v>34.358119310666993</v>
      </c>
      <c r="O7" s="169">
        <f>[1]Inputs!$M$48*M7</f>
        <v>11.826480969500322</v>
      </c>
      <c r="P7" s="169">
        <f>[1]Inputs!$H$13*SUM(M7:O7)</f>
        <v>7.6057122027520139</v>
      </c>
      <c r="Q7" s="169">
        <f t="shared" ref="Q7:Q12" si="0">SUM(M7:P7)</f>
        <v>127.53179550063933</v>
      </c>
    </row>
    <row r="8" spans="1:17" x14ac:dyDescent="0.2">
      <c r="B8" s="167" t="s">
        <v>83</v>
      </c>
      <c r="C8" s="168" t="s">
        <v>78</v>
      </c>
      <c r="D8" s="168">
        <v>1</v>
      </c>
      <c r="E8" s="168">
        <v>1</v>
      </c>
      <c r="F8" s="168">
        <f t="shared" ref="F8:F12" si="1">D8*E8</f>
        <v>1</v>
      </c>
      <c r="G8" s="168">
        <v>0</v>
      </c>
      <c r="H8" s="169">
        <f>VLOOKUP(C:C,[1]Inputs!$B$20:$H$25,7,FALSE)*F8</f>
        <v>100.75107071116501</v>
      </c>
      <c r="I8" s="169">
        <f>VLOOKUP(C:C,[1]Inputs!$C$54:$G$59,5,FALSE)</f>
        <v>0</v>
      </c>
      <c r="J8" s="170"/>
      <c r="K8" s="168"/>
      <c r="L8" s="168"/>
      <c r="M8" s="169">
        <f t="shared" ref="M8:M12" si="2">SUM(H8:K8)</f>
        <v>100.75107071116501</v>
      </c>
      <c r="N8" s="169">
        <f>[1]Inputs!$M$43*M8</f>
        <v>46.942604983138615</v>
      </c>
      <c r="O8" s="169">
        <f>[1]Inputs!$M$48*M8</f>
        <v>16.158213418843921</v>
      </c>
      <c r="P8" s="169">
        <f>[1]Inputs!$H$13*SUM(M8:O8)</f>
        <v>10.39148680755582</v>
      </c>
      <c r="Q8" s="169">
        <f t="shared" si="0"/>
        <v>174.24337592070339</v>
      </c>
    </row>
    <row r="9" spans="1:17" x14ac:dyDescent="0.2">
      <c r="B9" s="196" t="s">
        <v>163</v>
      </c>
      <c r="C9" s="168" t="s">
        <v>63</v>
      </c>
      <c r="D9" s="168">
        <v>1</v>
      </c>
      <c r="E9" s="168">
        <v>1</v>
      </c>
      <c r="F9" s="168">
        <f t="shared" si="1"/>
        <v>1</v>
      </c>
      <c r="G9" s="168">
        <v>0</v>
      </c>
      <c r="H9" s="169">
        <f>VLOOKUP(C:C,[1]Inputs!$B$20:$H$25,7,FALSE)*F9</f>
        <v>103.26059762014499</v>
      </c>
      <c r="I9" s="169">
        <f>VLOOKUP(C:C,[1]Inputs!$C$54:$G$59,5,FALSE)</f>
        <v>0</v>
      </c>
      <c r="J9" s="170"/>
      <c r="K9" s="168"/>
      <c r="L9" s="168"/>
      <c r="M9" s="169">
        <f t="shared" si="2"/>
        <v>103.26059762014499</v>
      </c>
      <c r="N9" s="169">
        <f>[1]Inputs!$M$43*M9</f>
        <v>48.111860352349787</v>
      </c>
      <c r="O9" s="169">
        <f>[1]Inputs!$M$48*M9</f>
        <v>16.560685284298117</v>
      </c>
      <c r="P9" s="169">
        <f>[1]Inputs!$H$13*SUM(M9:O9)</f>
        <v>10.650319945345807</v>
      </c>
      <c r="Q9" s="169">
        <f t="shared" si="0"/>
        <v>178.58346320213872</v>
      </c>
    </row>
    <row r="10" spans="1:17" x14ac:dyDescent="0.2">
      <c r="B10" s="167" t="s">
        <v>80</v>
      </c>
      <c r="C10" s="168" t="s">
        <v>66</v>
      </c>
      <c r="D10" s="168">
        <v>1</v>
      </c>
      <c r="E10" s="168">
        <v>1</v>
      </c>
      <c r="F10" s="168">
        <f t="shared" si="1"/>
        <v>1</v>
      </c>
      <c r="G10" s="168">
        <v>0</v>
      </c>
      <c r="H10" s="169">
        <f>VLOOKUP(C:C,[1]Inputs!$B$20:$H$25,7,FALSE)*F10</f>
        <v>79.838346469665012</v>
      </c>
      <c r="I10" s="169">
        <f>VLOOKUP(C:C,[1]Inputs!$C$54:$G$59,5,FALSE)</f>
        <v>19.732436288346317</v>
      </c>
      <c r="J10" s="170"/>
      <c r="K10" s="168"/>
      <c r="L10" s="168"/>
      <c r="M10" s="169">
        <f t="shared" si="2"/>
        <v>99.570782758011333</v>
      </c>
      <c r="N10" s="169">
        <f>[1]Inputs!$M$43*M10</f>
        <v>46.392677416511667</v>
      </c>
      <c r="O10" s="169">
        <f>[1]Inputs!$M$48*M10</f>
        <v>15.968921687171692</v>
      </c>
      <c r="P10" s="169">
        <f>[1]Inputs!$H$13*SUM(M10:O10)</f>
        <v>10.269751657668678</v>
      </c>
      <c r="Q10" s="169">
        <f t="shared" si="0"/>
        <v>172.20213351936337</v>
      </c>
    </row>
    <row r="11" spans="1:17" x14ac:dyDescent="0.2">
      <c r="B11" s="167" t="s">
        <v>79</v>
      </c>
      <c r="C11" s="168" t="s">
        <v>81</v>
      </c>
      <c r="D11" s="168">
        <v>1</v>
      </c>
      <c r="E11" s="168">
        <v>1</v>
      </c>
      <c r="F11" s="168">
        <f t="shared" si="1"/>
        <v>1</v>
      </c>
      <c r="G11" s="168">
        <v>0</v>
      </c>
      <c r="H11" s="169">
        <f>VLOOKUP(C:C,[1]Inputs!$B$20:$H$25,7,FALSE)*F11</f>
        <v>103.26059762014499</v>
      </c>
      <c r="I11" s="169">
        <f>VLOOKUP(C:C,[1]Inputs!$C$54:$G$59,5,FALSE)</f>
        <v>19.732436288346317</v>
      </c>
      <c r="J11" s="170"/>
      <c r="K11" s="168"/>
      <c r="L11" s="168"/>
      <c r="M11" s="169">
        <f t="shared" si="2"/>
        <v>122.99303390849131</v>
      </c>
      <c r="N11" s="169">
        <f>[1]Inputs!$M$43*M11</f>
        <v>57.305727529149344</v>
      </c>
      <c r="O11" s="169">
        <f>[1]Inputs!$M$48*M11</f>
        <v>19.725325764744216</v>
      </c>
      <c r="P11" s="169">
        <f>[1]Inputs!$H$13*SUM(M11:O11)</f>
        <v>12.685527610375249</v>
      </c>
      <c r="Q11" s="169">
        <f t="shared" si="0"/>
        <v>212.70961481276012</v>
      </c>
    </row>
    <row r="12" spans="1:17" x14ac:dyDescent="0.2">
      <c r="B12" s="167" t="s">
        <v>84</v>
      </c>
      <c r="C12" s="168" t="s">
        <v>64</v>
      </c>
      <c r="D12" s="168">
        <v>1</v>
      </c>
      <c r="E12" s="168">
        <v>1</v>
      </c>
      <c r="F12" s="168">
        <f t="shared" si="1"/>
        <v>1</v>
      </c>
      <c r="G12" s="168">
        <v>0</v>
      </c>
      <c r="H12" s="169">
        <f>VLOOKUP(C:C,[1]Inputs!$B$20:$H$25,7,FALSE)*F12</f>
        <v>118.60731987121498</v>
      </c>
      <c r="I12" s="169">
        <f>VLOOKUP(C:C,[1]Inputs!$C$54:$G$59,5,FALSE)</f>
        <v>19.732436288346317</v>
      </c>
      <c r="J12" s="170"/>
      <c r="K12" s="168"/>
      <c r="L12" s="168"/>
      <c r="M12" s="169">
        <f t="shared" si="2"/>
        <v>138.33975615956129</v>
      </c>
      <c r="N12" s="169">
        <f>[1]Inputs!$M$43*M12</f>
        <v>64.45617382547924</v>
      </c>
      <c r="O12" s="169">
        <f>[1]Inputs!$M$48*M12</f>
        <v>22.18659601886797</v>
      </c>
      <c r="P12" s="169">
        <f>[1]Inputs!$H$13*SUM(M12:O12)</f>
        <v>14.268391799167876</v>
      </c>
      <c r="Q12" s="169">
        <f t="shared" si="0"/>
        <v>239.25091780307636</v>
      </c>
    </row>
    <row r="13" spans="1:17" ht="38.25" x14ac:dyDescent="0.2">
      <c r="B13" s="171" t="s">
        <v>146</v>
      </c>
      <c r="C13" s="168"/>
      <c r="D13" s="168"/>
      <c r="E13" s="168"/>
      <c r="F13" s="168"/>
      <c r="G13" s="168"/>
      <c r="H13" s="170"/>
      <c r="I13" s="170"/>
      <c r="J13" s="170"/>
      <c r="K13" s="172">
        <f>[1]Inputs!$G$38</f>
        <v>0.1031</v>
      </c>
      <c r="L13" s="173"/>
      <c r="M13" s="170"/>
      <c r="N13" s="172">
        <f>[1]Inputs!$M$43</f>
        <v>0.46592661151676018</v>
      </c>
      <c r="O13" s="170"/>
      <c r="P13" s="172">
        <f>[1]Inputs!$H$13</f>
        <v>6.3420000000000004E-2</v>
      </c>
      <c r="Q13" s="174" t="str">
        <f>_xlfn.CONCAT("[(Invoice + ",TEXT(K13,"0.00%")," On-costs) + ",TEXT([1]Inputs!$M$43,"0.00%")," Overheads] + ",TEXT(P13,"0.00%")," Margin")</f>
        <v>[(Invoice + 10.31% On-costs) + 46.59% Overheads] + 6.34% Margin</v>
      </c>
    </row>
    <row r="14" spans="1:17" ht="25.5" x14ac:dyDescent="0.2">
      <c r="B14" s="171" t="s">
        <v>145</v>
      </c>
      <c r="C14" s="168"/>
      <c r="D14" s="168"/>
      <c r="E14" s="168"/>
      <c r="F14" s="168"/>
      <c r="G14" s="168"/>
      <c r="H14" s="170"/>
      <c r="I14" s="170"/>
      <c r="J14" s="170"/>
      <c r="K14" s="168"/>
      <c r="L14" s="168"/>
      <c r="M14" s="170"/>
      <c r="N14" s="172">
        <f>[1]Inputs!$M$43</f>
        <v>0.46592661151676018</v>
      </c>
      <c r="O14" s="170"/>
      <c r="P14" s="172">
        <f>[1]Inputs!$H$13</f>
        <v>6.3420000000000004E-2</v>
      </c>
      <c r="Q14" s="175" t="str">
        <f>_xlfn.CONCAT("[Invoice + ",TEXT([1]Inputs!$M$43,"0.00%")," Overheads] + ",TEXT(P14,"0.00%")," Margin")</f>
        <v>[Invoice + 46.59% Overheads] + 6.34% Margin</v>
      </c>
    </row>
    <row r="15" spans="1:17" x14ac:dyDescent="0.2">
      <c r="B15" s="176" t="s">
        <v>1</v>
      </c>
      <c r="C15" s="176"/>
      <c r="D15" s="176"/>
      <c r="E15" s="176"/>
      <c r="F15" s="176"/>
      <c r="G15" s="176"/>
      <c r="H15" s="177"/>
      <c r="I15" s="177"/>
      <c r="J15" s="177"/>
      <c r="K15" s="176"/>
      <c r="L15" s="176"/>
      <c r="M15" s="178"/>
      <c r="N15" s="178"/>
      <c r="O15" s="178"/>
      <c r="P15" s="178"/>
      <c r="Q15" s="178"/>
    </row>
    <row r="16" spans="1:17" x14ac:dyDescent="0.2">
      <c r="A16" s="179"/>
      <c r="B16" s="180"/>
      <c r="C16" s="180"/>
      <c r="D16" s="180"/>
      <c r="E16" s="180"/>
      <c r="F16" s="180"/>
      <c r="G16" s="180"/>
      <c r="H16" s="181"/>
      <c r="I16" s="182"/>
      <c r="J16" s="182"/>
      <c r="K16" s="180"/>
      <c r="L16" s="180"/>
      <c r="M16" s="183"/>
      <c r="N16" s="183"/>
      <c r="O16" s="183"/>
      <c r="P16" s="183"/>
      <c r="Q16" s="183"/>
    </row>
    <row r="18" spans="2:12" ht="15" customHeight="1" x14ac:dyDescent="0.2">
      <c r="B18" s="184"/>
      <c r="C18" s="184"/>
      <c r="D18" s="184"/>
      <c r="E18" s="184"/>
      <c r="F18" s="184"/>
      <c r="G18" s="184"/>
      <c r="K18" s="184"/>
      <c r="L18" s="184"/>
    </row>
  </sheetData>
  <mergeCells count="2">
    <mergeCell ref="I2:Q2"/>
    <mergeCell ref="I3:Q3"/>
  </mergeCells>
  <pageMargins left="0.7" right="0.7" top="0.75" bottom="0.75" header="0.3" footer="0.3"/>
  <pageSetup paperSize="9" orientation="portrait" verticalDpi="0" r:id="rId1"/>
  <ignoredErrors>
    <ignoredError sqref="M13"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748897-E1CF-49C3-9EA7-5EEBE24B99E7}">
  <dimension ref="A1:O115"/>
  <sheetViews>
    <sheetView zoomScale="90" zoomScaleNormal="90" workbookViewId="0">
      <pane xSplit="1" ySplit="8" topLeftCell="B10" activePane="bottomRight" state="frozen"/>
      <selection activeCell="B53" sqref="B53"/>
      <selection pane="topRight" activeCell="B53" sqref="B53"/>
      <selection pane="bottomLeft" activeCell="B53" sqref="B53"/>
      <selection pane="bottomRight" activeCell="B51" sqref="B51"/>
    </sheetView>
  </sheetViews>
  <sheetFormatPr defaultColWidth="9.140625" defaultRowHeight="15" x14ac:dyDescent="0.25"/>
  <cols>
    <col min="1" max="1" width="4.42578125" style="104" customWidth="1"/>
    <col min="2" max="2" width="54.5703125" style="104" customWidth="1"/>
    <col min="3" max="3" width="13.28515625" style="104" customWidth="1"/>
    <col min="4" max="8" width="12.7109375" style="104" bestFit="1" customWidth="1"/>
    <col min="9" max="9" width="9.140625" style="104"/>
    <col min="10" max="15" width="10" style="104" bestFit="1" customWidth="1"/>
    <col min="16" max="16384" width="9.140625" style="104"/>
  </cols>
  <sheetData>
    <row r="1" spans="1:15" x14ac:dyDescent="0.25">
      <c r="B1" s="104" t="s">
        <v>109</v>
      </c>
      <c r="D1" s="105">
        <f>[1]Inputs!H16</f>
        <v>1</v>
      </c>
      <c r="E1" s="105">
        <f>[1]Inputs!I16</f>
        <v>1</v>
      </c>
      <c r="F1" s="105">
        <f>[1]Inputs!J16</f>
        <v>1.0109999999999999</v>
      </c>
      <c r="G1" s="105">
        <f>[1]Inputs!K16</f>
        <v>1.0231319999999999</v>
      </c>
      <c r="H1" s="105">
        <f>[1]Inputs!L16</f>
        <v>1.0337725727999998</v>
      </c>
      <c r="K1" s="106">
        <f>D1</f>
        <v>1</v>
      </c>
      <c r="L1" s="106">
        <f t="shared" ref="L1:O5" si="0">E1</f>
        <v>1</v>
      </c>
      <c r="M1" s="106">
        <f t="shared" si="0"/>
        <v>1.0109999999999999</v>
      </c>
      <c r="N1" s="106">
        <f t="shared" si="0"/>
        <v>1.0231319999999999</v>
      </c>
      <c r="O1" s="106">
        <f t="shared" si="0"/>
        <v>1.0337725727999998</v>
      </c>
    </row>
    <row r="2" spans="1:15" x14ac:dyDescent="0.25">
      <c r="B2" s="104" t="s">
        <v>110</v>
      </c>
      <c r="D2" s="105">
        <f>[1]Inputs!H61</f>
        <v>0.04</v>
      </c>
      <c r="E2" s="105">
        <f>[1]Inputs!I61</f>
        <v>0.04</v>
      </c>
      <c r="F2" s="105">
        <f>[1]Inputs!J61</f>
        <v>0.04</v>
      </c>
      <c r="G2" s="105">
        <f>[1]Inputs!K61</f>
        <v>0.04</v>
      </c>
      <c r="H2" s="105">
        <f>[1]Inputs!L61</f>
        <v>0.04</v>
      </c>
      <c r="K2" s="106"/>
      <c r="L2" s="106"/>
      <c r="M2" s="106"/>
      <c r="N2" s="106"/>
      <c r="O2" s="106"/>
    </row>
    <row r="3" spans="1:15" x14ac:dyDescent="0.25">
      <c r="B3" s="104" t="s">
        <v>111</v>
      </c>
      <c r="D3" s="106">
        <f>[1]Inputs!$M$43</f>
        <v>0.46592661151676018</v>
      </c>
      <c r="E3" s="106">
        <f>[1]Inputs!$M$43</f>
        <v>0.46592661151676018</v>
      </c>
      <c r="F3" s="106">
        <f>[1]Inputs!$M$43</f>
        <v>0.46592661151676018</v>
      </c>
      <c r="G3" s="106">
        <f>[1]Inputs!$M$43</f>
        <v>0.46592661151676018</v>
      </c>
      <c r="H3" s="106">
        <f>[1]Inputs!$M$43</f>
        <v>0.46592661151676018</v>
      </c>
      <c r="K3" s="106">
        <f t="shared" ref="K3:K5" si="1">D3</f>
        <v>0.46592661151676018</v>
      </c>
      <c r="L3" s="106">
        <f t="shared" si="0"/>
        <v>0.46592661151676018</v>
      </c>
      <c r="M3" s="106">
        <f t="shared" si="0"/>
        <v>0.46592661151676018</v>
      </c>
      <c r="N3" s="106">
        <f t="shared" si="0"/>
        <v>0.46592661151676018</v>
      </c>
      <c r="O3" s="106">
        <f t="shared" si="0"/>
        <v>0.46592661151676018</v>
      </c>
    </row>
    <row r="4" spans="1:15" x14ac:dyDescent="0.25">
      <c r="B4" s="104" t="s">
        <v>112</v>
      </c>
      <c r="D4" s="106">
        <f>[1]Inputs!$M$48</f>
        <v>0.16037758511933414</v>
      </c>
      <c r="E4" s="106">
        <f>[1]Inputs!$M$48</f>
        <v>0.16037758511933414</v>
      </c>
      <c r="F4" s="106">
        <f>[1]Inputs!$M$48</f>
        <v>0.16037758511933414</v>
      </c>
      <c r="G4" s="106">
        <f>[1]Inputs!$M$48</f>
        <v>0.16037758511933414</v>
      </c>
      <c r="H4" s="106">
        <f>[1]Inputs!$M$48</f>
        <v>0.16037758511933414</v>
      </c>
      <c r="K4" s="106">
        <f t="shared" si="1"/>
        <v>0.16037758511933414</v>
      </c>
      <c r="L4" s="106">
        <f t="shared" si="0"/>
        <v>0.16037758511933414</v>
      </c>
      <c r="M4" s="106">
        <f t="shared" si="0"/>
        <v>0.16037758511933414</v>
      </c>
      <c r="N4" s="106">
        <f t="shared" si="0"/>
        <v>0.16037758511933414</v>
      </c>
      <c r="O4" s="106">
        <f t="shared" si="0"/>
        <v>0.16037758511933414</v>
      </c>
    </row>
    <row r="5" spans="1:15" x14ac:dyDescent="0.25">
      <c r="B5" s="104" t="s">
        <v>113</v>
      </c>
      <c r="D5" s="106">
        <f>[1]Inputs!$H$13</f>
        <v>6.3420000000000004E-2</v>
      </c>
      <c r="E5" s="106">
        <f>[1]Inputs!$H$13</f>
        <v>6.3420000000000004E-2</v>
      </c>
      <c r="F5" s="106">
        <f>[1]Inputs!$H$13</f>
        <v>6.3420000000000004E-2</v>
      </c>
      <c r="G5" s="106">
        <f>[1]Inputs!$H$13</f>
        <v>6.3420000000000004E-2</v>
      </c>
      <c r="H5" s="106">
        <f>[1]Inputs!$H$13</f>
        <v>6.3420000000000004E-2</v>
      </c>
      <c r="K5" s="106">
        <f t="shared" si="1"/>
        <v>6.3420000000000004E-2</v>
      </c>
      <c r="L5" s="106">
        <f t="shared" si="0"/>
        <v>6.3420000000000004E-2</v>
      </c>
      <c r="M5" s="106">
        <f t="shared" si="0"/>
        <v>6.3420000000000004E-2</v>
      </c>
      <c r="N5" s="106">
        <f t="shared" si="0"/>
        <v>6.3420000000000004E-2</v>
      </c>
      <c r="O5" s="106">
        <f t="shared" si="0"/>
        <v>6.3420000000000004E-2</v>
      </c>
    </row>
    <row r="6" spans="1:15" s="107" customFormat="1" ht="15.75" x14ac:dyDescent="0.25">
      <c r="D6" s="235" t="s">
        <v>114</v>
      </c>
      <c r="E6" s="235"/>
      <c r="F6" s="235"/>
      <c r="G6" s="235"/>
      <c r="H6" s="235"/>
      <c r="J6" s="236" t="s">
        <v>115</v>
      </c>
      <c r="K6" s="236"/>
      <c r="L6" s="236"/>
      <c r="M6" s="236"/>
      <c r="N6" s="236"/>
      <c r="O6" s="236"/>
    </row>
    <row r="7" spans="1:15" s="107" customFormat="1" ht="15.75" x14ac:dyDescent="0.25">
      <c r="D7" s="233" t="s">
        <v>116</v>
      </c>
      <c r="E7" s="234"/>
      <c r="F7" s="234"/>
      <c r="G7" s="234"/>
      <c r="H7" s="234"/>
      <c r="J7" s="233" t="s">
        <v>116</v>
      </c>
      <c r="K7" s="234"/>
      <c r="L7" s="234"/>
      <c r="M7" s="234"/>
      <c r="N7" s="234"/>
      <c r="O7" s="234"/>
    </row>
    <row r="8" spans="1:15" x14ac:dyDescent="0.25">
      <c r="B8" s="108" t="s">
        <v>162</v>
      </c>
      <c r="C8" s="109"/>
      <c r="D8" s="109" t="s">
        <v>117</v>
      </c>
      <c r="E8" s="109" t="s">
        <v>118</v>
      </c>
      <c r="F8" s="109" t="s">
        <v>119</v>
      </c>
      <c r="G8" s="109" t="s">
        <v>120</v>
      </c>
      <c r="H8" s="109" t="s">
        <v>121</v>
      </c>
    </row>
    <row r="9" spans="1:15" ht="15" customHeight="1" x14ac:dyDescent="0.25">
      <c r="A9" s="232"/>
      <c r="B9" s="110" t="s">
        <v>104</v>
      </c>
      <c r="C9" s="111"/>
      <c r="D9" s="112">
        <f>(D21*D$29)+(D33*D$41)+(D45*D$53)+(D57*D$65)+(D69*D$77)+(D81*D$89)</f>
        <v>22092.443189384925</v>
      </c>
      <c r="E9" s="112">
        <f t="shared" ref="E9:H9" si="2">(E21*E$29)+(E33*E$41)+(E45*E$53)+(E57*E$65)+(E69*E$77)+(E81*E$89)</f>
        <v>22092.443189384925</v>
      </c>
      <c r="F9" s="112">
        <f t="shared" si="2"/>
        <v>22335.46006446816</v>
      </c>
      <c r="G9" s="112">
        <f t="shared" si="2"/>
        <v>22852.123926679436</v>
      </c>
      <c r="H9" s="112">
        <f t="shared" si="2"/>
        <v>23623.898945627836</v>
      </c>
    </row>
    <row r="10" spans="1:15" x14ac:dyDescent="0.25">
      <c r="A10" s="232"/>
      <c r="B10" s="110" t="s">
        <v>99</v>
      </c>
      <c r="C10" s="111"/>
      <c r="D10" s="112">
        <f t="shared" ref="D10:H10" si="3">(D22*D$29)+(D34*D$41)+(D46*D$53)+(D58*D$65)+(D70*D$77)+(D82*D$89)</f>
        <v>4242.473801994458</v>
      </c>
      <c r="E10" s="112">
        <f t="shared" si="3"/>
        <v>4242.473801994458</v>
      </c>
      <c r="F10" s="112">
        <f t="shared" si="3"/>
        <v>4242.473801994458</v>
      </c>
      <c r="G10" s="112">
        <f t="shared" si="3"/>
        <v>4242.473801994458</v>
      </c>
      <c r="H10" s="112">
        <f t="shared" si="3"/>
        <v>4242.473801994458</v>
      </c>
    </row>
    <row r="11" spans="1:15" x14ac:dyDescent="0.25">
      <c r="A11" s="232"/>
      <c r="B11" s="110" t="s">
        <v>100</v>
      </c>
      <c r="C11" s="111"/>
      <c r="D11" s="112">
        <f>(D23*D$29)+(D35*D$41)+(D47*D$53)+(D59*D$65)+(D71*D$77)+(D83*D$89)+D95</f>
        <v>5000</v>
      </c>
      <c r="E11" s="112">
        <f t="shared" ref="E11:H11" si="4">(E23*E$29)+(E35*E$41)+(E47*E$53)+(E59*E$65)+(E71*E$77)+(E83*E$89)+E95</f>
        <v>5000</v>
      </c>
      <c r="F11" s="112">
        <f t="shared" si="4"/>
        <v>5000</v>
      </c>
      <c r="G11" s="112">
        <f t="shared" si="4"/>
        <v>5000</v>
      </c>
      <c r="H11" s="112">
        <f t="shared" si="4"/>
        <v>5000</v>
      </c>
    </row>
    <row r="12" spans="1:15" x14ac:dyDescent="0.25">
      <c r="A12" s="232"/>
      <c r="B12" s="110" t="s">
        <v>122</v>
      </c>
      <c r="C12" s="111"/>
      <c r="D12" s="112">
        <f>D108</f>
        <v>1500</v>
      </c>
      <c r="E12" s="112">
        <f t="shared" ref="E12:H12" si="5">E108</f>
        <v>1500</v>
      </c>
      <c r="F12" s="112">
        <f t="shared" si="5"/>
        <v>1500</v>
      </c>
      <c r="G12" s="112">
        <f t="shared" si="5"/>
        <v>1500</v>
      </c>
      <c r="H12" s="112">
        <f t="shared" si="5"/>
        <v>1500</v>
      </c>
    </row>
    <row r="13" spans="1:15" x14ac:dyDescent="0.25">
      <c r="A13" s="232"/>
      <c r="B13" s="113" t="s">
        <v>123</v>
      </c>
      <c r="C13" s="113"/>
      <c r="D13" s="115">
        <f>(D24*D$29)+(D36*D$41)+(D48*D$53)+(D60*D$65)+(D72*D$77)+(D84*D$89)+D95+D108</f>
        <v>32834.916991379388</v>
      </c>
      <c r="E13" s="115">
        <f t="shared" ref="E13:H13" si="6">(E24*E$29)+(E36*E$41)+(E48*E$53)+(E60*E$65)+(E72*E$77)+(E84*E$89)+E95+E108</f>
        <v>32834.916991379388</v>
      </c>
      <c r="F13" s="115">
        <f t="shared" si="6"/>
        <v>33077.933866462619</v>
      </c>
      <c r="G13" s="115">
        <f t="shared" si="6"/>
        <v>33594.597728673893</v>
      </c>
      <c r="H13" s="115">
        <f t="shared" si="6"/>
        <v>34366.372747622292</v>
      </c>
    </row>
    <row r="14" spans="1:15" x14ac:dyDescent="0.25">
      <c r="A14" s="232"/>
      <c r="B14" s="111" t="s">
        <v>101</v>
      </c>
      <c r="C14" s="111"/>
      <c r="D14" s="112">
        <f>(D25*D$29)+(D37*D$41)+(D49*D$53)+(D61*D$65)+(D73*D$77)+(D85*D$89)+D97+D110</f>
        <v>15298.661613227494</v>
      </c>
      <c r="E14" s="112">
        <f t="shared" ref="E14:H14" si="7">(E25*E$29)+(E37*E$41)+(E49*E$53)+(E61*E$65)+(E73*E$77)+(E85*E$89)+E97+E110</f>
        <v>15298.661613227494</v>
      </c>
      <c r="F14" s="112">
        <f t="shared" si="7"/>
        <v>15411.889642376416</v>
      </c>
      <c r="G14" s="112">
        <f t="shared" si="7"/>
        <v>15652.617084989677</v>
      </c>
      <c r="H14" s="112">
        <f t="shared" si="7"/>
        <v>16012.207604421586</v>
      </c>
    </row>
    <row r="15" spans="1:15" x14ac:dyDescent="0.25">
      <c r="A15" s="232"/>
      <c r="B15" s="111" t="s">
        <v>102</v>
      </c>
      <c r="C15" s="111"/>
      <c r="D15" s="112">
        <f>(D26*D$29)+(D38*D$41)+(D50*D$53)+(D62*D$65)+(D74*D$77)+(D86*D$89)+D98+D111</f>
        <v>4223.5303913955468</v>
      </c>
      <c r="E15" s="112">
        <f t="shared" ref="E15:H16" si="8">(E26*E$29)+(E38*E$41)+(E50*E$53)+(E62*E$65)+(E74*E$77)+(E86*E$89)+E98+E111</f>
        <v>4223.5303913955468</v>
      </c>
      <c r="F15" s="112">
        <f t="shared" si="8"/>
        <v>4262.5048509646431</v>
      </c>
      <c r="G15" s="112">
        <f t="shared" si="8"/>
        <v>4345.3661535045158</v>
      </c>
      <c r="H15" s="112">
        <f t="shared" si="8"/>
        <v>4469.1415672988869</v>
      </c>
    </row>
    <row r="16" spans="1:15" x14ac:dyDescent="0.25">
      <c r="A16" s="232"/>
      <c r="B16" s="111" t="s">
        <v>124</v>
      </c>
      <c r="C16" s="111"/>
      <c r="D16" s="112">
        <f>(D27*D$29)+(D39*D$41)+(D51*D$53)+(D63*D$65)+(D75*D$77)+(D87*D$89)+D99+D112</f>
        <v>3320.4878525264739</v>
      </c>
      <c r="E16" s="112">
        <f t="shared" si="8"/>
        <v>3320.4878525264739</v>
      </c>
      <c r="F16" s="112">
        <f t="shared" si="8"/>
        <v>3345.5526645787495</v>
      </c>
      <c r="G16" s="112">
        <f t="shared" si="8"/>
        <v>3398.8414849378005</v>
      </c>
      <c r="H16" s="112">
        <f t="shared" si="8"/>
        <v>3478.4425241247191</v>
      </c>
    </row>
    <row r="17" spans="1:15" x14ac:dyDescent="0.25">
      <c r="A17" s="232"/>
      <c r="B17" s="114" t="s">
        <v>125</v>
      </c>
      <c r="C17" s="111"/>
      <c r="D17" s="115">
        <f>SUM(D13:D16)</f>
        <v>55677.596848528898</v>
      </c>
      <c r="E17" s="115">
        <f t="shared" ref="E17:H17" si="9">SUM(E13:E16)</f>
        <v>55677.596848528898</v>
      </c>
      <c r="F17" s="115">
        <f t="shared" si="9"/>
        <v>56097.881024382426</v>
      </c>
      <c r="G17" s="115">
        <f t="shared" si="9"/>
        <v>56991.422452105886</v>
      </c>
      <c r="H17" s="115">
        <f t="shared" si="9"/>
        <v>58326.164443467482</v>
      </c>
    </row>
    <row r="18" spans="1:15" s="117" customFormat="1" x14ac:dyDescent="0.25">
      <c r="A18" s="232"/>
      <c r="B18" s="116" t="s">
        <v>126</v>
      </c>
      <c r="C18" s="113"/>
      <c r="D18" s="115">
        <f>D30+D42+D54+D66+D78+D90+D102+D115-D17</f>
        <v>0</v>
      </c>
      <c r="E18" s="115">
        <f t="shared" ref="E18:H18" si="10">E30+E42+E54+E66+E78+E90+E102+E115-E17</f>
        <v>0</v>
      </c>
      <c r="F18" s="115">
        <f t="shared" si="10"/>
        <v>0</v>
      </c>
      <c r="G18" s="115">
        <f t="shared" si="10"/>
        <v>0</v>
      </c>
      <c r="H18" s="115">
        <f t="shared" si="10"/>
        <v>0</v>
      </c>
    </row>
    <row r="19" spans="1:15" s="117" customFormat="1" x14ac:dyDescent="0.25">
      <c r="A19" s="139"/>
      <c r="C19" s="118"/>
    </row>
    <row r="20" spans="1:15" x14ac:dyDescent="0.25">
      <c r="B20" s="119" t="s">
        <v>133</v>
      </c>
      <c r="C20" s="120"/>
      <c r="D20" s="121"/>
      <c r="E20" s="122"/>
      <c r="F20" s="122"/>
      <c r="G20" s="122"/>
      <c r="H20" s="122"/>
      <c r="J20" s="120"/>
      <c r="K20" s="233"/>
      <c r="L20" s="234"/>
      <c r="M20" s="234"/>
      <c r="N20" s="234"/>
      <c r="O20" s="234"/>
    </row>
    <row r="21" spans="1:15" x14ac:dyDescent="0.25">
      <c r="B21" s="5" t="s">
        <v>104</v>
      </c>
      <c r="C21" s="123">
        <f>'Proposed Fee'!H7</f>
        <v>73.74148301772</v>
      </c>
      <c r="D21" s="124">
        <f>C21*D$1</f>
        <v>73.74148301772</v>
      </c>
      <c r="E21" s="124">
        <f>D21*E1</f>
        <v>73.74148301772</v>
      </c>
      <c r="F21" s="124">
        <f>E21*F1</f>
        <v>74.552639330914914</v>
      </c>
      <c r="G21" s="124">
        <f>F21*G1</f>
        <v>76.277190983917635</v>
      </c>
      <c r="H21" s="124">
        <f>G21*H1</f>
        <v>78.853267969401486</v>
      </c>
      <c r="J21" s="123"/>
      <c r="K21" s="124">
        <f>J21*K$1</f>
        <v>0</v>
      </c>
      <c r="L21" s="124">
        <f>K21*L1</f>
        <v>0</v>
      </c>
      <c r="M21" s="124">
        <f>L21*M1</f>
        <v>0</v>
      </c>
      <c r="N21" s="124">
        <f>M21*N1</f>
        <v>0</v>
      </c>
      <c r="O21" s="124">
        <f>N21*O1</f>
        <v>0</v>
      </c>
    </row>
    <row r="22" spans="1:15" x14ac:dyDescent="0.25">
      <c r="B22" s="5" t="s">
        <v>99</v>
      </c>
      <c r="C22" s="123">
        <f>'Proposed Fee'!I7</f>
        <v>0</v>
      </c>
      <c r="D22" s="124">
        <f>C22</f>
        <v>0</v>
      </c>
      <c r="E22" s="124">
        <f t="shared" ref="E22:H23" si="11">D22</f>
        <v>0</v>
      </c>
      <c r="F22" s="124">
        <f t="shared" si="11"/>
        <v>0</v>
      </c>
      <c r="G22" s="124">
        <f t="shared" si="11"/>
        <v>0</v>
      </c>
      <c r="H22" s="124">
        <f t="shared" si="11"/>
        <v>0</v>
      </c>
      <c r="J22" s="123"/>
      <c r="K22" s="124">
        <f>J22</f>
        <v>0</v>
      </c>
      <c r="L22" s="124">
        <f t="shared" ref="L22:O23" si="12">K22</f>
        <v>0</v>
      </c>
      <c r="M22" s="124">
        <f t="shared" si="12"/>
        <v>0</v>
      </c>
      <c r="N22" s="124">
        <f t="shared" si="12"/>
        <v>0</v>
      </c>
      <c r="O22" s="124">
        <f t="shared" si="12"/>
        <v>0</v>
      </c>
    </row>
    <row r="23" spans="1:15" x14ac:dyDescent="0.25">
      <c r="B23" s="5" t="s">
        <v>127</v>
      </c>
      <c r="C23" s="123">
        <f>'Proposed Fee'!L7</f>
        <v>0</v>
      </c>
      <c r="D23" s="124">
        <f>C23</f>
        <v>0</v>
      </c>
      <c r="E23" s="124">
        <f t="shared" si="11"/>
        <v>0</v>
      </c>
      <c r="F23" s="124">
        <f t="shared" si="11"/>
        <v>0</v>
      </c>
      <c r="G23" s="124">
        <f t="shared" si="11"/>
        <v>0</v>
      </c>
      <c r="H23" s="124">
        <f t="shared" si="11"/>
        <v>0</v>
      </c>
      <c r="J23" s="123"/>
      <c r="K23" s="124">
        <f>J23</f>
        <v>0</v>
      </c>
      <c r="L23" s="124">
        <f t="shared" si="12"/>
        <v>0</v>
      </c>
      <c r="M23" s="124">
        <f t="shared" si="12"/>
        <v>0</v>
      </c>
      <c r="N23" s="124">
        <f t="shared" si="12"/>
        <v>0</v>
      </c>
      <c r="O23" s="124">
        <f t="shared" si="12"/>
        <v>0</v>
      </c>
    </row>
    <row r="24" spans="1:15" s="117" customFormat="1" x14ac:dyDescent="0.25">
      <c r="B24" s="125" t="s">
        <v>123</v>
      </c>
      <c r="C24" s="126">
        <f>'Proposed Fee'!M7</f>
        <v>73.74148301772</v>
      </c>
      <c r="D24" s="111">
        <f>SUM(D21:D23)</f>
        <v>73.74148301772</v>
      </c>
      <c r="E24" s="111">
        <f t="shared" ref="E24:H24" si="13">SUM(E21:E23)</f>
        <v>73.74148301772</v>
      </c>
      <c r="F24" s="111">
        <f t="shared" si="13"/>
        <v>74.552639330914914</v>
      </c>
      <c r="G24" s="111">
        <f t="shared" si="13"/>
        <v>76.277190983917635</v>
      </c>
      <c r="H24" s="111">
        <f t="shared" si="13"/>
        <v>78.853267969401486</v>
      </c>
      <c r="J24" s="126"/>
      <c r="K24" s="111">
        <f>SUM(K21:K23)</f>
        <v>0</v>
      </c>
      <c r="L24" s="111">
        <f t="shared" ref="L24:O24" si="14">SUM(L21:L23)</f>
        <v>0</v>
      </c>
      <c r="M24" s="111">
        <f t="shared" si="14"/>
        <v>0</v>
      </c>
      <c r="N24" s="111">
        <f t="shared" si="14"/>
        <v>0</v>
      </c>
      <c r="O24" s="111">
        <f t="shared" si="14"/>
        <v>0</v>
      </c>
    </row>
    <row r="25" spans="1:15" x14ac:dyDescent="0.25">
      <c r="B25" s="5" t="s">
        <v>101</v>
      </c>
      <c r="C25" s="123">
        <f>'Proposed Fee'!N7</f>
        <v>34.358119310666993</v>
      </c>
      <c r="D25" s="124">
        <f>D24*D$3</f>
        <v>34.358119310666993</v>
      </c>
      <c r="E25" s="124">
        <f t="shared" ref="E25:H25" si="15">E24*E$3</f>
        <v>34.358119310666993</v>
      </c>
      <c r="F25" s="124">
        <f t="shared" si="15"/>
        <v>34.736058623084325</v>
      </c>
      <c r="G25" s="124">
        <f t="shared" si="15"/>
        <v>35.539573131153517</v>
      </c>
      <c r="H25" s="124">
        <f t="shared" si="15"/>
        <v>36.739835952006317</v>
      </c>
      <c r="J25" s="123"/>
      <c r="K25" s="124">
        <f>K24*K$3</f>
        <v>0</v>
      </c>
      <c r="L25" s="124">
        <f t="shared" ref="L25:O25" si="16">L24*L$3</f>
        <v>0</v>
      </c>
      <c r="M25" s="124">
        <f t="shared" si="16"/>
        <v>0</v>
      </c>
      <c r="N25" s="124">
        <f t="shared" si="16"/>
        <v>0</v>
      </c>
      <c r="O25" s="124">
        <f t="shared" si="16"/>
        <v>0</v>
      </c>
    </row>
    <row r="26" spans="1:15" x14ac:dyDescent="0.25">
      <c r="B26" s="5" t="s">
        <v>102</v>
      </c>
      <c r="C26" s="123">
        <f>'Proposed Fee'!O7</f>
        <v>11.826480969500322</v>
      </c>
      <c r="D26" s="124">
        <f>D24*D$4</f>
        <v>11.826480969500322</v>
      </c>
      <c r="E26" s="124">
        <f t="shared" ref="E26:H26" si="17">E24*E$4</f>
        <v>11.826480969500322</v>
      </c>
      <c r="F26" s="124">
        <f t="shared" si="17"/>
        <v>11.956572260164824</v>
      </c>
      <c r="G26" s="124">
        <f t="shared" si="17"/>
        <v>12.233151689686958</v>
      </c>
      <c r="H26" s="124">
        <f t="shared" si="17"/>
        <v>12.646296695700352</v>
      </c>
      <c r="J26" s="123"/>
      <c r="K26" s="124">
        <f>K24*K$4</f>
        <v>0</v>
      </c>
      <c r="L26" s="124">
        <f t="shared" ref="L26:O26" si="18">L24*L$4</f>
        <v>0</v>
      </c>
      <c r="M26" s="124">
        <f t="shared" si="18"/>
        <v>0</v>
      </c>
      <c r="N26" s="124">
        <f t="shared" si="18"/>
        <v>0</v>
      </c>
      <c r="O26" s="124">
        <f t="shared" si="18"/>
        <v>0</v>
      </c>
    </row>
    <row r="27" spans="1:15" x14ac:dyDescent="0.25">
      <c r="B27" s="5" t="s">
        <v>103</v>
      </c>
      <c r="C27" s="123">
        <f>'Proposed Fee'!P7</f>
        <v>7.6057122027520139</v>
      </c>
      <c r="D27" s="124">
        <f>SUM(D24:D26)*D$5</f>
        <v>7.6057122027520139</v>
      </c>
      <c r="E27" s="124">
        <f t="shared" ref="E27:H27" si="19">SUM(E24:E26)*E$5</f>
        <v>7.6057122027520139</v>
      </c>
      <c r="F27" s="124">
        <f t="shared" si="19"/>
        <v>7.6893750369822857</v>
      </c>
      <c r="G27" s="124">
        <f t="shared" si="19"/>
        <v>7.8672456603377601</v>
      </c>
      <c r="H27" s="124">
        <f t="shared" si="19"/>
        <v>8.132942787136999</v>
      </c>
      <c r="J27" s="123"/>
      <c r="K27" s="124">
        <f>SUM(K24:K26)*K$5</f>
        <v>0</v>
      </c>
      <c r="L27" s="124">
        <f t="shared" ref="L27:O27" si="20">SUM(L24:L26)*L$5</f>
        <v>0</v>
      </c>
      <c r="M27" s="124">
        <f t="shared" si="20"/>
        <v>0</v>
      </c>
      <c r="N27" s="124">
        <f t="shared" si="20"/>
        <v>0</v>
      </c>
      <c r="O27" s="124">
        <f t="shared" si="20"/>
        <v>0</v>
      </c>
    </row>
    <row r="28" spans="1:15" s="117" customFormat="1" x14ac:dyDescent="0.25">
      <c r="B28" s="127" t="s">
        <v>128</v>
      </c>
      <c r="C28" s="128">
        <f>'Proposed Fee'!Q7</f>
        <v>127.53179550063933</v>
      </c>
      <c r="D28" s="129">
        <f>SUM(D24:D27)</f>
        <v>127.53179550063933</v>
      </c>
      <c r="E28" s="129">
        <f t="shared" ref="E28:H28" si="21">SUM(E24:E27)</f>
        <v>127.53179550063933</v>
      </c>
      <c r="F28" s="129">
        <f t="shared" si="21"/>
        <v>128.93464525114635</v>
      </c>
      <c r="G28" s="129">
        <f t="shared" si="21"/>
        <v>131.91716146509589</v>
      </c>
      <c r="H28" s="129">
        <f t="shared" si="21"/>
        <v>136.37234340424516</v>
      </c>
      <c r="J28" s="128"/>
      <c r="K28" s="129">
        <f>SUM(K24:K27)</f>
        <v>0</v>
      </c>
      <c r="L28" s="129">
        <f t="shared" ref="L28:O28" si="22">SUM(L24:L27)</f>
        <v>0</v>
      </c>
      <c r="M28" s="129">
        <f t="shared" si="22"/>
        <v>0</v>
      </c>
      <c r="N28" s="129">
        <f t="shared" si="22"/>
        <v>0</v>
      </c>
      <c r="O28" s="129">
        <f t="shared" si="22"/>
        <v>0</v>
      </c>
    </row>
    <row r="29" spans="1:15" x14ac:dyDescent="0.25">
      <c r="B29" s="130" t="s">
        <v>129</v>
      </c>
      <c r="C29" s="124"/>
      <c r="D29" s="131">
        <f>'Forecast Revenue - Costs'!D17</f>
        <v>5</v>
      </c>
      <c r="E29" s="131">
        <f>'Forecast Revenue - Costs'!E17</f>
        <v>5</v>
      </c>
      <c r="F29" s="131">
        <f>'Forecast Revenue - Costs'!F17</f>
        <v>5</v>
      </c>
      <c r="G29" s="131">
        <f>'Forecast Revenue - Costs'!G17</f>
        <v>5</v>
      </c>
      <c r="H29" s="131">
        <f>'Forecast Revenue - Costs'!H17</f>
        <v>5</v>
      </c>
      <c r="J29" s="124"/>
      <c r="K29" s="131"/>
      <c r="L29" s="131"/>
      <c r="M29" s="131"/>
      <c r="N29" s="131"/>
      <c r="O29" s="131"/>
    </row>
    <row r="30" spans="1:15" s="117" customFormat="1" x14ac:dyDescent="0.25">
      <c r="B30" s="114" t="s">
        <v>130</v>
      </c>
      <c r="C30" s="113"/>
      <c r="D30" s="115">
        <f>D28*D29</f>
        <v>637.65897750319664</v>
      </c>
      <c r="E30" s="115">
        <f t="shared" ref="E30:H30" si="23">E28*E29</f>
        <v>637.65897750319664</v>
      </c>
      <c r="F30" s="115">
        <f t="shared" si="23"/>
        <v>644.67322625573172</v>
      </c>
      <c r="G30" s="115">
        <f t="shared" si="23"/>
        <v>659.58580732547944</v>
      </c>
      <c r="H30" s="115">
        <f t="shared" si="23"/>
        <v>681.86171702122579</v>
      </c>
      <c r="J30" s="113"/>
      <c r="K30" s="115"/>
      <c r="L30" s="115"/>
      <c r="M30" s="115"/>
      <c r="N30" s="115"/>
      <c r="O30" s="115"/>
    </row>
    <row r="32" spans="1:15" x14ac:dyDescent="0.25">
      <c r="B32" s="119" t="s">
        <v>132</v>
      </c>
      <c r="C32" s="120"/>
      <c r="D32" s="233" t="s">
        <v>116</v>
      </c>
      <c r="E32" s="234"/>
      <c r="F32" s="234"/>
      <c r="G32" s="234"/>
      <c r="H32" s="234"/>
      <c r="J32" s="120"/>
      <c r="K32" s="233" t="s">
        <v>116</v>
      </c>
      <c r="L32" s="234"/>
      <c r="M32" s="234"/>
      <c r="N32" s="234"/>
      <c r="O32" s="234"/>
    </row>
    <row r="33" spans="2:15" x14ac:dyDescent="0.25">
      <c r="B33" s="5" t="s">
        <v>104</v>
      </c>
      <c r="C33" s="123">
        <f>'Proposed Fee'!H8</f>
        <v>100.75107071116501</v>
      </c>
      <c r="D33" s="124">
        <f>C33*D$1</f>
        <v>100.75107071116501</v>
      </c>
      <c r="E33" s="124">
        <f t="shared" ref="E33:H33" si="24">D33*E$1</f>
        <v>100.75107071116501</v>
      </c>
      <c r="F33" s="124">
        <f t="shared" si="24"/>
        <v>101.85933248898782</v>
      </c>
      <c r="G33" s="124">
        <f t="shared" si="24"/>
        <v>104.21554256812307</v>
      </c>
      <c r="H33" s="124">
        <f t="shared" si="24"/>
        <v>107.73516956639648</v>
      </c>
      <c r="J33" s="123"/>
      <c r="K33" s="124">
        <f>J33*K$1</f>
        <v>0</v>
      </c>
      <c r="L33" s="124">
        <f t="shared" ref="L33:O33" si="25">K33*L$1</f>
        <v>0</v>
      </c>
      <c r="M33" s="124">
        <f t="shared" si="25"/>
        <v>0</v>
      </c>
      <c r="N33" s="124">
        <f t="shared" si="25"/>
        <v>0</v>
      </c>
      <c r="O33" s="124">
        <f t="shared" si="25"/>
        <v>0</v>
      </c>
    </row>
    <row r="34" spans="2:15" x14ac:dyDescent="0.25">
      <c r="B34" s="5" t="s">
        <v>99</v>
      </c>
      <c r="C34" s="123">
        <f>'Proposed Fee'!I8</f>
        <v>0</v>
      </c>
      <c r="D34" s="124">
        <f>C34</f>
        <v>0</v>
      </c>
      <c r="E34" s="124">
        <f t="shared" ref="E34:H34" si="26">D34</f>
        <v>0</v>
      </c>
      <c r="F34" s="124">
        <f t="shared" si="26"/>
        <v>0</v>
      </c>
      <c r="G34" s="124">
        <f t="shared" si="26"/>
        <v>0</v>
      </c>
      <c r="H34" s="124">
        <f t="shared" si="26"/>
        <v>0</v>
      </c>
      <c r="J34" s="123"/>
      <c r="K34" s="124">
        <f>J34</f>
        <v>0</v>
      </c>
      <c r="L34" s="124">
        <f t="shared" ref="L34:O35" si="27">K34</f>
        <v>0</v>
      </c>
      <c r="M34" s="124">
        <f t="shared" si="27"/>
        <v>0</v>
      </c>
      <c r="N34" s="124">
        <f t="shared" si="27"/>
        <v>0</v>
      </c>
      <c r="O34" s="124">
        <f t="shared" si="27"/>
        <v>0</v>
      </c>
    </row>
    <row r="35" spans="2:15" x14ac:dyDescent="0.25">
      <c r="B35" s="5" t="s">
        <v>100</v>
      </c>
      <c r="C35" s="123">
        <f>'Proposed Fee'!L8</f>
        <v>0</v>
      </c>
      <c r="D35" s="124">
        <f>C35</f>
        <v>0</v>
      </c>
      <c r="E35" s="124">
        <f t="shared" ref="E35:H35" si="28">D35</f>
        <v>0</v>
      </c>
      <c r="F35" s="124">
        <f t="shared" si="28"/>
        <v>0</v>
      </c>
      <c r="G35" s="124">
        <f t="shared" si="28"/>
        <v>0</v>
      </c>
      <c r="H35" s="124">
        <f t="shared" si="28"/>
        <v>0</v>
      </c>
      <c r="J35" s="123"/>
      <c r="K35" s="124">
        <f>J35</f>
        <v>0</v>
      </c>
      <c r="L35" s="124">
        <f t="shared" si="27"/>
        <v>0</v>
      </c>
      <c r="M35" s="124">
        <f t="shared" si="27"/>
        <v>0</v>
      </c>
      <c r="N35" s="124">
        <f t="shared" si="27"/>
        <v>0</v>
      </c>
      <c r="O35" s="124">
        <f t="shared" si="27"/>
        <v>0</v>
      </c>
    </row>
    <row r="36" spans="2:15" x14ac:dyDescent="0.25">
      <c r="B36" s="125" t="s">
        <v>123</v>
      </c>
      <c r="C36" s="126">
        <f>'Proposed Fee'!M8</f>
        <v>100.75107071116501</v>
      </c>
      <c r="D36" s="111">
        <f>SUM(D33:D35)</f>
        <v>100.75107071116501</v>
      </c>
      <c r="E36" s="111">
        <f t="shared" ref="E36:H36" si="29">SUM(E33:E35)</f>
        <v>100.75107071116501</v>
      </c>
      <c r="F36" s="111">
        <f t="shared" si="29"/>
        <v>101.85933248898782</v>
      </c>
      <c r="G36" s="111">
        <f t="shared" si="29"/>
        <v>104.21554256812307</v>
      </c>
      <c r="H36" s="111">
        <f t="shared" si="29"/>
        <v>107.73516956639648</v>
      </c>
      <c r="J36" s="126"/>
      <c r="K36" s="111">
        <f>SUM(K33:K35)</f>
        <v>0</v>
      </c>
      <c r="L36" s="111">
        <f t="shared" ref="L36:O36" si="30">SUM(L33:L35)</f>
        <v>0</v>
      </c>
      <c r="M36" s="111">
        <f t="shared" si="30"/>
        <v>0</v>
      </c>
      <c r="N36" s="111">
        <f t="shared" si="30"/>
        <v>0</v>
      </c>
      <c r="O36" s="111">
        <f t="shared" si="30"/>
        <v>0</v>
      </c>
    </row>
    <row r="37" spans="2:15" x14ac:dyDescent="0.25">
      <c r="B37" s="5" t="s">
        <v>101</v>
      </c>
      <c r="C37" s="123">
        <f>'Proposed Fee'!N8</f>
        <v>46.942604983138615</v>
      </c>
      <c r="D37" s="124">
        <f>D36*D$3</f>
        <v>46.942604983138615</v>
      </c>
      <c r="E37" s="124">
        <f t="shared" ref="E37:H37" si="31">E36*E$3</f>
        <v>46.942604983138615</v>
      </c>
      <c r="F37" s="124">
        <f t="shared" si="31"/>
        <v>47.458973637953136</v>
      </c>
      <c r="G37" s="124">
        <f t="shared" si="31"/>
        <v>48.556794616146263</v>
      </c>
      <c r="H37" s="124">
        <f t="shared" si="31"/>
        <v>50.196682497254699</v>
      </c>
      <c r="J37" s="123"/>
      <c r="K37" s="124">
        <f>K36*K$3</f>
        <v>0</v>
      </c>
      <c r="L37" s="124">
        <f t="shared" ref="L37:O37" si="32">L36*L$3</f>
        <v>0</v>
      </c>
      <c r="M37" s="124">
        <f t="shared" si="32"/>
        <v>0</v>
      </c>
      <c r="N37" s="124">
        <f t="shared" si="32"/>
        <v>0</v>
      </c>
      <c r="O37" s="124">
        <f t="shared" si="32"/>
        <v>0</v>
      </c>
    </row>
    <row r="38" spans="2:15" x14ac:dyDescent="0.25">
      <c r="B38" s="5" t="s">
        <v>102</v>
      </c>
      <c r="C38" s="123">
        <f>'Proposed Fee'!O8</f>
        <v>16.158213418843921</v>
      </c>
      <c r="D38" s="124">
        <f>D36*D$4</f>
        <v>16.158213418843921</v>
      </c>
      <c r="E38" s="124">
        <f t="shared" ref="E38:H38" si="33">E36*E$4</f>
        <v>16.158213418843921</v>
      </c>
      <c r="F38" s="124">
        <f t="shared" si="33"/>
        <v>16.335953766451201</v>
      </c>
      <c r="G38" s="124">
        <f t="shared" si="33"/>
        <v>16.71383704897675</v>
      </c>
      <c r="H38" s="124">
        <f t="shared" si="33"/>
        <v>17.278306327480649</v>
      </c>
      <c r="J38" s="123"/>
      <c r="K38" s="124">
        <f>K36*K$4</f>
        <v>0</v>
      </c>
      <c r="L38" s="124">
        <f t="shared" ref="L38:O38" si="34">L36*L$4</f>
        <v>0</v>
      </c>
      <c r="M38" s="124">
        <f t="shared" si="34"/>
        <v>0</v>
      </c>
      <c r="N38" s="124">
        <f t="shared" si="34"/>
        <v>0</v>
      </c>
      <c r="O38" s="124">
        <f t="shared" si="34"/>
        <v>0</v>
      </c>
    </row>
    <row r="39" spans="2:15" x14ac:dyDescent="0.25">
      <c r="B39" s="5" t="s">
        <v>103</v>
      </c>
      <c r="C39" s="123">
        <f>'Proposed Fee'!P8</f>
        <v>10.39148680755582</v>
      </c>
      <c r="D39" s="124">
        <f>SUM(D36:D38)*D$5</f>
        <v>10.39148680755582</v>
      </c>
      <c r="E39" s="124">
        <f t="shared" ref="E39:H39" si="35">SUM(E36:E38)*E$5</f>
        <v>10.39148680755582</v>
      </c>
      <c r="F39" s="124">
        <f t="shared" si="35"/>
        <v>10.505793162438932</v>
      </c>
      <c r="G39" s="124">
        <f t="shared" si="35"/>
        <v>10.748813169872468</v>
      </c>
      <c r="H39" s="124">
        <f t="shared" si="35"/>
        <v>11.111828245165579</v>
      </c>
      <c r="J39" s="123"/>
      <c r="K39" s="124">
        <f>SUM(K36:K38)*K$5</f>
        <v>0</v>
      </c>
      <c r="L39" s="124">
        <f t="shared" ref="L39:O39" si="36">SUM(L36:L38)*L$5</f>
        <v>0</v>
      </c>
      <c r="M39" s="124">
        <f t="shared" si="36"/>
        <v>0</v>
      </c>
      <c r="N39" s="124">
        <f t="shared" si="36"/>
        <v>0</v>
      </c>
      <c r="O39" s="124">
        <f t="shared" si="36"/>
        <v>0</v>
      </c>
    </row>
    <row r="40" spans="2:15" s="117" customFormat="1" x14ac:dyDescent="0.25">
      <c r="B40" s="127" t="s">
        <v>128</v>
      </c>
      <c r="C40" s="128">
        <f>'Proposed Fee'!Q8</f>
        <v>174.24337592070339</v>
      </c>
      <c r="D40" s="129">
        <f>SUM(D36:D39)</f>
        <v>174.24337592070339</v>
      </c>
      <c r="E40" s="129">
        <f t="shared" ref="E40:H40" si="37">SUM(E36:E39)</f>
        <v>174.24337592070339</v>
      </c>
      <c r="F40" s="129">
        <f t="shared" si="37"/>
        <v>176.1600530558311</v>
      </c>
      <c r="G40" s="129">
        <f t="shared" si="37"/>
        <v>180.23498740311857</v>
      </c>
      <c r="H40" s="129">
        <f t="shared" si="37"/>
        <v>186.3219866362974</v>
      </c>
      <c r="J40" s="128"/>
      <c r="K40" s="129">
        <f>SUM(K36:K39)</f>
        <v>0</v>
      </c>
      <c r="L40" s="129">
        <f t="shared" ref="L40:O40" si="38">SUM(L36:L39)</f>
        <v>0</v>
      </c>
      <c r="M40" s="129">
        <f t="shared" si="38"/>
        <v>0</v>
      </c>
      <c r="N40" s="129">
        <f t="shared" si="38"/>
        <v>0</v>
      </c>
      <c r="O40" s="129">
        <f t="shared" si="38"/>
        <v>0</v>
      </c>
    </row>
    <row r="41" spans="2:15" x14ac:dyDescent="0.25">
      <c r="B41" s="130" t="s">
        <v>131</v>
      </c>
      <c r="C41" s="124"/>
      <c r="D41" s="131">
        <f>'Forecast Revenue - Costs'!D18</f>
        <v>0</v>
      </c>
      <c r="E41" s="131">
        <f>'Forecast Revenue - Costs'!E18</f>
        <v>0</v>
      </c>
      <c r="F41" s="131">
        <f>'Forecast Revenue - Costs'!F18</f>
        <v>0</v>
      </c>
      <c r="G41" s="131">
        <f>'Forecast Revenue - Costs'!G18</f>
        <v>0</v>
      </c>
      <c r="H41" s="131">
        <f>'Forecast Revenue - Costs'!H18</f>
        <v>0</v>
      </c>
      <c r="J41" s="124"/>
      <c r="K41" s="131"/>
      <c r="L41" s="131"/>
      <c r="M41" s="131"/>
      <c r="N41" s="131"/>
      <c r="O41" s="131"/>
    </row>
    <row r="42" spans="2:15" s="117" customFormat="1" x14ac:dyDescent="0.25">
      <c r="B42" s="114" t="s">
        <v>130</v>
      </c>
      <c r="C42" s="113"/>
      <c r="D42" s="115">
        <f>D40*D41</f>
        <v>0</v>
      </c>
      <c r="E42" s="115">
        <f t="shared" ref="E42:H42" si="39">E40*E41</f>
        <v>0</v>
      </c>
      <c r="F42" s="115">
        <f t="shared" si="39"/>
        <v>0</v>
      </c>
      <c r="G42" s="115">
        <f t="shared" si="39"/>
        <v>0</v>
      </c>
      <c r="H42" s="115">
        <f t="shared" si="39"/>
        <v>0</v>
      </c>
      <c r="J42" s="113"/>
      <c r="K42" s="115"/>
      <c r="L42" s="115"/>
      <c r="M42" s="115"/>
      <c r="N42" s="115"/>
      <c r="O42" s="115"/>
    </row>
    <row r="44" spans="2:15" x14ac:dyDescent="0.25">
      <c r="B44" s="119" t="s">
        <v>167</v>
      </c>
      <c r="C44" s="120"/>
      <c r="D44" s="233" t="s">
        <v>116</v>
      </c>
      <c r="E44" s="234"/>
      <c r="F44" s="234"/>
      <c r="G44" s="234"/>
      <c r="H44" s="234"/>
      <c r="J44" s="120"/>
      <c r="K44" s="233" t="s">
        <v>116</v>
      </c>
      <c r="L44" s="234"/>
      <c r="M44" s="234"/>
      <c r="N44" s="234"/>
      <c r="O44" s="234"/>
    </row>
    <row r="45" spans="2:15" x14ac:dyDescent="0.25">
      <c r="B45" s="5" t="s">
        <v>104</v>
      </c>
      <c r="C45" s="123">
        <f>'Proposed Fee'!H9</f>
        <v>103.26059762014499</v>
      </c>
      <c r="D45" s="124">
        <f>C45*D$1</f>
        <v>103.26059762014499</v>
      </c>
      <c r="E45" s="124">
        <f t="shared" ref="E45:H45" si="40">D45*E$1</f>
        <v>103.26059762014499</v>
      </c>
      <c r="F45" s="124">
        <f t="shared" si="40"/>
        <v>104.39646419396658</v>
      </c>
      <c r="G45" s="124">
        <f t="shared" si="40"/>
        <v>106.8113632037014</v>
      </c>
      <c r="H45" s="124">
        <f t="shared" si="40"/>
        <v>110.41865774336563</v>
      </c>
      <c r="J45" s="123"/>
      <c r="K45" s="124">
        <f>J45*K$1</f>
        <v>0</v>
      </c>
      <c r="L45" s="124">
        <f t="shared" ref="L45:O45" si="41">K45*L$1</f>
        <v>0</v>
      </c>
      <c r="M45" s="124">
        <f t="shared" si="41"/>
        <v>0</v>
      </c>
      <c r="N45" s="124">
        <f t="shared" si="41"/>
        <v>0</v>
      </c>
      <c r="O45" s="124">
        <f t="shared" si="41"/>
        <v>0</v>
      </c>
    </row>
    <row r="46" spans="2:15" x14ac:dyDescent="0.25">
      <c r="B46" s="5" t="s">
        <v>99</v>
      </c>
      <c r="C46" s="123">
        <f>'Proposed Fee'!I9</f>
        <v>0</v>
      </c>
      <c r="D46" s="124">
        <f>C46</f>
        <v>0</v>
      </c>
      <c r="E46" s="124">
        <f t="shared" ref="E46:H46" si="42">D46</f>
        <v>0</v>
      </c>
      <c r="F46" s="124">
        <f t="shared" si="42"/>
        <v>0</v>
      </c>
      <c r="G46" s="124">
        <f t="shared" si="42"/>
        <v>0</v>
      </c>
      <c r="H46" s="124">
        <f t="shared" si="42"/>
        <v>0</v>
      </c>
      <c r="J46" s="123"/>
      <c r="K46" s="124">
        <f>J46</f>
        <v>0</v>
      </c>
      <c r="L46" s="124">
        <f t="shared" ref="L46:O47" si="43">K46</f>
        <v>0</v>
      </c>
      <c r="M46" s="124">
        <f t="shared" si="43"/>
        <v>0</v>
      </c>
      <c r="N46" s="124">
        <f t="shared" si="43"/>
        <v>0</v>
      </c>
      <c r="O46" s="124">
        <f t="shared" si="43"/>
        <v>0</v>
      </c>
    </row>
    <row r="47" spans="2:15" x14ac:dyDescent="0.25">
      <c r="B47" s="5" t="s">
        <v>100</v>
      </c>
      <c r="C47" s="123">
        <f>'Proposed Fee'!L9</f>
        <v>0</v>
      </c>
      <c r="D47" s="124">
        <f>C47</f>
        <v>0</v>
      </c>
      <c r="E47" s="124">
        <f t="shared" ref="E47:H47" si="44">D47</f>
        <v>0</v>
      </c>
      <c r="F47" s="124">
        <f t="shared" si="44"/>
        <v>0</v>
      </c>
      <c r="G47" s="124">
        <f t="shared" si="44"/>
        <v>0</v>
      </c>
      <c r="H47" s="124">
        <f t="shared" si="44"/>
        <v>0</v>
      </c>
      <c r="J47" s="123"/>
      <c r="K47" s="124">
        <f>J47</f>
        <v>0</v>
      </c>
      <c r="L47" s="124">
        <f t="shared" si="43"/>
        <v>0</v>
      </c>
      <c r="M47" s="124">
        <f t="shared" si="43"/>
        <v>0</v>
      </c>
      <c r="N47" s="124">
        <f t="shared" si="43"/>
        <v>0</v>
      </c>
      <c r="O47" s="124">
        <f t="shared" si="43"/>
        <v>0</v>
      </c>
    </row>
    <row r="48" spans="2:15" x14ac:dyDescent="0.25">
      <c r="B48" s="125" t="s">
        <v>123</v>
      </c>
      <c r="C48" s="126">
        <f>'Proposed Fee'!M9</f>
        <v>103.26059762014499</v>
      </c>
      <c r="D48" s="111">
        <f>SUM(D45:D47)</f>
        <v>103.26059762014499</v>
      </c>
      <c r="E48" s="111">
        <f t="shared" ref="E48:H48" si="45">SUM(E45:E47)</f>
        <v>103.26059762014499</v>
      </c>
      <c r="F48" s="111">
        <f t="shared" si="45"/>
        <v>104.39646419396658</v>
      </c>
      <c r="G48" s="111">
        <f t="shared" si="45"/>
        <v>106.8113632037014</v>
      </c>
      <c r="H48" s="111">
        <f t="shared" si="45"/>
        <v>110.41865774336563</v>
      </c>
      <c r="J48" s="126"/>
      <c r="K48" s="111">
        <f>SUM(K45:K47)</f>
        <v>0</v>
      </c>
      <c r="L48" s="111">
        <f t="shared" ref="L48:O48" si="46">SUM(L45:L47)</f>
        <v>0</v>
      </c>
      <c r="M48" s="111">
        <f t="shared" si="46"/>
        <v>0</v>
      </c>
      <c r="N48" s="111">
        <f t="shared" si="46"/>
        <v>0</v>
      </c>
      <c r="O48" s="111">
        <f t="shared" si="46"/>
        <v>0</v>
      </c>
    </row>
    <row r="49" spans="2:15" x14ac:dyDescent="0.25">
      <c r="B49" s="5" t="s">
        <v>101</v>
      </c>
      <c r="C49" s="123">
        <f>'Proposed Fee'!N9</f>
        <v>48.111860352349787</v>
      </c>
      <c r="D49" s="124">
        <f>D48*D$3</f>
        <v>48.111860352349787</v>
      </c>
      <c r="E49" s="124">
        <f t="shared" ref="E49:H49" si="47">E48*E$3</f>
        <v>48.111860352349787</v>
      </c>
      <c r="F49" s="124">
        <f t="shared" si="47"/>
        <v>48.641090816225628</v>
      </c>
      <c r="G49" s="124">
        <f t="shared" si="47"/>
        <v>49.76625652898656</v>
      </c>
      <c r="H49" s="124">
        <f t="shared" si="47"/>
        <v>51.446991050595223</v>
      </c>
      <c r="J49" s="123"/>
      <c r="K49" s="124">
        <f>K48*K$3</f>
        <v>0</v>
      </c>
      <c r="L49" s="124">
        <f t="shared" ref="L49:O49" si="48">L48*L$3</f>
        <v>0</v>
      </c>
      <c r="M49" s="124">
        <f t="shared" si="48"/>
        <v>0</v>
      </c>
      <c r="N49" s="124">
        <f t="shared" si="48"/>
        <v>0</v>
      </c>
      <c r="O49" s="124">
        <f t="shared" si="48"/>
        <v>0</v>
      </c>
    </row>
    <row r="50" spans="2:15" x14ac:dyDescent="0.25">
      <c r="B50" s="5" t="s">
        <v>102</v>
      </c>
      <c r="C50" s="123">
        <f>'Proposed Fee'!O9</f>
        <v>16.560685284298117</v>
      </c>
      <c r="D50" s="124">
        <f>D48*D$4</f>
        <v>16.560685284298117</v>
      </c>
      <c r="E50" s="124">
        <f t="shared" ref="E50:H50" si="49">E48*E$4</f>
        <v>16.560685284298117</v>
      </c>
      <c r="F50" s="124">
        <f t="shared" si="49"/>
        <v>16.742852822425395</v>
      </c>
      <c r="G50" s="124">
        <f t="shared" si="49"/>
        <v>17.130148493913737</v>
      </c>
      <c r="H50" s="124">
        <f t="shared" si="49"/>
        <v>17.708677680999244</v>
      </c>
      <c r="J50" s="123"/>
      <c r="K50" s="124">
        <f>K48*K$4</f>
        <v>0</v>
      </c>
      <c r="L50" s="124">
        <f t="shared" ref="L50:O50" si="50">L48*L$4</f>
        <v>0</v>
      </c>
      <c r="M50" s="124">
        <f t="shared" si="50"/>
        <v>0</v>
      </c>
      <c r="N50" s="124">
        <f t="shared" si="50"/>
        <v>0</v>
      </c>
      <c r="O50" s="124">
        <f t="shared" si="50"/>
        <v>0</v>
      </c>
    </row>
    <row r="51" spans="2:15" x14ac:dyDescent="0.25">
      <c r="B51" s="5" t="s">
        <v>103</v>
      </c>
      <c r="C51" s="123">
        <f>'Proposed Fee'!P9</f>
        <v>10.650319945345807</v>
      </c>
      <c r="D51" s="124">
        <f>SUM(D48:D50)*D$5</f>
        <v>10.650319945345807</v>
      </c>
      <c r="E51" s="124">
        <f t="shared" ref="E51:H51" si="51">SUM(E48:E50)*E$5</f>
        <v>10.650319945345807</v>
      </c>
      <c r="F51" s="124">
        <f t="shared" si="51"/>
        <v>10.767473464744608</v>
      </c>
      <c r="G51" s="124">
        <f t="shared" si="51"/>
        <v>11.01654666093108</v>
      </c>
      <c r="H51" s="124">
        <f t="shared" si="51"/>
        <v>11.388603785041969</v>
      </c>
      <c r="J51" s="123"/>
      <c r="K51" s="124">
        <f>SUM(K48:K50)*K$5</f>
        <v>0</v>
      </c>
      <c r="L51" s="124">
        <f t="shared" ref="L51:O51" si="52">SUM(L48:L50)*L$5</f>
        <v>0</v>
      </c>
      <c r="M51" s="124">
        <f t="shared" si="52"/>
        <v>0</v>
      </c>
      <c r="N51" s="124">
        <f t="shared" si="52"/>
        <v>0</v>
      </c>
      <c r="O51" s="124">
        <f t="shared" si="52"/>
        <v>0</v>
      </c>
    </row>
    <row r="52" spans="2:15" x14ac:dyDescent="0.25">
      <c r="B52" s="127" t="s">
        <v>128</v>
      </c>
      <c r="C52" s="128">
        <f>'Proposed Fee'!Q9</f>
        <v>178.58346320213872</v>
      </c>
      <c r="D52" s="129">
        <f>SUM(D48:D51)</f>
        <v>178.58346320213872</v>
      </c>
      <c r="E52" s="129">
        <f t="shared" ref="E52:H52" si="53">SUM(E48:E51)</f>
        <v>178.58346320213872</v>
      </c>
      <c r="F52" s="129">
        <f t="shared" si="53"/>
        <v>180.54788129736218</v>
      </c>
      <c r="G52" s="129">
        <f t="shared" si="53"/>
        <v>184.72431488753278</v>
      </c>
      <c r="H52" s="129">
        <f t="shared" si="53"/>
        <v>190.96293026000205</v>
      </c>
      <c r="J52" s="128"/>
      <c r="K52" s="129">
        <f>SUM(K48:K51)</f>
        <v>0</v>
      </c>
      <c r="L52" s="129">
        <f t="shared" ref="L52:O52" si="54">SUM(L48:L51)</f>
        <v>0</v>
      </c>
      <c r="M52" s="129">
        <f t="shared" si="54"/>
        <v>0</v>
      </c>
      <c r="N52" s="129">
        <f t="shared" si="54"/>
        <v>0</v>
      </c>
      <c r="O52" s="129">
        <f t="shared" si="54"/>
        <v>0</v>
      </c>
    </row>
    <row r="53" spans="2:15" x14ac:dyDescent="0.25">
      <c r="B53" s="130" t="s">
        <v>131</v>
      </c>
      <c r="C53" s="124"/>
      <c r="D53" s="131">
        <f>'Forecast Revenue - Costs'!D19</f>
        <v>40</v>
      </c>
      <c r="E53" s="131">
        <f>'Forecast Revenue - Costs'!E19</f>
        <v>40</v>
      </c>
      <c r="F53" s="131">
        <f>'Forecast Revenue - Costs'!F19</f>
        <v>40</v>
      </c>
      <c r="G53" s="131">
        <f>'Forecast Revenue - Costs'!G19</f>
        <v>40</v>
      </c>
      <c r="H53" s="131">
        <f>'Forecast Revenue - Costs'!H19</f>
        <v>40</v>
      </c>
      <c r="J53" s="124"/>
      <c r="K53" s="131"/>
      <c r="L53" s="131"/>
      <c r="M53" s="131"/>
      <c r="N53" s="131"/>
      <c r="O53" s="131"/>
    </row>
    <row r="54" spans="2:15" x14ac:dyDescent="0.25">
      <c r="B54" s="114" t="s">
        <v>130</v>
      </c>
      <c r="C54" s="113"/>
      <c r="D54" s="115">
        <f>D52*D53</f>
        <v>7143.3385280855491</v>
      </c>
      <c r="E54" s="115">
        <f t="shared" ref="E54:H54" si="55">E52*E53</f>
        <v>7143.3385280855491</v>
      </c>
      <c r="F54" s="115">
        <f t="shared" si="55"/>
        <v>7221.9152518944875</v>
      </c>
      <c r="G54" s="115">
        <f t="shared" si="55"/>
        <v>7388.9725955013109</v>
      </c>
      <c r="H54" s="115">
        <f t="shared" si="55"/>
        <v>7638.5172104000821</v>
      </c>
      <c r="J54" s="113"/>
      <c r="K54" s="115"/>
      <c r="L54" s="115"/>
      <c r="M54" s="115"/>
      <c r="N54" s="115"/>
      <c r="O54" s="115"/>
    </row>
    <row r="56" spans="2:15" x14ac:dyDescent="0.25">
      <c r="B56" s="119" t="s">
        <v>166</v>
      </c>
      <c r="C56" s="120"/>
      <c r="D56" s="233" t="s">
        <v>116</v>
      </c>
      <c r="E56" s="234"/>
      <c r="F56" s="234"/>
      <c r="G56" s="234"/>
      <c r="H56" s="234"/>
      <c r="J56" s="120"/>
      <c r="K56" s="233" t="s">
        <v>116</v>
      </c>
      <c r="L56" s="234"/>
      <c r="M56" s="234"/>
      <c r="N56" s="234"/>
      <c r="O56" s="234"/>
    </row>
    <row r="57" spans="2:15" x14ac:dyDescent="0.25">
      <c r="B57" s="5" t="s">
        <v>104</v>
      </c>
      <c r="C57" s="123">
        <f>'Proposed Fee'!H10</f>
        <v>79.838346469665012</v>
      </c>
      <c r="D57" s="124">
        <f>C57*D$1</f>
        <v>79.838346469665012</v>
      </c>
      <c r="E57" s="124">
        <f t="shared" ref="E57:H57" si="56">D57*E$1</f>
        <v>79.838346469665012</v>
      </c>
      <c r="F57" s="124">
        <f t="shared" si="56"/>
        <v>80.716568280831325</v>
      </c>
      <c r="G57" s="124">
        <f t="shared" si="56"/>
        <v>82.583703938303515</v>
      </c>
      <c r="H57" s="124">
        <f t="shared" si="56"/>
        <v>85.372768091653498</v>
      </c>
      <c r="J57" s="123"/>
      <c r="K57" s="124">
        <f>J57*K$1</f>
        <v>0</v>
      </c>
      <c r="L57" s="124">
        <f t="shared" ref="L57:O57" si="57">K57*L$1</f>
        <v>0</v>
      </c>
      <c r="M57" s="124">
        <f t="shared" si="57"/>
        <v>0</v>
      </c>
      <c r="N57" s="124">
        <f t="shared" si="57"/>
        <v>0</v>
      </c>
      <c r="O57" s="124">
        <f t="shared" si="57"/>
        <v>0</v>
      </c>
    </row>
    <row r="58" spans="2:15" x14ac:dyDescent="0.25">
      <c r="B58" s="5" t="s">
        <v>99</v>
      </c>
      <c r="C58" s="123">
        <f>'Proposed Fee'!I10</f>
        <v>19.732436288346317</v>
      </c>
      <c r="D58" s="124">
        <f>C58</f>
        <v>19.732436288346317</v>
      </c>
      <c r="E58" s="124">
        <f>D58</f>
        <v>19.732436288346317</v>
      </c>
      <c r="F58" s="124">
        <f t="shared" ref="F58:H59" si="58">E58</f>
        <v>19.732436288346317</v>
      </c>
      <c r="G58" s="124">
        <f t="shared" si="58"/>
        <v>19.732436288346317</v>
      </c>
      <c r="H58" s="124">
        <f t="shared" si="58"/>
        <v>19.732436288346317</v>
      </c>
      <c r="J58" s="123"/>
      <c r="K58" s="124">
        <f>J58</f>
        <v>0</v>
      </c>
      <c r="L58" s="124">
        <f t="shared" ref="L58:O59" si="59">K58</f>
        <v>0</v>
      </c>
      <c r="M58" s="124">
        <f t="shared" si="59"/>
        <v>0</v>
      </c>
      <c r="N58" s="124">
        <f t="shared" si="59"/>
        <v>0</v>
      </c>
      <c r="O58" s="124">
        <f t="shared" si="59"/>
        <v>0</v>
      </c>
    </row>
    <row r="59" spans="2:15" x14ac:dyDescent="0.25">
      <c r="B59" s="5" t="s">
        <v>100</v>
      </c>
      <c r="C59" s="123">
        <f>'Proposed Fee'!L10</f>
        <v>0</v>
      </c>
      <c r="D59" s="124">
        <f>C59</f>
        <v>0</v>
      </c>
      <c r="E59" s="124">
        <f>D59</f>
        <v>0</v>
      </c>
      <c r="F59" s="124">
        <f t="shared" si="58"/>
        <v>0</v>
      </c>
      <c r="G59" s="124">
        <f t="shared" si="58"/>
        <v>0</v>
      </c>
      <c r="H59" s="124">
        <f t="shared" si="58"/>
        <v>0</v>
      </c>
      <c r="J59" s="123"/>
      <c r="K59" s="124">
        <f>J59</f>
        <v>0</v>
      </c>
      <c r="L59" s="124">
        <f t="shared" si="59"/>
        <v>0</v>
      </c>
      <c r="M59" s="124">
        <f t="shared" si="59"/>
        <v>0</v>
      </c>
      <c r="N59" s="124">
        <f t="shared" si="59"/>
        <v>0</v>
      </c>
      <c r="O59" s="124">
        <f t="shared" si="59"/>
        <v>0</v>
      </c>
    </row>
    <row r="60" spans="2:15" x14ac:dyDescent="0.25">
      <c r="B60" s="125" t="s">
        <v>123</v>
      </c>
      <c r="C60" s="126">
        <f>'Proposed Fee'!M10</f>
        <v>99.570782758011333</v>
      </c>
      <c r="D60" s="111">
        <f>SUM(D57:D59)</f>
        <v>99.570782758011333</v>
      </c>
      <c r="E60" s="111">
        <f t="shared" ref="E60:H60" si="60">SUM(E57:E59)</f>
        <v>99.570782758011333</v>
      </c>
      <c r="F60" s="111">
        <f t="shared" si="60"/>
        <v>100.44900456917765</v>
      </c>
      <c r="G60" s="111">
        <f t="shared" si="60"/>
        <v>102.31614022664984</v>
      </c>
      <c r="H60" s="111">
        <f t="shared" si="60"/>
        <v>105.10520437999982</v>
      </c>
      <c r="J60" s="126"/>
      <c r="K60" s="111">
        <f>SUM(K57:K59)</f>
        <v>0</v>
      </c>
      <c r="L60" s="111">
        <f t="shared" ref="L60:O60" si="61">SUM(L57:L59)</f>
        <v>0</v>
      </c>
      <c r="M60" s="111">
        <f t="shared" si="61"/>
        <v>0</v>
      </c>
      <c r="N60" s="111">
        <f t="shared" si="61"/>
        <v>0</v>
      </c>
      <c r="O60" s="111">
        <f t="shared" si="61"/>
        <v>0</v>
      </c>
    </row>
    <row r="61" spans="2:15" x14ac:dyDescent="0.25">
      <c r="B61" s="5" t="s">
        <v>101</v>
      </c>
      <c r="C61" s="123">
        <f>'Proposed Fee'!N10</f>
        <v>46.392677416511667</v>
      </c>
      <c r="D61" s="124">
        <f>D60*D$3</f>
        <v>46.392677416511667</v>
      </c>
      <c r="E61" s="124">
        <f t="shared" ref="E61:H61" si="62">E60*E$3</f>
        <v>46.392677416511667</v>
      </c>
      <c r="F61" s="124">
        <f t="shared" si="62"/>
        <v>46.801864329148501</v>
      </c>
      <c r="G61" s="124">
        <f t="shared" si="62"/>
        <v>47.671812519276635</v>
      </c>
      <c r="H61" s="124">
        <f t="shared" si="62"/>
        <v>48.971311729549853</v>
      </c>
      <c r="J61" s="123"/>
      <c r="K61" s="124">
        <f>K60*K$3</f>
        <v>0</v>
      </c>
      <c r="L61" s="124">
        <f t="shared" ref="L61:O61" si="63">L60*L$3</f>
        <v>0</v>
      </c>
      <c r="M61" s="124">
        <f t="shared" si="63"/>
        <v>0</v>
      </c>
      <c r="N61" s="124">
        <f t="shared" si="63"/>
        <v>0</v>
      </c>
      <c r="O61" s="124">
        <f t="shared" si="63"/>
        <v>0</v>
      </c>
    </row>
    <row r="62" spans="2:15" x14ac:dyDescent="0.25">
      <c r="B62" s="5" t="s">
        <v>102</v>
      </c>
      <c r="C62" s="123">
        <f>'Proposed Fee'!O10</f>
        <v>15.968921687171692</v>
      </c>
      <c r="D62" s="124">
        <f>D60*D$4</f>
        <v>15.968921687171692</v>
      </c>
      <c r="E62" s="124">
        <f t="shared" ref="E62:H62" si="64">E60*E$4</f>
        <v>15.968921687171692</v>
      </c>
      <c r="F62" s="124">
        <f t="shared" si="64"/>
        <v>16.109768780445673</v>
      </c>
      <c r="G62" s="124">
        <f t="shared" si="64"/>
        <v>16.409215488281262</v>
      </c>
      <c r="H62" s="124">
        <f t="shared" si="64"/>
        <v>16.856518861938433</v>
      </c>
      <c r="J62" s="123"/>
      <c r="K62" s="124">
        <f>K60*K$4</f>
        <v>0</v>
      </c>
      <c r="L62" s="124">
        <f t="shared" ref="L62:O62" si="65">L60*L$4</f>
        <v>0</v>
      </c>
      <c r="M62" s="124">
        <f t="shared" si="65"/>
        <v>0</v>
      </c>
      <c r="N62" s="124">
        <f t="shared" si="65"/>
        <v>0</v>
      </c>
      <c r="O62" s="124">
        <f t="shared" si="65"/>
        <v>0</v>
      </c>
    </row>
    <row r="63" spans="2:15" x14ac:dyDescent="0.25">
      <c r="B63" s="5" t="s">
        <v>103</v>
      </c>
      <c r="C63" s="123">
        <f>'Proposed Fee'!P10</f>
        <v>10.269751657668678</v>
      </c>
      <c r="D63" s="124">
        <f>SUM(D60:D62)*D$5</f>
        <v>10.269751657668678</v>
      </c>
      <c r="E63" s="124">
        <f t="shared" ref="E63:H63" si="66">SUM(E60:E62)*E$5</f>
        <v>10.269751657668678</v>
      </c>
      <c r="F63" s="124">
        <f t="shared" si="66"/>
        <v>10.36033164158771</v>
      </c>
      <c r="G63" s="124">
        <f t="shared" si="66"/>
        <v>10.552908409413455</v>
      </c>
      <c r="H63" s="124">
        <f t="shared" si="66"/>
        <v>10.840573077891777</v>
      </c>
      <c r="J63" s="123"/>
      <c r="K63" s="124">
        <f>SUM(K60:K62)*K$5</f>
        <v>0</v>
      </c>
      <c r="L63" s="124">
        <f t="shared" ref="L63:O63" si="67">SUM(L60:L62)*L$5</f>
        <v>0</v>
      </c>
      <c r="M63" s="124">
        <f t="shared" si="67"/>
        <v>0</v>
      </c>
      <c r="N63" s="124">
        <f t="shared" si="67"/>
        <v>0</v>
      </c>
      <c r="O63" s="124">
        <f t="shared" si="67"/>
        <v>0</v>
      </c>
    </row>
    <row r="64" spans="2:15" x14ac:dyDescent="0.25">
      <c r="B64" s="127" t="s">
        <v>128</v>
      </c>
      <c r="C64" s="128">
        <f>'Proposed Fee'!Q10</f>
        <v>172.20213351936337</v>
      </c>
      <c r="D64" s="129">
        <f>SUM(D60:D63)</f>
        <v>172.20213351936337</v>
      </c>
      <c r="E64" s="129">
        <f t="shared" ref="E64:H64" si="68">SUM(E60:E63)</f>
        <v>172.20213351936337</v>
      </c>
      <c r="F64" s="129">
        <f t="shared" si="68"/>
        <v>173.72096932035953</v>
      </c>
      <c r="G64" s="129">
        <f t="shared" si="68"/>
        <v>176.95007664362117</v>
      </c>
      <c r="H64" s="129">
        <f t="shared" si="68"/>
        <v>181.7736080493799</v>
      </c>
      <c r="J64" s="128"/>
      <c r="K64" s="129">
        <f>SUM(K60:K63)</f>
        <v>0</v>
      </c>
      <c r="L64" s="129">
        <f t="shared" ref="L64:O64" si="69">SUM(L60:L63)</f>
        <v>0</v>
      </c>
      <c r="M64" s="129">
        <f t="shared" si="69"/>
        <v>0</v>
      </c>
      <c r="N64" s="129">
        <f t="shared" si="69"/>
        <v>0</v>
      </c>
      <c r="O64" s="129">
        <f t="shared" si="69"/>
        <v>0</v>
      </c>
    </row>
    <row r="65" spans="2:15" x14ac:dyDescent="0.25">
      <c r="B65" s="130" t="s">
        <v>131</v>
      </c>
      <c r="C65" s="124"/>
      <c r="D65" s="131">
        <f>'Forecast Revenue - Costs'!D20</f>
        <v>200</v>
      </c>
      <c r="E65" s="131">
        <f>'Forecast Revenue - Costs'!E20</f>
        <v>200</v>
      </c>
      <c r="F65" s="131">
        <f>'Forecast Revenue - Costs'!F20</f>
        <v>200</v>
      </c>
      <c r="G65" s="131">
        <f>'Forecast Revenue - Costs'!G20</f>
        <v>200</v>
      </c>
      <c r="H65" s="131">
        <f>'Forecast Revenue - Costs'!H20</f>
        <v>200</v>
      </c>
      <c r="J65" s="124"/>
      <c r="K65" s="131"/>
      <c r="L65" s="131"/>
      <c r="M65" s="131"/>
      <c r="N65" s="131"/>
      <c r="O65" s="131"/>
    </row>
    <row r="66" spans="2:15" x14ac:dyDescent="0.25">
      <c r="B66" s="114" t="s">
        <v>130</v>
      </c>
      <c r="C66" s="113"/>
      <c r="D66" s="115">
        <f>D64*D65</f>
        <v>34440.426703872676</v>
      </c>
      <c r="E66" s="115">
        <f t="shared" ref="E66:H66" si="70">E64*E65</f>
        <v>34440.426703872676</v>
      </c>
      <c r="F66" s="115">
        <f t="shared" si="70"/>
        <v>34744.193864071909</v>
      </c>
      <c r="G66" s="115">
        <f t="shared" si="70"/>
        <v>35390.015328724236</v>
      </c>
      <c r="H66" s="115">
        <f t="shared" si="70"/>
        <v>36354.721609875982</v>
      </c>
      <c r="J66" s="113"/>
      <c r="K66" s="115"/>
      <c r="L66" s="115"/>
      <c r="M66" s="115"/>
      <c r="N66" s="115"/>
      <c r="O66" s="115"/>
    </row>
    <row r="68" spans="2:15" x14ac:dyDescent="0.25">
      <c r="B68" s="119" t="s">
        <v>134</v>
      </c>
      <c r="C68" s="120"/>
      <c r="D68" s="233" t="s">
        <v>116</v>
      </c>
      <c r="E68" s="234"/>
      <c r="F68" s="234"/>
      <c r="G68" s="234"/>
      <c r="H68" s="234"/>
      <c r="J68" s="120"/>
      <c r="K68" s="233" t="s">
        <v>116</v>
      </c>
      <c r="L68" s="234"/>
      <c r="M68" s="234"/>
      <c r="N68" s="234"/>
      <c r="O68" s="234"/>
    </row>
    <row r="69" spans="2:15" x14ac:dyDescent="0.25">
      <c r="B69" s="5" t="s">
        <v>104</v>
      </c>
      <c r="C69" s="123">
        <f>'Proposed Fee'!H11</f>
        <v>103.26059762014499</v>
      </c>
      <c r="D69" s="124">
        <f>C69*D$1</f>
        <v>103.26059762014499</v>
      </c>
      <c r="E69" s="124">
        <f t="shared" ref="E69:H69" si="71">D69*E$1</f>
        <v>103.26059762014499</v>
      </c>
      <c r="F69" s="124">
        <f t="shared" si="71"/>
        <v>104.39646419396658</v>
      </c>
      <c r="G69" s="124">
        <f t="shared" si="71"/>
        <v>106.8113632037014</v>
      </c>
      <c r="H69" s="124">
        <f t="shared" si="71"/>
        <v>110.41865774336563</v>
      </c>
      <c r="J69" s="123"/>
      <c r="K69" s="124">
        <f>J69*K$1</f>
        <v>0</v>
      </c>
      <c r="L69" s="124">
        <f t="shared" ref="L69:O69" si="72">K69*L$1</f>
        <v>0</v>
      </c>
      <c r="M69" s="124">
        <f t="shared" si="72"/>
        <v>0</v>
      </c>
      <c r="N69" s="124">
        <f t="shared" si="72"/>
        <v>0</v>
      </c>
      <c r="O69" s="124">
        <f t="shared" si="72"/>
        <v>0</v>
      </c>
    </row>
    <row r="70" spans="2:15" x14ac:dyDescent="0.25">
      <c r="B70" s="5" t="s">
        <v>99</v>
      </c>
      <c r="C70" s="123">
        <f>'Proposed Fee'!I11</f>
        <v>19.732436288346317</v>
      </c>
      <c r="D70" s="124">
        <f>C70</f>
        <v>19.732436288346317</v>
      </c>
      <c r="E70" s="124">
        <f t="shared" ref="E70:H71" si="73">D70</f>
        <v>19.732436288346317</v>
      </c>
      <c r="F70" s="124">
        <f t="shared" si="73"/>
        <v>19.732436288346317</v>
      </c>
      <c r="G70" s="124">
        <f t="shared" si="73"/>
        <v>19.732436288346317</v>
      </c>
      <c r="H70" s="124">
        <f t="shared" si="73"/>
        <v>19.732436288346317</v>
      </c>
      <c r="J70" s="123"/>
      <c r="K70" s="124">
        <f>J70</f>
        <v>0</v>
      </c>
      <c r="L70" s="124">
        <f t="shared" ref="L70:O71" si="74">K70</f>
        <v>0</v>
      </c>
      <c r="M70" s="124">
        <f t="shared" si="74"/>
        <v>0</v>
      </c>
      <c r="N70" s="124">
        <f t="shared" si="74"/>
        <v>0</v>
      </c>
      <c r="O70" s="124">
        <f t="shared" si="74"/>
        <v>0</v>
      </c>
    </row>
    <row r="71" spans="2:15" x14ac:dyDescent="0.25">
      <c r="B71" s="5" t="s">
        <v>100</v>
      </c>
      <c r="C71" s="123">
        <f>'Proposed Fee'!L11</f>
        <v>0</v>
      </c>
      <c r="D71" s="124">
        <f>C71</f>
        <v>0</v>
      </c>
      <c r="E71" s="124">
        <f t="shared" si="73"/>
        <v>0</v>
      </c>
      <c r="F71" s="124">
        <f t="shared" si="73"/>
        <v>0</v>
      </c>
      <c r="G71" s="124">
        <f t="shared" si="73"/>
        <v>0</v>
      </c>
      <c r="H71" s="124">
        <f t="shared" si="73"/>
        <v>0</v>
      </c>
      <c r="J71" s="123"/>
      <c r="K71" s="124">
        <f>J71</f>
        <v>0</v>
      </c>
      <c r="L71" s="124">
        <f t="shared" si="74"/>
        <v>0</v>
      </c>
      <c r="M71" s="124">
        <f t="shared" si="74"/>
        <v>0</v>
      </c>
      <c r="N71" s="124">
        <f t="shared" si="74"/>
        <v>0</v>
      </c>
      <c r="O71" s="124">
        <f t="shared" si="74"/>
        <v>0</v>
      </c>
    </row>
    <row r="72" spans="2:15" x14ac:dyDescent="0.25">
      <c r="B72" s="125" t="s">
        <v>123</v>
      </c>
      <c r="C72" s="126">
        <f>'Proposed Fee'!M11</f>
        <v>122.99303390849131</v>
      </c>
      <c r="D72" s="111">
        <f>SUM(D69:D71)</f>
        <v>122.99303390849131</v>
      </c>
      <c r="E72" s="111">
        <f t="shared" ref="E72:H72" si="75">SUM(E69:E71)</f>
        <v>122.99303390849131</v>
      </c>
      <c r="F72" s="111">
        <f t="shared" si="75"/>
        <v>124.1289004823129</v>
      </c>
      <c r="G72" s="111">
        <f t="shared" si="75"/>
        <v>126.54379949204773</v>
      </c>
      <c r="H72" s="111">
        <f t="shared" si="75"/>
        <v>130.15109403171195</v>
      </c>
      <c r="J72" s="126"/>
      <c r="K72" s="111">
        <f>SUM(K69:K71)</f>
        <v>0</v>
      </c>
      <c r="L72" s="111">
        <f t="shared" ref="L72:O72" si="76">SUM(L69:L71)</f>
        <v>0</v>
      </c>
      <c r="M72" s="111">
        <f t="shared" si="76"/>
        <v>0</v>
      </c>
      <c r="N72" s="111">
        <f t="shared" si="76"/>
        <v>0</v>
      </c>
      <c r="O72" s="111">
        <f t="shared" si="76"/>
        <v>0</v>
      </c>
    </row>
    <row r="73" spans="2:15" x14ac:dyDescent="0.25">
      <c r="B73" s="5" t="s">
        <v>101</v>
      </c>
      <c r="C73" s="123">
        <f>'Proposed Fee'!N11</f>
        <v>57.305727529149344</v>
      </c>
      <c r="D73" s="124">
        <f>D72*D$3</f>
        <v>57.305727529149344</v>
      </c>
      <c r="E73" s="124">
        <f t="shared" ref="E73:H73" si="77">E72*E$3</f>
        <v>57.305727529149344</v>
      </c>
      <c r="F73" s="124">
        <f t="shared" si="77"/>
        <v>57.834957993025185</v>
      </c>
      <c r="G73" s="124">
        <f t="shared" si="77"/>
        <v>58.960123705786117</v>
      </c>
      <c r="H73" s="124">
        <f t="shared" si="77"/>
        <v>60.64085822739478</v>
      </c>
      <c r="J73" s="123"/>
      <c r="K73" s="124">
        <f>K72*K$3</f>
        <v>0</v>
      </c>
      <c r="L73" s="124">
        <f t="shared" ref="L73:O73" si="78">L72*L$3</f>
        <v>0</v>
      </c>
      <c r="M73" s="124">
        <f t="shared" si="78"/>
        <v>0</v>
      </c>
      <c r="N73" s="124">
        <f t="shared" si="78"/>
        <v>0</v>
      </c>
      <c r="O73" s="124">
        <f t="shared" si="78"/>
        <v>0</v>
      </c>
    </row>
    <row r="74" spans="2:15" x14ac:dyDescent="0.25">
      <c r="B74" s="5" t="s">
        <v>102</v>
      </c>
      <c r="C74" s="123">
        <f>'Proposed Fee'!O11</f>
        <v>19.725325764744216</v>
      </c>
      <c r="D74" s="124">
        <f>D72*D$4</f>
        <v>19.725325764744216</v>
      </c>
      <c r="E74" s="124">
        <f t="shared" ref="E74:H74" si="79">E72*E$4</f>
        <v>19.725325764744216</v>
      </c>
      <c r="F74" s="124">
        <f t="shared" si="79"/>
        <v>19.907493302871494</v>
      </c>
      <c r="G74" s="124">
        <f t="shared" si="79"/>
        <v>20.294788974359836</v>
      </c>
      <c r="H74" s="124">
        <f t="shared" si="79"/>
        <v>20.873318161445344</v>
      </c>
      <c r="J74" s="123"/>
      <c r="K74" s="124">
        <f>K72*K$4</f>
        <v>0</v>
      </c>
      <c r="L74" s="124">
        <f t="shared" ref="L74:O74" si="80">L72*L$4</f>
        <v>0</v>
      </c>
      <c r="M74" s="124">
        <f t="shared" si="80"/>
        <v>0</v>
      </c>
      <c r="N74" s="124">
        <f t="shared" si="80"/>
        <v>0</v>
      </c>
      <c r="O74" s="124">
        <f t="shared" si="80"/>
        <v>0</v>
      </c>
    </row>
    <row r="75" spans="2:15" x14ac:dyDescent="0.25">
      <c r="B75" s="5" t="s">
        <v>103</v>
      </c>
      <c r="C75" s="123">
        <f>'Proposed Fee'!P11</f>
        <v>12.685527610375249</v>
      </c>
      <c r="D75" s="124">
        <f>SUM(D72:D74)*D$5</f>
        <v>12.685527610375249</v>
      </c>
      <c r="E75" s="124">
        <f t="shared" ref="E75:H75" si="81">SUM(E72:E74)*E$5</f>
        <v>12.685527610375249</v>
      </c>
      <c r="F75" s="124">
        <f t="shared" si="81"/>
        <v>12.802681129774054</v>
      </c>
      <c r="G75" s="124">
        <f t="shared" si="81"/>
        <v>13.051754325960525</v>
      </c>
      <c r="H75" s="124">
        <f t="shared" si="81"/>
        <v>13.423811450071414</v>
      </c>
      <c r="J75" s="123"/>
      <c r="K75" s="124">
        <f>SUM(K72:K74)*K$5</f>
        <v>0</v>
      </c>
      <c r="L75" s="124">
        <f t="shared" ref="L75:O75" si="82">SUM(L72:L74)*L$5</f>
        <v>0</v>
      </c>
      <c r="M75" s="124">
        <f t="shared" si="82"/>
        <v>0</v>
      </c>
      <c r="N75" s="124">
        <f t="shared" si="82"/>
        <v>0</v>
      </c>
      <c r="O75" s="124">
        <f t="shared" si="82"/>
        <v>0</v>
      </c>
    </row>
    <row r="76" spans="2:15" x14ac:dyDescent="0.25">
      <c r="B76" s="127" t="s">
        <v>128</v>
      </c>
      <c r="C76" s="128">
        <f>'Proposed Fee'!Q11</f>
        <v>212.70961481276012</v>
      </c>
      <c r="D76" s="129">
        <f>SUM(D72:D75)</f>
        <v>212.70961481276012</v>
      </c>
      <c r="E76" s="129">
        <f t="shared" ref="E76:H76" si="83">SUM(E72:E75)</f>
        <v>212.70961481276012</v>
      </c>
      <c r="F76" s="129">
        <f t="shared" si="83"/>
        <v>214.67403290798364</v>
      </c>
      <c r="G76" s="129">
        <f t="shared" si="83"/>
        <v>218.85046649815422</v>
      </c>
      <c r="H76" s="129">
        <f t="shared" si="83"/>
        <v>225.08908187062349</v>
      </c>
      <c r="J76" s="128"/>
      <c r="K76" s="129">
        <f>SUM(K72:K75)</f>
        <v>0</v>
      </c>
      <c r="L76" s="129">
        <f t="shared" ref="L76:O76" si="84">SUM(L72:L75)</f>
        <v>0</v>
      </c>
      <c r="M76" s="129">
        <f t="shared" si="84"/>
        <v>0</v>
      </c>
      <c r="N76" s="129">
        <f t="shared" si="84"/>
        <v>0</v>
      </c>
      <c r="O76" s="129">
        <f t="shared" si="84"/>
        <v>0</v>
      </c>
    </row>
    <row r="77" spans="2:15" x14ac:dyDescent="0.25">
      <c r="B77" s="130" t="s">
        <v>131</v>
      </c>
      <c r="C77" s="124"/>
      <c r="D77" s="131">
        <f>'Forecast Revenue - Costs'!D21</f>
        <v>10</v>
      </c>
      <c r="E77" s="131">
        <f>'Forecast Revenue - Costs'!E21</f>
        <v>10</v>
      </c>
      <c r="F77" s="131">
        <f>'Forecast Revenue - Costs'!F21</f>
        <v>10</v>
      </c>
      <c r="G77" s="131">
        <f>'Forecast Revenue - Costs'!G21</f>
        <v>10</v>
      </c>
      <c r="H77" s="131">
        <f>'Forecast Revenue - Costs'!H21</f>
        <v>10</v>
      </c>
      <c r="J77" s="124"/>
      <c r="K77" s="131"/>
      <c r="L77" s="131"/>
      <c r="M77" s="131"/>
      <c r="N77" s="131"/>
      <c r="O77" s="131"/>
    </row>
    <row r="78" spans="2:15" x14ac:dyDescent="0.25">
      <c r="B78" s="114" t="s">
        <v>130</v>
      </c>
      <c r="C78" s="113"/>
      <c r="D78" s="115">
        <f>D76*D77</f>
        <v>2127.0961481276013</v>
      </c>
      <c r="E78" s="115">
        <f t="shared" ref="E78:H78" si="85">E76*E77</f>
        <v>2127.0961481276013</v>
      </c>
      <c r="F78" s="115">
        <f t="shared" si="85"/>
        <v>2146.7403290798366</v>
      </c>
      <c r="G78" s="115">
        <f t="shared" si="85"/>
        <v>2188.5046649815422</v>
      </c>
      <c r="H78" s="115">
        <f t="shared" si="85"/>
        <v>2250.8908187062348</v>
      </c>
      <c r="J78" s="113"/>
      <c r="K78" s="115"/>
      <c r="L78" s="115"/>
      <c r="M78" s="115"/>
      <c r="N78" s="115"/>
      <c r="O78" s="115"/>
    </row>
    <row r="80" spans="2:15" x14ac:dyDescent="0.25">
      <c r="B80" s="119" t="s">
        <v>135</v>
      </c>
      <c r="C80" s="120"/>
      <c r="D80" s="233" t="s">
        <v>116</v>
      </c>
      <c r="E80" s="234"/>
      <c r="F80" s="234"/>
      <c r="G80" s="234"/>
      <c r="H80" s="234"/>
      <c r="J80" s="120"/>
      <c r="K80" s="233" t="s">
        <v>116</v>
      </c>
      <c r="L80" s="234"/>
      <c r="M80" s="234"/>
      <c r="N80" s="234"/>
      <c r="O80" s="234"/>
    </row>
    <row r="81" spans="1:15" x14ac:dyDescent="0.25">
      <c r="B81" s="5" t="s">
        <v>104</v>
      </c>
      <c r="C81" s="123">
        <f>'Proposed Fee'!H12</f>
        <v>118.60731987121498</v>
      </c>
      <c r="D81" s="124">
        <f>C81*D$1</f>
        <v>118.60731987121498</v>
      </c>
      <c r="E81" s="124">
        <f t="shared" ref="E81" si="86">D81*E$1</f>
        <v>118.60731987121498</v>
      </c>
      <c r="F81" s="124">
        <f t="shared" ref="F81" si="87">E81*F$1</f>
        <v>119.91200038979834</v>
      </c>
      <c r="G81" s="124">
        <f t="shared" ref="G81" si="88">F81*G$1</f>
        <v>122.68580478281514</v>
      </c>
      <c r="H81" s="124">
        <f t="shared" ref="H81" si="89">G81*H$1</f>
        <v>126.82922005636932</v>
      </c>
      <c r="J81" s="123"/>
      <c r="K81" s="124">
        <f>J81*K$1</f>
        <v>0</v>
      </c>
      <c r="L81" s="124">
        <f t="shared" ref="L81:O81" si="90">K81*L$1</f>
        <v>0</v>
      </c>
      <c r="M81" s="124">
        <f t="shared" si="90"/>
        <v>0</v>
      </c>
      <c r="N81" s="124">
        <f t="shared" si="90"/>
        <v>0</v>
      </c>
      <c r="O81" s="124">
        <f t="shared" si="90"/>
        <v>0</v>
      </c>
    </row>
    <row r="82" spans="1:15" x14ac:dyDescent="0.25">
      <c r="B82" s="5" t="s">
        <v>99</v>
      </c>
      <c r="C82" s="123">
        <f>'Proposed Fee'!I12</f>
        <v>19.732436288346317</v>
      </c>
      <c r="D82" s="124">
        <f>C82</f>
        <v>19.732436288346317</v>
      </c>
      <c r="E82" s="124">
        <f t="shared" ref="E82:E83" si="91">D82</f>
        <v>19.732436288346317</v>
      </c>
      <c r="F82" s="124">
        <f t="shared" ref="F82:F83" si="92">E82</f>
        <v>19.732436288346317</v>
      </c>
      <c r="G82" s="124">
        <f t="shared" ref="G82:G83" si="93">F82</f>
        <v>19.732436288346317</v>
      </c>
      <c r="H82" s="124">
        <f t="shared" ref="H82:H83" si="94">G82</f>
        <v>19.732436288346317</v>
      </c>
      <c r="J82" s="123"/>
      <c r="K82" s="124">
        <f>J82</f>
        <v>0</v>
      </c>
      <c r="L82" s="124">
        <f t="shared" ref="L82:O83" si="95">K82</f>
        <v>0</v>
      </c>
      <c r="M82" s="124">
        <f t="shared" si="95"/>
        <v>0</v>
      </c>
      <c r="N82" s="124">
        <f t="shared" si="95"/>
        <v>0</v>
      </c>
      <c r="O82" s="124">
        <f t="shared" si="95"/>
        <v>0</v>
      </c>
    </row>
    <row r="83" spans="1:15" x14ac:dyDescent="0.25">
      <c r="B83" s="5" t="s">
        <v>100</v>
      </c>
      <c r="C83" s="123">
        <f>'Proposed Fee'!L12</f>
        <v>0</v>
      </c>
      <c r="D83" s="124">
        <f>C83</f>
        <v>0</v>
      </c>
      <c r="E83" s="124">
        <f t="shared" si="91"/>
        <v>0</v>
      </c>
      <c r="F83" s="124">
        <f t="shared" si="92"/>
        <v>0</v>
      </c>
      <c r="G83" s="124">
        <f t="shared" si="93"/>
        <v>0</v>
      </c>
      <c r="H83" s="124">
        <f t="shared" si="94"/>
        <v>0</v>
      </c>
      <c r="J83" s="123"/>
      <c r="K83" s="124">
        <f>J83</f>
        <v>0</v>
      </c>
      <c r="L83" s="124">
        <f t="shared" si="95"/>
        <v>0</v>
      </c>
      <c r="M83" s="124">
        <f t="shared" si="95"/>
        <v>0</v>
      </c>
      <c r="N83" s="124">
        <f t="shared" si="95"/>
        <v>0</v>
      </c>
      <c r="O83" s="124">
        <f t="shared" si="95"/>
        <v>0</v>
      </c>
    </row>
    <row r="84" spans="1:15" x14ac:dyDescent="0.25">
      <c r="B84" s="125" t="s">
        <v>123</v>
      </c>
      <c r="C84" s="126">
        <f>'Proposed Fee'!M12</f>
        <v>138.33975615956129</v>
      </c>
      <c r="D84" s="111">
        <f>SUM(D81:D83)</f>
        <v>138.33975615956129</v>
      </c>
      <c r="E84" s="111">
        <f t="shared" ref="E84:H84" si="96">SUM(E81:E83)</f>
        <v>138.33975615956129</v>
      </c>
      <c r="F84" s="111">
        <f t="shared" si="96"/>
        <v>139.64443667814464</v>
      </c>
      <c r="G84" s="111">
        <f t="shared" si="96"/>
        <v>142.41824107116145</v>
      </c>
      <c r="H84" s="111">
        <f t="shared" si="96"/>
        <v>146.56165634471563</v>
      </c>
      <c r="J84" s="123"/>
      <c r="K84" s="124"/>
      <c r="L84" s="124"/>
      <c r="M84" s="124"/>
      <c r="N84" s="124"/>
      <c r="O84" s="124"/>
    </row>
    <row r="85" spans="1:15" x14ac:dyDescent="0.25">
      <c r="B85" s="5" t="s">
        <v>101</v>
      </c>
      <c r="C85" s="123">
        <f>'Proposed Fee'!N12</f>
        <v>64.45617382547924</v>
      </c>
      <c r="D85" s="124">
        <f>D84*D$3</f>
        <v>64.45617382547924</v>
      </c>
      <c r="E85" s="124">
        <f t="shared" ref="E85:H85" si="97">E84*E$3</f>
        <v>64.45617382547924</v>
      </c>
      <c r="F85" s="124">
        <f t="shared" si="97"/>
        <v>65.064059198614714</v>
      </c>
      <c r="G85" s="124">
        <f t="shared" si="97"/>
        <v>66.356448480463342</v>
      </c>
      <c r="H85" s="124">
        <f t="shared" si="97"/>
        <v>68.286975918977234</v>
      </c>
      <c r="J85" s="126"/>
      <c r="K85" s="111">
        <f>SUM(K81:K83)</f>
        <v>0</v>
      </c>
      <c r="L85" s="111">
        <f t="shared" ref="L85:O85" si="98">SUM(L81:L83)</f>
        <v>0</v>
      </c>
      <c r="M85" s="111">
        <f t="shared" si="98"/>
        <v>0</v>
      </c>
      <c r="N85" s="111">
        <f t="shared" si="98"/>
        <v>0</v>
      </c>
      <c r="O85" s="111">
        <f t="shared" si="98"/>
        <v>0</v>
      </c>
    </row>
    <row r="86" spans="1:15" x14ac:dyDescent="0.25">
      <c r="B86" s="5" t="s">
        <v>102</v>
      </c>
      <c r="C86" s="123">
        <f>'Proposed Fee'!O12</f>
        <v>22.18659601886797</v>
      </c>
      <c r="D86" s="124">
        <f>D84*D$4</f>
        <v>22.18659601886797</v>
      </c>
      <c r="E86" s="124">
        <f t="shared" ref="E86:H86" si="99">E84*E$4</f>
        <v>22.18659601886797</v>
      </c>
      <c r="F86" s="124">
        <f t="shared" si="99"/>
        <v>22.395837529790608</v>
      </c>
      <c r="G86" s="124">
        <f t="shared" si="99"/>
        <v>22.840693579936044</v>
      </c>
      <c r="H86" s="124">
        <f t="shared" si="99"/>
        <v>23.50520451565523</v>
      </c>
      <c r="J86" s="123"/>
      <c r="K86" s="124">
        <f>K85*K$3</f>
        <v>0</v>
      </c>
      <c r="L86" s="124">
        <f t="shared" ref="L86:O86" si="100">L85*L$3</f>
        <v>0</v>
      </c>
      <c r="M86" s="124">
        <f t="shared" si="100"/>
        <v>0</v>
      </c>
      <c r="N86" s="124">
        <f t="shared" si="100"/>
        <v>0</v>
      </c>
      <c r="O86" s="124">
        <f t="shared" si="100"/>
        <v>0</v>
      </c>
    </row>
    <row r="87" spans="1:15" x14ac:dyDescent="0.25">
      <c r="B87" s="5" t="s">
        <v>103</v>
      </c>
      <c r="C87" s="123">
        <f>'Proposed Fee'!P12</f>
        <v>14.268391799167876</v>
      </c>
      <c r="D87" s="124">
        <f>SUM(D84:D86)*D$5</f>
        <v>14.268391799167876</v>
      </c>
      <c r="E87" s="124">
        <f t="shared" ref="E87:H87" si="101">SUM(E84:E86)*E$5</f>
        <v>14.268391799167876</v>
      </c>
      <c r="F87" s="124">
        <f t="shared" si="101"/>
        <v>14.402956824643399</v>
      </c>
      <c r="G87" s="124">
        <f t="shared" si="101"/>
        <v>14.689047598203588</v>
      </c>
      <c r="H87" s="124">
        <f t="shared" si="101"/>
        <v>15.116400328546259</v>
      </c>
      <c r="J87" s="123"/>
      <c r="K87" s="124">
        <f>K85*K$4</f>
        <v>0</v>
      </c>
      <c r="L87" s="124">
        <f t="shared" ref="L87:O87" si="102">L85*L$4</f>
        <v>0</v>
      </c>
      <c r="M87" s="124">
        <f t="shared" si="102"/>
        <v>0</v>
      </c>
      <c r="N87" s="124">
        <f t="shared" si="102"/>
        <v>0</v>
      </c>
      <c r="O87" s="124">
        <f t="shared" si="102"/>
        <v>0</v>
      </c>
    </row>
    <row r="88" spans="1:15" x14ac:dyDescent="0.25">
      <c r="B88" s="127" t="s">
        <v>128</v>
      </c>
      <c r="C88" s="128">
        <f>'Proposed Fee'!Q12</f>
        <v>239.25091780307636</v>
      </c>
      <c r="D88" s="129">
        <f>SUM(D84:D87)</f>
        <v>239.25091780307636</v>
      </c>
      <c r="E88" s="129">
        <f t="shared" ref="E88:H88" si="103">SUM(E84:E87)</f>
        <v>239.25091780307636</v>
      </c>
      <c r="F88" s="129">
        <f t="shared" si="103"/>
        <v>241.50729023119337</v>
      </c>
      <c r="G88" s="129">
        <f t="shared" si="103"/>
        <v>246.30443072976442</v>
      </c>
      <c r="H88" s="129">
        <f t="shared" si="103"/>
        <v>253.47023710789438</v>
      </c>
      <c r="J88" s="123"/>
      <c r="K88" s="124">
        <f>SUM(K85:K87)*K$5</f>
        <v>0</v>
      </c>
      <c r="L88" s="124">
        <f t="shared" ref="L88:O88" si="104">SUM(L85:L87)*L$5</f>
        <v>0</v>
      </c>
      <c r="M88" s="124">
        <f t="shared" si="104"/>
        <v>0</v>
      </c>
      <c r="N88" s="124">
        <f t="shared" si="104"/>
        <v>0</v>
      </c>
      <c r="O88" s="124">
        <f t="shared" si="104"/>
        <v>0</v>
      </c>
    </row>
    <row r="89" spans="1:15" x14ac:dyDescent="0.25">
      <c r="B89" s="130" t="s">
        <v>131</v>
      </c>
      <c r="C89" s="124"/>
      <c r="D89" s="131">
        <f>'Forecast Revenue - Costs'!D22</f>
        <v>5</v>
      </c>
      <c r="E89" s="131">
        <f>'Forecast Revenue - Costs'!E22</f>
        <v>5</v>
      </c>
      <c r="F89" s="131">
        <f>'Forecast Revenue - Costs'!F22</f>
        <v>5</v>
      </c>
      <c r="G89" s="131">
        <f>'Forecast Revenue - Costs'!G22</f>
        <v>5</v>
      </c>
      <c r="H89" s="131">
        <f>'Forecast Revenue - Costs'!H22</f>
        <v>5</v>
      </c>
      <c r="J89" s="128"/>
      <c r="K89" s="129">
        <f>SUM(K85:K88)</f>
        <v>0</v>
      </c>
      <c r="L89" s="129">
        <f t="shared" ref="L89:O89" si="105">SUM(L85:L88)</f>
        <v>0</v>
      </c>
      <c r="M89" s="129">
        <f t="shared" si="105"/>
        <v>0</v>
      </c>
      <c r="N89" s="129">
        <f t="shared" si="105"/>
        <v>0</v>
      </c>
      <c r="O89" s="129">
        <f t="shared" si="105"/>
        <v>0</v>
      </c>
    </row>
    <row r="90" spans="1:15" x14ac:dyDescent="0.25">
      <c r="B90" s="114" t="s">
        <v>130</v>
      </c>
      <c r="C90" s="113"/>
      <c r="D90" s="115">
        <f>D88*D89</f>
        <v>1196.2545890153817</v>
      </c>
      <c r="E90" s="115">
        <f t="shared" ref="E90:H90" si="106">E88*E89</f>
        <v>1196.2545890153817</v>
      </c>
      <c r="F90" s="115">
        <f t="shared" si="106"/>
        <v>1207.5364511559669</v>
      </c>
      <c r="G90" s="115">
        <f t="shared" si="106"/>
        <v>1231.522153648822</v>
      </c>
      <c r="H90" s="115">
        <f t="shared" si="106"/>
        <v>1267.3511855394718</v>
      </c>
      <c r="J90" s="124"/>
      <c r="K90" s="131"/>
      <c r="L90" s="131"/>
      <c r="M90" s="131"/>
      <c r="N90" s="131"/>
      <c r="O90" s="131"/>
    </row>
    <row r="92" spans="1:15" x14ac:dyDescent="0.25">
      <c r="A92" s="230"/>
      <c r="B92" s="119" t="s">
        <v>136</v>
      </c>
      <c r="C92" s="120"/>
      <c r="D92" s="233" t="s">
        <v>116</v>
      </c>
      <c r="E92" s="234"/>
      <c r="F92" s="234"/>
      <c r="G92" s="234"/>
      <c r="H92" s="234"/>
      <c r="J92" s="120"/>
      <c r="K92" s="233" t="s">
        <v>116</v>
      </c>
      <c r="L92" s="234"/>
      <c r="M92" s="234"/>
      <c r="N92" s="234"/>
      <c r="O92" s="234"/>
    </row>
    <row r="93" spans="1:15" x14ac:dyDescent="0.25">
      <c r="A93" s="231"/>
      <c r="B93" s="5" t="s">
        <v>104</v>
      </c>
      <c r="C93" s="123">
        <f>'Proposed Fee'!H22</f>
        <v>0</v>
      </c>
      <c r="D93" s="124">
        <f>C93*D$1</f>
        <v>0</v>
      </c>
      <c r="E93" s="124">
        <f t="shared" ref="E93" si="107">D93*E$1</f>
        <v>0</v>
      </c>
      <c r="F93" s="124">
        <f t="shared" ref="F93" si="108">E93*F$1</f>
        <v>0</v>
      </c>
      <c r="G93" s="124">
        <f t="shared" ref="G93" si="109">F93*G$1</f>
        <v>0</v>
      </c>
      <c r="H93" s="124">
        <f t="shared" ref="H93" si="110">G93*H$1</f>
        <v>0</v>
      </c>
      <c r="J93" s="123"/>
      <c r="K93" s="124">
        <f>J93*K$1</f>
        <v>0</v>
      </c>
      <c r="L93" s="124">
        <f t="shared" ref="L93" si="111">K93*L$1</f>
        <v>0</v>
      </c>
      <c r="M93" s="124">
        <f t="shared" ref="M93" si="112">L93*M$1</f>
        <v>0</v>
      </c>
      <c r="N93" s="124">
        <f t="shared" ref="N93" si="113">M93*N$1</f>
        <v>0</v>
      </c>
      <c r="O93" s="124">
        <f t="shared" ref="O93" si="114">N93*O$1</f>
        <v>0</v>
      </c>
    </row>
    <row r="94" spans="1:15" x14ac:dyDescent="0.25">
      <c r="A94" s="231"/>
      <c r="B94" s="5" t="s">
        <v>99</v>
      </c>
      <c r="C94" s="123">
        <f>'Proposed Fee'!I22</f>
        <v>0</v>
      </c>
      <c r="D94" s="124">
        <f>C94</f>
        <v>0</v>
      </c>
      <c r="E94" s="124">
        <f t="shared" ref="E94:E95" si="115">D94</f>
        <v>0</v>
      </c>
      <c r="F94" s="124">
        <f t="shared" ref="F94:F95" si="116">E94</f>
        <v>0</v>
      </c>
      <c r="G94" s="124">
        <f t="shared" ref="G94:G95" si="117">F94</f>
        <v>0</v>
      </c>
      <c r="H94" s="124">
        <f t="shared" ref="H94:H95" si="118">G94</f>
        <v>0</v>
      </c>
      <c r="J94" s="123"/>
      <c r="K94" s="124">
        <f>J94</f>
        <v>0</v>
      </c>
      <c r="L94" s="124">
        <f t="shared" ref="L94:L95" si="119">K94</f>
        <v>0</v>
      </c>
      <c r="M94" s="124">
        <f t="shared" ref="M94:M95" si="120">L94</f>
        <v>0</v>
      </c>
      <c r="N94" s="124">
        <f t="shared" ref="N94:N95" si="121">M94</f>
        <v>0</v>
      </c>
      <c r="O94" s="124">
        <f t="shared" ref="O94:O95" si="122">N94</f>
        <v>0</v>
      </c>
    </row>
    <row r="95" spans="1:15" x14ac:dyDescent="0.25">
      <c r="A95" s="231"/>
      <c r="B95" s="5" t="s">
        <v>100</v>
      </c>
      <c r="C95" s="123">
        <f>'Proposed Fee'!L22</f>
        <v>0</v>
      </c>
      <c r="D95" s="124">
        <f>'Forecast Revenue - Costs'!D23</f>
        <v>5000</v>
      </c>
      <c r="E95" s="124">
        <f t="shared" si="115"/>
        <v>5000</v>
      </c>
      <c r="F95" s="124">
        <f t="shared" si="116"/>
        <v>5000</v>
      </c>
      <c r="G95" s="124">
        <f t="shared" si="117"/>
        <v>5000</v>
      </c>
      <c r="H95" s="124">
        <f t="shared" si="118"/>
        <v>5000</v>
      </c>
      <c r="J95" s="123"/>
      <c r="K95" s="124">
        <f>J95</f>
        <v>0</v>
      </c>
      <c r="L95" s="124">
        <f t="shared" si="119"/>
        <v>0</v>
      </c>
      <c r="M95" s="124">
        <f t="shared" si="120"/>
        <v>0</v>
      </c>
      <c r="N95" s="124">
        <f t="shared" si="121"/>
        <v>0</v>
      </c>
      <c r="O95" s="124">
        <f t="shared" si="122"/>
        <v>0</v>
      </c>
    </row>
    <row r="96" spans="1:15" x14ac:dyDescent="0.25">
      <c r="A96" s="231"/>
      <c r="B96" s="125" t="s">
        <v>123</v>
      </c>
      <c r="C96" s="126">
        <f>'Proposed Fee'!M22</f>
        <v>0</v>
      </c>
      <c r="D96" s="111">
        <f>SUM(D93:D95)</f>
        <v>5000</v>
      </c>
      <c r="E96" s="111">
        <f t="shared" ref="E96:H96" si="123">SUM(E93:E95)</f>
        <v>5000</v>
      </c>
      <c r="F96" s="111">
        <f t="shared" si="123"/>
        <v>5000</v>
      </c>
      <c r="G96" s="111">
        <f t="shared" si="123"/>
        <v>5000</v>
      </c>
      <c r="H96" s="111">
        <f t="shared" si="123"/>
        <v>5000</v>
      </c>
      <c r="J96" s="123"/>
      <c r="K96" s="124"/>
      <c r="L96" s="124"/>
      <c r="M96" s="124"/>
      <c r="N96" s="124"/>
      <c r="O96" s="124"/>
    </row>
    <row r="97" spans="1:15" x14ac:dyDescent="0.25">
      <c r="A97" s="231"/>
      <c r="B97" s="5" t="s">
        <v>101</v>
      </c>
      <c r="C97" s="123">
        <f>'Proposed Fee'!N22</f>
        <v>0</v>
      </c>
      <c r="D97" s="124">
        <f>D96*D$3</f>
        <v>2329.633057583801</v>
      </c>
      <c r="E97" s="124">
        <f t="shared" ref="E97:H97" si="124">E96*E$3</f>
        <v>2329.633057583801</v>
      </c>
      <c r="F97" s="124">
        <f t="shared" si="124"/>
        <v>2329.633057583801</v>
      </c>
      <c r="G97" s="124">
        <f t="shared" si="124"/>
        <v>2329.633057583801</v>
      </c>
      <c r="H97" s="124">
        <f t="shared" si="124"/>
        <v>2329.633057583801</v>
      </c>
      <c r="J97" s="126"/>
      <c r="K97" s="111">
        <f>SUM(K93:K95)</f>
        <v>0</v>
      </c>
      <c r="L97" s="111">
        <f t="shared" ref="L97:O97" si="125">SUM(L93:L95)</f>
        <v>0</v>
      </c>
      <c r="M97" s="111">
        <f t="shared" si="125"/>
        <v>0</v>
      </c>
      <c r="N97" s="111">
        <f t="shared" si="125"/>
        <v>0</v>
      </c>
      <c r="O97" s="111">
        <f t="shared" si="125"/>
        <v>0</v>
      </c>
    </row>
    <row r="98" spans="1:15" x14ac:dyDescent="0.25">
      <c r="A98" s="231"/>
      <c r="B98" s="5" t="s">
        <v>102</v>
      </c>
      <c r="C98" s="123">
        <f>'Proposed Fee'!O22</f>
        <v>0</v>
      </c>
      <c r="D98" s="124"/>
      <c r="E98" s="124"/>
      <c r="F98" s="124"/>
      <c r="G98" s="124"/>
      <c r="H98" s="124"/>
      <c r="J98" s="123"/>
      <c r="K98" s="124">
        <f>K97*K$3</f>
        <v>0</v>
      </c>
      <c r="L98" s="124">
        <f t="shared" ref="L98:O98" si="126">L97*L$3</f>
        <v>0</v>
      </c>
      <c r="M98" s="124">
        <f t="shared" si="126"/>
        <v>0</v>
      </c>
      <c r="N98" s="124">
        <f t="shared" si="126"/>
        <v>0</v>
      </c>
      <c r="O98" s="124">
        <f t="shared" si="126"/>
        <v>0</v>
      </c>
    </row>
    <row r="99" spans="1:15" x14ac:dyDescent="0.25">
      <c r="A99" s="231"/>
      <c r="B99" s="5" t="s">
        <v>103</v>
      </c>
      <c r="C99" s="123">
        <f>'Proposed Fee'!P22</f>
        <v>0</v>
      </c>
      <c r="D99" s="124">
        <f>SUM(D96:D98)*D$5</f>
        <v>464.84532851196468</v>
      </c>
      <c r="E99" s="124">
        <f t="shared" ref="E99:H99" si="127">SUM(E96:E98)*E$5</f>
        <v>464.84532851196468</v>
      </c>
      <c r="F99" s="124">
        <f t="shared" si="127"/>
        <v>464.84532851196468</v>
      </c>
      <c r="G99" s="124">
        <f t="shared" si="127"/>
        <v>464.84532851196468</v>
      </c>
      <c r="H99" s="124">
        <f t="shared" si="127"/>
        <v>464.84532851196468</v>
      </c>
      <c r="J99" s="123"/>
      <c r="K99" s="124">
        <f>K97*K$4</f>
        <v>0</v>
      </c>
      <c r="L99" s="124">
        <f t="shared" ref="L99:O99" si="128">L97*L$4</f>
        <v>0</v>
      </c>
      <c r="M99" s="124">
        <f t="shared" si="128"/>
        <v>0</v>
      </c>
      <c r="N99" s="124">
        <f t="shared" si="128"/>
        <v>0</v>
      </c>
      <c r="O99" s="124">
        <f t="shared" si="128"/>
        <v>0</v>
      </c>
    </row>
    <row r="100" spans="1:15" x14ac:dyDescent="0.25">
      <c r="A100" s="231"/>
      <c r="B100" s="127" t="s">
        <v>128</v>
      </c>
      <c r="C100" s="128">
        <f>'Proposed Fee'!Q22</f>
        <v>0</v>
      </c>
      <c r="D100" s="129">
        <f>SUM(D96:D99)</f>
        <v>7794.4783860957659</v>
      </c>
      <c r="E100" s="129">
        <f t="shared" ref="E100:H100" si="129">SUM(E96:E99)</f>
        <v>7794.4783860957659</v>
      </c>
      <c r="F100" s="129">
        <f t="shared" si="129"/>
        <v>7794.4783860957659</v>
      </c>
      <c r="G100" s="129">
        <f t="shared" si="129"/>
        <v>7794.4783860957659</v>
      </c>
      <c r="H100" s="129">
        <f t="shared" si="129"/>
        <v>7794.4783860957659</v>
      </c>
      <c r="J100" s="123"/>
      <c r="K100" s="124">
        <f>SUM(K97:K99)*K$5</f>
        <v>0</v>
      </c>
      <c r="L100" s="124">
        <f t="shared" ref="L100:O100" si="130">SUM(L97:L99)*L$5</f>
        <v>0</v>
      </c>
      <c r="M100" s="124">
        <f t="shared" si="130"/>
        <v>0</v>
      </c>
      <c r="N100" s="124">
        <f t="shared" si="130"/>
        <v>0</v>
      </c>
      <c r="O100" s="124">
        <f t="shared" si="130"/>
        <v>0</v>
      </c>
    </row>
    <row r="101" spans="1:15" x14ac:dyDescent="0.25">
      <c r="A101" s="231"/>
      <c r="B101" s="130" t="s">
        <v>138</v>
      </c>
      <c r="C101" s="124"/>
      <c r="D101" s="131">
        <f>'Forecast Revenue - Costs'!D23</f>
        <v>5000</v>
      </c>
      <c r="E101" s="131">
        <f>'Forecast Revenue - Costs'!E23</f>
        <v>5000</v>
      </c>
      <c r="F101" s="131">
        <f>'Forecast Revenue - Costs'!F23</f>
        <v>5000</v>
      </c>
      <c r="G101" s="131">
        <f>'Forecast Revenue - Costs'!G23</f>
        <v>5000</v>
      </c>
      <c r="H101" s="131">
        <f>'Forecast Revenue - Costs'!H23</f>
        <v>5000</v>
      </c>
      <c r="J101" s="128"/>
      <c r="K101" s="129">
        <f>SUM(K97:K100)</f>
        <v>0</v>
      </c>
      <c r="L101" s="129">
        <f t="shared" ref="L101:O101" si="131">SUM(L97:L100)</f>
        <v>0</v>
      </c>
      <c r="M101" s="129">
        <f t="shared" si="131"/>
        <v>0</v>
      </c>
      <c r="N101" s="129">
        <f t="shared" si="131"/>
        <v>0</v>
      </c>
      <c r="O101" s="129">
        <f t="shared" si="131"/>
        <v>0</v>
      </c>
    </row>
    <row r="102" spans="1:15" x14ac:dyDescent="0.25">
      <c r="A102" s="231"/>
      <c r="B102" s="125" t="s">
        <v>130</v>
      </c>
      <c r="C102" s="126"/>
      <c r="D102" s="113">
        <f>D100</f>
        <v>7794.4783860957659</v>
      </c>
      <c r="E102" s="113">
        <f t="shared" ref="E102:H102" si="132">E100</f>
        <v>7794.4783860957659</v>
      </c>
      <c r="F102" s="113">
        <f t="shared" si="132"/>
        <v>7794.4783860957659</v>
      </c>
      <c r="G102" s="113">
        <f t="shared" si="132"/>
        <v>7794.4783860957659</v>
      </c>
      <c r="H102" s="113">
        <f t="shared" si="132"/>
        <v>7794.4783860957659</v>
      </c>
      <c r="J102" s="124"/>
      <c r="K102" s="131"/>
      <c r="L102" s="131"/>
      <c r="M102" s="131"/>
      <c r="N102" s="131"/>
      <c r="O102" s="131"/>
    </row>
    <row r="104" spans="1:15" x14ac:dyDescent="0.25">
      <c r="A104" s="231"/>
      <c r="B104" s="119" t="s">
        <v>139</v>
      </c>
      <c r="C104" s="120"/>
      <c r="D104" s="233" t="s">
        <v>116</v>
      </c>
      <c r="E104" s="234"/>
      <c r="F104" s="234"/>
      <c r="G104" s="234"/>
      <c r="H104" s="234"/>
    </row>
    <row r="105" spans="1:15" x14ac:dyDescent="0.25">
      <c r="A105" s="231"/>
      <c r="B105" s="5" t="s">
        <v>104</v>
      </c>
      <c r="C105" s="123">
        <f>'Proposed Fee'!H34</f>
        <v>0</v>
      </c>
      <c r="D105" s="124">
        <f>C105*D$1</f>
        <v>0</v>
      </c>
      <c r="E105" s="124">
        <f t="shared" ref="E105" si="133">D105*E$1</f>
        <v>0</v>
      </c>
      <c r="F105" s="124">
        <f t="shared" ref="F105" si="134">E105*F$1</f>
        <v>0</v>
      </c>
      <c r="G105" s="124">
        <f t="shared" ref="G105" si="135">F105*G$1</f>
        <v>0</v>
      </c>
      <c r="H105" s="124">
        <f t="shared" ref="H105" si="136">G105*H$1</f>
        <v>0</v>
      </c>
    </row>
    <row r="106" spans="1:15" x14ac:dyDescent="0.25">
      <c r="A106" s="231"/>
      <c r="B106" s="5" t="s">
        <v>99</v>
      </c>
      <c r="C106" s="123">
        <f>'Proposed Fee'!I34</f>
        <v>0</v>
      </c>
      <c r="D106" s="124">
        <f>C106</f>
        <v>0</v>
      </c>
      <c r="E106" s="124">
        <f t="shared" ref="E106:E107" si="137">D106</f>
        <v>0</v>
      </c>
      <c r="F106" s="124">
        <f t="shared" ref="F106:F107" si="138">E106</f>
        <v>0</v>
      </c>
      <c r="G106" s="124">
        <f t="shared" ref="G106:G107" si="139">F106</f>
        <v>0</v>
      </c>
      <c r="H106" s="124">
        <f t="shared" ref="H106:H107" si="140">G106</f>
        <v>0</v>
      </c>
    </row>
    <row r="107" spans="1:15" x14ac:dyDescent="0.25">
      <c r="A107" s="231"/>
      <c r="B107" s="5" t="s">
        <v>100</v>
      </c>
      <c r="C107" s="123">
        <f>'Proposed Fee'!L34</f>
        <v>0</v>
      </c>
      <c r="D107" s="124">
        <f>'Forecast Revenue - Costs'!D36</f>
        <v>0</v>
      </c>
      <c r="E107" s="124">
        <f t="shared" si="137"/>
        <v>0</v>
      </c>
      <c r="F107" s="124">
        <f t="shared" si="138"/>
        <v>0</v>
      </c>
      <c r="G107" s="124">
        <f t="shared" si="139"/>
        <v>0</v>
      </c>
      <c r="H107" s="124">
        <f t="shared" si="140"/>
        <v>0</v>
      </c>
    </row>
    <row r="108" spans="1:15" x14ac:dyDescent="0.25">
      <c r="A108" s="231"/>
      <c r="B108" s="119" t="s">
        <v>122</v>
      </c>
      <c r="C108" s="120"/>
      <c r="D108" s="124">
        <f>'Forecast Revenue - Costs'!D24</f>
        <v>1500</v>
      </c>
      <c r="E108" s="124">
        <f>'Forecast Revenue - Costs'!E24</f>
        <v>1500</v>
      </c>
      <c r="F108" s="124">
        <f>'Forecast Revenue - Costs'!F24</f>
        <v>1500</v>
      </c>
      <c r="G108" s="124">
        <f>'Forecast Revenue - Costs'!G24</f>
        <v>1500</v>
      </c>
      <c r="H108" s="124">
        <f>'Forecast Revenue - Costs'!H24</f>
        <v>1500</v>
      </c>
    </row>
    <row r="109" spans="1:15" x14ac:dyDescent="0.25">
      <c r="A109" s="231"/>
      <c r="B109" s="125" t="s">
        <v>123</v>
      </c>
      <c r="C109" s="126">
        <f>'Proposed Fee'!M34</f>
        <v>0</v>
      </c>
      <c r="D109" s="111">
        <f>SUM(D105:D108)</f>
        <v>1500</v>
      </c>
      <c r="E109" s="111">
        <f t="shared" ref="E109:H109" si="141">SUM(E105:E108)</f>
        <v>1500</v>
      </c>
      <c r="F109" s="111">
        <f t="shared" si="141"/>
        <v>1500</v>
      </c>
      <c r="G109" s="111">
        <f t="shared" si="141"/>
        <v>1500</v>
      </c>
      <c r="H109" s="111">
        <f t="shared" si="141"/>
        <v>1500</v>
      </c>
    </row>
    <row r="110" spans="1:15" x14ac:dyDescent="0.25">
      <c r="A110" s="231"/>
      <c r="B110" s="5" t="s">
        <v>101</v>
      </c>
      <c r="C110" s="123">
        <f>'Proposed Fee'!N34</f>
        <v>0</v>
      </c>
      <c r="D110" s="124">
        <f>D109*D$3</f>
        <v>698.88991727514031</v>
      </c>
      <c r="E110" s="124">
        <f t="shared" ref="E110:H110" si="142">E109*E$3</f>
        <v>698.88991727514031</v>
      </c>
      <c r="F110" s="124">
        <f t="shared" si="142"/>
        <v>698.88991727514031</v>
      </c>
      <c r="G110" s="124">
        <f t="shared" si="142"/>
        <v>698.88991727514031</v>
      </c>
      <c r="H110" s="124">
        <f t="shared" si="142"/>
        <v>698.88991727514031</v>
      </c>
    </row>
    <row r="111" spans="1:15" x14ac:dyDescent="0.25">
      <c r="A111" s="231"/>
      <c r="B111" s="5" t="s">
        <v>102</v>
      </c>
      <c r="C111" s="123">
        <f>'Proposed Fee'!O34</f>
        <v>0</v>
      </c>
      <c r="D111" s="124"/>
      <c r="E111" s="124"/>
      <c r="F111" s="124"/>
      <c r="G111" s="124"/>
      <c r="H111" s="124"/>
    </row>
    <row r="112" spans="1:15" x14ac:dyDescent="0.25">
      <c r="A112" s="231"/>
      <c r="B112" s="5" t="s">
        <v>103</v>
      </c>
      <c r="C112" s="123">
        <f>'Proposed Fee'!P34</f>
        <v>0</v>
      </c>
      <c r="D112" s="124">
        <f>SUM(D109:D111)*D$5</f>
        <v>139.45359855358942</v>
      </c>
      <c r="E112" s="124">
        <f t="shared" ref="E112:H112" si="143">SUM(E109:E111)*E$5</f>
        <v>139.45359855358942</v>
      </c>
      <c r="F112" s="124">
        <f t="shared" si="143"/>
        <v>139.45359855358942</v>
      </c>
      <c r="G112" s="124">
        <f t="shared" si="143"/>
        <v>139.45359855358942</v>
      </c>
      <c r="H112" s="124">
        <f t="shared" si="143"/>
        <v>139.45359855358942</v>
      </c>
    </row>
    <row r="113" spans="1:8" x14ac:dyDescent="0.25">
      <c r="A113" s="231"/>
      <c r="B113" s="127" t="s">
        <v>128</v>
      </c>
      <c r="C113" s="128">
        <f>'Proposed Fee'!Q34</f>
        <v>0</v>
      </c>
      <c r="D113" s="129">
        <f>SUM(D109:D112)</f>
        <v>2338.3435158287298</v>
      </c>
      <c r="E113" s="129">
        <f t="shared" ref="E113:H113" si="144">SUM(E109:E112)</f>
        <v>2338.3435158287298</v>
      </c>
      <c r="F113" s="129">
        <f t="shared" si="144"/>
        <v>2338.3435158287298</v>
      </c>
      <c r="G113" s="129">
        <f t="shared" si="144"/>
        <v>2338.3435158287298</v>
      </c>
      <c r="H113" s="129">
        <f t="shared" si="144"/>
        <v>2338.3435158287298</v>
      </c>
    </row>
    <row r="114" spans="1:8" x14ac:dyDescent="0.25">
      <c r="A114" s="231"/>
      <c r="B114" s="130" t="s">
        <v>137</v>
      </c>
      <c r="C114" s="124"/>
      <c r="D114" s="131">
        <f>'Forecast Revenue - Costs'!D24</f>
        <v>1500</v>
      </c>
      <c r="E114" s="131">
        <f>'Forecast Revenue - Costs'!E24</f>
        <v>1500</v>
      </c>
      <c r="F114" s="131">
        <f>'Forecast Revenue - Costs'!F24</f>
        <v>1500</v>
      </c>
      <c r="G114" s="131">
        <f>'Forecast Revenue - Costs'!G24</f>
        <v>1500</v>
      </c>
      <c r="H114" s="131">
        <f>'Forecast Revenue - Costs'!H24</f>
        <v>1500</v>
      </c>
    </row>
    <row r="115" spans="1:8" x14ac:dyDescent="0.25">
      <c r="B115" s="125" t="s">
        <v>130</v>
      </c>
      <c r="C115" s="126"/>
      <c r="D115" s="113">
        <f>D113</f>
        <v>2338.3435158287298</v>
      </c>
      <c r="E115" s="113">
        <f t="shared" ref="E115:H115" si="145">E113</f>
        <v>2338.3435158287298</v>
      </c>
      <c r="F115" s="113">
        <f t="shared" si="145"/>
        <v>2338.3435158287298</v>
      </c>
      <c r="G115" s="113">
        <f t="shared" si="145"/>
        <v>2338.3435158287298</v>
      </c>
      <c r="H115" s="113">
        <f t="shared" si="145"/>
        <v>2338.3435158287298</v>
      </c>
    </row>
  </sheetData>
  <mergeCells count="21">
    <mergeCell ref="K80:O80"/>
    <mergeCell ref="D92:H92"/>
    <mergeCell ref="K92:O92"/>
    <mergeCell ref="D104:H104"/>
    <mergeCell ref="K44:O44"/>
    <mergeCell ref="D56:H56"/>
    <mergeCell ref="K56:O56"/>
    <mergeCell ref="D68:H68"/>
    <mergeCell ref="K68:O68"/>
    <mergeCell ref="K32:O32"/>
    <mergeCell ref="D6:H6"/>
    <mergeCell ref="J6:O6"/>
    <mergeCell ref="D7:H7"/>
    <mergeCell ref="J7:O7"/>
    <mergeCell ref="K20:O20"/>
    <mergeCell ref="A92:A102"/>
    <mergeCell ref="A104:A114"/>
    <mergeCell ref="A9:A18"/>
    <mergeCell ref="D32:H32"/>
    <mergeCell ref="D44:H44"/>
    <mergeCell ref="D80:H80"/>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48"/>
  <sheetViews>
    <sheetView showGridLines="0" zoomScaleNormal="100" workbookViewId="0">
      <selection activeCell="B34" sqref="B34:I35"/>
    </sheetView>
  </sheetViews>
  <sheetFormatPr defaultRowHeight="15" x14ac:dyDescent="0.25"/>
  <cols>
    <col min="1" max="1" width="3.28515625" customWidth="1"/>
    <col min="2" max="2" width="66.42578125" customWidth="1"/>
    <col min="3" max="3" width="65.140625" customWidth="1"/>
    <col min="4" max="4" width="11.85546875" customWidth="1"/>
    <col min="5" max="8" width="11.28515625" customWidth="1"/>
    <col min="9" max="9" width="12.7109375" customWidth="1"/>
  </cols>
  <sheetData>
    <row r="2" spans="2:9" x14ac:dyDescent="0.25">
      <c r="B2" s="30" t="s">
        <v>48</v>
      </c>
      <c r="C2" s="31"/>
      <c r="D2" s="31"/>
      <c r="E2" s="31"/>
      <c r="F2" s="31"/>
      <c r="G2" s="31"/>
      <c r="H2" s="31"/>
      <c r="I2" s="31"/>
    </row>
    <row r="3" spans="2:9" x14ac:dyDescent="0.25">
      <c r="B3" s="1"/>
      <c r="C3" s="1"/>
      <c r="D3" s="1"/>
      <c r="E3" s="1"/>
      <c r="F3" s="1"/>
      <c r="G3" s="1"/>
      <c r="H3" s="1"/>
      <c r="I3" s="1"/>
    </row>
    <row r="4" spans="2:9" x14ac:dyDescent="0.25">
      <c r="B4" s="3" t="s">
        <v>87</v>
      </c>
      <c r="C4" s="3" t="s">
        <v>3</v>
      </c>
      <c r="D4" s="86" t="s">
        <v>56</v>
      </c>
      <c r="E4" s="86" t="s">
        <v>57</v>
      </c>
      <c r="F4" s="86" t="s">
        <v>58</v>
      </c>
      <c r="G4" s="86" t="s">
        <v>85</v>
      </c>
      <c r="H4" s="86" t="s">
        <v>59</v>
      </c>
      <c r="I4" s="4" t="s">
        <v>1</v>
      </c>
    </row>
    <row r="5" spans="2:9" x14ac:dyDescent="0.25">
      <c r="B5" s="5" t="s">
        <v>88</v>
      </c>
      <c r="C5" s="6" t="s">
        <v>76</v>
      </c>
      <c r="D5" s="35">
        <f>'Forecasts by year'!D30</f>
        <v>637.65897750319664</v>
      </c>
      <c r="E5" s="35">
        <f>'Forecasts by year'!E30</f>
        <v>637.65897750319664</v>
      </c>
      <c r="F5" s="35">
        <f>'Forecasts by year'!F30</f>
        <v>644.67322625573172</v>
      </c>
      <c r="G5" s="35">
        <f>'Forecasts by year'!G30</f>
        <v>659.58580732547944</v>
      </c>
      <c r="H5" s="35">
        <f>'Forecasts by year'!H30</f>
        <v>681.86171702122579</v>
      </c>
      <c r="I5" s="148">
        <f>SUM(D5:H5)</f>
        <v>3261.4387056088299</v>
      </c>
    </row>
    <row r="6" spans="2:9" x14ac:dyDescent="0.25">
      <c r="B6" s="8"/>
      <c r="C6" s="6" t="s">
        <v>82</v>
      </c>
      <c r="D6" s="7">
        <f>'Forecasts by year'!D42</f>
        <v>0</v>
      </c>
      <c r="E6" s="7">
        <f>'Forecasts by year'!E42</f>
        <v>0</v>
      </c>
      <c r="F6" s="7">
        <f>'Forecasts by year'!F42</f>
        <v>0</v>
      </c>
      <c r="G6" s="7">
        <f>'Forecasts by year'!G42</f>
        <v>0</v>
      </c>
      <c r="H6" s="7">
        <f>'Forecasts by year'!H42</f>
        <v>0</v>
      </c>
      <c r="I6" s="148">
        <f t="shared" ref="I6:I12" si="0">SUM(D6:H6)</f>
        <v>0</v>
      </c>
    </row>
    <row r="7" spans="2:9" x14ac:dyDescent="0.25">
      <c r="B7" s="8"/>
      <c r="C7" s="239" t="s">
        <v>164</v>
      </c>
      <c r="D7" s="7">
        <f>'Forecasts by year'!D54</f>
        <v>7143.3385280855491</v>
      </c>
      <c r="E7" s="7">
        <f>'Forecasts by year'!E54</f>
        <v>7143.3385280855491</v>
      </c>
      <c r="F7" s="7">
        <f>'Forecasts by year'!F54</f>
        <v>7221.9152518944875</v>
      </c>
      <c r="G7" s="7">
        <f>'Forecasts by year'!G54</f>
        <v>7388.9725955013109</v>
      </c>
      <c r="H7" s="7">
        <f>'Forecasts by year'!H54</f>
        <v>7638.5172104000821</v>
      </c>
      <c r="I7" s="148">
        <f t="shared" si="0"/>
        <v>36536.082113966979</v>
      </c>
    </row>
    <row r="8" spans="2:9" x14ac:dyDescent="0.25">
      <c r="B8" s="8"/>
      <c r="C8" s="239" t="s">
        <v>165</v>
      </c>
      <c r="D8" s="7">
        <f>'Forecasts by year'!D66</f>
        <v>34440.426703872676</v>
      </c>
      <c r="E8" s="7">
        <f>'Forecasts by year'!E66</f>
        <v>34440.426703872676</v>
      </c>
      <c r="F8" s="7">
        <f>'Forecasts by year'!F66</f>
        <v>34744.193864071909</v>
      </c>
      <c r="G8" s="7">
        <f>'Forecasts by year'!G66</f>
        <v>35390.015328724236</v>
      </c>
      <c r="H8" s="7">
        <f>'Forecasts by year'!H66</f>
        <v>36354.721609875982</v>
      </c>
      <c r="I8" s="148">
        <f t="shared" si="0"/>
        <v>175369.78421041748</v>
      </c>
    </row>
    <row r="9" spans="2:9" x14ac:dyDescent="0.25">
      <c r="B9" s="8"/>
      <c r="C9" s="6" t="s">
        <v>79</v>
      </c>
      <c r="D9" s="7">
        <f>'Forecasts by year'!D78</f>
        <v>2127.0961481276013</v>
      </c>
      <c r="E9" s="7">
        <f>'Forecasts by year'!E78</f>
        <v>2127.0961481276013</v>
      </c>
      <c r="F9" s="7">
        <f>'Forecasts by year'!F78</f>
        <v>2146.7403290798366</v>
      </c>
      <c r="G9" s="7">
        <f>'Forecasts by year'!G78</f>
        <v>2188.5046649815422</v>
      </c>
      <c r="H9" s="7">
        <f>'Forecasts by year'!H78</f>
        <v>2250.8908187062348</v>
      </c>
      <c r="I9" s="148">
        <f t="shared" si="0"/>
        <v>10840.328109022817</v>
      </c>
    </row>
    <row r="10" spans="2:9" x14ac:dyDescent="0.25">
      <c r="B10" s="8"/>
      <c r="C10" s="6" t="s">
        <v>72</v>
      </c>
      <c r="D10" s="7">
        <f>'Forecasts by year'!D90</f>
        <v>1196.2545890153817</v>
      </c>
      <c r="E10" s="7">
        <f>'Forecasts by year'!E90</f>
        <v>1196.2545890153817</v>
      </c>
      <c r="F10" s="7">
        <f>'Forecasts by year'!F90</f>
        <v>1207.5364511559669</v>
      </c>
      <c r="G10" s="7">
        <f>'Forecasts by year'!G90</f>
        <v>1231.522153648822</v>
      </c>
      <c r="H10" s="7">
        <f>'Forecasts by year'!H90</f>
        <v>1267.3511855394718</v>
      </c>
      <c r="I10" s="148">
        <f t="shared" si="0"/>
        <v>6098.9189683750246</v>
      </c>
    </row>
    <row r="11" spans="2:9" x14ac:dyDescent="0.25">
      <c r="B11" s="8"/>
      <c r="C11" s="6" t="s">
        <v>100</v>
      </c>
      <c r="D11" s="7">
        <f>'Forecasts by year'!D102</f>
        <v>7794.4783860957659</v>
      </c>
      <c r="E11" s="7">
        <f>'Forecasts by year'!E102</f>
        <v>7794.4783860957659</v>
      </c>
      <c r="F11" s="7">
        <f>'Forecasts by year'!F102</f>
        <v>7794.4783860957659</v>
      </c>
      <c r="G11" s="7">
        <f>'Forecasts by year'!G102</f>
        <v>7794.4783860957659</v>
      </c>
      <c r="H11" s="7">
        <f>'Forecasts by year'!H102</f>
        <v>7794.4783860957659</v>
      </c>
      <c r="I11" s="148">
        <f>SUM(D11:H11)</f>
        <v>38972.391930478829</v>
      </c>
    </row>
    <row r="12" spans="2:9" x14ac:dyDescent="0.25">
      <c r="B12" s="8"/>
      <c r="C12" s="6" t="s">
        <v>150</v>
      </c>
      <c r="D12" s="7">
        <f>'Forecasts by year'!D115</f>
        <v>2338.3435158287298</v>
      </c>
      <c r="E12" s="7">
        <f>'Forecasts by year'!E115</f>
        <v>2338.3435158287298</v>
      </c>
      <c r="F12" s="7">
        <f>'Forecasts by year'!F115</f>
        <v>2338.3435158287298</v>
      </c>
      <c r="G12" s="7">
        <f>'Forecasts by year'!G115</f>
        <v>2338.3435158287298</v>
      </c>
      <c r="H12" s="7">
        <f>'Forecasts by year'!H115</f>
        <v>2338.3435158287298</v>
      </c>
      <c r="I12" s="148">
        <f t="shared" si="0"/>
        <v>11691.717579143649</v>
      </c>
    </row>
    <row r="13" spans="2:9" x14ac:dyDescent="0.25">
      <c r="B13" s="9" t="s">
        <v>1</v>
      </c>
      <c r="C13" s="10"/>
      <c r="D13" s="11">
        <f t="shared" ref="D13:I13" si="1">SUM(D5:D12)</f>
        <v>55677.596848528912</v>
      </c>
      <c r="E13" s="11">
        <f t="shared" si="1"/>
        <v>55677.596848528912</v>
      </c>
      <c r="F13" s="11">
        <f t="shared" si="1"/>
        <v>56097.881024382434</v>
      </c>
      <c r="G13" s="11">
        <f>SUM(G5:G12)</f>
        <v>56991.422452105893</v>
      </c>
      <c r="H13" s="11">
        <f t="shared" ref="H13" si="2">SUM(H5:H12)</f>
        <v>58326.164443467496</v>
      </c>
      <c r="I13" s="11">
        <f t="shared" si="1"/>
        <v>282770.66161701357</v>
      </c>
    </row>
    <row r="14" spans="2:9" x14ac:dyDescent="0.25">
      <c r="B14" s="1"/>
      <c r="C14" s="1"/>
      <c r="D14" s="1"/>
      <c r="E14" s="1"/>
      <c r="F14" s="1"/>
      <c r="G14" s="1"/>
      <c r="H14" s="1"/>
      <c r="I14" s="1"/>
    </row>
    <row r="15" spans="2:9" x14ac:dyDescent="0.25">
      <c r="B15" s="30" t="s">
        <v>27</v>
      </c>
      <c r="C15" s="31"/>
      <c r="D15" s="31"/>
      <c r="E15" s="31"/>
      <c r="F15" s="31"/>
      <c r="G15" s="31"/>
      <c r="H15" s="31"/>
      <c r="I15" s="31"/>
    </row>
    <row r="16" spans="2:9" x14ac:dyDescent="0.25">
      <c r="B16" s="3" t="s">
        <v>87</v>
      </c>
      <c r="C16" s="12" t="s">
        <v>3</v>
      </c>
      <c r="D16" s="86" t="s">
        <v>56</v>
      </c>
      <c r="E16" s="86" t="s">
        <v>57</v>
      </c>
      <c r="F16" s="86" t="s">
        <v>58</v>
      </c>
      <c r="G16" s="86" t="s">
        <v>85</v>
      </c>
      <c r="H16" s="86" t="s">
        <v>59</v>
      </c>
      <c r="I16" s="4" t="s">
        <v>1</v>
      </c>
    </row>
    <row r="17" spans="2:9" x14ac:dyDescent="0.25">
      <c r="B17" s="13" t="s">
        <v>88</v>
      </c>
      <c r="C17" s="13" t="s">
        <v>76</v>
      </c>
      <c r="D17" s="94">
        <v>5</v>
      </c>
      <c r="E17" s="94">
        <v>5</v>
      </c>
      <c r="F17" s="94">
        <v>5</v>
      </c>
      <c r="G17" s="94">
        <v>5</v>
      </c>
      <c r="H17" s="94">
        <v>5</v>
      </c>
      <c r="I17" s="146">
        <f>SUM(D17:H17)</f>
        <v>25</v>
      </c>
    </row>
    <row r="18" spans="2:9" x14ac:dyDescent="0.25">
      <c r="B18" s="13"/>
      <c r="C18" s="13" t="s">
        <v>82</v>
      </c>
      <c r="D18" s="94">
        <v>0</v>
      </c>
      <c r="E18" s="94">
        <v>0</v>
      </c>
      <c r="F18" s="94">
        <v>0</v>
      </c>
      <c r="G18" s="94">
        <v>0</v>
      </c>
      <c r="H18" s="94">
        <v>0</v>
      </c>
      <c r="I18" s="146">
        <f t="shared" ref="I18:I24" si="3">SUM(D18:H18)</f>
        <v>0</v>
      </c>
    </row>
    <row r="19" spans="2:9" x14ac:dyDescent="0.25">
      <c r="B19" s="13"/>
      <c r="C19" s="240" t="s">
        <v>164</v>
      </c>
      <c r="D19" s="94">
        <v>40</v>
      </c>
      <c r="E19" s="94">
        <v>40</v>
      </c>
      <c r="F19" s="94">
        <v>40</v>
      </c>
      <c r="G19" s="94">
        <v>40</v>
      </c>
      <c r="H19" s="94">
        <v>40</v>
      </c>
      <c r="I19" s="146">
        <f t="shared" si="3"/>
        <v>200</v>
      </c>
    </row>
    <row r="20" spans="2:9" x14ac:dyDescent="0.25">
      <c r="B20" s="13"/>
      <c r="C20" s="240" t="s">
        <v>165</v>
      </c>
      <c r="D20" s="94">
        <v>200</v>
      </c>
      <c r="E20" s="94">
        <v>200</v>
      </c>
      <c r="F20" s="94">
        <v>200</v>
      </c>
      <c r="G20" s="94">
        <v>200</v>
      </c>
      <c r="H20" s="94">
        <v>200</v>
      </c>
      <c r="I20" s="146">
        <f t="shared" si="3"/>
        <v>1000</v>
      </c>
    </row>
    <row r="21" spans="2:9" x14ac:dyDescent="0.25">
      <c r="B21" s="13"/>
      <c r="C21" s="13" t="s">
        <v>79</v>
      </c>
      <c r="D21" s="94">
        <v>10</v>
      </c>
      <c r="E21" s="94">
        <v>10</v>
      </c>
      <c r="F21" s="94">
        <v>10</v>
      </c>
      <c r="G21" s="94">
        <v>10</v>
      </c>
      <c r="H21" s="94">
        <v>10</v>
      </c>
      <c r="I21" s="146">
        <f t="shared" si="3"/>
        <v>50</v>
      </c>
    </row>
    <row r="22" spans="2:9" x14ac:dyDescent="0.25">
      <c r="B22" s="13"/>
      <c r="C22" s="13" t="s">
        <v>72</v>
      </c>
      <c r="D22" s="94">
        <v>5</v>
      </c>
      <c r="E22" s="94">
        <v>5</v>
      </c>
      <c r="F22" s="94">
        <v>5</v>
      </c>
      <c r="G22" s="94">
        <v>5</v>
      </c>
      <c r="H22" s="94">
        <v>5</v>
      </c>
      <c r="I22" s="146">
        <f t="shared" si="3"/>
        <v>25</v>
      </c>
    </row>
    <row r="23" spans="2:9" x14ac:dyDescent="0.25">
      <c r="B23" s="13"/>
      <c r="C23" s="15" t="s">
        <v>91</v>
      </c>
      <c r="D23" s="100">
        <v>5000</v>
      </c>
      <c r="E23" s="100">
        <v>5000</v>
      </c>
      <c r="F23" s="100">
        <v>5000</v>
      </c>
      <c r="G23" s="100">
        <v>5000</v>
      </c>
      <c r="H23" s="100">
        <v>5000</v>
      </c>
      <c r="I23" s="147">
        <f t="shared" si="3"/>
        <v>25000</v>
      </c>
    </row>
    <row r="24" spans="2:9" x14ac:dyDescent="0.25">
      <c r="B24" s="141"/>
      <c r="C24" s="141" t="s">
        <v>92</v>
      </c>
      <c r="D24" s="142">
        <v>1500</v>
      </c>
      <c r="E24" s="142">
        <v>1500</v>
      </c>
      <c r="F24" s="142">
        <v>1500</v>
      </c>
      <c r="G24" s="142">
        <v>1500</v>
      </c>
      <c r="H24" s="142">
        <v>1500</v>
      </c>
      <c r="I24" s="147">
        <f t="shared" si="3"/>
        <v>7500</v>
      </c>
    </row>
    <row r="25" spans="2:9" x14ac:dyDescent="0.25">
      <c r="B25" s="143" t="s">
        <v>1</v>
      </c>
      <c r="C25" s="144"/>
      <c r="D25" s="145">
        <f>SUM(D17:D24)</f>
        <v>6760</v>
      </c>
      <c r="E25" s="145">
        <f t="shared" ref="E25:F25" si="4">SUM(E17:E24)</f>
        <v>6760</v>
      </c>
      <c r="F25" s="145">
        <f t="shared" si="4"/>
        <v>6760</v>
      </c>
      <c r="G25" s="145">
        <f>SUM(G17:G24)</f>
        <v>6760</v>
      </c>
      <c r="H25" s="145">
        <f t="shared" ref="H25" si="5">SUM(H17:H24)</f>
        <v>6760</v>
      </c>
      <c r="I25" s="145">
        <f>SUM(I17:I24)</f>
        <v>33800</v>
      </c>
    </row>
    <row r="26" spans="2:9" x14ac:dyDescent="0.25">
      <c r="B26" s="143" t="s">
        <v>17</v>
      </c>
      <c r="C26" s="144"/>
      <c r="D26" s="145">
        <v>1</v>
      </c>
      <c r="E26" s="145">
        <v>1</v>
      </c>
      <c r="F26" s="145">
        <v>1</v>
      </c>
      <c r="G26" s="145">
        <v>1</v>
      </c>
      <c r="H26" s="145">
        <v>1</v>
      </c>
      <c r="I26" s="145">
        <f>SUM(D26:H26)</f>
        <v>5</v>
      </c>
    </row>
    <row r="27" spans="2:9" x14ac:dyDescent="0.25">
      <c r="B27" s="1"/>
      <c r="C27" s="1"/>
      <c r="D27" s="17"/>
      <c r="E27" s="17"/>
      <c r="F27" s="17"/>
      <c r="G27" s="17"/>
      <c r="H27" s="17"/>
      <c r="I27" s="17"/>
    </row>
    <row r="28" spans="2:9" x14ac:dyDescent="0.25">
      <c r="B28" s="18" t="s">
        <v>6</v>
      </c>
      <c r="C28" s="1"/>
      <c r="D28" s="17"/>
      <c r="E28" s="17"/>
      <c r="F28" s="17"/>
      <c r="G28" s="17"/>
      <c r="H28" s="17"/>
      <c r="I28" s="17"/>
    </row>
    <row r="29" spans="2:9" x14ac:dyDescent="0.25">
      <c r="B29" s="237"/>
      <c r="C29" s="237"/>
      <c r="D29" s="237"/>
      <c r="E29" s="237"/>
      <c r="F29" s="237"/>
      <c r="G29" s="237"/>
      <c r="H29" s="237"/>
      <c r="I29" s="237"/>
    </row>
    <row r="30" spans="2:9" x14ac:dyDescent="0.25">
      <c r="B30" s="238"/>
      <c r="C30" s="238"/>
      <c r="D30" s="238"/>
      <c r="E30" s="238"/>
      <c r="F30" s="238"/>
      <c r="G30" s="238"/>
      <c r="H30" s="238"/>
      <c r="I30" s="238"/>
    </row>
    <row r="31" spans="2:9" x14ac:dyDescent="0.25">
      <c r="B31" s="1"/>
      <c r="C31" s="1"/>
      <c r="D31" s="17"/>
      <c r="E31" s="17"/>
      <c r="F31" s="17"/>
      <c r="G31" s="17"/>
      <c r="H31" s="17"/>
      <c r="I31" s="17"/>
    </row>
    <row r="32" spans="2:9" x14ac:dyDescent="0.25">
      <c r="B32" s="30" t="s">
        <v>28</v>
      </c>
      <c r="C32" s="31"/>
      <c r="D32" s="31"/>
      <c r="E32" s="31"/>
      <c r="F32" s="31"/>
      <c r="G32" s="31"/>
      <c r="H32" s="31"/>
      <c r="I32" s="31"/>
    </row>
    <row r="33" spans="2:9" x14ac:dyDescent="0.25">
      <c r="B33" s="19" t="s">
        <v>26</v>
      </c>
      <c r="C33" s="20"/>
      <c r="D33" s="20"/>
      <c r="E33" s="20"/>
      <c r="F33" s="20"/>
      <c r="G33" s="20"/>
      <c r="H33" s="20"/>
      <c r="I33" s="20"/>
    </row>
    <row r="34" spans="2:9" x14ac:dyDescent="0.25">
      <c r="B34" s="241" t="s">
        <v>168</v>
      </c>
      <c r="C34" s="225"/>
      <c r="D34" s="225"/>
      <c r="E34" s="225"/>
      <c r="F34" s="225"/>
      <c r="G34" s="225"/>
      <c r="H34" s="225"/>
      <c r="I34" s="225"/>
    </row>
    <row r="35" spans="2:9" x14ac:dyDescent="0.25">
      <c r="B35" s="227"/>
      <c r="C35" s="227"/>
      <c r="D35" s="227"/>
      <c r="E35" s="227"/>
      <c r="F35" s="227"/>
      <c r="G35" s="227"/>
      <c r="H35" s="227"/>
      <c r="I35" s="227"/>
    </row>
    <row r="36" spans="2:9" x14ac:dyDescent="0.25">
      <c r="B36" s="21"/>
      <c r="C36" s="22"/>
      <c r="D36" s="22"/>
      <c r="E36" s="22"/>
      <c r="F36" s="22"/>
      <c r="G36" s="22"/>
      <c r="H36" s="22"/>
      <c r="I36" s="22"/>
    </row>
    <row r="37" spans="2:9" x14ac:dyDescent="0.25">
      <c r="B37" s="1"/>
      <c r="C37" s="1"/>
      <c r="D37" s="1"/>
      <c r="E37" s="1"/>
      <c r="F37" s="1"/>
      <c r="G37" s="1"/>
      <c r="H37" s="1"/>
      <c r="I37" s="1"/>
    </row>
    <row r="38" spans="2:9" x14ac:dyDescent="0.25">
      <c r="B38" s="37" t="s">
        <v>46</v>
      </c>
      <c r="C38" s="38"/>
      <c r="D38" s="38"/>
      <c r="E38" s="38"/>
      <c r="F38" s="38"/>
      <c r="G38" s="38"/>
      <c r="H38" s="38"/>
      <c r="I38" s="38"/>
    </row>
    <row r="39" spans="2:9" x14ac:dyDescent="0.25">
      <c r="B39" s="2" t="s">
        <v>20</v>
      </c>
      <c r="C39" s="23" t="s">
        <v>3</v>
      </c>
      <c r="D39" s="86" t="s">
        <v>56</v>
      </c>
      <c r="E39" s="86" t="s">
        <v>57</v>
      </c>
      <c r="F39" s="86" t="s">
        <v>58</v>
      </c>
      <c r="G39" s="86" t="s">
        <v>85</v>
      </c>
      <c r="H39" s="86" t="s">
        <v>59</v>
      </c>
      <c r="I39" s="24" t="s">
        <v>1</v>
      </c>
    </row>
    <row r="40" spans="2:9" x14ac:dyDescent="0.25">
      <c r="B40" s="132" t="s">
        <v>140</v>
      </c>
      <c r="C40" s="6" t="s">
        <v>90</v>
      </c>
      <c r="D40" s="93">
        <f>'Forecasts by year'!D9</f>
        <v>22092.443189384925</v>
      </c>
      <c r="E40" s="93">
        <f>'Forecasts by year'!E9</f>
        <v>22092.443189384925</v>
      </c>
      <c r="F40" s="93">
        <f>'Forecasts by year'!F9</f>
        <v>22335.46006446816</v>
      </c>
      <c r="G40" s="93">
        <f>'Forecasts by year'!G9</f>
        <v>22852.123926679436</v>
      </c>
      <c r="H40" s="93">
        <f>'Forecasts by year'!H9</f>
        <v>23623.898945627836</v>
      </c>
      <c r="I40" s="148">
        <f>SUM(D40:H40)</f>
        <v>112996.36931554529</v>
      </c>
    </row>
    <row r="41" spans="2:9" x14ac:dyDescent="0.25">
      <c r="B41" s="132" t="s">
        <v>141</v>
      </c>
      <c r="C41" s="13"/>
      <c r="D41" s="93">
        <f>'Forecasts by year'!D10</f>
        <v>4242.473801994458</v>
      </c>
      <c r="E41" s="93">
        <f>'Forecasts by year'!E10</f>
        <v>4242.473801994458</v>
      </c>
      <c r="F41" s="93">
        <f>'Forecasts by year'!F10</f>
        <v>4242.473801994458</v>
      </c>
      <c r="G41" s="93">
        <f>'Forecasts by year'!G10</f>
        <v>4242.473801994458</v>
      </c>
      <c r="H41" s="93">
        <f>'Forecasts by year'!H10</f>
        <v>4242.473801994458</v>
      </c>
      <c r="I41" s="148">
        <f t="shared" ref="I41:I47" si="6">SUM(D41:H41)</f>
        <v>21212.369009972288</v>
      </c>
    </row>
    <row r="42" spans="2:9" x14ac:dyDescent="0.25">
      <c r="B42" s="132" t="s">
        <v>100</v>
      </c>
      <c r="C42" s="6"/>
      <c r="D42" s="93">
        <f>'Forecasts by year'!D11</f>
        <v>5000</v>
      </c>
      <c r="E42" s="93">
        <f>'Forecasts by year'!E11</f>
        <v>5000</v>
      </c>
      <c r="F42" s="93">
        <f>'Forecasts by year'!F11</f>
        <v>5000</v>
      </c>
      <c r="G42" s="93">
        <f>'Forecasts by year'!G11</f>
        <v>5000</v>
      </c>
      <c r="H42" s="93">
        <f>'Forecasts by year'!H11</f>
        <v>5000</v>
      </c>
      <c r="I42" s="148">
        <f t="shared" si="6"/>
        <v>25000</v>
      </c>
    </row>
    <row r="43" spans="2:9" x14ac:dyDescent="0.25">
      <c r="B43" s="132" t="s">
        <v>122</v>
      </c>
      <c r="C43" s="6"/>
      <c r="D43" s="93">
        <f>'Forecasts by year'!D12</f>
        <v>1500</v>
      </c>
      <c r="E43" s="93">
        <f>'Forecasts by year'!E12</f>
        <v>1500</v>
      </c>
      <c r="F43" s="93">
        <f>'Forecasts by year'!F12</f>
        <v>1500</v>
      </c>
      <c r="G43" s="93">
        <f>'Forecasts by year'!G12</f>
        <v>1500</v>
      </c>
      <c r="H43" s="93">
        <f>'Forecasts by year'!H12</f>
        <v>1500</v>
      </c>
      <c r="I43" s="148">
        <f t="shared" si="6"/>
        <v>7500</v>
      </c>
    </row>
    <row r="44" spans="2:9" s="117" customFormat="1" x14ac:dyDescent="0.25">
      <c r="B44" s="133" t="s">
        <v>142</v>
      </c>
      <c r="C44" s="135"/>
      <c r="D44" s="136">
        <f>'Forecasts by year'!D13</f>
        <v>32834.916991379388</v>
      </c>
      <c r="E44" s="136">
        <f>'Forecasts by year'!E13</f>
        <v>32834.916991379388</v>
      </c>
      <c r="F44" s="136">
        <f>'Forecasts by year'!F13</f>
        <v>33077.933866462619</v>
      </c>
      <c r="G44" s="136">
        <f>'Forecasts by year'!G13</f>
        <v>33594.597728673893</v>
      </c>
      <c r="H44" s="136">
        <f>'Forecasts by year'!H13</f>
        <v>34366.372747622292</v>
      </c>
      <c r="I44" s="148">
        <f t="shared" si="6"/>
        <v>166708.73832551757</v>
      </c>
    </row>
    <row r="45" spans="2:9" x14ac:dyDescent="0.25">
      <c r="B45" s="8" t="s">
        <v>101</v>
      </c>
      <c r="C45" s="6"/>
      <c r="D45" s="93">
        <f>'Forecasts by year'!D14</f>
        <v>15298.661613227494</v>
      </c>
      <c r="E45" s="93">
        <f>'Forecasts by year'!E14</f>
        <v>15298.661613227494</v>
      </c>
      <c r="F45" s="93">
        <f>'Forecasts by year'!F14</f>
        <v>15411.889642376416</v>
      </c>
      <c r="G45" s="93">
        <f>'Forecasts by year'!G14</f>
        <v>15652.617084989677</v>
      </c>
      <c r="H45" s="93">
        <f>'Forecasts by year'!H14</f>
        <v>16012.207604421586</v>
      </c>
      <c r="I45" s="148">
        <f t="shared" si="6"/>
        <v>77674.037558242679</v>
      </c>
    </row>
    <row r="46" spans="2:9" x14ac:dyDescent="0.25">
      <c r="B46" s="8" t="s">
        <v>102</v>
      </c>
      <c r="C46" s="6"/>
      <c r="D46" s="93">
        <f>'Forecasts by year'!D15</f>
        <v>4223.5303913955468</v>
      </c>
      <c r="E46" s="93">
        <f>'Forecasts by year'!E15</f>
        <v>4223.5303913955468</v>
      </c>
      <c r="F46" s="93">
        <f>'Forecasts by year'!F15</f>
        <v>4262.5048509646431</v>
      </c>
      <c r="G46" s="93">
        <f>'Forecasts by year'!G15</f>
        <v>4345.3661535045158</v>
      </c>
      <c r="H46" s="93">
        <f>'Forecasts by year'!H15</f>
        <v>4469.1415672988869</v>
      </c>
      <c r="I46" s="148">
        <f t="shared" si="6"/>
        <v>21524.073354559143</v>
      </c>
    </row>
    <row r="47" spans="2:9" x14ac:dyDescent="0.25">
      <c r="B47" s="8" t="s">
        <v>124</v>
      </c>
      <c r="C47" s="134"/>
      <c r="D47" s="93">
        <f>'Forecasts by year'!D16</f>
        <v>3320.4878525264739</v>
      </c>
      <c r="E47" s="93">
        <f>'Forecasts by year'!E16</f>
        <v>3320.4878525264739</v>
      </c>
      <c r="F47" s="93">
        <f>'Forecasts by year'!F16</f>
        <v>3345.5526645787495</v>
      </c>
      <c r="G47" s="93">
        <f>'Forecasts by year'!G16</f>
        <v>3398.8414849378005</v>
      </c>
      <c r="H47" s="93">
        <f>'Forecasts by year'!H16</f>
        <v>3478.4425241247191</v>
      </c>
      <c r="I47" s="148">
        <f t="shared" si="6"/>
        <v>16863.812378694216</v>
      </c>
    </row>
    <row r="48" spans="2:9" x14ac:dyDescent="0.25">
      <c r="B48" s="26" t="s">
        <v>1</v>
      </c>
      <c r="C48" s="27"/>
      <c r="D48" s="28">
        <f>SUM(D44:D47)</f>
        <v>55677.596848528898</v>
      </c>
      <c r="E48" s="28">
        <f t="shared" ref="E48:H48" si="7">SUM(E44:E47)</f>
        <v>55677.596848528898</v>
      </c>
      <c r="F48" s="28">
        <f t="shared" si="7"/>
        <v>56097.881024382426</v>
      </c>
      <c r="G48" s="28">
        <f t="shared" si="7"/>
        <v>56991.422452105886</v>
      </c>
      <c r="H48" s="28">
        <f t="shared" si="7"/>
        <v>58326.164443467482</v>
      </c>
      <c r="I48" s="28">
        <f>SUM(I44:I47)</f>
        <v>282770.66161701363</v>
      </c>
    </row>
  </sheetData>
  <mergeCells count="2">
    <mergeCell ref="B29:I30"/>
    <mergeCell ref="B34:I35"/>
  </mergeCells>
  <pageMargins left="0.7" right="0.7" top="0.75" bottom="0.75" header="0.3" footer="0.3"/>
  <ignoredErrors>
    <ignoredError sqref="I25"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Fee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2018-04-18T01:14:05Z</dcterms:modified>
</cp:coreProperties>
</file>