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4_DSNP Arranged Outage (NEW)\"/>
    </mc:Choice>
  </mc:AlternateContent>
  <xr:revisionPtr revIDLastSave="0" documentId="13_ncr:1_{9AE3A44F-790A-46CF-8168-3EA351CC4A0E}"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Fee" sheetId="11" r:id="rId4"/>
    <sheet name="Historical Revenue" sheetId="13"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F15" i="16" l="1"/>
  <c r="G15" i="16" s="1"/>
  <c r="H15" i="16" s="1"/>
  <c r="F16" i="16"/>
  <c r="G16" i="16"/>
  <c r="H16" i="16" s="1"/>
  <c r="E16" i="16"/>
  <c r="E15" i="16"/>
  <c r="E14" i="16"/>
  <c r="F14" i="16" s="1"/>
  <c r="G14" i="16" s="1"/>
  <c r="H14" i="16" s="1"/>
  <c r="F13" i="16"/>
  <c r="G13" i="16" s="1"/>
  <c r="H13" i="16" s="1"/>
  <c r="E13" i="16"/>
  <c r="H5" i="17" l="1"/>
  <c r="G5" i="17"/>
  <c r="F5" i="17"/>
  <c r="E5" i="17"/>
  <c r="D5" i="17"/>
  <c r="H4" i="17"/>
  <c r="G4" i="17"/>
  <c r="F4" i="17"/>
  <c r="E4" i="17"/>
  <c r="D4" i="17"/>
  <c r="H3" i="17"/>
  <c r="G3" i="17"/>
  <c r="F3" i="17"/>
  <c r="E3" i="17"/>
  <c r="D3" i="17"/>
  <c r="H2" i="17"/>
  <c r="G2" i="17"/>
  <c r="F2" i="17"/>
  <c r="E2" i="17"/>
  <c r="D2" i="17"/>
  <c r="H1" i="17"/>
  <c r="G1" i="17"/>
  <c r="F1" i="17"/>
  <c r="E1" i="17"/>
  <c r="D1" i="17"/>
  <c r="Z17" i="11"/>
  <c r="Y17" i="11"/>
  <c r="I21" i="11"/>
  <c r="H21" i="11"/>
  <c r="I20" i="11"/>
  <c r="H20" i="11"/>
  <c r="I19" i="11"/>
  <c r="H19" i="11"/>
  <c r="I18" i="11"/>
  <c r="H18" i="11"/>
  <c r="I17" i="11"/>
  <c r="H17" i="11"/>
  <c r="Z7" i="11"/>
  <c r="Y7" i="11"/>
  <c r="I11" i="11"/>
  <c r="H11" i="11"/>
  <c r="I10" i="11"/>
  <c r="H10" i="11"/>
  <c r="I9" i="11"/>
  <c r="H9" i="11"/>
  <c r="I8" i="11"/>
  <c r="H8" i="11"/>
  <c r="I7" i="11"/>
  <c r="H7" i="11"/>
  <c r="D17" i="16" l="1"/>
  <c r="K39" i="17"/>
  <c r="J33" i="17"/>
  <c r="K33" i="17" s="1"/>
  <c r="L33" i="17" s="1"/>
  <c r="M33" i="17" s="1"/>
  <c r="N33" i="17" s="1"/>
  <c r="O33" i="17" s="1"/>
  <c r="AC18" i="11"/>
  <c r="AB18" i="11"/>
  <c r="AA18" i="11"/>
  <c r="X18" i="11"/>
  <c r="W17" i="11"/>
  <c r="Z18" i="11" s="1"/>
  <c r="J32" i="17" s="1"/>
  <c r="K32" i="17" s="1"/>
  <c r="L32" i="17" s="1"/>
  <c r="M32" i="17" s="1"/>
  <c r="N32" i="17" s="1"/>
  <c r="O32" i="17" s="1"/>
  <c r="H39" i="17"/>
  <c r="E39" i="17"/>
  <c r="F39" i="17"/>
  <c r="D39" i="17"/>
  <c r="K27" i="17"/>
  <c r="D27" i="17"/>
  <c r="N5" i="17"/>
  <c r="K5" i="17"/>
  <c r="O4" i="17"/>
  <c r="N4" i="17"/>
  <c r="M4" i="17"/>
  <c r="L4" i="17"/>
  <c r="K4" i="17"/>
  <c r="M1" i="17"/>
  <c r="O1" i="17"/>
  <c r="N1" i="17"/>
  <c r="L1" i="17"/>
  <c r="K1" i="17"/>
  <c r="G23" i="11"/>
  <c r="I23" i="11"/>
  <c r="J20" i="17" s="1"/>
  <c r="K20" i="17" s="1"/>
  <c r="L20" i="17" s="1"/>
  <c r="J23" i="11"/>
  <c r="J21" i="17" s="1"/>
  <c r="K21" i="17" s="1"/>
  <c r="K23" i="11"/>
  <c r="L23" i="11"/>
  <c r="G13" i="11"/>
  <c r="J13" i="11"/>
  <c r="C21" i="17" s="1"/>
  <c r="D21" i="17" s="1"/>
  <c r="K13" i="11"/>
  <c r="L13" i="11"/>
  <c r="M18" i="11"/>
  <c r="M21" i="11"/>
  <c r="M17" i="11"/>
  <c r="X8" i="11"/>
  <c r="AA8" i="11"/>
  <c r="C33" i="17" s="1"/>
  <c r="D33" i="17" s="1"/>
  <c r="AB8" i="11"/>
  <c r="AC8" i="11"/>
  <c r="M7" i="11"/>
  <c r="G39" i="17" l="1"/>
  <c r="M27" i="17"/>
  <c r="L27" i="17"/>
  <c r="O7" i="11"/>
  <c r="N7" i="11"/>
  <c r="N17" i="11"/>
  <c r="O17" i="11"/>
  <c r="N21" i="11"/>
  <c r="O21" i="11"/>
  <c r="O18" i="11"/>
  <c r="N18" i="11"/>
  <c r="E33" i="17"/>
  <c r="D10" i="17"/>
  <c r="M20" i="11"/>
  <c r="H23" i="11"/>
  <c r="J19" i="17" s="1"/>
  <c r="K19" i="17" s="1"/>
  <c r="I13" i="11"/>
  <c r="C20" i="17" s="1"/>
  <c r="D20" i="17" s="1"/>
  <c r="E20" i="17" s="1"/>
  <c r="M10" i="11"/>
  <c r="M19" i="11"/>
  <c r="M11" i="11"/>
  <c r="M9" i="11"/>
  <c r="F17" i="16"/>
  <c r="M39" i="17"/>
  <c r="L39" i="17"/>
  <c r="E17" i="16"/>
  <c r="K10" i="17"/>
  <c r="K9" i="17"/>
  <c r="L9" i="17"/>
  <c r="W18" i="11"/>
  <c r="M20" i="17"/>
  <c r="E21" i="17"/>
  <c r="O5" i="17"/>
  <c r="L21" i="17"/>
  <c r="M5" i="17"/>
  <c r="L5" i="17"/>
  <c r="H13" i="11"/>
  <c r="C19" i="17" s="1"/>
  <c r="D19" i="17" s="1"/>
  <c r="M8" i="11"/>
  <c r="I15" i="13"/>
  <c r="I16" i="13"/>
  <c r="F17" i="13"/>
  <c r="G17" i="13"/>
  <c r="H17" i="13"/>
  <c r="I14" i="13"/>
  <c r="I7" i="13"/>
  <c r="I8" i="13"/>
  <c r="I9" i="13"/>
  <c r="I6" i="13"/>
  <c r="E10" i="13"/>
  <c r="F10" i="13"/>
  <c r="G10" i="13"/>
  <c r="H10" i="13"/>
  <c r="I26" i="15"/>
  <c r="I25" i="15"/>
  <c r="I20" i="15"/>
  <c r="I19" i="15"/>
  <c r="I14" i="15"/>
  <c r="I13" i="15"/>
  <c r="I5" i="15"/>
  <c r="I6" i="15"/>
  <c r="I7" i="15"/>
  <c r="I8" i="15"/>
  <c r="I4" i="15"/>
  <c r="E27" i="15"/>
  <c r="F27" i="15"/>
  <c r="G27" i="15"/>
  <c r="H27" i="15"/>
  <c r="F21" i="15"/>
  <c r="G21" i="15"/>
  <c r="H21" i="15"/>
  <c r="E15" i="15"/>
  <c r="F15" i="15"/>
  <c r="G15" i="15"/>
  <c r="H15" i="15"/>
  <c r="F9" i="15"/>
  <c r="G9" i="15"/>
  <c r="H9" i="15"/>
  <c r="N39" i="17" l="1"/>
  <c r="I16" i="16"/>
  <c r="G17" i="16"/>
  <c r="P21" i="11"/>
  <c r="P7" i="11"/>
  <c r="M9" i="17"/>
  <c r="O27" i="17"/>
  <c r="N27" i="17"/>
  <c r="P18" i="11"/>
  <c r="P17" i="11"/>
  <c r="D22" i="17"/>
  <c r="D24" i="17" s="1"/>
  <c r="O11" i="11"/>
  <c r="N11" i="11"/>
  <c r="O19" i="11"/>
  <c r="N19" i="11"/>
  <c r="P19" i="11" s="1"/>
  <c r="O20" i="11"/>
  <c r="N20" i="11"/>
  <c r="O10" i="11"/>
  <c r="N10" i="11"/>
  <c r="P10" i="11" s="1"/>
  <c r="O8" i="11"/>
  <c r="N8" i="11"/>
  <c r="N9" i="11"/>
  <c r="O9" i="11"/>
  <c r="M23" i="11"/>
  <c r="J22" i="17" s="1"/>
  <c r="E19" i="17"/>
  <c r="F19" i="17" s="1"/>
  <c r="D33" i="16"/>
  <c r="F33" i="17"/>
  <c r="L10" i="17"/>
  <c r="O39" i="17"/>
  <c r="Y18" i="11"/>
  <c r="J31" i="17" s="1"/>
  <c r="K31" i="17" s="1"/>
  <c r="AD17" i="11"/>
  <c r="F21" i="17"/>
  <c r="N20" i="17"/>
  <c r="M21" i="17"/>
  <c r="M10" i="17" s="1"/>
  <c r="K22" i="17"/>
  <c r="L19" i="17"/>
  <c r="F20" i="17"/>
  <c r="M13" i="11"/>
  <c r="C22" i="17" s="1"/>
  <c r="E27" i="17"/>
  <c r="E10" i="17" s="1"/>
  <c r="P8" i="11" l="1"/>
  <c r="P20" i="11"/>
  <c r="N9" i="17"/>
  <c r="H17" i="16"/>
  <c r="P11" i="11"/>
  <c r="P9" i="11"/>
  <c r="AF17" i="11"/>
  <c r="AF18" i="11" s="1"/>
  <c r="J36" i="17" s="1"/>
  <c r="AE17" i="11"/>
  <c r="O13" i="11"/>
  <c r="C24" i="17" s="1"/>
  <c r="O23" i="11"/>
  <c r="J24" i="17" s="1"/>
  <c r="E22" i="17"/>
  <c r="E24" i="17" s="1"/>
  <c r="G33" i="17"/>
  <c r="L31" i="17"/>
  <c r="K8" i="17"/>
  <c r="K34" i="17"/>
  <c r="AD18" i="11"/>
  <c r="J34" i="17" s="1"/>
  <c r="E33" i="16"/>
  <c r="F22" i="17"/>
  <c r="G19" i="17"/>
  <c r="K24" i="17"/>
  <c r="O20" i="17"/>
  <c r="O9" i="17" s="1"/>
  <c r="G20" i="17"/>
  <c r="L22" i="17"/>
  <c r="M19" i="17"/>
  <c r="N21" i="17"/>
  <c r="N10" i="17" s="1"/>
  <c r="G21" i="17"/>
  <c r="F27" i="17"/>
  <c r="F10" i="17" s="1"/>
  <c r="AG17" i="11" l="1"/>
  <c r="H33" i="17"/>
  <c r="K11" i="17"/>
  <c r="K36" i="17"/>
  <c r="K13" i="17" s="1"/>
  <c r="M31" i="17"/>
  <c r="L8" i="17"/>
  <c r="F33" i="16"/>
  <c r="H27" i="17"/>
  <c r="G27" i="17"/>
  <c r="G10" i="17" s="1"/>
  <c r="G33" i="16" s="1"/>
  <c r="L24" i="17"/>
  <c r="F24" i="17"/>
  <c r="O21" i="17"/>
  <c r="O10" i="17" s="1"/>
  <c r="H20" i="17"/>
  <c r="G22" i="17"/>
  <c r="H19" i="17"/>
  <c r="H21" i="17"/>
  <c r="N19" i="17"/>
  <c r="M22" i="17"/>
  <c r="G66" i="8"/>
  <c r="I13" i="16"/>
  <c r="H10" i="17" l="1"/>
  <c r="H33" i="16" s="1"/>
  <c r="I33" i="16" s="1"/>
  <c r="N31" i="17"/>
  <c r="M8" i="17"/>
  <c r="L34" i="17"/>
  <c r="L11" i="17" s="1"/>
  <c r="G24" i="17"/>
  <c r="M24" i="17"/>
  <c r="O19" i="17"/>
  <c r="N22" i="17"/>
  <c r="H22" i="17"/>
  <c r="F66" i="8"/>
  <c r="F17" i="11"/>
  <c r="O31" i="17" l="1"/>
  <c r="O8" i="17" s="1"/>
  <c r="N8" i="17"/>
  <c r="M34" i="17"/>
  <c r="M11" i="17" s="1"/>
  <c r="L36" i="17"/>
  <c r="L13" i="17" s="1"/>
  <c r="H24" i="17"/>
  <c r="N24" i="17"/>
  <c r="O22" i="17"/>
  <c r="W7" i="11"/>
  <c r="F21" i="11"/>
  <c r="F20" i="11"/>
  <c r="F19" i="11"/>
  <c r="F18" i="11"/>
  <c r="F11" i="11"/>
  <c r="F10" i="11"/>
  <c r="F9" i="11"/>
  <c r="F8" i="11"/>
  <c r="F7" i="11"/>
  <c r="N34" i="17" l="1"/>
  <c r="N11" i="17" s="1"/>
  <c r="M36" i="17"/>
  <c r="M13" i="17" s="1"/>
  <c r="O24" i="17"/>
  <c r="Z8" i="11"/>
  <c r="C32" i="17" s="1"/>
  <c r="D32" i="17" s="1"/>
  <c r="F13" i="11"/>
  <c r="F23" i="11"/>
  <c r="W8" i="11"/>
  <c r="E32" i="17" l="1"/>
  <c r="D9" i="17"/>
  <c r="D32" i="16" s="1"/>
  <c r="O34" i="17"/>
  <c r="O36" i="17" s="1"/>
  <c r="O13" i="17" s="1"/>
  <c r="N36" i="17"/>
  <c r="N13" i="17" s="1"/>
  <c r="AD7" i="11"/>
  <c r="Y8" i="11"/>
  <c r="C31" i="17" s="1"/>
  <c r="D31" i="17" s="1"/>
  <c r="AF7" i="11" l="1"/>
  <c r="AE7" i="11"/>
  <c r="AG7" i="11"/>
  <c r="F32" i="17"/>
  <c r="E9" i="17"/>
  <c r="E32" i="16" s="1"/>
  <c r="E31" i="17"/>
  <c r="D34" i="17"/>
  <c r="D8" i="17"/>
  <c r="D31" i="16" s="1"/>
  <c r="O11" i="17"/>
  <c r="AD8" i="11"/>
  <c r="C34" i="17" s="1"/>
  <c r="AF8" i="11"/>
  <c r="C36" i="17" s="1"/>
  <c r="D27" i="15"/>
  <c r="I27" i="15"/>
  <c r="D11" i="17" l="1"/>
  <c r="D34" i="16" s="1"/>
  <c r="C50" i="8" s="1"/>
  <c r="D36" i="17"/>
  <c r="D13" i="17" s="1"/>
  <c r="D36" i="16" s="1"/>
  <c r="G32" i="17"/>
  <c r="F9" i="17"/>
  <c r="F32" i="16" s="1"/>
  <c r="F31" i="17"/>
  <c r="E8" i="17"/>
  <c r="E31" i="16" s="1"/>
  <c r="E34" i="17"/>
  <c r="E21" i="15"/>
  <c r="D21" i="15"/>
  <c r="D15" i="15"/>
  <c r="G31" i="17" l="1"/>
  <c r="F8" i="17"/>
  <c r="F31" i="16" s="1"/>
  <c r="F34" i="17"/>
  <c r="H32" i="17"/>
  <c r="H9" i="17" s="1"/>
  <c r="H32" i="16" s="1"/>
  <c r="G9" i="17"/>
  <c r="G32" i="16" s="1"/>
  <c r="E11" i="17"/>
  <c r="E34" i="16" s="1"/>
  <c r="E36" i="17"/>
  <c r="E13" i="17" s="1"/>
  <c r="E36" i="16" s="1"/>
  <c r="I15" i="15"/>
  <c r="I21" i="15"/>
  <c r="E9" i="15"/>
  <c r="D9" i="15"/>
  <c r="I15" i="16"/>
  <c r="I14" i="16"/>
  <c r="E17" i="13"/>
  <c r="D17" i="13"/>
  <c r="D10" i="13"/>
  <c r="I17" i="16" l="1"/>
  <c r="I32" i="16"/>
  <c r="D50" i="8"/>
  <c r="F11" i="17"/>
  <c r="F34" i="16" s="1"/>
  <c r="F36" i="17"/>
  <c r="F13" i="17" s="1"/>
  <c r="F36" i="16" s="1"/>
  <c r="H31" i="17"/>
  <c r="G8" i="17"/>
  <c r="G31" i="16" s="1"/>
  <c r="G34" i="17"/>
  <c r="D66" i="8"/>
  <c r="C66" i="8"/>
  <c r="E66" i="8"/>
  <c r="I10" i="13"/>
  <c r="I17" i="13"/>
  <c r="H8" i="17" l="1"/>
  <c r="H31" i="16" s="1"/>
  <c r="I31" i="16" s="1"/>
  <c r="H34" i="17"/>
  <c r="G11" i="17"/>
  <c r="G34" i="16" s="1"/>
  <c r="G36" i="17"/>
  <c r="G13" i="17" s="1"/>
  <c r="G36" i="16" s="1"/>
  <c r="E50" i="8"/>
  <c r="I9" i="15"/>
  <c r="F50" i="8" l="1"/>
  <c r="H11" i="17"/>
  <c r="H34" i="16" s="1"/>
  <c r="H36" i="17"/>
  <c r="H13" i="17" s="1"/>
  <c r="H36" i="16" s="1"/>
  <c r="I36" i="16" s="1"/>
  <c r="D3" i="9"/>
  <c r="G50" i="8" l="1"/>
  <c r="H50" i="8" s="1"/>
  <c r="I34" i="16"/>
  <c r="H66" i="8" l="1"/>
  <c r="Q17" i="11" l="1"/>
  <c r="N23" i="11"/>
  <c r="J23" i="17" s="1"/>
  <c r="D35" i="17"/>
  <c r="D23" i="17"/>
  <c r="K3" i="17"/>
  <c r="N3" i="17"/>
  <c r="G35" i="17"/>
  <c r="G23" i="17"/>
  <c r="F35" i="17"/>
  <c r="M3" i="17"/>
  <c r="F23" i="17"/>
  <c r="Q21" i="11"/>
  <c r="AE18" i="11"/>
  <c r="J35" i="17" s="1"/>
  <c r="AG18" i="11"/>
  <c r="J37" i="17" s="1"/>
  <c r="Q10" i="11"/>
  <c r="AG8" i="11"/>
  <c r="C37" i="17" s="1"/>
  <c r="AE8" i="11"/>
  <c r="C35" i="17" s="1"/>
  <c r="Q20" i="11"/>
  <c r="Q18" i="11"/>
  <c r="E35" i="17"/>
  <c r="L3" i="17"/>
  <c r="E23" i="17"/>
  <c r="H35" i="17"/>
  <c r="O3" i="17"/>
  <c r="H23" i="17"/>
  <c r="N13" i="11"/>
  <c r="C23" i="17" s="1"/>
  <c r="Q8" i="11"/>
  <c r="Q9" i="11"/>
  <c r="Q19" i="11"/>
  <c r="Q11" i="11"/>
  <c r="AH7" i="11" l="1"/>
  <c r="AH8" i="11" s="1"/>
  <c r="C38" i="17" s="1"/>
  <c r="P13" i="11"/>
  <c r="C25" i="17" s="1"/>
  <c r="H37" i="17"/>
  <c r="H38" i="17" s="1"/>
  <c r="G12" i="17"/>
  <c r="G25" i="17"/>
  <c r="G26" i="17" s="1"/>
  <c r="Q7" i="11"/>
  <c r="Q13" i="11" s="1"/>
  <c r="H25" i="17"/>
  <c r="H12" i="17"/>
  <c r="O35" i="17"/>
  <c r="O23" i="17"/>
  <c r="L35" i="17"/>
  <c r="L23" i="17"/>
  <c r="AH17" i="11"/>
  <c r="AH18" i="11" s="1"/>
  <c r="D12" i="17"/>
  <c r="D25" i="17"/>
  <c r="E37" i="17"/>
  <c r="E38" i="17" s="1"/>
  <c r="M23" i="17"/>
  <c r="M35" i="17"/>
  <c r="Q23" i="11"/>
  <c r="E25" i="17"/>
  <c r="E12" i="17"/>
  <c r="N23" i="17"/>
  <c r="N35" i="17"/>
  <c r="F12" i="17"/>
  <c r="F25" i="17"/>
  <c r="K35" i="17"/>
  <c r="K23" i="17"/>
  <c r="P23" i="11"/>
  <c r="J25" i="17" s="1"/>
  <c r="F37" i="17"/>
  <c r="F38" i="17" s="1"/>
  <c r="G37" i="17"/>
  <c r="G38" i="17" s="1"/>
  <c r="D37" i="17"/>
  <c r="D38" i="17" s="1"/>
  <c r="H14" i="17" l="1"/>
  <c r="D9" i="8"/>
  <c r="H26" i="17"/>
  <c r="H15" i="17" s="1"/>
  <c r="G40" i="17"/>
  <c r="G7" i="16" s="1"/>
  <c r="K12" i="17"/>
  <c r="D35" i="16" s="1"/>
  <c r="K25" i="17"/>
  <c r="K26" i="17" s="1"/>
  <c r="F14" i="17"/>
  <c r="E14" i="17"/>
  <c r="E26" i="17"/>
  <c r="L37" i="17"/>
  <c r="L38" i="17" s="1"/>
  <c r="D7" i="8"/>
  <c r="C26" i="17"/>
  <c r="D40" i="17"/>
  <c r="D7" i="16" s="1"/>
  <c r="F26" i="17"/>
  <c r="N12" i="17"/>
  <c r="G35" i="16" s="1"/>
  <c r="N25" i="17"/>
  <c r="N26" i="17" s="1"/>
  <c r="D14" i="17"/>
  <c r="D26" i="17"/>
  <c r="E40" i="17"/>
  <c r="E7" i="16" s="1"/>
  <c r="O37" i="17"/>
  <c r="O38" i="17" s="1"/>
  <c r="F40" i="17"/>
  <c r="F7" i="16" s="1"/>
  <c r="H40" i="17"/>
  <c r="H7" i="16" s="1"/>
  <c r="D8" i="8"/>
  <c r="J26" i="17"/>
  <c r="M37" i="17"/>
  <c r="M38" i="17" s="1"/>
  <c r="D10" i="8"/>
  <c r="J38" i="17"/>
  <c r="G15" i="17"/>
  <c r="G28" i="17"/>
  <c r="K37" i="17"/>
  <c r="K38" i="17" s="1"/>
  <c r="N37" i="17"/>
  <c r="N38" i="17" s="1"/>
  <c r="M12" i="17"/>
  <c r="F35" i="16" s="1"/>
  <c r="M25" i="17"/>
  <c r="L12" i="17"/>
  <c r="E35" i="16" s="1"/>
  <c r="L25" i="17"/>
  <c r="O12" i="17"/>
  <c r="H35" i="16" s="1"/>
  <c r="O25" i="17"/>
  <c r="G14" i="17"/>
  <c r="L14" i="17" l="1"/>
  <c r="E37" i="16" s="1"/>
  <c r="D52" i="8" s="1"/>
  <c r="D54" i="8" s="1"/>
  <c r="O14" i="17"/>
  <c r="H37" i="16" s="1"/>
  <c r="G52" i="8" s="1"/>
  <c r="G54" i="8" s="1"/>
  <c r="M14" i="17"/>
  <c r="F37" i="16" s="1"/>
  <c r="E52" i="8" s="1"/>
  <c r="E54" i="8" s="1"/>
  <c r="H28" i="17"/>
  <c r="H16" i="17" s="1"/>
  <c r="N40" i="17"/>
  <c r="G8" i="16" s="1"/>
  <c r="I35" i="16"/>
  <c r="O26" i="17"/>
  <c r="M26" i="17"/>
  <c r="O40" i="17"/>
  <c r="H8" i="16" s="1"/>
  <c r="F15" i="17"/>
  <c r="F28" i="17"/>
  <c r="L40" i="17"/>
  <c r="E8" i="16" s="1"/>
  <c r="K40" i="17"/>
  <c r="D8" i="16" s="1"/>
  <c r="D28" i="17"/>
  <c r="D15" i="17"/>
  <c r="L26" i="17"/>
  <c r="G16" i="17"/>
  <c r="G5" i="16"/>
  <c r="N14" i="17"/>
  <c r="G37" i="16" s="1"/>
  <c r="I7" i="16"/>
  <c r="E15" i="17"/>
  <c r="E28" i="17"/>
  <c r="K14" i="17"/>
  <c r="D37" i="16" s="1"/>
  <c r="C52" i="8" s="1"/>
  <c r="M40" i="17"/>
  <c r="F8" i="16" s="1"/>
  <c r="N15" i="17"/>
  <c r="N28" i="17"/>
  <c r="K15" i="17"/>
  <c r="K28" i="17"/>
  <c r="H38" i="16" l="1"/>
  <c r="E38" i="16"/>
  <c r="H5" i="16"/>
  <c r="F52" i="8"/>
  <c r="F54" i="8" s="1"/>
  <c r="G38" i="16"/>
  <c r="M28" i="17"/>
  <c r="M15" i="17"/>
  <c r="O15" i="17"/>
  <c r="O28" i="17"/>
  <c r="N16" i="17"/>
  <c r="G6" i="16"/>
  <c r="G9" i="16" s="1"/>
  <c r="K16" i="17"/>
  <c r="D6" i="16"/>
  <c r="I37" i="16"/>
  <c r="I38" i="16" s="1"/>
  <c r="D16" i="17"/>
  <c r="D5" i="16"/>
  <c r="F38" i="16"/>
  <c r="E16" i="17"/>
  <c r="E5" i="16"/>
  <c r="I8" i="16"/>
  <c r="D38" i="16"/>
  <c r="C54" i="8"/>
  <c r="L28" i="17"/>
  <c r="L15" i="17"/>
  <c r="F16" i="17"/>
  <c r="F5" i="16"/>
  <c r="H52" i="8" l="1"/>
  <c r="H54" i="8" s="1"/>
  <c r="I5" i="16"/>
  <c r="D9" i="16"/>
  <c r="H6" i="16"/>
  <c r="H9" i="16" s="1"/>
  <c r="O16" i="17"/>
  <c r="F6" i="16"/>
  <c r="F9" i="16" s="1"/>
  <c r="M16" i="17"/>
  <c r="E6" i="16"/>
  <c r="E9" i="16" s="1"/>
  <c r="L16" i="17"/>
  <c r="I6" i="16" l="1"/>
  <c r="I9" i="16" s="1"/>
</calcChain>
</file>

<file path=xl/sharedStrings.xml><?xml version="1.0" encoding="utf-8"?>
<sst xmlns="http://schemas.openxmlformats.org/spreadsheetml/2006/main" count="344" uniqueCount="158">
  <si>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</si>
  <si>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</si>
  <si>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</si>
  <si>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</si>
  <si>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</si>
  <si>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</si>
  <si>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</si>
  <si>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</si>
  <si>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</si>
  <si>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</si>
  <si>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</si>
  <si>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</si>
  <si>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</si>
  <si>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</si>
  <si>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</si>
  <si>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</si>
  <si>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</si>
  <si>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</si>
  <si>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</si>
  <si>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</si>
  <si>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</si>
  <si>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</si>
  <si>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</si>
  <si>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</si>
  <si>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</si>
  <si>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</si>
  <si>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</si>
  <si>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</si>
  <si>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</si>
  <si>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</si>
  <si>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</si>
  <si>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</si>
  <si>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</si>
  <si>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</si>
  <si>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</si>
  <si>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</si>
  <si>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</si>
  <si>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</si>
  <si>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</si>
  <si>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</si>
  <si>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</si>
  <si>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</si>
  <si>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</si>
  <si>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</si>
  <si>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</si>
  <si>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</si>
  <si>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</si>
  <si>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</si>
  <si>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</si>
  <si>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</si>
  <si>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</si>
  <si>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</si>
  <si>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</si>
  <si>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</si>
  <si>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Historical Operating Cost Per Unit</t>
  </si>
  <si>
    <t>Operating Costs</t>
  </si>
  <si>
    <t>Hours</t>
  </si>
  <si>
    <t xml:space="preserve">Total </t>
  </si>
  <si>
    <t>Alternative Control Service - Bottom Up Estimation</t>
  </si>
  <si>
    <t>Network Service:</t>
  </si>
  <si>
    <t>FY16/17</t>
  </si>
  <si>
    <t>FY15/16</t>
  </si>
  <si>
    <t>FY14/15</t>
  </si>
  <si>
    <t>FY19/20</t>
  </si>
  <si>
    <t>FY20/21</t>
  </si>
  <si>
    <t>FY21/22</t>
  </si>
  <si>
    <t>FY23/24</t>
  </si>
  <si>
    <t>Time on Task (Hours)</t>
  </si>
  <si>
    <t>Bottom Up Estimation</t>
  </si>
  <si>
    <t>New Service</t>
  </si>
  <si>
    <t>Retailer requested distributor planned interruption for meter replacement (retailer owned) -  (NEW)</t>
  </si>
  <si>
    <r>
      <t xml:space="preserve">
</t>
    </r>
    <r>
      <rPr>
        <sz val="10"/>
        <color rgb="FFFF0000"/>
        <rFont val="Arial"/>
        <family val="2"/>
      </rPr>
      <t>New Service</t>
    </r>
  </si>
  <si>
    <t>Distributor Arranged Outage for Purposes of Replacing Meter
At the request of a retailer or metering coordinator provide notification to affected customers and facilitate the disconnection/reconnection of customer metering installations where a retailer planned interruption cannot be conducted.
This service will predominantly be in shared fuse installations, where the retailer may not be the retailer for all associated premises.</t>
  </si>
  <si>
    <t>R4</t>
  </si>
  <si>
    <t>Full Charge NT (fixed fee)</t>
  </si>
  <si>
    <t xml:space="preserve"> Full Charge OT (fixed fee)</t>
  </si>
  <si>
    <t>Retailer requested Distributor Planned Interruption (Shared Fuse) - Isolation Completed -  Full Charge (Fixed Fee)</t>
  </si>
  <si>
    <t>Retailer requested Distributor Planned Interruption (Shared Fuse) - Isolation Completed -  Additional Labour  (Hourly Rate)</t>
  </si>
  <si>
    <t>Report job complete to job dispatcher</t>
  </si>
  <si>
    <t>Outage scheduled between MC and Essential Energy</t>
  </si>
  <si>
    <t xml:space="preserve">Day of outage - Travel to / from site </t>
  </si>
  <si>
    <t xml:space="preserve">Essential Energy field staff carry out disconnection / reconnection </t>
  </si>
  <si>
    <t>Essential Energy field staff labour above 1 hr allocation</t>
  </si>
  <si>
    <t>Update job status - Isolation Completed</t>
  </si>
  <si>
    <t>Isolation Completed - NT</t>
  </si>
  <si>
    <t>Isolation Completed - OT</t>
  </si>
  <si>
    <t xml:space="preserve">Fixed Fee </t>
  </si>
  <si>
    <t xml:space="preserve"> - </t>
  </si>
  <si>
    <t xml:space="preserve">Existing Service Description (2014 - 19) </t>
  </si>
  <si>
    <t>Historical Hours</t>
  </si>
  <si>
    <t>Derived from labour values</t>
  </si>
  <si>
    <t>R1a</t>
  </si>
  <si>
    <t xml:space="preserve">
Retailer requested Essential Energy notification of customers configured on shared fuse arrangements (non-retailer customers), to facilitate the replacement of retailer owned metering equipment.
Service to complete to customer notifications and Essential Energy staff to attend site for isolation for upto 1 hr.
Additional labour charges may apply to isolations which require Essential Energy staff to attend site beyond the 1 hr allocation. 
*Essential Energy will impose an overtime fee for services provided outside the hrs of 7:30am - 4:00pm Mon - Fri (ordinary hrs).</t>
  </si>
  <si>
    <t>Projected Volumes for FY2019-24 Regulatory Period</t>
  </si>
  <si>
    <t>Operating Costs (on IO's, work orders, cost objects, cost centres)</t>
  </si>
  <si>
    <t>Derived from operating costs / unit volumes</t>
  </si>
  <si>
    <t>Project Code</t>
  </si>
  <si>
    <t>FY22/23</t>
  </si>
  <si>
    <t>New Service - Retailer Requested DSNP Planned Outage - Isolation Completed</t>
  </si>
  <si>
    <t>New Service. No historical revenue information available.</t>
  </si>
  <si>
    <t>New Service. No historical operating costs available.</t>
  </si>
  <si>
    <t>FY17/18</t>
  </si>
  <si>
    <t>FY18/19</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</si>
  <si>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</si>
  <si>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</si>
  <si>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</si>
  <si>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</si>
  <si>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</si>
  <si>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</si>
  <si>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</si>
  <si>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</si>
  <si>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</si>
  <si>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</si>
  <si>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</si>
  <si>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</si>
  <si>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</si>
  <si>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</si>
  <si>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</si>
  <si>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</si>
  <si>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</si>
  <si>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Additional Labour per Hr NT (Hourly Rate)</t>
  </si>
  <si>
    <t>Real 2018-19 (including labour escalation)</t>
  </si>
  <si>
    <t>Labour</t>
  </si>
  <si>
    <t>Fleet</t>
  </si>
  <si>
    <t>Total costs before OHDs, non-system and margin</t>
  </si>
  <si>
    <t>Profit margin</t>
  </si>
  <si>
    <t>Estimated have been provided on the work effort that will be required to complete each service. Volumes are estimated based on volumes of shared fuses across EE's footprint. Approx 38,500 (4.8%) of premises are on shared fure arrangements. Volumes of shared fuse outage required by retailer account to around 23 outages a week to facilitate shared fure meter replacements. Assuming 85% of outages are completed. Installation of smart meters will also increase seperate fure isolations - reducing shared fuse arrangements.</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</si>
  <si>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</si>
  <si>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</si>
  <si>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</si>
  <si>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</si>
  <si>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</si>
  <si>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</si>
  <si>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</si>
  <si>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</si>
  <si>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</si>
  <si>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</si>
  <si>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</si>
  <si>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</si>
  <si>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</si>
  <si>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</si>
  <si>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</si>
  <si>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</si>
  <si>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</si>
  <si>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</si>
  <si>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</si>
  <si>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4.3 Retailer Requested DSNP Planned Outage - Isolation Complete</t>
  </si>
  <si>
    <t xml:space="preserve"> Retailer Requested DSNP Planned Outage - Isolation Complete</t>
  </si>
  <si>
    <t xml:space="preserve"> Retailer Requested DSNP Planned Outage - Additional Labour</t>
  </si>
  <si>
    <t>Retailer requested DSNP arranged outage - Isolation complete - NT</t>
  </si>
  <si>
    <t>Retailer requested DSNP arranged outage - Additional Labour - NT</t>
  </si>
  <si>
    <t>Retailer requested DSNP arranged outage - Isolation complete - OT</t>
  </si>
  <si>
    <t>Retailer requested DSNP arranged outage - Additional Labour - OT</t>
  </si>
  <si>
    <t>Additional Labour per Hr OT (Hourly Rate)</t>
  </si>
  <si>
    <t>Isolation Additional Labour (Hrly) - NT</t>
  </si>
  <si>
    <t>Isolation Additional Labour (Hrly) - OT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</si>
  <si>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</si>
  <si>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t>
    </r>
    <r>
      <rPr>
        <b/>
        <sz val="10"/>
        <color theme="1"/>
        <rFont val="Arial"/>
        <family val="2"/>
      </rPr>
      <t>Retailer requested distributor planned interruption for meter replacement (retailer owned)</t>
    </r>
    <r>
      <rPr>
        <sz val="10"/>
        <color theme="1"/>
        <rFont val="Arial"/>
        <family val="2"/>
      </rPr>
      <t xml:space="preserve">
Retailer requested Essential Energy notification of customers configured on shared fuse arrangements (non-retailer customers), to facilitate the replacement of retailer owned metering equipment.
Service to complete customer notifications and to attend site for isolation upto </t>
    </r>
    <r>
      <rPr>
        <b/>
        <sz val="10"/>
        <color theme="1"/>
        <rFont val="Arial"/>
        <family val="2"/>
      </rPr>
      <t>1 hr</t>
    </r>
    <r>
      <rPr>
        <sz val="10"/>
        <color theme="1"/>
        <rFont val="Arial"/>
        <family val="2"/>
      </rPr>
      <t>.
Additional labour charges may apply to isolations which require Essential Energy staff to attend site beyond the 1 hr allocation. 
*Essential Energy will impose an overtime fee for services provided outside the hrs of 7:30am - 4:00pm Mon - Fri (ordinary hrs).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</si>
</sst>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97">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169" fontId="4" fillId="10" borderId="10" xfId="0" applyNumberFormat="1"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0" fontId="7" fillId="9" borderId="8" xfId="0" applyFont="1" applyFill="1" applyBorder="1" applyAlignment="1">
      <alignment horizontal="left" vertic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3" fontId="7" fillId="0" borderId="0" xfId="0" applyNumberFormat="1" applyFont="1" applyFill="1" applyBorder="1"/>
    <xf numFmtId="0" fontId="5" fillId="8" borderId="8" xfId="0" applyFont="1" applyFill="1" applyBorder="1"/>
    <xf numFmtId="0" fontId="7" fillId="5" borderId="10" xfId="0" applyFont="1" applyFill="1" applyBorder="1"/>
    <xf numFmtId="0" fontId="7" fillId="5" borderId="14"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7" fillId="9" borderId="9" xfId="0" applyFont="1" applyFill="1" applyBorder="1"/>
    <xf numFmtId="0" fontId="7" fillId="5" borderId="4" xfId="0" applyFont="1" applyFill="1" applyBorder="1" applyAlignment="1">
      <alignment horizontal="center"/>
    </xf>
    <xf numFmtId="0" fontId="7" fillId="5" borderId="7" xfId="0" applyFont="1" applyFill="1" applyBorder="1" applyAlignment="1">
      <alignment horizontal="center"/>
    </xf>
    <xf numFmtId="169" fontId="2" fillId="3" borderId="4" xfId="0" applyNumberFormat="1"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5" fillId="8" borderId="4" xfId="0" applyNumberFormat="1" applyFont="1" applyFill="1" applyBorder="1" applyAlignment="1">
      <alignment horizontal="center" vertical="center" wrapText="1"/>
    </xf>
    <xf numFmtId="1" fontId="4" fillId="10" borderId="10"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10" borderId="4" xfId="0" applyNumberFormat="1" applyFont="1" applyFill="1" applyBorder="1" applyAlignment="1">
      <alignment horizontal="center"/>
    </xf>
    <xf numFmtId="2" fontId="5" fillId="8" borderId="4" xfId="0" applyNumberFormat="1" applyFont="1" applyFill="1" applyBorder="1" applyAlignment="1">
      <alignment horizontal="center" vertical="center" wrapText="1"/>
    </xf>
    <xf numFmtId="2" fontId="4" fillId="10" borderId="13"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5" fillId="8" borderId="5" xfId="0" applyFont="1" applyFill="1" applyBorder="1"/>
    <xf numFmtId="0" fontId="8" fillId="8" borderId="3" xfId="0" applyFont="1" applyFill="1" applyBorder="1"/>
    <xf numFmtId="169" fontId="2" fillId="7" borderId="4" xfId="0" applyNumberFormat="1" applyFont="1" applyFill="1" applyBorder="1" applyAlignment="1"/>
    <xf numFmtId="0" fontId="7" fillId="9" borderId="4" xfId="0" applyFont="1" applyFill="1" applyBorder="1" applyAlignment="1">
      <alignment horizontal="left" vertical="center"/>
    </xf>
    <xf numFmtId="0" fontId="2" fillId="2" borderId="4" xfId="0" applyFont="1" applyFill="1" applyBorder="1" applyAlignment="1"/>
    <xf numFmtId="0" fontId="2" fillId="0" borderId="7" xfId="0" applyFont="1" applyBorder="1"/>
    <xf numFmtId="0" fontId="4" fillId="10" borderId="4" xfId="0" applyFont="1" applyFill="1" applyBorder="1" applyAlignment="1">
      <alignment horizontal="center" vertical="center"/>
    </xf>
    <xf numFmtId="2" fontId="4" fillId="10" borderId="8" xfId="0" applyNumberFormat="1" applyFont="1" applyFill="1" applyBorder="1" applyAlignment="1">
      <alignment horizontal="center" vertical="center"/>
    </xf>
    <xf numFmtId="169" fontId="7" fillId="9" borderId="0" xfId="0" applyNumberFormat="1" applyFont="1" applyFill="1" applyBorder="1" applyAlignment="1">
      <alignment horizontal="left"/>
    </xf>
    <xf numFmtId="2" fontId="4" fillId="10" borderId="10" xfId="0" applyNumberFormat="1" applyFont="1" applyFill="1" applyBorder="1" applyAlignment="1">
      <alignment horizontal="center" vertical="center"/>
    </xf>
    <xf numFmtId="0" fontId="7" fillId="7" borderId="0" xfId="0" applyFont="1" applyFill="1" applyBorder="1" applyAlignment="1">
      <alignment horizontal="center" vertical="center"/>
    </xf>
    <xf numFmtId="169" fontId="2" fillId="7" borderId="0" xfId="0" applyNumberFormat="1" applyFont="1" applyFill="1" applyBorder="1" applyAlignment="1">
      <alignment horizontal="center" vertical="center"/>
    </xf>
    <xf numFmtId="0" fontId="2" fillId="7" borderId="0" xfId="0" applyFont="1" applyFill="1" applyBorder="1" applyAlignment="1">
      <alignment vertical="center"/>
    </xf>
    <xf numFmtId="169" fontId="2" fillId="7" borderId="0" xfId="0" applyNumberFormat="1" applyFont="1" applyFill="1" applyBorder="1" applyAlignment="1">
      <alignment vertical="center"/>
    </xf>
    <xf numFmtId="0" fontId="6" fillId="2" borderId="4" xfId="0" applyFont="1" applyFill="1" applyBorder="1" applyAlignment="1">
      <alignment vertical="center"/>
    </xf>
    <xf numFmtId="169" fontId="9" fillId="7" borderId="4" xfId="0" applyNumberFormat="1" applyFont="1" applyFill="1" applyBorder="1" applyAlignment="1"/>
    <xf numFmtId="169" fontId="2" fillId="7" borderId="4" xfId="0" applyNumberFormat="1" applyFont="1" applyFill="1" applyBorder="1" applyAlignment="1">
      <alignment horizontal="center"/>
    </xf>
    <xf numFmtId="1" fontId="4" fillId="10" borderId="10" xfId="0" applyNumberFormat="1" applyFont="1" applyFill="1" applyBorder="1" applyAlignment="1">
      <alignment horizontal="center" vertical="center"/>
    </xf>
    <xf numFmtId="2" fontId="4" fillId="10" borderId="10" xfId="3" applyNumberFormat="1" applyFont="1" applyFill="1" applyBorder="1" applyAlignment="1">
      <alignment horizontal="center" vertical="center"/>
    </xf>
    <xf numFmtId="3" fontId="2" fillId="10" borderId="4" xfId="0" applyNumberFormat="1" applyFont="1" applyFill="1" applyBorder="1"/>
    <xf numFmtId="0" fontId="16" fillId="8" borderId="0" xfId="0" applyFont="1" applyFill="1"/>
    <xf numFmtId="0" fontId="17" fillId="8" borderId="0" xfId="0" applyFont="1" applyFill="1"/>
    <xf numFmtId="0" fontId="18" fillId="0" borderId="0" xfId="0" applyFont="1"/>
    <xf numFmtId="0" fontId="19" fillId="0" borderId="0" xfId="0" applyFont="1"/>
    <xf numFmtId="0" fontId="20" fillId="5" borderId="7" xfId="0" applyFont="1" applyFill="1" applyBorder="1" applyAlignment="1">
      <alignment horizontal="left"/>
    </xf>
    <xf numFmtId="0" fontId="20" fillId="5" borderId="7" xfId="0" applyFont="1" applyFill="1" applyBorder="1" applyAlignment="1">
      <alignment horizontal="center"/>
    </xf>
    <xf numFmtId="0" fontId="20" fillId="5" borderId="8" xfId="0" applyFont="1" applyFill="1" applyBorder="1" applyAlignment="1">
      <alignment horizontal="right"/>
    </xf>
    <xf numFmtId="0" fontId="21" fillId="4" borderId="4" xfId="0" applyFont="1" applyFill="1" applyBorder="1" applyAlignment="1">
      <alignment horizontal="left"/>
    </xf>
    <xf numFmtId="167" fontId="19" fillId="10" borderId="4" xfId="2" applyNumberFormat="1" applyFont="1" applyFill="1" applyBorder="1"/>
    <xf numFmtId="0" fontId="19" fillId="4" borderId="3" xfId="0" applyFont="1" applyFill="1" applyBorder="1"/>
    <xf numFmtId="167" fontId="19" fillId="4" borderId="4" xfId="2" applyNumberFormat="1" applyFont="1" applyFill="1" applyBorder="1"/>
    <xf numFmtId="0" fontId="20" fillId="5" borderId="8" xfId="0" applyFont="1" applyFill="1" applyBorder="1"/>
    <xf numFmtId="0" fontId="20" fillId="5" borderId="0" xfId="0" applyFont="1" applyFill="1" applyBorder="1"/>
    <xf numFmtId="167" fontId="20" fillId="5" borderId="8" xfId="2" applyNumberFormat="1" applyFont="1" applyFill="1" applyBorder="1"/>
    <xf numFmtId="3" fontId="19" fillId="10" borderId="4" xfId="0" applyNumberFormat="1" applyFont="1" applyFill="1" applyBorder="1"/>
    <xf numFmtId="0" fontId="19" fillId="4" borderId="5" xfId="0" applyFont="1" applyFill="1" applyBorder="1"/>
    <xf numFmtId="3" fontId="19" fillId="4" borderId="4" xfId="0" applyNumberFormat="1" applyFont="1" applyFill="1" applyBorder="1"/>
    <xf numFmtId="3" fontId="20" fillId="5" borderId="8" xfId="0" applyNumberFormat="1" applyFont="1" applyFill="1" applyBorder="1"/>
    <xf numFmtId="0" fontId="22" fillId="0" borderId="0" xfId="0" applyFont="1"/>
    <xf numFmtId="0" fontId="20" fillId="5" borderId="6" xfId="0" applyFont="1" applyFill="1" applyBorder="1" applyAlignment="1">
      <alignment horizontal="left"/>
    </xf>
    <xf numFmtId="0" fontId="20" fillId="5" borderId="12" xfId="0" applyFont="1" applyFill="1" applyBorder="1"/>
    <xf numFmtId="0" fontId="23" fillId="5" borderId="12" xfId="0" applyFont="1" applyFill="1" applyBorder="1"/>
    <xf numFmtId="0" fontId="19" fillId="4" borderId="0" xfId="0" quotePrefix="1" applyFont="1" applyFill="1" applyBorder="1" applyAlignment="1">
      <alignment vertical="top"/>
    </xf>
    <xf numFmtId="0" fontId="19" fillId="4" borderId="0" xfId="0" applyFont="1" applyFill="1" applyBorder="1" applyAlignment="1">
      <alignment vertical="top"/>
    </xf>
    <xf numFmtId="0" fontId="9" fillId="4" borderId="0" xfId="0" applyFont="1" applyFill="1" applyBorder="1" applyAlignment="1">
      <alignment horizontal="left" vertical="top" wrapText="1"/>
    </xf>
    <xf numFmtId="167" fontId="2" fillId="10" borderId="5" xfId="2" applyNumberFormat="1" applyFont="1" applyFill="1" applyBorder="1" applyAlignment="1">
      <alignment horizontal="center"/>
    </xf>
    <xf numFmtId="0" fontId="7" fillId="5" borderId="5" xfId="0" applyFont="1" applyFill="1" applyBorder="1" applyAlignment="1">
      <alignment horizontal="center"/>
    </xf>
    <xf numFmtId="0" fontId="7" fillId="5" borderId="8" xfId="0" applyFont="1" applyFill="1" applyBorder="1" applyAlignment="1">
      <alignment horizontal="center"/>
    </xf>
    <xf numFmtId="0" fontId="24" fillId="8" borderId="0" xfId="0" applyFont="1" applyFill="1"/>
    <xf numFmtId="0" fontId="25" fillId="8" borderId="0" xfId="0" applyFont="1" applyFill="1"/>
    <xf numFmtId="0" fontId="26" fillId="0" borderId="0" xfId="0" applyFont="1"/>
    <xf numFmtId="0" fontId="27" fillId="0" borderId="0" xfId="0" applyFont="1"/>
    <xf numFmtId="0" fontId="28" fillId="11" borderId="7" xfId="0" applyFont="1" applyFill="1" applyBorder="1" applyAlignment="1">
      <alignment horizontal="left"/>
    </xf>
    <xf numFmtId="0" fontId="28" fillId="11" borderId="7" xfId="0" applyFont="1" applyFill="1" applyBorder="1" applyAlignment="1">
      <alignment horizontal="center"/>
    </xf>
    <xf numFmtId="0" fontId="28" fillId="11" borderId="8" xfId="0" applyFont="1" applyFill="1" applyBorder="1" applyAlignment="1">
      <alignment horizontal="center"/>
    </xf>
    <xf numFmtId="0" fontId="28" fillId="11" borderId="8" xfId="0" applyFont="1" applyFill="1" applyBorder="1" applyAlignment="1">
      <alignment horizontal="right"/>
    </xf>
    <xf numFmtId="0" fontId="29" fillId="10" borderId="4" xfId="0" applyFont="1" applyFill="1" applyBorder="1" applyAlignment="1">
      <alignment horizontal="left"/>
    </xf>
    <xf numFmtId="0" fontId="27" fillId="10" borderId="4" xfId="0" applyFont="1" applyFill="1" applyBorder="1" applyAlignment="1">
      <alignment wrapText="1"/>
    </xf>
    <xf numFmtId="167" fontId="27" fillId="10" borderId="4" xfId="2" applyNumberFormat="1" applyFont="1" applyFill="1" applyBorder="1"/>
    <xf numFmtId="0" fontId="27" fillId="4" borderId="3" xfId="0" applyFont="1" applyFill="1" applyBorder="1"/>
    <xf numFmtId="0" fontId="27" fillId="10" borderId="4" xfId="0" applyFont="1" applyFill="1" applyBorder="1"/>
    <xf numFmtId="0" fontId="28" fillId="5" borderId="8" xfId="0" applyFont="1" applyFill="1" applyBorder="1"/>
    <xf numFmtId="0" fontId="28" fillId="5" borderId="0" xfId="0" applyFont="1" applyFill="1" applyBorder="1"/>
    <xf numFmtId="167" fontId="28" fillId="5" borderId="8" xfId="2" applyNumberFormat="1" applyFont="1" applyFill="1" applyBorder="1"/>
    <xf numFmtId="0" fontId="28" fillId="11" borderId="11" xfId="0" applyFont="1" applyFill="1" applyBorder="1" applyAlignment="1">
      <alignment horizontal="left"/>
    </xf>
    <xf numFmtId="0" fontId="27" fillId="4" borderId="5" xfId="0" applyFont="1" applyFill="1" applyBorder="1"/>
    <xf numFmtId="3" fontId="27" fillId="10" borderId="4" xfId="0" applyNumberFormat="1" applyFont="1" applyFill="1" applyBorder="1"/>
    <xf numFmtId="0" fontId="27" fillId="4" borderId="5" xfId="0" quotePrefix="1" applyFont="1" applyFill="1" applyBorder="1"/>
    <xf numFmtId="0" fontId="28" fillId="11" borderId="8" xfId="0" applyFont="1" applyFill="1" applyBorder="1"/>
    <xf numFmtId="3" fontId="28" fillId="5" borderId="8" xfId="0" applyNumberFormat="1" applyFont="1" applyFill="1" applyBorder="1"/>
    <xf numFmtId="0" fontId="30" fillId="0" borderId="0" xfId="0" applyFont="1"/>
    <xf numFmtId="0" fontId="28" fillId="5" borderId="6" xfId="0" applyFont="1" applyFill="1" applyBorder="1" applyAlignment="1">
      <alignment horizontal="left"/>
    </xf>
    <xf numFmtId="0" fontId="28" fillId="5" borderId="12" xfId="0" applyFont="1" applyFill="1" applyBorder="1"/>
    <xf numFmtId="0" fontId="31" fillId="5" borderId="12" xfId="0" applyFont="1" applyFill="1" applyBorder="1"/>
    <xf numFmtId="0" fontId="27" fillId="4" borderId="0" xfId="0" quotePrefix="1" applyFont="1" applyFill="1" applyBorder="1" applyAlignment="1">
      <alignment vertical="top"/>
    </xf>
    <xf numFmtId="0" fontId="27" fillId="4" borderId="0" xfId="0" applyFont="1" applyFill="1" applyBorder="1" applyAlignment="1">
      <alignment vertical="top"/>
    </xf>
    <xf numFmtId="0" fontId="2" fillId="7" borderId="0" xfId="0" applyFont="1" applyFill="1" applyBorder="1" applyAlignment="1">
      <alignment horizontal="center" vertical="center"/>
    </xf>
    <xf numFmtId="169" fontId="7" fillId="9" borderId="3" xfId="0" applyNumberFormat="1" applyFont="1" applyFill="1" applyBorder="1" applyAlignment="1">
      <alignment horizontal="left"/>
    </xf>
    <xf numFmtId="0" fontId="33" fillId="2" borderId="4" xfId="0" applyFont="1" applyFill="1" applyBorder="1" applyAlignment="1">
      <alignment horizontal="center" vertical="center"/>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xf numFmtId="169" fontId="7" fillId="9" borderId="5" xfId="0" applyNumberFormat="1" applyFont="1" applyFill="1" applyBorder="1" applyAlignment="1">
      <alignment vertical="center" wrapText="1"/>
    </xf>
    <xf numFmtId="169" fontId="7" fillId="9" borderId="2" xfId="0" applyNumberFormat="1" applyFont="1" applyFill="1" applyBorder="1" applyAlignment="1">
      <alignment vertical="center" wrapText="1"/>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3" fontId="4" fillId="10" borderId="4" xfId="3" applyNumberFormat="1" applyFont="1" applyFill="1" applyBorder="1" applyAlignment="1">
      <alignment horizontal="center"/>
    </xf>
    <xf numFmtId="1" fontId="5" fillId="8" borderId="9" xfId="0" applyNumberFormat="1"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169" fontId="7" fillId="9" borderId="5" xfId="0" applyNumberFormat="1" applyFont="1" applyFill="1" applyBorder="1" applyAlignment="1">
      <alignment vertical="center"/>
    </xf>
    <xf numFmtId="169" fontId="7" fillId="9" borderId="2" xfId="0" applyNumberFormat="1" applyFont="1" applyFill="1" applyBorder="1" applyAlignment="1">
      <alignment vertical="center"/>
    </xf>
    <xf numFmtId="167" fontId="30" fillId="11" borderId="5" xfId="2" applyNumberFormat="1" applyFont="1" applyFill="1" applyBorder="1"/>
    <xf numFmtId="3" fontId="30" fillId="11" borderId="10" xfId="0" applyNumberFormat="1" applyFont="1" applyFill="1" applyBorder="1"/>
    <xf numFmtId="3" fontId="30" fillId="11" borderId="5" xfId="0" applyNumberFormat="1" applyFont="1" applyFill="1" applyBorder="1"/>
    <xf numFmtId="167" fontId="22" fillId="11" borderId="5" xfId="2" applyNumberFormat="1" applyFont="1" applyFill="1" applyBorder="1"/>
    <xf numFmtId="0" fontId="5" fillId="8" borderId="12" xfId="0" applyFont="1" applyFill="1" applyBorder="1"/>
    <xf numFmtId="0" fontId="32" fillId="0" borderId="0" xfId="0" applyFont="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34"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35" fillId="4" borderId="5" xfId="0" applyFont="1" applyFill="1" applyBorder="1"/>
    <xf numFmtId="0" fontId="2" fillId="4" borderId="4" xfId="0" applyFont="1" applyFill="1" applyBorder="1" applyAlignment="1">
      <alignment horizontal="left"/>
    </xf>
    <xf numFmtId="166" fontId="36"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6" fillId="5" borderId="4" xfId="3" applyFont="1" applyFill="1" applyBorder="1"/>
    <xf numFmtId="0" fontId="6" fillId="4" borderId="4" xfId="0" applyFont="1" applyFill="1" applyBorder="1" applyAlignment="1">
      <alignment horizontal="left"/>
    </xf>
    <xf numFmtId="166" fontId="37"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19" fillId="4" borderId="8" xfId="0" applyFont="1" applyFill="1" applyBorder="1"/>
    <xf numFmtId="3" fontId="22" fillId="11" borderId="4" xfId="0" applyNumberFormat="1" applyFont="1" applyFill="1" applyBorder="1"/>
    <xf numFmtId="169" fontId="2" fillId="3" borderId="9" xfId="0" applyNumberFormat="1" applyFont="1" applyFill="1" applyBorder="1" applyAlignment="1">
      <alignment horizontal="center"/>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169" fontId="4" fillId="7" borderId="9" xfId="0" applyNumberFormat="1" applyFont="1" applyFill="1" applyBorder="1" applyAlignment="1"/>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applyFont="1" applyFill="1" applyBorder="1" applyAlignment="1">
      <alignment horizontal="center" vertical="center"/>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29" fillId="4" borderId="1" xfId="0" applyFont="1" applyFill="1" applyBorder="1" applyAlignment="1">
      <alignment horizontal="left" vertical="top" wrapText="1"/>
    </xf>
    <xf numFmtId="0" fontId="29" fillId="4" borderId="0" xfId="0" applyFont="1" applyFill="1" applyBorder="1" applyAlignment="1">
      <alignment horizontal="left" vertical="top" wrapText="1"/>
    </xf>
    <xf numFmtId="0" fontId="27" fillId="4" borderId="1" xfId="0" quotePrefix="1" applyFont="1" applyFill="1" applyBorder="1" applyAlignment="1">
      <alignment horizontal="left" vertical="top" wrapText="1"/>
    </xf>
    <xf numFmtId="0" fontId="27" fillId="4" borderId="0" xfId="0" quotePrefix="1" applyFont="1" applyFill="1" applyBorder="1" applyAlignment="1">
      <alignment horizontal="left" vertical="top" wrapText="1"/>
    </xf>
    <xf numFmtId="10" fontId="34" fillId="14" borderId="12" xfId="0" applyNumberFormat="1" applyFont="1" applyFill="1" applyBorder="1" applyAlignment="1">
      <alignment horizontal="center"/>
    </xf>
    <xf numFmtId="10" fontId="3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3" fillId="4" borderId="1" xfId="0" applyFont="1" applyFill="1" applyBorder="1" applyAlignment="1">
      <alignment horizontal="left" vertical="top"/>
    </xf>
    <xf numFmtId="0" fontId="23" fillId="4" borderId="0" xfId="0" applyFont="1" applyFill="1" applyBorder="1" applyAlignment="1">
      <alignment horizontal="left" vertical="top"/>
    </xf>
    <xf numFmtId="0" fontId="19" fillId="4" borderId="1" xfId="0" quotePrefix="1" applyFont="1" applyFill="1" applyBorder="1" applyAlignment="1">
      <alignment horizontal="left" vertical="top" wrapText="1"/>
    </xf>
    <xf numFmtId="0" fontId="19"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1" fillId="7" borderId="1" xfId="0"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BFBFBF"/>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7"/>
  <sheetViews>
    <sheetView showGridLines="0" tabSelected="1" zoomScale="80" zoomScaleNormal="80" workbookViewId="0">
      <selection activeCell="N13" sqref="N13"/>
    </sheetView>
  </sheetViews>
  <sheetFormatPr defaultColWidth="9.140625" defaultRowHeight="12.75" x14ac:dyDescent="0.2"/>
  <cols>
    <col min="1" max="1" width="2.42578125" style="1" customWidth="1"/>
    <col min="2" max="2" width="41.85546875" style="1" customWidth="1"/>
    <col min="3" max="3" width="37.28515625" style="1" customWidth="1"/>
    <col min="4" max="4" width="21.42578125" style="1" customWidth="1"/>
    <col min="5" max="5" width="17" style="1" customWidth="1"/>
    <col min="6" max="6" width="18.42578125" style="1" customWidth="1"/>
    <col min="7" max="7" width="16.7109375" style="1" customWidth="1"/>
    <col min="8" max="8" width="13.28515625" style="1" customWidth="1"/>
    <col min="9" max="9" width="11.5703125" style="1" customWidth="1"/>
    <col min="10" max="16384" width="9.140625" style="1"/>
  </cols>
  <sheetData>
    <row r="2" spans="2:19" x14ac:dyDescent="0.2">
      <c r="B2" s="40" t="s">
        <v>7</v>
      </c>
      <c r="C2" s="22"/>
      <c r="D2" s="22"/>
      <c r="E2" s="22"/>
      <c r="F2" s="22"/>
      <c r="G2" s="22"/>
      <c r="H2" s="22"/>
      <c r="O2" s="29"/>
      <c r="P2" s="29"/>
      <c r="Q2" s="29"/>
      <c r="R2" s="29"/>
      <c r="S2" s="29"/>
    </row>
    <row r="3" spans="2:19" ht="75.75" customHeight="1" x14ac:dyDescent="0.2">
      <c r="B3" s="41" t="s">
        <v>59</v>
      </c>
      <c r="C3" s="255" t="s">
        <v>70</v>
      </c>
      <c r="D3" s="256"/>
      <c r="E3" s="257"/>
      <c r="F3" s="257"/>
      <c r="G3" s="257"/>
      <c r="H3" s="257"/>
      <c r="M3" s="42"/>
      <c r="N3" s="42"/>
      <c r="O3" s="29"/>
      <c r="P3" s="29"/>
      <c r="Q3" s="29"/>
      <c r="R3" s="29"/>
      <c r="S3" s="29"/>
    </row>
    <row r="4" spans="2:19" ht="55.5" customHeight="1" x14ac:dyDescent="0.2">
      <c r="B4" s="84"/>
      <c r="C4" s="110"/>
      <c r="D4" s="110"/>
      <c r="E4" s="102"/>
      <c r="F4" s="102"/>
      <c r="G4" s="102"/>
      <c r="H4" s="102"/>
      <c r="M4" s="42"/>
      <c r="N4" s="42"/>
      <c r="O4" s="29"/>
      <c r="P4" s="29"/>
      <c r="Q4" s="29"/>
      <c r="R4" s="29"/>
      <c r="S4" s="29"/>
    </row>
    <row r="5" spans="2:19" x14ac:dyDescent="0.2">
      <c r="B5" s="41" t="s">
        <v>13</v>
      </c>
      <c r="C5" s="120"/>
      <c r="D5" s="184" t="s">
        <v>86</v>
      </c>
      <c r="E5" s="116"/>
      <c r="F5" s="116"/>
      <c r="G5" s="103"/>
      <c r="H5" s="103"/>
      <c r="M5" s="42"/>
      <c r="N5" s="42"/>
      <c r="O5" s="29"/>
      <c r="P5" s="29"/>
      <c r="Q5" s="29"/>
      <c r="R5" s="29"/>
      <c r="S5" s="29"/>
    </row>
    <row r="6" spans="2:19" x14ac:dyDescent="0.2">
      <c r="B6" s="109" t="s">
        <v>41</v>
      </c>
      <c r="C6" s="121"/>
      <c r="D6" s="122" t="s">
        <v>87</v>
      </c>
      <c r="E6" s="118"/>
      <c r="F6" s="105"/>
      <c r="G6" s="105"/>
      <c r="H6" s="104"/>
      <c r="M6" s="42"/>
      <c r="N6" s="42"/>
      <c r="O6" s="29"/>
      <c r="P6" s="29"/>
      <c r="Q6" s="29"/>
      <c r="R6" s="29"/>
      <c r="S6" s="29"/>
    </row>
    <row r="7" spans="2:19" x14ac:dyDescent="0.2">
      <c r="B7" s="260" t="s">
        <v>103</v>
      </c>
      <c r="C7" s="108" t="s">
        <v>84</v>
      </c>
      <c r="D7" s="87">
        <f>'Proposed Fee'!Q13</f>
        <v>391.59787329266328</v>
      </c>
      <c r="E7" s="119"/>
      <c r="F7" s="119"/>
      <c r="G7" s="259"/>
      <c r="H7" s="259"/>
      <c r="O7" s="29"/>
      <c r="P7" s="29"/>
      <c r="Q7" s="29"/>
      <c r="R7" s="29"/>
      <c r="S7" s="29"/>
    </row>
    <row r="8" spans="2:19" x14ac:dyDescent="0.2">
      <c r="B8" s="261"/>
      <c r="C8" s="108" t="s">
        <v>85</v>
      </c>
      <c r="D8" s="87">
        <f>'Proposed Fee'!Q23</f>
        <v>639.29909495043057</v>
      </c>
      <c r="E8" s="117"/>
      <c r="F8" s="117"/>
      <c r="G8" s="259"/>
      <c r="H8" s="259"/>
      <c r="O8" s="29"/>
      <c r="P8" s="29"/>
      <c r="Q8" s="29"/>
      <c r="R8" s="29"/>
      <c r="S8" s="29"/>
    </row>
    <row r="9" spans="2:19" x14ac:dyDescent="0.2">
      <c r="B9" s="261"/>
      <c r="C9" s="108" t="s">
        <v>154</v>
      </c>
      <c r="D9" s="87">
        <f>'Proposed Fee'!AH8</f>
        <v>172.20213351936337</v>
      </c>
      <c r="E9" s="117"/>
      <c r="F9" s="117"/>
      <c r="G9" s="105"/>
      <c r="H9" s="105"/>
      <c r="O9" s="29"/>
      <c r="P9" s="29"/>
      <c r="Q9" s="29"/>
      <c r="R9" s="29"/>
      <c r="S9" s="29"/>
    </row>
    <row r="10" spans="2:19" x14ac:dyDescent="0.2">
      <c r="B10" s="261"/>
      <c r="C10" s="108" t="s">
        <v>155</v>
      </c>
      <c r="D10" s="248">
        <f>'Proposed Fee'!AH18</f>
        <v>284.79359790925758</v>
      </c>
      <c r="E10" s="117"/>
      <c r="F10" s="117"/>
      <c r="G10" s="182"/>
      <c r="H10" s="182"/>
      <c r="O10" s="29"/>
      <c r="P10" s="29"/>
      <c r="Q10" s="29"/>
      <c r="R10" s="29"/>
      <c r="S10" s="29"/>
    </row>
    <row r="11" spans="2:19" x14ac:dyDescent="0.2">
      <c r="B11" s="43" t="s">
        <v>47</v>
      </c>
      <c r="C11" s="254" t="s">
        <v>68</v>
      </c>
      <c r="D11" s="254"/>
      <c r="E11" s="31"/>
      <c r="F11" s="31"/>
      <c r="G11" s="31"/>
      <c r="H11" s="31"/>
      <c r="O11" s="29"/>
      <c r="P11" s="29"/>
      <c r="Q11" s="29"/>
      <c r="R11" s="29"/>
      <c r="S11" s="29"/>
    </row>
    <row r="12" spans="2:19" x14ac:dyDescent="0.2">
      <c r="B12" s="106" t="s">
        <v>5</v>
      </c>
      <c r="C12" s="44"/>
      <c r="D12" s="44"/>
      <c r="E12" s="44"/>
      <c r="F12" s="44"/>
      <c r="G12" s="44"/>
      <c r="H12" s="107"/>
      <c r="O12" s="29"/>
      <c r="P12" s="29"/>
      <c r="Q12" s="29"/>
      <c r="R12" s="29"/>
      <c r="S12" s="29"/>
    </row>
    <row r="13" spans="2:19" ht="177" customHeight="1" x14ac:dyDescent="0.2">
      <c r="B13" s="296" t="s">
        <v>157</v>
      </c>
      <c r="C13" s="258"/>
      <c r="D13" s="258"/>
      <c r="E13" s="258"/>
      <c r="F13" s="258"/>
      <c r="G13" s="258"/>
      <c r="H13" s="258"/>
      <c r="O13" s="29"/>
      <c r="P13" s="29"/>
      <c r="Q13" s="29"/>
      <c r="R13" s="29"/>
      <c r="S13" s="29"/>
    </row>
    <row r="14" spans="2:19" x14ac:dyDescent="0.2">
      <c r="B14" s="45"/>
      <c r="C14" s="45"/>
      <c r="D14" s="45"/>
      <c r="E14" s="45"/>
      <c r="F14" s="45"/>
      <c r="G14" s="45"/>
      <c r="H14" s="45"/>
      <c r="O14" s="29"/>
      <c r="P14" s="29"/>
      <c r="Q14" s="29"/>
      <c r="R14" s="29"/>
      <c r="S14" s="29"/>
    </row>
    <row r="15" spans="2:19" x14ac:dyDescent="0.2">
      <c r="O15" s="29"/>
      <c r="P15" s="29"/>
      <c r="Q15" s="29"/>
      <c r="R15" s="29"/>
      <c r="S15" s="29"/>
    </row>
    <row r="16" spans="2:19" x14ac:dyDescent="0.2">
      <c r="B16" s="21" t="s">
        <v>34</v>
      </c>
      <c r="C16" s="22"/>
      <c r="D16" s="22"/>
      <c r="E16" s="22"/>
      <c r="F16" s="22"/>
      <c r="G16" s="22"/>
      <c r="H16" s="22"/>
      <c r="O16" s="29"/>
      <c r="P16" s="29"/>
      <c r="Q16" s="29"/>
      <c r="R16" s="29"/>
      <c r="S16" s="29"/>
    </row>
    <row r="17" spans="2:9" x14ac:dyDescent="0.2">
      <c r="B17" s="250"/>
      <c r="C17" s="250"/>
      <c r="D17" s="250"/>
      <c r="E17" s="250"/>
      <c r="F17" s="250"/>
      <c r="G17" s="250"/>
      <c r="H17" s="250"/>
    </row>
    <row r="18" spans="2:9" ht="30" customHeight="1" x14ac:dyDescent="0.2">
      <c r="B18" s="252" t="s">
        <v>156</v>
      </c>
      <c r="C18" s="252"/>
      <c r="D18" s="252"/>
      <c r="E18" s="252"/>
      <c r="F18" s="252"/>
      <c r="G18" s="252"/>
      <c r="H18" s="252"/>
      <c r="I18" s="29"/>
    </row>
    <row r="19" spans="2:9" ht="30" customHeight="1" x14ac:dyDescent="0.2">
      <c r="B19" s="252"/>
      <c r="C19" s="252"/>
      <c r="D19" s="252"/>
      <c r="E19" s="252"/>
      <c r="F19" s="252"/>
      <c r="G19" s="252"/>
      <c r="H19" s="252"/>
    </row>
    <row r="20" spans="2:9" ht="30" customHeight="1" x14ac:dyDescent="0.2">
      <c r="B20" s="252"/>
      <c r="C20" s="252"/>
      <c r="D20" s="252"/>
      <c r="E20" s="252"/>
      <c r="F20" s="252"/>
      <c r="G20" s="252"/>
      <c r="H20" s="252"/>
    </row>
    <row r="21" spans="2:9" ht="15" customHeight="1" x14ac:dyDescent="0.2">
      <c r="B21" s="252"/>
      <c r="C21" s="252"/>
      <c r="D21" s="252"/>
      <c r="E21" s="252"/>
      <c r="F21" s="252"/>
      <c r="G21" s="252"/>
      <c r="H21" s="252"/>
    </row>
    <row r="22" spans="2:9" ht="15" customHeight="1" x14ac:dyDescent="0.2">
      <c r="B22" s="252"/>
      <c r="C22" s="252"/>
      <c r="D22" s="252"/>
      <c r="E22" s="252"/>
      <c r="F22" s="252"/>
      <c r="G22" s="252"/>
      <c r="H22" s="252"/>
    </row>
    <row r="23" spans="2:9" x14ac:dyDescent="0.2">
      <c r="B23" s="252"/>
      <c r="C23" s="252"/>
      <c r="D23" s="252"/>
      <c r="E23" s="252"/>
      <c r="F23" s="252"/>
      <c r="G23" s="252"/>
      <c r="H23" s="252"/>
    </row>
    <row r="24" spans="2:9" x14ac:dyDescent="0.2">
      <c r="B24" s="252"/>
      <c r="C24" s="252"/>
      <c r="D24" s="252"/>
      <c r="E24" s="252"/>
      <c r="F24" s="252"/>
      <c r="G24" s="252"/>
      <c r="H24" s="252"/>
    </row>
    <row r="25" spans="2:9" x14ac:dyDescent="0.2">
      <c r="B25" s="47"/>
      <c r="C25" s="47"/>
      <c r="D25" s="47"/>
      <c r="E25" s="47"/>
      <c r="F25" s="47"/>
      <c r="G25" s="47"/>
      <c r="H25" s="47"/>
    </row>
    <row r="26" spans="2:9" x14ac:dyDescent="0.2">
      <c r="B26" s="48"/>
      <c r="C26" s="48"/>
      <c r="D26" s="48"/>
      <c r="E26" s="48"/>
      <c r="F26" s="48"/>
      <c r="G26" s="48"/>
      <c r="H26" s="48"/>
    </row>
    <row r="27" spans="2:9" x14ac:dyDescent="0.2">
      <c r="B27" s="21" t="s">
        <v>42</v>
      </c>
      <c r="C27" s="22"/>
      <c r="D27" s="22"/>
      <c r="E27" s="22"/>
      <c r="F27" s="22"/>
      <c r="G27" s="22"/>
      <c r="H27" s="22"/>
    </row>
    <row r="28" spans="2:9" x14ac:dyDescent="0.2">
      <c r="B28" s="250"/>
      <c r="C28" s="250"/>
      <c r="D28" s="250"/>
      <c r="E28" s="250"/>
      <c r="F28" s="250"/>
      <c r="G28" s="250"/>
      <c r="H28" s="250"/>
    </row>
    <row r="29" spans="2:9" x14ac:dyDescent="0.2">
      <c r="B29" s="251" t="s">
        <v>69</v>
      </c>
      <c r="C29" s="251"/>
      <c r="D29" s="251"/>
      <c r="E29" s="251"/>
      <c r="F29" s="251"/>
      <c r="G29" s="251"/>
      <c r="H29" s="251"/>
    </row>
    <row r="30" spans="2:9" x14ac:dyDescent="0.2">
      <c r="B30" s="252"/>
      <c r="C30" s="252"/>
      <c r="D30" s="252"/>
      <c r="E30" s="252"/>
      <c r="F30" s="252"/>
      <c r="G30" s="252"/>
      <c r="H30" s="252"/>
    </row>
    <row r="31" spans="2:9" x14ac:dyDescent="0.2">
      <c r="B31" s="252"/>
      <c r="C31" s="253"/>
      <c r="D31" s="253"/>
      <c r="E31" s="253"/>
      <c r="F31" s="253"/>
      <c r="G31" s="253"/>
      <c r="H31" s="253"/>
    </row>
    <row r="32" spans="2:9" x14ac:dyDescent="0.2">
      <c r="B32" s="46"/>
      <c r="C32" s="46"/>
      <c r="D32" s="46"/>
      <c r="E32" s="46"/>
      <c r="F32" s="46"/>
      <c r="G32" s="46"/>
      <c r="H32" s="46"/>
    </row>
    <row r="33" spans="2:9" x14ac:dyDescent="0.2">
      <c r="B33" s="250"/>
      <c r="C33" s="250"/>
      <c r="D33" s="250"/>
      <c r="E33" s="250"/>
      <c r="F33" s="250"/>
      <c r="G33" s="250"/>
      <c r="H33" s="250"/>
    </row>
    <row r="34" spans="2:9" x14ac:dyDescent="0.2">
      <c r="B34" s="47"/>
      <c r="C34" s="47"/>
      <c r="D34" s="47"/>
      <c r="E34" s="47"/>
      <c r="F34" s="47"/>
      <c r="G34" s="47"/>
      <c r="H34" s="47"/>
    </row>
    <row r="35" spans="2:9" x14ac:dyDescent="0.2">
      <c r="B35" s="47"/>
      <c r="C35" s="47"/>
      <c r="D35" s="47"/>
      <c r="E35" s="47"/>
      <c r="F35" s="47"/>
      <c r="G35" s="47"/>
      <c r="H35" s="47"/>
    </row>
    <row r="36" spans="2:9" x14ac:dyDescent="0.2">
      <c r="B36" s="47"/>
      <c r="C36" s="47"/>
      <c r="D36" s="47"/>
      <c r="E36" s="47"/>
      <c r="F36" s="47"/>
      <c r="G36" s="47"/>
      <c r="H36" s="47"/>
    </row>
    <row r="37" spans="2:9" x14ac:dyDescent="0.2">
      <c r="B37" s="47"/>
      <c r="C37" s="47"/>
      <c r="D37" s="47"/>
      <c r="E37" s="47"/>
      <c r="F37" s="47"/>
      <c r="G37" s="47"/>
      <c r="H37" s="47"/>
    </row>
    <row r="38" spans="2:9" x14ac:dyDescent="0.2">
      <c r="B38" s="49"/>
      <c r="C38" s="49"/>
      <c r="D38" s="49"/>
      <c r="E38" s="49"/>
      <c r="F38" s="49"/>
      <c r="G38" s="49"/>
      <c r="H38" s="49"/>
      <c r="I38" s="29"/>
    </row>
    <row r="39" spans="2:9" x14ac:dyDescent="0.2">
      <c r="B39" s="21" t="s">
        <v>6</v>
      </c>
    </row>
    <row r="40" spans="2:9" x14ac:dyDescent="0.2">
      <c r="B40" s="50" t="s">
        <v>14</v>
      </c>
      <c r="C40" s="51" t="s">
        <v>29</v>
      </c>
      <c r="D40" s="51"/>
      <c r="E40" s="51"/>
      <c r="F40" s="51"/>
      <c r="G40" s="51"/>
      <c r="H40" s="51"/>
    </row>
    <row r="41" spans="2:9" x14ac:dyDescent="0.2">
      <c r="B41" s="52" t="s">
        <v>45</v>
      </c>
      <c r="C41" s="51" t="s">
        <v>52</v>
      </c>
      <c r="D41" s="51"/>
      <c r="E41" s="51"/>
      <c r="F41" s="51"/>
      <c r="G41" s="51"/>
      <c r="H41" s="51"/>
    </row>
    <row r="42" spans="2:9" x14ac:dyDescent="0.2">
      <c r="B42" s="52" t="s">
        <v>46</v>
      </c>
      <c r="C42" s="51" t="s">
        <v>53</v>
      </c>
      <c r="D42" s="51"/>
      <c r="E42" s="51"/>
      <c r="F42" s="51"/>
      <c r="G42" s="51"/>
      <c r="H42" s="51"/>
    </row>
    <row r="43" spans="2:9" x14ac:dyDescent="0.2">
      <c r="B43" s="52" t="s">
        <v>15</v>
      </c>
      <c r="C43" s="51" t="s">
        <v>30</v>
      </c>
      <c r="D43" s="51"/>
      <c r="E43" s="51"/>
      <c r="F43" s="51"/>
      <c r="G43" s="51"/>
      <c r="H43" s="51"/>
    </row>
    <row r="46" spans="2:9" x14ac:dyDescent="0.2">
      <c r="B46" s="21" t="s">
        <v>35</v>
      </c>
      <c r="C46" s="22"/>
      <c r="D46" s="22"/>
      <c r="E46" s="22"/>
      <c r="F46" s="22"/>
      <c r="G46" s="22"/>
      <c r="H46" s="22"/>
    </row>
    <row r="48" spans="2:9" x14ac:dyDescent="0.2">
      <c r="B48" s="39"/>
      <c r="C48" s="23" t="s">
        <v>36</v>
      </c>
      <c r="D48" s="23" t="s">
        <v>37</v>
      </c>
      <c r="E48" s="23" t="s">
        <v>38</v>
      </c>
      <c r="F48" s="23" t="s">
        <v>40</v>
      </c>
      <c r="G48" s="23" t="s">
        <v>39</v>
      </c>
      <c r="H48" s="24" t="s">
        <v>1</v>
      </c>
    </row>
    <row r="49" spans="2:9" x14ac:dyDescent="0.2">
      <c r="C49" s="53"/>
      <c r="D49" s="53"/>
      <c r="E49" s="53"/>
      <c r="F49" s="53"/>
      <c r="G49" s="53"/>
      <c r="H49" s="53"/>
    </row>
    <row r="50" spans="2:9" x14ac:dyDescent="0.2">
      <c r="B50" s="54" t="s">
        <v>104</v>
      </c>
      <c r="C50" s="55">
        <f>'Forecast Revenue - Costs'!D34</f>
        <v>21653.545439214089</v>
      </c>
      <c r="D50" s="55">
        <f>'Forecast Revenue - Costs'!E34</f>
        <v>20787.403621645524</v>
      </c>
      <c r="E50" s="55">
        <f>'Forecast Revenue - Costs'!F34</f>
        <v>20135.574581437824</v>
      </c>
      <c r="F50" s="55">
        <f>'Forecast Revenue - Costs'!G34</f>
        <v>19696.852059480629</v>
      </c>
      <c r="G50" s="55">
        <f>'Forecast Revenue - Costs'!H34</f>
        <v>19434.83214481287</v>
      </c>
      <c r="H50" s="55">
        <f>SUM(C50:G50)</f>
        <v>101708.20784659093</v>
      </c>
    </row>
    <row r="51" spans="2:9" x14ac:dyDescent="0.2">
      <c r="C51" s="56"/>
      <c r="D51" s="57"/>
      <c r="E51" s="56"/>
      <c r="F51" s="56"/>
      <c r="G51" s="56"/>
    </row>
    <row r="52" spans="2:9" x14ac:dyDescent="0.2">
      <c r="B52" s="54" t="s">
        <v>105</v>
      </c>
      <c r="C52" s="55">
        <f>SUM('Forecast Revenue - Costs'!D35:D37)</f>
        <v>15795.057651044666</v>
      </c>
      <c r="D52" s="55">
        <f>SUM('Forecast Revenue - Costs'!E35:E37)</f>
        <v>15163.255345002877</v>
      </c>
      <c r="E52" s="55">
        <f>SUM('Forecast Revenue - Costs'!F35:F37)</f>
        <v>14687.782296138532</v>
      </c>
      <c r="F52" s="55">
        <f>SUM('Forecast Revenue - Costs'!G35:G37)</f>
        <v>14367.758605488036</v>
      </c>
      <c r="G52" s="55">
        <f>SUM('Forecast Revenue - Costs'!H35:H37)</f>
        <v>14176.629643742854</v>
      </c>
      <c r="H52" s="55">
        <f>SUM(C52:G52)</f>
        <v>74190.483541416965</v>
      </c>
    </row>
    <row r="53" spans="2:9" x14ac:dyDescent="0.2">
      <c r="C53" s="56"/>
      <c r="D53" s="57"/>
      <c r="E53" s="56"/>
      <c r="F53" s="56"/>
      <c r="G53" s="56"/>
    </row>
    <row r="54" spans="2:9" x14ac:dyDescent="0.2">
      <c r="B54" s="54" t="s">
        <v>106</v>
      </c>
      <c r="C54" s="55">
        <f t="shared" ref="C54:H54" si="0">+C50+C52</f>
        <v>37448.603090258752</v>
      </c>
      <c r="D54" s="55">
        <f t="shared" si="0"/>
        <v>35950.6589666484</v>
      </c>
      <c r="E54" s="55">
        <f t="shared" si="0"/>
        <v>34823.356877576356</v>
      </c>
      <c r="F54" s="55">
        <f t="shared" si="0"/>
        <v>34064.610664968663</v>
      </c>
      <c r="G54" s="55">
        <f t="shared" si="0"/>
        <v>33611.461788555724</v>
      </c>
      <c r="H54" s="55">
        <f t="shared" si="0"/>
        <v>175898.69138800789</v>
      </c>
    </row>
    <row r="55" spans="2:9" x14ac:dyDescent="0.2">
      <c r="C55" s="58"/>
      <c r="D55" s="58"/>
      <c r="E55" s="58"/>
      <c r="F55" s="58"/>
      <c r="G55" s="58"/>
    </row>
    <row r="56" spans="2:9" x14ac:dyDescent="0.2">
      <c r="B56" s="59" t="s">
        <v>6</v>
      </c>
    </row>
    <row r="57" spans="2:9" ht="14.25" customHeight="1" x14ac:dyDescent="0.2">
      <c r="B57" s="249"/>
      <c r="C57" s="249"/>
      <c r="D57" s="249"/>
      <c r="E57" s="249"/>
      <c r="F57" s="249"/>
      <c r="G57" s="249"/>
      <c r="H57" s="249"/>
    </row>
    <row r="58" spans="2:9" x14ac:dyDescent="0.2">
      <c r="B58" s="250"/>
      <c r="C58" s="250"/>
      <c r="D58" s="250"/>
      <c r="E58" s="250"/>
      <c r="F58" s="250"/>
      <c r="G58" s="250"/>
      <c r="H58" s="250"/>
      <c r="I58" s="29"/>
    </row>
    <row r="59" spans="2:9" ht="27.75" customHeight="1" x14ac:dyDescent="0.2">
      <c r="B59" s="250"/>
      <c r="C59" s="250"/>
      <c r="D59" s="250"/>
      <c r="E59" s="250"/>
      <c r="F59" s="250"/>
      <c r="G59" s="250"/>
      <c r="H59" s="250"/>
    </row>
    <row r="62" spans="2:9" x14ac:dyDescent="0.2">
      <c r="B62" s="21" t="s">
        <v>93</v>
      </c>
      <c r="C62" s="22"/>
      <c r="D62" s="22"/>
      <c r="E62" s="22"/>
      <c r="F62" s="22"/>
      <c r="G62" s="22"/>
      <c r="H62" s="22"/>
    </row>
    <row r="63" spans="2:9" x14ac:dyDescent="0.2">
      <c r="B63" s="12"/>
    </row>
    <row r="64" spans="2:9" x14ac:dyDescent="0.2">
      <c r="B64" s="60"/>
      <c r="C64" s="61" t="s">
        <v>36</v>
      </c>
      <c r="D64" s="61" t="s">
        <v>37</v>
      </c>
      <c r="E64" s="61" t="s">
        <v>38</v>
      </c>
      <c r="F64" s="61" t="s">
        <v>40</v>
      </c>
      <c r="G64" s="61" t="s">
        <v>39</v>
      </c>
      <c r="H64" s="62" t="s">
        <v>1</v>
      </c>
    </row>
    <row r="65" spans="2:8" x14ac:dyDescent="0.2">
      <c r="C65" s="63"/>
      <c r="D65" s="63"/>
      <c r="E65" s="63"/>
      <c r="F65" s="63"/>
      <c r="G65" s="63"/>
      <c r="H65" s="63"/>
    </row>
    <row r="66" spans="2:8" x14ac:dyDescent="0.2">
      <c r="B66" s="60" t="s">
        <v>12</v>
      </c>
      <c r="C66" s="64">
        <f>'Forecast Revenue - Costs'!D17</f>
        <v>96</v>
      </c>
      <c r="D66" s="64">
        <f>'Forecast Revenue - Costs'!E17</f>
        <v>92.16</v>
      </c>
      <c r="E66" s="64">
        <f>'Forecast Revenue - Costs'!F17</f>
        <v>88.473600000000005</v>
      </c>
      <c r="F66" s="64">
        <f>'Forecast Revenue - Costs'!G17</f>
        <v>84.934656000000004</v>
      </c>
      <c r="G66" s="64">
        <f>'Forecast Revenue - Costs'!G17</f>
        <v>84.934656000000004</v>
      </c>
      <c r="H66" s="64">
        <f>SUM(C66:G66)</f>
        <v>446.50291200000004</v>
      </c>
    </row>
    <row r="67" spans="2:8" x14ac:dyDescent="0.2">
      <c r="C67" s="65"/>
      <c r="D67" s="65"/>
      <c r="E67" s="65"/>
      <c r="F67" s="65"/>
      <c r="G67" s="65"/>
      <c r="H67" s="66"/>
    </row>
  </sheetData>
  <mergeCells count="14">
    <mergeCell ref="B18:H24"/>
    <mergeCell ref="C11:D11"/>
    <mergeCell ref="C3:H3"/>
    <mergeCell ref="B17:H17"/>
    <mergeCell ref="B13:H13"/>
    <mergeCell ref="G7:G8"/>
    <mergeCell ref="H7:H8"/>
    <mergeCell ref="B7:B10"/>
    <mergeCell ref="B57:H59"/>
    <mergeCell ref="B28:H28"/>
    <mergeCell ref="B29:H29"/>
    <mergeCell ref="B30:H30"/>
    <mergeCell ref="B31:H31"/>
    <mergeCell ref="B33:H33"/>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5" sqref="B5:K5"/>
    </sheetView>
  </sheetViews>
  <sheetFormatPr defaultColWidth="9.140625" defaultRowHeight="12.75" x14ac:dyDescent="0.2"/>
  <cols>
    <col min="1" max="1" width="2.28515625" style="1" customWidth="1"/>
    <col min="2" max="2" width="2.42578125" style="48" customWidth="1"/>
    <col min="3" max="3" width="10.140625" style="48" customWidth="1"/>
    <col min="4" max="9" width="13.140625" style="48" customWidth="1"/>
    <col min="10" max="11" width="9.140625" style="48"/>
    <col min="12" max="12" width="5.28515625" style="48" customWidth="1"/>
    <col min="13" max="13" width="2.42578125" style="1" customWidth="1"/>
    <col min="14" max="16384" width="9.140625" style="1"/>
  </cols>
  <sheetData>
    <row r="1" spans="2:14" ht="9" customHeight="1" x14ac:dyDescent="0.2"/>
    <row r="2" spans="2:14" ht="18" customHeight="1" x14ac:dyDescent="0.2">
      <c r="B2" s="38" t="s">
        <v>16</v>
      </c>
      <c r="C2" s="38"/>
      <c r="D2" s="38"/>
      <c r="E2" s="38"/>
      <c r="F2" s="38"/>
      <c r="G2" s="38"/>
      <c r="H2" s="38"/>
      <c r="I2" s="38"/>
      <c r="J2" s="38"/>
      <c r="K2" s="38"/>
    </row>
    <row r="3" spans="2:14" x14ac:dyDescent="0.2">
      <c r="B3" s="30" t="s">
        <v>0</v>
      </c>
      <c r="C3" s="39"/>
      <c r="D3" s="264" t="str">
        <f>'AER Summary'!C3</f>
        <v>Retailer requested distributor planned interruption for meter replacement (retailer owned) -  (NEW)</v>
      </c>
      <c r="E3" s="265"/>
      <c r="F3" s="265"/>
      <c r="G3" s="265"/>
      <c r="H3" s="265"/>
      <c r="I3" s="265"/>
      <c r="J3" s="265"/>
      <c r="K3" s="265"/>
      <c r="N3" s="28"/>
    </row>
    <row r="4" spans="2:14" x14ac:dyDescent="0.2">
      <c r="N4" s="28"/>
    </row>
    <row r="5" spans="2:14" x14ac:dyDescent="0.2">
      <c r="B5" s="266" t="s">
        <v>88</v>
      </c>
      <c r="C5" s="266"/>
      <c r="D5" s="266"/>
      <c r="E5" s="266"/>
      <c r="F5" s="266"/>
      <c r="G5" s="266"/>
      <c r="H5" s="266"/>
      <c r="I5" s="266"/>
      <c r="J5" s="266"/>
      <c r="K5" s="266"/>
      <c r="N5" s="28"/>
    </row>
    <row r="6" spans="2:14" ht="54" customHeight="1" x14ac:dyDescent="0.2">
      <c r="B6" s="267" t="s">
        <v>71</v>
      </c>
      <c r="C6" s="268"/>
      <c r="D6" s="268"/>
      <c r="E6" s="268"/>
      <c r="F6" s="268"/>
      <c r="G6" s="268"/>
      <c r="H6" s="268"/>
      <c r="I6" s="268"/>
      <c r="J6" s="268"/>
      <c r="K6" s="268"/>
      <c r="N6" s="28"/>
    </row>
    <row r="9" spans="2:14" x14ac:dyDescent="0.2">
      <c r="B9" s="266" t="s">
        <v>43</v>
      </c>
      <c r="C9" s="266"/>
      <c r="D9" s="266"/>
      <c r="E9" s="266"/>
      <c r="F9" s="266"/>
      <c r="G9" s="266"/>
      <c r="H9" s="266"/>
      <c r="I9" s="266"/>
      <c r="J9" s="266"/>
      <c r="K9" s="266"/>
    </row>
    <row r="10" spans="2:14" ht="15" customHeight="1" x14ac:dyDescent="0.2">
      <c r="B10" s="263" t="s">
        <v>72</v>
      </c>
      <c r="C10" s="263"/>
      <c r="D10" s="263"/>
      <c r="E10" s="263"/>
      <c r="F10" s="263"/>
      <c r="G10" s="263"/>
      <c r="H10" s="263"/>
      <c r="I10" s="263"/>
      <c r="J10" s="263"/>
      <c r="K10" s="263"/>
    </row>
    <row r="11" spans="2:14" ht="24.75" customHeight="1" x14ac:dyDescent="0.2">
      <c r="B11" s="269"/>
      <c r="C11" s="269"/>
      <c r="D11" s="269"/>
      <c r="E11" s="269"/>
      <c r="F11" s="269"/>
      <c r="G11" s="269"/>
      <c r="H11" s="269"/>
      <c r="I11" s="269"/>
      <c r="J11" s="269"/>
      <c r="K11" s="269"/>
      <c r="L11" s="67"/>
      <c r="M11" s="29"/>
      <c r="N11" s="29"/>
    </row>
    <row r="12" spans="2:14" x14ac:dyDescent="0.2">
      <c r="B12" s="269"/>
      <c r="C12" s="269"/>
      <c r="D12" s="269"/>
      <c r="E12" s="269"/>
      <c r="F12" s="269"/>
      <c r="G12" s="269"/>
      <c r="H12" s="269"/>
      <c r="I12" s="269"/>
      <c r="J12" s="269"/>
      <c r="K12" s="269"/>
      <c r="L12" s="67"/>
      <c r="M12" s="29"/>
      <c r="N12" s="29"/>
    </row>
    <row r="13" spans="2:14" x14ac:dyDescent="0.2">
      <c r="B13" s="269"/>
      <c r="C13" s="269"/>
      <c r="D13" s="269"/>
      <c r="E13" s="269"/>
      <c r="F13" s="269"/>
      <c r="G13" s="269"/>
      <c r="H13" s="269"/>
      <c r="I13" s="269"/>
      <c r="J13" s="269"/>
      <c r="K13" s="269"/>
      <c r="L13" s="67"/>
      <c r="M13" s="29"/>
      <c r="N13" s="29"/>
    </row>
    <row r="14" spans="2:14" ht="48" customHeight="1" x14ac:dyDescent="0.2">
      <c r="B14" s="269"/>
      <c r="C14" s="269"/>
      <c r="D14" s="269"/>
      <c r="E14" s="269"/>
      <c r="F14" s="269"/>
      <c r="G14" s="269"/>
      <c r="H14" s="269"/>
      <c r="I14" s="269"/>
      <c r="J14" s="269"/>
      <c r="K14" s="269"/>
      <c r="L14" s="67"/>
      <c r="M14" s="29"/>
      <c r="N14" s="29"/>
    </row>
    <row r="15" spans="2:14" x14ac:dyDescent="0.2">
      <c r="B15" s="269"/>
      <c r="C15" s="269"/>
      <c r="D15" s="269"/>
      <c r="E15" s="269"/>
      <c r="F15" s="269"/>
      <c r="G15" s="269"/>
      <c r="H15" s="269"/>
      <c r="I15" s="269"/>
      <c r="J15" s="269"/>
      <c r="K15" s="269"/>
      <c r="L15" s="67"/>
      <c r="M15" s="29"/>
      <c r="N15" s="29"/>
    </row>
    <row r="16" spans="2:14" x14ac:dyDescent="0.2">
      <c r="B16" s="269"/>
      <c r="C16" s="269"/>
      <c r="D16" s="269"/>
      <c r="E16" s="269"/>
      <c r="F16" s="269"/>
      <c r="G16" s="269"/>
      <c r="H16" s="269"/>
      <c r="I16" s="269"/>
      <c r="J16" s="269"/>
      <c r="K16" s="269"/>
      <c r="L16" s="67"/>
      <c r="M16" s="29"/>
      <c r="N16" s="29"/>
    </row>
    <row r="17" spans="2:14" x14ac:dyDescent="0.2">
      <c r="L17" s="67"/>
      <c r="M17" s="29"/>
      <c r="N17" s="29"/>
    </row>
    <row r="18" spans="2:14" x14ac:dyDescent="0.2">
      <c r="L18" s="67"/>
      <c r="M18" s="29"/>
      <c r="N18" s="29"/>
    </row>
    <row r="19" spans="2:14" x14ac:dyDescent="0.2">
      <c r="B19" s="266" t="s">
        <v>44</v>
      </c>
      <c r="C19" s="266"/>
      <c r="D19" s="266"/>
      <c r="E19" s="266"/>
      <c r="F19" s="266"/>
      <c r="G19" s="266"/>
      <c r="H19" s="266"/>
      <c r="I19" s="266"/>
      <c r="J19" s="266"/>
      <c r="K19" s="266"/>
      <c r="L19" s="67"/>
      <c r="M19" s="29"/>
      <c r="N19" s="29"/>
    </row>
    <row r="20" spans="2:14" ht="146.25" customHeight="1" x14ac:dyDescent="0.2">
      <c r="B20" s="263" t="s">
        <v>92</v>
      </c>
      <c r="C20" s="263"/>
      <c r="D20" s="263"/>
      <c r="E20" s="263"/>
      <c r="F20" s="263"/>
      <c r="G20" s="263"/>
      <c r="H20" s="263"/>
      <c r="I20" s="263"/>
      <c r="J20" s="263"/>
      <c r="K20" s="263"/>
    </row>
    <row r="21" spans="2:14" x14ac:dyDescent="0.2">
      <c r="B21" s="262"/>
      <c r="C21" s="262"/>
      <c r="D21" s="262"/>
      <c r="E21" s="262"/>
      <c r="F21" s="262"/>
      <c r="G21" s="262"/>
      <c r="H21" s="262"/>
      <c r="I21" s="262"/>
      <c r="J21" s="262"/>
      <c r="K21" s="26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9"/>
  <sheetViews>
    <sheetView showGridLines="0" workbookViewId="0">
      <selection activeCell="I25" sqref="I25:I26"/>
    </sheetView>
  </sheetViews>
  <sheetFormatPr defaultColWidth="9.140625" defaultRowHeight="12.75" x14ac:dyDescent="0.2"/>
  <cols>
    <col min="1" max="1" width="3.5703125" style="68" customWidth="1"/>
    <col min="2" max="2" width="58.7109375" style="68" customWidth="1"/>
    <col min="3" max="3" width="65.140625" style="68" customWidth="1"/>
    <col min="4" max="4" width="12.85546875" style="68" customWidth="1"/>
    <col min="5" max="8" width="11.28515625" style="68" customWidth="1"/>
    <col min="9" max="9" width="12.5703125" style="68" customWidth="1"/>
    <col min="10" max="16384" width="9.140625" style="68"/>
  </cols>
  <sheetData>
    <row r="2" spans="1:9" x14ac:dyDescent="0.2">
      <c r="B2" s="40" t="s">
        <v>94</v>
      </c>
      <c r="C2" s="25"/>
      <c r="D2" s="25"/>
      <c r="E2" s="25"/>
      <c r="F2" s="25"/>
      <c r="G2" s="25"/>
      <c r="H2" s="25"/>
      <c r="I2" s="25"/>
    </row>
    <row r="3" spans="1:9" x14ac:dyDescent="0.2">
      <c r="B3" s="16" t="s">
        <v>20</v>
      </c>
      <c r="C3" s="16" t="s">
        <v>3</v>
      </c>
      <c r="D3" s="85" t="s">
        <v>62</v>
      </c>
      <c r="E3" s="85" t="s">
        <v>61</v>
      </c>
      <c r="F3" s="85" t="s">
        <v>60</v>
      </c>
      <c r="G3" s="152" t="s">
        <v>101</v>
      </c>
      <c r="H3" s="152" t="s">
        <v>102</v>
      </c>
      <c r="I3" s="17" t="s">
        <v>1</v>
      </c>
    </row>
    <row r="4" spans="1:9" x14ac:dyDescent="0.2">
      <c r="B4" s="5" t="s">
        <v>21</v>
      </c>
      <c r="C4" s="5"/>
      <c r="D4" s="151"/>
      <c r="E4" s="151"/>
      <c r="F4" s="151"/>
      <c r="G4" s="151"/>
      <c r="H4" s="151"/>
      <c r="I4" s="185">
        <f>SUM(D4:H4)</f>
        <v>0</v>
      </c>
    </row>
    <row r="5" spans="1:9" x14ac:dyDescent="0.2">
      <c r="B5" s="5" t="s">
        <v>23</v>
      </c>
      <c r="C5" s="8"/>
      <c r="D5" s="151"/>
      <c r="E5" s="151"/>
      <c r="F5" s="151"/>
      <c r="G5" s="151"/>
      <c r="H5" s="151"/>
      <c r="I5" s="185">
        <f t="shared" ref="I5:I8" si="0">SUM(D5:H5)</f>
        <v>0</v>
      </c>
    </row>
    <row r="6" spans="1:9" x14ac:dyDescent="0.2">
      <c r="B6" s="5" t="s">
        <v>24</v>
      </c>
      <c r="C6" s="5"/>
      <c r="D6" s="151">
        <v>0</v>
      </c>
      <c r="E6" s="151">
        <v>0</v>
      </c>
      <c r="F6" s="151">
        <v>0</v>
      </c>
      <c r="G6" s="151">
        <v>0</v>
      </c>
      <c r="H6" s="151">
        <v>0</v>
      </c>
      <c r="I6" s="185">
        <f t="shared" si="0"/>
        <v>0</v>
      </c>
    </row>
    <row r="7" spans="1:9" x14ac:dyDescent="0.2">
      <c r="B7" s="5" t="s">
        <v>25</v>
      </c>
      <c r="C7" s="5"/>
      <c r="D7" s="151"/>
      <c r="E7" s="151"/>
      <c r="F7" s="151"/>
      <c r="G7" s="151"/>
      <c r="H7" s="151"/>
      <c r="I7" s="185">
        <f t="shared" si="0"/>
        <v>0</v>
      </c>
    </row>
    <row r="8" spans="1:9" x14ac:dyDescent="0.2">
      <c r="B8" s="5" t="s">
        <v>22</v>
      </c>
      <c r="C8" s="5"/>
      <c r="D8" s="151"/>
      <c r="E8" s="151"/>
      <c r="F8" s="151"/>
      <c r="G8" s="151"/>
      <c r="H8" s="151"/>
      <c r="I8" s="185">
        <f t="shared" si="0"/>
        <v>0</v>
      </c>
    </row>
    <row r="9" spans="1:9" x14ac:dyDescent="0.2">
      <c r="B9" s="76" t="s">
        <v>1</v>
      </c>
      <c r="C9" s="18"/>
      <c r="D9" s="19">
        <f t="shared" ref="D9:I9" si="1">SUM(D4:D8)</f>
        <v>0</v>
      </c>
      <c r="E9" s="19">
        <f t="shared" si="1"/>
        <v>0</v>
      </c>
      <c r="F9" s="19">
        <f t="shared" ref="F9:H9" si="2">SUM(F4:F8)</f>
        <v>0</v>
      </c>
      <c r="G9" s="19">
        <f t="shared" si="2"/>
        <v>0</v>
      </c>
      <c r="H9" s="19">
        <f t="shared" si="2"/>
        <v>0</v>
      </c>
      <c r="I9" s="20">
        <f t="shared" si="1"/>
        <v>0</v>
      </c>
    </row>
    <row r="10" spans="1:9" x14ac:dyDescent="0.2">
      <c r="B10" s="71"/>
      <c r="C10" s="72"/>
      <c r="D10" s="73"/>
      <c r="E10" s="73"/>
      <c r="F10" s="73"/>
      <c r="G10" s="73"/>
      <c r="H10" s="73"/>
      <c r="I10" s="73"/>
    </row>
    <row r="11" spans="1:9" x14ac:dyDescent="0.2">
      <c r="B11" s="75" t="s">
        <v>10</v>
      </c>
      <c r="C11" s="22"/>
      <c r="D11" s="22"/>
      <c r="E11" s="22"/>
      <c r="F11" s="22"/>
      <c r="G11" s="22"/>
      <c r="H11" s="22"/>
      <c r="I11" s="22"/>
    </row>
    <row r="12" spans="1:9" x14ac:dyDescent="0.2">
      <c r="B12" s="77" t="s">
        <v>4</v>
      </c>
      <c r="C12" s="7" t="s">
        <v>9</v>
      </c>
      <c r="D12" s="86" t="s">
        <v>62</v>
      </c>
      <c r="E12" s="86" t="s">
        <v>61</v>
      </c>
      <c r="F12" s="86" t="s">
        <v>60</v>
      </c>
      <c r="G12" s="153" t="s">
        <v>101</v>
      </c>
      <c r="H12" s="153" t="s">
        <v>102</v>
      </c>
      <c r="I12" s="4" t="s">
        <v>1</v>
      </c>
    </row>
    <row r="13" spans="1:9" x14ac:dyDescent="0.2">
      <c r="B13" s="5" t="s">
        <v>19</v>
      </c>
      <c r="C13" s="8"/>
      <c r="D13" s="125"/>
      <c r="E13" s="125"/>
      <c r="F13" s="125"/>
      <c r="G13" s="125"/>
      <c r="H13" s="125"/>
      <c r="I13" s="186">
        <f>SUM(D13:H13)</f>
        <v>0</v>
      </c>
    </row>
    <row r="14" spans="1:9" x14ac:dyDescent="0.2">
      <c r="B14" s="8"/>
      <c r="C14" s="10"/>
      <c r="D14" s="125"/>
      <c r="E14" s="125"/>
      <c r="F14" s="125"/>
      <c r="G14" s="125"/>
      <c r="H14" s="125"/>
      <c r="I14" s="187">
        <f>SUM(D14:H14)</f>
        <v>0</v>
      </c>
    </row>
    <row r="15" spans="1:9" x14ac:dyDescent="0.2">
      <c r="A15" s="78"/>
      <c r="B15" s="79" t="s">
        <v>57</v>
      </c>
      <c r="C15" s="6"/>
      <c r="D15" s="11">
        <f t="shared" ref="D15:I15" si="3">SUM(D13:D14)</f>
        <v>0</v>
      </c>
      <c r="E15" s="11">
        <f t="shared" ref="E15:H15" si="4">SUM(E13:E14)</f>
        <v>0</v>
      </c>
      <c r="F15" s="11">
        <f t="shared" si="4"/>
        <v>0</v>
      </c>
      <c r="G15" s="11">
        <f t="shared" si="4"/>
        <v>0</v>
      </c>
      <c r="H15" s="11">
        <f t="shared" si="4"/>
        <v>0</v>
      </c>
      <c r="I15" s="11">
        <f t="shared" si="3"/>
        <v>0</v>
      </c>
    </row>
    <row r="17" spans="1:9" x14ac:dyDescent="0.2">
      <c r="B17" s="75" t="s">
        <v>54</v>
      </c>
      <c r="C17" s="22"/>
      <c r="D17" s="22"/>
      <c r="E17" s="22"/>
      <c r="F17" s="22"/>
      <c r="G17" s="22"/>
      <c r="H17" s="22"/>
      <c r="I17" s="22"/>
    </row>
    <row r="18" spans="1:9" x14ac:dyDescent="0.2">
      <c r="B18" s="3" t="s">
        <v>55</v>
      </c>
      <c r="C18" s="7" t="s">
        <v>9</v>
      </c>
      <c r="D18" s="86" t="s">
        <v>62</v>
      </c>
      <c r="E18" s="86" t="s">
        <v>61</v>
      </c>
      <c r="F18" s="86" t="s">
        <v>60</v>
      </c>
      <c r="G18" s="153" t="s">
        <v>101</v>
      </c>
      <c r="H18" s="153" t="s">
        <v>102</v>
      </c>
      <c r="I18" s="4" t="s">
        <v>1</v>
      </c>
    </row>
    <row r="19" spans="1:9" x14ac:dyDescent="0.2">
      <c r="B19" s="8" t="s">
        <v>95</v>
      </c>
      <c r="C19" s="8"/>
      <c r="D19" s="125"/>
      <c r="E19" s="125"/>
      <c r="F19" s="125"/>
      <c r="G19" s="125"/>
      <c r="H19" s="125"/>
      <c r="I19" s="186">
        <f>SUM(D19:H19)</f>
        <v>0</v>
      </c>
    </row>
    <row r="20" spans="1:9" x14ac:dyDescent="0.2">
      <c r="B20" s="8"/>
      <c r="C20" s="10"/>
      <c r="D20" s="125"/>
      <c r="E20" s="125"/>
      <c r="F20" s="125"/>
      <c r="G20" s="125"/>
      <c r="H20" s="125"/>
      <c r="I20" s="187">
        <f>SUM(D20:H20)</f>
        <v>0</v>
      </c>
    </row>
    <row r="21" spans="1:9" x14ac:dyDescent="0.2">
      <c r="B21" s="26" t="s">
        <v>57</v>
      </c>
      <c r="C21" s="6"/>
      <c r="D21" s="11">
        <f t="shared" ref="D21:I21" si="5">SUM(D19:D20)</f>
        <v>0</v>
      </c>
      <c r="E21" s="11">
        <f t="shared" si="5"/>
        <v>0</v>
      </c>
      <c r="F21" s="11">
        <f t="shared" ref="F21:H21" si="6">SUM(F19:F20)</f>
        <v>0</v>
      </c>
      <c r="G21" s="11">
        <f t="shared" si="6"/>
        <v>0</v>
      </c>
      <c r="H21" s="11">
        <f t="shared" si="6"/>
        <v>0</v>
      </c>
      <c r="I21" s="11">
        <f t="shared" si="5"/>
        <v>0</v>
      </c>
    </row>
    <row r="23" spans="1:9" x14ac:dyDescent="0.2">
      <c r="B23" s="75" t="s">
        <v>89</v>
      </c>
      <c r="C23" s="22"/>
      <c r="D23" s="22"/>
      <c r="E23" s="22"/>
      <c r="F23" s="22"/>
      <c r="G23" s="22"/>
      <c r="H23" s="22"/>
      <c r="I23" s="22"/>
    </row>
    <row r="24" spans="1:9" x14ac:dyDescent="0.2">
      <c r="B24" s="3" t="s">
        <v>56</v>
      </c>
      <c r="C24" s="7" t="s">
        <v>9</v>
      </c>
      <c r="D24" s="86" t="s">
        <v>62</v>
      </c>
      <c r="E24" s="86" t="s">
        <v>61</v>
      </c>
      <c r="F24" s="86" t="s">
        <v>60</v>
      </c>
      <c r="G24" s="153" t="s">
        <v>101</v>
      </c>
      <c r="H24" s="153" t="s">
        <v>102</v>
      </c>
      <c r="I24" s="4" t="s">
        <v>1</v>
      </c>
    </row>
    <row r="25" spans="1:9" x14ac:dyDescent="0.2">
      <c r="B25" s="8" t="s">
        <v>90</v>
      </c>
      <c r="C25" s="8"/>
      <c r="D25" s="125"/>
      <c r="E25" s="125"/>
      <c r="F25" s="125"/>
      <c r="G25" s="125"/>
      <c r="H25" s="125"/>
      <c r="I25" s="186">
        <f>SUM(D25:H25)</f>
        <v>0</v>
      </c>
    </row>
    <row r="26" spans="1:9" x14ac:dyDescent="0.2">
      <c r="B26" s="8"/>
      <c r="C26" s="10"/>
      <c r="D26" s="9"/>
      <c r="E26" s="9"/>
      <c r="F26" s="9"/>
      <c r="G26" s="9"/>
      <c r="H26" s="9"/>
      <c r="I26" s="187">
        <f>SUM(D26:H26)</f>
        <v>0</v>
      </c>
    </row>
    <row r="27" spans="1:9" x14ac:dyDescent="0.2">
      <c r="B27" s="26" t="s">
        <v>57</v>
      </c>
      <c r="C27" s="6"/>
      <c r="D27" s="11">
        <f t="shared" ref="D27:H27" si="7">SUM(D25:D26)</f>
        <v>0</v>
      </c>
      <c r="E27" s="11">
        <f t="shared" si="7"/>
        <v>0</v>
      </c>
      <c r="F27" s="11">
        <f t="shared" si="7"/>
        <v>0</v>
      </c>
      <c r="G27" s="11">
        <f t="shared" si="7"/>
        <v>0</v>
      </c>
      <c r="H27" s="11">
        <f t="shared" si="7"/>
        <v>0</v>
      </c>
      <c r="I27" s="11">
        <f t="shared" ref="I27" si="8">SUM(I25:I26)</f>
        <v>0</v>
      </c>
    </row>
    <row r="28" spans="1:9" x14ac:dyDescent="0.2">
      <c r="B28" s="71"/>
      <c r="C28" s="71"/>
      <c r="D28" s="74"/>
      <c r="E28" s="74"/>
      <c r="F28" s="74"/>
      <c r="G28" s="74"/>
      <c r="H28" s="74"/>
      <c r="I28" s="74"/>
    </row>
    <row r="29" spans="1:9" x14ac:dyDescent="0.2">
      <c r="A29" s="78"/>
      <c r="B29" s="13" t="s">
        <v>6</v>
      </c>
      <c r="C29" s="1"/>
      <c r="D29" s="12"/>
      <c r="E29" s="12"/>
      <c r="F29" s="12"/>
      <c r="G29" s="12"/>
      <c r="H29" s="12"/>
      <c r="I29" s="12"/>
    </row>
    <row r="30" spans="1:9" x14ac:dyDescent="0.2">
      <c r="B30" s="270" t="s">
        <v>100</v>
      </c>
      <c r="C30" s="271"/>
      <c r="D30" s="271"/>
      <c r="E30" s="271"/>
      <c r="F30" s="271"/>
      <c r="G30" s="271"/>
      <c r="H30" s="271"/>
      <c r="I30" s="271"/>
    </row>
    <row r="31" spans="1:9" x14ac:dyDescent="0.2">
      <c r="B31" s="272"/>
      <c r="C31" s="273"/>
      <c r="D31" s="273"/>
      <c r="E31" s="273"/>
      <c r="F31" s="273"/>
      <c r="G31" s="273"/>
      <c r="H31" s="273"/>
      <c r="I31" s="273"/>
    </row>
    <row r="32" spans="1:9" x14ac:dyDescent="0.2">
      <c r="B32" s="80"/>
      <c r="C32" s="27"/>
      <c r="D32" s="27"/>
      <c r="E32" s="27"/>
      <c r="F32" s="27"/>
      <c r="G32" s="150"/>
      <c r="H32" s="150"/>
      <c r="I32" s="27"/>
    </row>
    <row r="33" spans="2:9" x14ac:dyDescent="0.2">
      <c r="B33" s="1"/>
      <c r="C33" s="1"/>
      <c r="D33" s="12"/>
      <c r="E33" s="12"/>
      <c r="F33" s="12"/>
      <c r="G33" s="12"/>
      <c r="H33" s="12"/>
      <c r="I33" s="12"/>
    </row>
    <row r="34" spans="2:9" x14ac:dyDescent="0.2">
      <c r="B34" s="75" t="s">
        <v>50</v>
      </c>
      <c r="C34" s="22"/>
      <c r="D34" s="22"/>
      <c r="E34" s="22"/>
      <c r="F34" s="22"/>
      <c r="G34" s="22"/>
      <c r="H34" s="22"/>
      <c r="I34" s="22"/>
    </row>
    <row r="35" spans="2:9" x14ac:dyDescent="0.2">
      <c r="B35" s="1"/>
      <c r="C35" s="1"/>
      <c r="D35" s="1"/>
      <c r="E35" s="1"/>
      <c r="F35" s="1"/>
      <c r="G35" s="1"/>
      <c r="H35" s="1"/>
      <c r="I35" s="1"/>
    </row>
    <row r="36" spans="2:9" x14ac:dyDescent="0.2">
      <c r="B36" s="81" t="s">
        <v>11</v>
      </c>
      <c r="C36" s="14"/>
      <c r="D36" s="14"/>
      <c r="E36" s="14"/>
      <c r="F36" s="14"/>
      <c r="G36" s="14"/>
      <c r="H36" s="14"/>
      <c r="I36" s="14"/>
    </row>
    <row r="37" spans="2:9" x14ac:dyDescent="0.2">
      <c r="B37" s="274"/>
      <c r="C37" s="275"/>
      <c r="D37" s="275"/>
      <c r="E37" s="275"/>
      <c r="F37" s="275"/>
      <c r="G37" s="275"/>
      <c r="H37" s="275"/>
      <c r="I37" s="275"/>
    </row>
    <row r="38" spans="2:9" x14ac:dyDescent="0.2">
      <c r="B38" s="276"/>
      <c r="C38" s="277"/>
      <c r="D38" s="277"/>
      <c r="E38" s="277"/>
      <c r="F38" s="277"/>
      <c r="G38" s="277"/>
      <c r="H38" s="277"/>
      <c r="I38" s="277"/>
    </row>
    <row r="39" spans="2:9" x14ac:dyDescent="0.2">
      <c r="B39" s="82"/>
      <c r="C39" s="15"/>
      <c r="D39" s="15"/>
      <c r="E39" s="15"/>
      <c r="F39" s="15"/>
      <c r="G39" s="15"/>
      <c r="H39" s="15"/>
      <c r="I39" s="15"/>
    </row>
  </sheetData>
  <mergeCells count="2">
    <mergeCell ref="B30:I31"/>
    <mergeCell ref="B37:I3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AI44"/>
  <sheetViews>
    <sheetView showGridLines="0" topLeftCell="S1" zoomScale="80" zoomScaleNormal="80" workbookViewId="0">
      <selection activeCell="AB23" sqref="AB23"/>
    </sheetView>
  </sheetViews>
  <sheetFormatPr defaultColWidth="9.140625" defaultRowHeight="12.75" x14ac:dyDescent="0.2"/>
  <cols>
    <col min="1" max="1" width="2.85546875" style="1" customWidth="1"/>
    <col min="2" max="2" width="78.5703125" style="1" customWidth="1"/>
    <col min="3" max="3" width="15.7109375" style="1" customWidth="1"/>
    <col min="4" max="17" width="9.140625" style="1"/>
    <col min="18" max="18" width="3.28515625" style="1" customWidth="1"/>
    <col min="19" max="19" width="93.28515625" style="1" customWidth="1"/>
    <col min="20" max="20" width="15.7109375" style="1" customWidth="1"/>
    <col min="21" max="34" width="9.140625" style="1"/>
    <col min="35" max="35" width="4" style="1" customWidth="1"/>
    <col min="36" max="16384" width="9.140625" style="1"/>
  </cols>
  <sheetData>
    <row r="2" spans="1:35" x14ac:dyDescent="0.2">
      <c r="B2" s="188" t="s">
        <v>49</v>
      </c>
      <c r="C2" s="189"/>
      <c r="D2" s="189"/>
      <c r="E2" s="189"/>
      <c r="F2" s="189"/>
      <c r="G2" s="189"/>
      <c r="H2" s="278" t="s">
        <v>107</v>
      </c>
      <c r="I2" s="278"/>
      <c r="J2" s="278"/>
      <c r="K2" s="278"/>
      <c r="L2" s="278"/>
      <c r="M2" s="278"/>
      <c r="N2" s="278"/>
      <c r="O2" s="278"/>
      <c r="P2" s="278"/>
      <c r="Q2" s="278"/>
      <c r="S2" s="188" t="s">
        <v>58</v>
      </c>
      <c r="T2" s="189"/>
      <c r="U2" s="189"/>
      <c r="V2" s="189"/>
      <c r="W2" s="189"/>
      <c r="X2" s="189"/>
      <c r="Y2" s="278" t="s">
        <v>107</v>
      </c>
      <c r="Z2" s="278"/>
      <c r="AA2" s="278"/>
      <c r="AB2" s="278"/>
      <c r="AC2" s="278"/>
      <c r="AD2" s="278"/>
      <c r="AE2" s="278"/>
      <c r="AF2" s="278"/>
      <c r="AG2" s="278"/>
      <c r="AH2" s="278"/>
    </row>
    <row r="3" spans="1:35" ht="15.75" x14ac:dyDescent="0.25">
      <c r="B3" s="83" t="s">
        <v>76</v>
      </c>
      <c r="C3" s="38"/>
      <c r="D3" s="38"/>
      <c r="E3" s="38"/>
      <c r="F3" s="38"/>
      <c r="G3" s="195"/>
      <c r="H3" s="279" t="s">
        <v>108</v>
      </c>
      <c r="I3" s="279"/>
      <c r="J3" s="279"/>
      <c r="K3" s="279"/>
      <c r="L3" s="279"/>
      <c r="M3" s="279"/>
      <c r="N3" s="279"/>
      <c r="O3" s="279"/>
      <c r="P3" s="279"/>
      <c r="Q3" s="279"/>
      <c r="S3" s="83" t="s">
        <v>77</v>
      </c>
      <c r="T3" s="38"/>
      <c r="U3" s="38"/>
      <c r="V3" s="38"/>
      <c r="W3" s="38"/>
      <c r="X3" s="195"/>
      <c r="Y3" s="279" t="s">
        <v>108</v>
      </c>
      <c r="Z3" s="279"/>
      <c r="AA3" s="279"/>
      <c r="AB3" s="279"/>
      <c r="AC3" s="279"/>
      <c r="AD3" s="279"/>
      <c r="AE3" s="279"/>
      <c r="AF3" s="279"/>
      <c r="AG3" s="279"/>
      <c r="AH3" s="279"/>
    </row>
    <row r="4" spans="1:35" s="29" customFormat="1" ht="3" customHeight="1" x14ac:dyDescent="0.2">
      <c r="B4" s="32"/>
      <c r="C4" s="32"/>
      <c r="D4" s="32"/>
      <c r="E4" s="32"/>
      <c r="F4" s="32"/>
      <c r="G4" s="196"/>
      <c r="H4" s="196"/>
      <c r="I4" s="196"/>
      <c r="J4" s="196"/>
      <c r="K4" s="196"/>
      <c r="L4" s="196"/>
      <c r="M4" s="196"/>
      <c r="N4" s="196"/>
      <c r="O4" s="32"/>
      <c r="P4" s="32"/>
      <c r="Q4" s="32"/>
      <c r="S4" s="32"/>
      <c r="T4" s="32"/>
      <c r="U4" s="32"/>
      <c r="V4" s="32"/>
      <c r="W4" s="32"/>
      <c r="X4" s="196"/>
      <c r="Y4" s="196"/>
      <c r="Z4" s="196"/>
      <c r="AA4" s="196"/>
      <c r="AB4" s="196"/>
      <c r="AC4" s="196"/>
      <c r="AD4" s="196"/>
      <c r="AE4" s="196"/>
      <c r="AF4" s="32"/>
      <c r="AG4" s="32"/>
      <c r="AH4" s="32"/>
    </row>
    <row r="5" spans="1:35" ht="76.5" x14ac:dyDescent="0.2">
      <c r="A5" s="69"/>
      <c r="B5" s="33" t="s">
        <v>18</v>
      </c>
      <c r="C5" s="33" t="s">
        <v>31</v>
      </c>
      <c r="D5" s="34" t="s">
        <v>67</v>
      </c>
      <c r="E5" s="34" t="s">
        <v>33</v>
      </c>
      <c r="F5" s="34" t="s">
        <v>32</v>
      </c>
      <c r="G5" s="197" t="s">
        <v>109</v>
      </c>
      <c r="H5" s="197" t="s">
        <v>110</v>
      </c>
      <c r="I5" s="197" t="s">
        <v>111</v>
      </c>
      <c r="J5" s="197" t="s">
        <v>112</v>
      </c>
      <c r="K5" s="198" t="s">
        <v>113</v>
      </c>
      <c r="L5" s="198" t="s">
        <v>114</v>
      </c>
      <c r="M5" s="197" t="s">
        <v>115</v>
      </c>
      <c r="N5" s="197" t="s">
        <v>116</v>
      </c>
      <c r="O5" s="197" t="s">
        <v>117</v>
      </c>
      <c r="P5" s="197" t="s">
        <v>118</v>
      </c>
      <c r="Q5" s="197" t="s">
        <v>119</v>
      </c>
      <c r="S5" s="33" t="s">
        <v>18</v>
      </c>
      <c r="T5" s="33" t="s">
        <v>31</v>
      </c>
      <c r="U5" s="197" t="s">
        <v>67</v>
      </c>
      <c r="V5" s="200" t="s">
        <v>33</v>
      </c>
      <c r="W5" s="197" t="s">
        <v>32</v>
      </c>
      <c r="X5" s="197" t="s">
        <v>109</v>
      </c>
      <c r="Y5" s="197" t="s">
        <v>110</v>
      </c>
      <c r="Z5" s="197" t="s">
        <v>111</v>
      </c>
      <c r="AA5" s="197" t="s">
        <v>112</v>
      </c>
      <c r="AB5" s="198" t="s">
        <v>113</v>
      </c>
      <c r="AC5" s="198" t="s">
        <v>114</v>
      </c>
      <c r="AD5" s="197" t="s">
        <v>115</v>
      </c>
      <c r="AE5" s="197" t="s">
        <v>116</v>
      </c>
      <c r="AF5" s="197" t="s">
        <v>117</v>
      </c>
      <c r="AG5" s="197" t="s">
        <v>118</v>
      </c>
      <c r="AH5" s="197" t="s">
        <v>119</v>
      </c>
    </row>
    <row r="6" spans="1:35" ht="14.25" customHeight="1" x14ac:dyDescent="0.2">
      <c r="A6" s="69"/>
      <c r="B6" s="193" t="s">
        <v>74</v>
      </c>
      <c r="C6" s="194"/>
      <c r="D6" s="194"/>
      <c r="E6" s="194"/>
      <c r="F6" s="194"/>
      <c r="G6" s="191"/>
      <c r="H6" s="191"/>
      <c r="I6" s="191"/>
      <c r="J6" s="191"/>
      <c r="K6" s="191"/>
      <c r="L6" s="191"/>
      <c r="M6" s="191"/>
      <c r="N6" s="191"/>
      <c r="O6" s="191"/>
      <c r="P6" s="191"/>
      <c r="Q6" s="183"/>
      <c r="S6" s="205" t="s">
        <v>120</v>
      </c>
      <c r="T6" s="206"/>
      <c r="U6" s="206"/>
      <c r="V6" s="206"/>
      <c r="W6" s="206"/>
      <c r="X6" s="191"/>
      <c r="Y6" s="191"/>
      <c r="Z6" s="191"/>
      <c r="AA6" s="191"/>
      <c r="AB6" s="191"/>
      <c r="AC6" s="191"/>
      <c r="AD6" s="191"/>
      <c r="AE6" s="191"/>
      <c r="AF6" s="191"/>
      <c r="AG6" s="191"/>
      <c r="AH6" s="183"/>
    </row>
    <row r="7" spans="1:35" x14ac:dyDescent="0.2">
      <c r="B7" s="89" t="s">
        <v>79</v>
      </c>
      <c r="C7" s="88" t="s">
        <v>73</v>
      </c>
      <c r="D7" s="96">
        <v>0.1</v>
      </c>
      <c r="E7" s="92">
        <v>1</v>
      </c>
      <c r="F7" s="99">
        <f>E7*D7</f>
        <v>0.1</v>
      </c>
      <c r="G7" s="199">
        <v>0</v>
      </c>
      <c r="H7" s="100">
        <f>IF(G7=0,VLOOKUP(C:C,[1]Inputs!$B$20:$H$25,7,FALSE)*F7,VLOOKUP(C:C,[1]Inputs!$B$20:$I$25,8,FALSE)*F7)</f>
        <v>7.9838346469665016</v>
      </c>
      <c r="I7" s="100">
        <f>VLOOKUP(C:C,[1]Inputs!$C$54:$G$59,5,FALSE)*F7</f>
        <v>1.9732436288346318</v>
      </c>
      <c r="J7" s="100"/>
      <c r="K7" s="100"/>
      <c r="L7" s="100"/>
      <c r="M7" s="100">
        <f>SUM(H7:J7)</f>
        <v>9.957078275801134</v>
      </c>
      <c r="N7" s="100">
        <f>[1]Inputs!$M$43*M7</f>
        <v>4.6392677416511674</v>
      </c>
      <c r="O7" s="100">
        <f>[1]Inputs!$M$48*M7</f>
        <v>1.5968921687171693</v>
      </c>
      <c r="P7" s="100">
        <f>[1]Inputs!$H$13*SUM(M7:O7)</f>
        <v>1.0269751657668678</v>
      </c>
      <c r="Q7" s="100">
        <f t="shared" ref="Q7" si="0">SUM(M7:P7)</f>
        <v>17.220213351936337</v>
      </c>
      <c r="S7" s="201" t="s">
        <v>82</v>
      </c>
      <c r="T7" s="202" t="s">
        <v>73</v>
      </c>
      <c r="U7" s="203">
        <v>1</v>
      </c>
      <c r="V7" s="204">
        <v>1</v>
      </c>
      <c r="W7" s="100">
        <f>V7*U7</f>
        <v>1</v>
      </c>
      <c r="X7" s="199">
        <v>0</v>
      </c>
      <c r="Y7" s="100">
        <f>IF(X7=0,VLOOKUP(T:T,[1]Inputs!$B$20:$H$25,7,FALSE)*W7,VLOOKUP(T:T,[1]Inputs!$B$20:$I$25,8,FALSE)*W7)</f>
        <v>79.838346469665012</v>
      </c>
      <c r="Z7" s="100">
        <f>VLOOKUP(T:T,[1]Inputs!$C$54:$G$59,5,FALSE)*W7</f>
        <v>19.732436288346317</v>
      </c>
      <c r="AA7" s="100"/>
      <c r="AB7" s="100"/>
      <c r="AC7" s="100"/>
      <c r="AD7" s="100">
        <f>SUM(Y7:AA7)</f>
        <v>99.570782758011333</v>
      </c>
      <c r="AE7" s="100">
        <f>[1]Inputs!$M$43*AD7</f>
        <v>46.392677416511667</v>
      </c>
      <c r="AF7" s="100">
        <f>[1]Inputs!$M$48*AD7</f>
        <v>15.968921687171692</v>
      </c>
      <c r="AG7" s="100">
        <f>[1]Inputs!$H$13*SUM(AD7:AF7)</f>
        <v>10.269751657668678</v>
      </c>
      <c r="AH7" s="100">
        <f t="shared" ref="AH7" si="1">SUM(AD7:AG7)</f>
        <v>172.20213351936337</v>
      </c>
    </row>
    <row r="8" spans="1:35" x14ac:dyDescent="0.2">
      <c r="A8" s="69"/>
      <c r="B8" s="90" t="s">
        <v>80</v>
      </c>
      <c r="C8" s="88" t="s">
        <v>73</v>
      </c>
      <c r="D8" s="97">
        <v>1</v>
      </c>
      <c r="E8" s="92">
        <v>1</v>
      </c>
      <c r="F8" s="100">
        <f t="shared" ref="F8:F11" si="2">E8*D8</f>
        <v>1</v>
      </c>
      <c r="G8" s="199">
        <v>0</v>
      </c>
      <c r="H8" s="100">
        <f>IF(G8=0,VLOOKUP(C:C,[1]Inputs!$B$20:$H$25,7,FALSE)*F8,VLOOKUP(C:C,[1]Inputs!$B$20:$I$25,8,FALSE)*F8)</f>
        <v>79.838346469665012</v>
      </c>
      <c r="I8" s="100">
        <f>VLOOKUP(C:C,[1]Inputs!$C$54:$G$59,5,FALSE)*F8</f>
        <v>19.732436288346317</v>
      </c>
      <c r="J8" s="100"/>
      <c r="K8" s="100"/>
      <c r="L8" s="100"/>
      <c r="M8" s="100">
        <f t="shared" ref="M8:M11" si="3">SUM(H8:J8)</f>
        <v>99.570782758011333</v>
      </c>
      <c r="N8" s="100">
        <f>[1]Inputs!$M$43*M8</f>
        <v>46.392677416511667</v>
      </c>
      <c r="O8" s="100">
        <f>[1]Inputs!$M$48*M8</f>
        <v>15.968921687171692</v>
      </c>
      <c r="P8" s="100">
        <f>[1]Inputs!$H$13*SUM(M8:O8)</f>
        <v>10.269751657668678</v>
      </c>
      <c r="Q8" s="100">
        <f t="shared" ref="Q8:Q11" si="4">SUM(M8:P8)</f>
        <v>172.20213351936337</v>
      </c>
      <c r="S8" s="280" t="s">
        <v>1</v>
      </c>
      <c r="T8" s="281"/>
      <c r="U8" s="281"/>
      <c r="V8" s="282"/>
      <c r="W8" s="101">
        <f>SUM(W7:W7)</f>
        <v>1</v>
      </c>
      <c r="X8" s="101">
        <f t="shared" ref="X8:AH8" si="5">SUM(X7:X7)</f>
        <v>0</v>
      </c>
      <c r="Y8" s="101">
        <f t="shared" si="5"/>
        <v>79.838346469665012</v>
      </c>
      <c r="Z8" s="101">
        <f t="shared" si="5"/>
        <v>19.732436288346317</v>
      </c>
      <c r="AA8" s="101">
        <f t="shared" si="5"/>
        <v>0</v>
      </c>
      <c r="AB8" s="101">
        <f t="shared" si="5"/>
        <v>0</v>
      </c>
      <c r="AC8" s="101">
        <f t="shared" si="5"/>
        <v>0</v>
      </c>
      <c r="AD8" s="101">
        <f t="shared" si="5"/>
        <v>99.570782758011333</v>
      </c>
      <c r="AE8" s="101">
        <f t="shared" si="5"/>
        <v>46.392677416511667</v>
      </c>
      <c r="AF8" s="101">
        <f t="shared" si="5"/>
        <v>15.968921687171692</v>
      </c>
      <c r="AG8" s="101">
        <f t="shared" si="5"/>
        <v>10.269751657668678</v>
      </c>
      <c r="AH8" s="101">
        <f t="shared" si="5"/>
        <v>172.20213351936337</v>
      </c>
      <c r="AI8" s="111"/>
    </row>
    <row r="9" spans="1:35" x14ac:dyDescent="0.2">
      <c r="A9" s="69"/>
      <c r="B9" s="89" t="s">
        <v>81</v>
      </c>
      <c r="C9" s="112" t="s">
        <v>73</v>
      </c>
      <c r="D9" s="113">
        <v>1</v>
      </c>
      <c r="E9" s="92">
        <v>1</v>
      </c>
      <c r="F9" s="99">
        <f t="shared" si="2"/>
        <v>1</v>
      </c>
      <c r="G9" s="199">
        <v>0</v>
      </c>
      <c r="H9" s="100">
        <f>IF(G9=0,VLOOKUP(C:C,[1]Inputs!$B$20:$H$25,7,FALSE)*F9,VLOOKUP(C:C,[1]Inputs!$B$20:$I$25,8,FALSE)*F9)</f>
        <v>79.838346469665012</v>
      </c>
      <c r="I9" s="100">
        <f>VLOOKUP(C:C,[1]Inputs!$C$54:$G$59,5,FALSE)*F9</f>
        <v>19.732436288346317</v>
      </c>
      <c r="J9" s="100"/>
      <c r="K9" s="100"/>
      <c r="L9" s="100"/>
      <c r="M9" s="100">
        <f t="shared" si="3"/>
        <v>99.570782758011333</v>
      </c>
      <c r="N9" s="100">
        <f>[1]Inputs!$M$43*M9</f>
        <v>46.392677416511667</v>
      </c>
      <c r="O9" s="100">
        <f>[1]Inputs!$M$48*M9</f>
        <v>15.968921687171692</v>
      </c>
      <c r="P9" s="100">
        <f>[1]Inputs!$H$13*SUM(M9:O9)</f>
        <v>10.269751657668678</v>
      </c>
      <c r="Q9" s="100">
        <f t="shared" si="4"/>
        <v>172.20213351936337</v>
      </c>
    </row>
    <row r="10" spans="1:35" x14ac:dyDescent="0.2">
      <c r="B10" s="89" t="s">
        <v>78</v>
      </c>
      <c r="C10" s="112" t="s">
        <v>73</v>
      </c>
      <c r="D10" s="115">
        <v>0.1</v>
      </c>
      <c r="E10" s="123">
        <v>1</v>
      </c>
      <c r="F10" s="124">
        <f t="shared" si="2"/>
        <v>0.1</v>
      </c>
      <c r="G10" s="199">
        <v>0</v>
      </c>
      <c r="H10" s="100">
        <f>IF(G10=0,VLOOKUP(C:C,[1]Inputs!$B$20:$H$25,7,FALSE)*F10,VLOOKUP(C:C,[1]Inputs!$B$20:$I$25,8,FALSE)*F10)</f>
        <v>7.9838346469665016</v>
      </c>
      <c r="I10" s="100">
        <f>VLOOKUP(C:C,[1]Inputs!$C$54:$G$59,5,FALSE)*F10</f>
        <v>1.9732436288346318</v>
      </c>
      <c r="J10" s="100"/>
      <c r="K10" s="100"/>
      <c r="L10" s="100"/>
      <c r="M10" s="100">
        <f t="shared" si="3"/>
        <v>9.957078275801134</v>
      </c>
      <c r="N10" s="100">
        <f>[1]Inputs!$M$43*M10</f>
        <v>4.6392677416511674</v>
      </c>
      <c r="O10" s="100">
        <f>[1]Inputs!$M$48*M10</f>
        <v>1.5968921687171693</v>
      </c>
      <c r="P10" s="100">
        <f>[1]Inputs!$H$13*SUM(M10:O10)</f>
        <v>1.0269751657668678</v>
      </c>
      <c r="Q10" s="100">
        <f t="shared" si="4"/>
        <v>17.220213351936337</v>
      </c>
    </row>
    <row r="11" spans="1:35" x14ac:dyDescent="0.2">
      <c r="B11" s="89" t="s">
        <v>83</v>
      </c>
      <c r="C11" s="88" t="s">
        <v>91</v>
      </c>
      <c r="D11" s="98">
        <v>0.1</v>
      </c>
      <c r="E11" s="92">
        <v>1</v>
      </c>
      <c r="F11" s="99">
        <f t="shared" si="2"/>
        <v>0.1</v>
      </c>
      <c r="G11" s="199">
        <v>0</v>
      </c>
      <c r="H11" s="100">
        <f>IF(G11=0,VLOOKUP(C:C,[1]Inputs!$B$20:$H$25,7,FALSE)*F11,VLOOKUP(C:C,[1]Inputs!$B$20:$I$25,8,FALSE)*F11)</f>
        <v>7.3741483017720002</v>
      </c>
      <c r="I11" s="100">
        <f>VLOOKUP(C:C,[1]Inputs!$C$54:$G$59,5,FALSE)*F11</f>
        <v>0</v>
      </c>
      <c r="J11" s="100"/>
      <c r="K11" s="100"/>
      <c r="L11" s="100"/>
      <c r="M11" s="100">
        <f t="shared" si="3"/>
        <v>7.3741483017720002</v>
      </c>
      <c r="N11" s="100">
        <f>[1]Inputs!$M$43*M11</f>
        <v>3.4358119310666995</v>
      </c>
      <c r="O11" s="100">
        <f>[1]Inputs!$M$48*M11</f>
        <v>1.1826480969500324</v>
      </c>
      <c r="P11" s="100">
        <f>[1]Inputs!$H$13*SUM(M11:O11)</f>
        <v>0.76057122027520141</v>
      </c>
      <c r="Q11" s="100">
        <f t="shared" si="4"/>
        <v>12.753179550063933</v>
      </c>
    </row>
    <row r="12" spans="1:35" x14ac:dyDescent="0.2">
      <c r="A12" s="70"/>
      <c r="B12" s="89"/>
      <c r="C12" s="88"/>
      <c r="D12" s="97"/>
      <c r="E12" s="92"/>
      <c r="F12" s="99"/>
      <c r="G12" s="99"/>
      <c r="H12" s="99"/>
      <c r="I12" s="99"/>
      <c r="J12" s="99"/>
      <c r="K12" s="99"/>
      <c r="L12" s="99"/>
      <c r="M12" s="99"/>
      <c r="N12" s="99"/>
      <c r="O12" s="36"/>
      <c r="P12" s="37"/>
      <c r="Q12" s="37"/>
    </row>
    <row r="13" spans="1:35" x14ac:dyDescent="0.2">
      <c r="B13" s="280" t="s">
        <v>1</v>
      </c>
      <c r="C13" s="281"/>
      <c r="D13" s="281"/>
      <c r="E13" s="282"/>
      <c r="F13" s="101">
        <f>SUM(F7:F12)</f>
        <v>2.3000000000000003</v>
      </c>
      <c r="G13" s="101">
        <f t="shared" ref="G13:Q13" si="6">SUM(G7:G12)</f>
        <v>0</v>
      </c>
      <c r="H13" s="101">
        <f t="shared" si="6"/>
        <v>183.01851053503503</v>
      </c>
      <c r="I13" s="101">
        <f t="shared" si="6"/>
        <v>43.411359834361896</v>
      </c>
      <c r="J13" s="101">
        <f t="shared" si="6"/>
        <v>0</v>
      </c>
      <c r="K13" s="101">
        <f t="shared" si="6"/>
        <v>0</v>
      </c>
      <c r="L13" s="101">
        <f t="shared" si="6"/>
        <v>0</v>
      </c>
      <c r="M13" s="101">
        <f t="shared" si="6"/>
        <v>226.42987036939695</v>
      </c>
      <c r="N13" s="101">
        <f t="shared" si="6"/>
        <v>105.49970224739236</v>
      </c>
      <c r="O13" s="101">
        <f t="shared" si="6"/>
        <v>36.314275808727757</v>
      </c>
      <c r="P13" s="101">
        <f t="shared" si="6"/>
        <v>23.354024867146293</v>
      </c>
      <c r="Q13" s="101">
        <f t="shared" si="6"/>
        <v>391.59787329266328</v>
      </c>
    </row>
    <row r="15" spans="1:35" ht="76.5" x14ac:dyDescent="0.2">
      <c r="A15" s="69"/>
      <c r="B15" s="33" t="s">
        <v>18</v>
      </c>
      <c r="C15" s="33" t="s">
        <v>31</v>
      </c>
      <c r="D15" s="95" t="s">
        <v>67</v>
      </c>
      <c r="E15" s="91" t="s">
        <v>33</v>
      </c>
      <c r="F15" s="95" t="s">
        <v>32</v>
      </c>
      <c r="G15" s="197" t="s">
        <v>109</v>
      </c>
      <c r="H15" s="197" t="s">
        <v>110</v>
      </c>
      <c r="I15" s="197" t="s">
        <v>111</v>
      </c>
      <c r="J15" s="197" t="s">
        <v>112</v>
      </c>
      <c r="K15" s="198" t="s">
        <v>113</v>
      </c>
      <c r="L15" s="198" t="s">
        <v>114</v>
      </c>
      <c r="M15" s="197" t="s">
        <v>115</v>
      </c>
      <c r="N15" s="197" t="s">
        <v>116</v>
      </c>
      <c r="O15" s="197" t="s">
        <v>117</v>
      </c>
      <c r="P15" s="197" t="s">
        <v>118</v>
      </c>
      <c r="Q15" s="197" t="s">
        <v>119</v>
      </c>
      <c r="S15" s="33" t="s">
        <v>18</v>
      </c>
      <c r="T15" s="33" t="s">
        <v>31</v>
      </c>
      <c r="U15" s="197" t="s">
        <v>67</v>
      </c>
      <c r="V15" s="200" t="s">
        <v>33</v>
      </c>
      <c r="W15" s="197" t="s">
        <v>32</v>
      </c>
      <c r="X15" s="197" t="s">
        <v>109</v>
      </c>
      <c r="Y15" s="197" t="s">
        <v>110</v>
      </c>
      <c r="Z15" s="197" t="s">
        <v>111</v>
      </c>
      <c r="AA15" s="197" t="s">
        <v>112</v>
      </c>
      <c r="AB15" s="198" t="s">
        <v>113</v>
      </c>
      <c r="AC15" s="198" t="s">
        <v>114</v>
      </c>
      <c r="AD15" s="197" t="s">
        <v>115</v>
      </c>
      <c r="AE15" s="197" t="s">
        <v>116</v>
      </c>
      <c r="AF15" s="197" t="s">
        <v>117</v>
      </c>
      <c r="AG15" s="197" t="s">
        <v>118</v>
      </c>
      <c r="AH15" s="197" t="s">
        <v>119</v>
      </c>
    </row>
    <row r="16" spans="1:35" x14ac:dyDescent="0.2">
      <c r="B16" s="190" t="s">
        <v>75</v>
      </c>
      <c r="C16" s="191"/>
      <c r="D16" s="191"/>
      <c r="E16" s="191"/>
      <c r="F16" s="191"/>
      <c r="G16" s="191"/>
      <c r="H16" s="191"/>
      <c r="I16" s="191"/>
      <c r="J16" s="191"/>
      <c r="K16" s="191"/>
      <c r="L16" s="191"/>
      <c r="M16" s="191"/>
      <c r="N16" s="191"/>
      <c r="O16" s="191"/>
      <c r="P16" s="192"/>
      <c r="Q16" s="114"/>
      <c r="S16" s="205" t="s">
        <v>153</v>
      </c>
      <c r="T16" s="206"/>
      <c r="U16" s="206"/>
      <c r="V16" s="206"/>
      <c r="W16" s="206"/>
      <c r="X16" s="191"/>
      <c r="Y16" s="191"/>
      <c r="Z16" s="191"/>
      <c r="AA16" s="191"/>
      <c r="AB16" s="191"/>
      <c r="AC16" s="191"/>
      <c r="AD16" s="191"/>
      <c r="AE16" s="191"/>
      <c r="AF16" s="191"/>
      <c r="AG16" s="191"/>
      <c r="AH16" s="183"/>
    </row>
    <row r="17" spans="1:34" x14ac:dyDescent="0.2">
      <c r="B17" s="89" t="s">
        <v>79</v>
      </c>
      <c r="C17" s="88" t="s">
        <v>73</v>
      </c>
      <c r="D17" s="96">
        <v>0.1</v>
      </c>
      <c r="E17" s="92">
        <v>1</v>
      </c>
      <c r="F17" s="99">
        <f>E17*D17</f>
        <v>0.1</v>
      </c>
      <c r="G17" s="199">
        <v>1</v>
      </c>
      <c r="H17" s="100">
        <f>IF(G17=0,VLOOKUP(C:C,[1]Inputs!$B$20:$H$25,7,FALSE)*F17,VLOOKUP(C:C,[1]Inputs!$B$20:$I$25,8,FALSE)*F17)</f>
        <v>14.494102558317273</v>
      </c>
      <c r="I17" s="100">
        <f>VLOOKUP(C:C,[1]Inputs!$C$54:$G$59,5,FALSE)*F17</f>
        <v>1.9732436288346318</v>
      </c>
      <c r="J17" s="100"/>
      <c r="K17" s="100"/>
      <c r="L17" s="100"/>
      <c r="M17" s="100">
        <f>SUM(H17:J17)</f>
        <v>16.467346187151904</v>
      </c>
      <c r="N17" s="100">
        <f>[1]Inputs!$M$43*M17</f>
        <v>7.6725748096531268</v>
      </c>
      <c r="O17" s="100">
        <f>[1]Inputs!$M$48*M17</f>
        <v>2.6409932148194968</v>
      </c>
      <c r="P17" s="100">
        <f>[1]Inputs!$H$13*SUM(M17:O17)</f>
        <v>1.6984455793012276</v>
      </c>
      <c r="Q17" s="100">
        <f t="shared" ref="Q17" si="7">SUM(M17:P17)</f>
        <v>28.479359790925756</v>
      </c>
      <c r="S17" s="201" t="s">
        <v>82</v>
      </c>
      <c r="T17" s="202" t="s">
        <v>73</v>
      </c>
      <c r="U17" s="203">
        <v>1</v>
      </c>
      <c r="V17" s="204">
        <v>1</v>
      </c>
      <c r="W17" s="100">
        <f>V17*U17</f>
        <v>1</v>
      </c>
      <c r="X17" s="199">
        <v>1</v>
      </c>
      <c r="Y17" s="100">
        <f>IF(X17=0,VLOOKUP(T:T,[1]Inputs!$B$20:$H$25,7,FALSE)*W17,VLOOKUP(T:T,[1]Inputs!$B$20:$I$25,8,FALSE)*W17)</f>
        <v>144.94102558317272</v>
      </c>
      <c r="Z17" s="100">
        <f>VLOOKUP(T:T,[1]Inputs!$C$54:$G$59,5,FALSE)*W17</f>
        <v>19.732436288346317</v>
      </c>
      <c r="AA17" s="100"/>
      <c r="AB17" s="100"/>
      <c r="AC17" s="100"/>
      <c r="AD17" s="100">
        <f>SUM(Y17:AA17)</f>
        <v>164.67346187151904</v>
      </c>
      <c r="AE17" s="100">
        <f>[1]Inputs!$M$43*AD17</f>
        <v>76.725748096531277</v>
      </c>
      <c r="AF17" s="100">
        <f>[1]Inputs!$M$48*AD17</f>
        <v>26.409932148194969</v>
      </c>
      <c r="AG17" s="100">
        <f>[1]Inputs!$H$13*SUM(AD17:AF17)</f>
        <v>16.98445579301228</v>
      </c>
      <c r="AH17" s="100">
        <f t="shared" ref="AH17" si="8">SUM(AD17:AG17)</f>
        <v>284.79359790925758</v>
      </c>
    </row>
    <row r="18" spans="1:34" ht="15" customHeight="1" x14ac:dyDescent="0.2">
      <c r="B18" s="90" t="s">
        <v>80</v>
      </c>
      <c r="C18" s="88" t="s">
        <v>73</v>
      </c>
      <c r="D18" s="97">
        <v>1</v>
      </c>
      <c r="E18" s="93">
        <v>1</v>
      </c>
      <c r="F18" s="99">
        <f t="shared" ref="F18:F21" si="9">E18*D18</f>
        <v>1</v>
      </c>
      <c r="G18" s="199">
        <v>1</v>
      </c>
      <c r="H18" s="100">
        <f>IF(G18=0,VLOOKUP(C:C,[1]Inputs!$B$20:$H$25,7,FALSE)*F18,VLOOKUP(C:C,[1]Inputs!$B$20:$I$25,8,FALSE)*F18)</f>
        <v>144.94102558317272</v>
      </c>
      <c r="I18" s="100">
        <f>VLOOKUP(C:C,[1]Inputs!$C$54:$G$59,5,FALSE)*F18</f>
        <v>19.732436288346317</v>
      </c>
      <c r="J18" s="100"/>
      <c r="K18" s="100"/>
      <c r="L18" s="100"/>
      <c r="M18" s="100">
        <f t="shared" ref="M18:M21" si="10">SUM(H18:J18)</f>
        <v>164.67346187151904</v>
      </c>
      <c r="N18" s="100">
        <f>[1]Inputs!$M$43*M18</f>
        <v>76.725748096531277</v>
      </c>
      <c r="O18" s="100">
        <f>[1]Inputs!$M$48*M18</f>
        <v>26.409932148194969</v>
      </c>
      <c r="P18" s="100">
        <f>[1]Inputs!$H$13*SUM(M18:O18)</f>
        <v>16.98445579301228</v>
      </c>
      <c r="Q18" s="100">
        <f t="shared" ref="Q18:Q21" si="11">SUM(M18:P18)</f>
        <v>284.79359790925758</v>
      </c>
      <c r="S18" s="280" t="s">
        <v>1</v>
      </c>
      <c r="T18" s="281"/>
      <c r="U18" s="281"/>
      <c r="V18" s="282"/>
      <c r="W18" s="101">
        <f>SUM(W17:W17)</f>
        <v>1</v>
      </c>
      <c r="X18" s="101">
        <f t="shared" ref="X18" si="12">SUM(X17:X17)</f>
        <v>1</v>
      </c>
      <c r="Y18" s="101">
        <f t="shared" ref="Y18" si="13">SUM(Y17:Y17)</f>
        <v>144.94102558317272</v>
      </c>
      <c r="Z18" s="101">
        <f t="shared" ref="Z18" si="14">SUM(Z17:Z17)</f>
        <v>19.732436288346317</v>
      </c>
      <c r="AA18" s="101">
        <f t="shared" ref="AA18" si="15">SUM(AA17:AA17)</f>
        <v>0</v>
      </c>
      <c r="AB18" s="101">
        <f t="shared" ref="AB18" si="16">SUM(AB17:AB17)</f>
        <v>0</v>
      </c>
      <c r="AC18" s="101">
        <f t="shared" ref="AC18" si="17">SUM(AC17:AC17)</f>
        <v>0</v>
      </c>
      <c r="AD18" s="101">
        <f t="shared" ref="AD18" si="18">SUM(AD17:AD17)</f>
        <v>164.67346187151904</v>
      </c>
      <c r="AE18" s="101">
        <f t="shared" ref="AE18" si="19">SUM(AE17:AE17)</f>
        <v>76.725748096531277</v>
      </c>
      <c r="AF18" s="101">
        <f t="shared" ref="AF18" si="20">SUM(AF17:AF17)</f>
        <v>26.409932148194969</v>
      </c>
      <c r="AG18" s="101">
        <f t="shared" ref="AG18" si="21">SUM(AG17:AG17)</f>
        <v>16.98445579301228</v>
      </c>
      <c r="AH18" s="101">
        <f t="shared" ref="AH18" si="22">SUM(AH17:AH17)</f>
        <v>284.79359790925758</v>
      </c>
    </row>
    <row r="19" spans="1:34" x14ac:dyDescent="0.2">
      <c r="B19" s="89" t="s">
        <v>81</v>
      </c>
      <c r="C19" s="112" t="s">
        <v>73</v>
      </c>
      <c r="D19" s="113">
        <v>1</v>
      </c>
      <c r="E19" s="92">
        <v>1</v>
      </c>
      <c r="F19" s="99">
        <f t="shared" si="9"/>
        <v>1</v>
      </c>
      <c r="G19" s="199">
        <v>1</v>
      </c>
      <c r="H19" s="100">
        <f>IF(G19=0,VLOOKUP(C:C,[1]Inputs!$B$20:$H$25,7,FALSE)*F19,VLOOKUP(C:C,[1]Inputs!$B$20:$I$25,8,FALSE)*F19)</f>
        <v>144.94102558317272</v>
      </c>
      <c r="I19" s="100">
        <f>VLOOKUP(C:C,[1]Inputs!$C$54:$G$59,5,FALSE)*F19</f>
        <v>19.732436288346317</v>
      </c>
      <c r="J19" s="100"/>
      <c r="K19" s="100"/>
      <c r="L19" s="100"/>
      <c r="M19" s="100">
        <f t="shared" si="10"/>
        <v>164.67346187151904</v>
      </c>
      <c r="N19" s="100">
        <f>[1]Inputs!$M$43*M19</f>
        <v>76.725748096531277</v>
      </c>
      <c r="O19" s="100">
        <f>[1]Inputs!$M$48*M19</f>
        <v>26.409932148194969</v>
      </c>
      <c r="P19" s="100">
        <f>[1]Inputs!$H$13*SUM(M19:O19)</f>
        <v>16.98445579301228</v>
      </c>
      <c r="Q19" s="100">
        <f t="shared" si="11"/>
        <v>284.79359790925758</v>
      </c>
    </row>
    <row r="20" spans="1:34" x14ac:dyDescent="0.2">
      <c r="A20" s="69"/>
      <c r="B20" s="89" t="s">
        <v>78</v>
      </c>
      <c r="C20" s="112" t="s">
        <v>73</v>
      </c>
      <c r="D20" s="115">
        <v>0.1</v>
      </c>
      <c r="E20" s="94">
        <v>1</v>
      </c>
      <c r="F20" s="99">
        <f t="shared" si="9"/>
        <v>0.1</v>
      </c>
      <c r="G20" s="199">
        <v>1</v>
      </c>
      <c r="H20" s="100">
        <f>IF(G20=0,VLOOKUP(C:C,[1]Inputs!$B$20:$H$25,7,FALSE)*F20,VLOOKUP(C:C,[1]Inputs!$B$20:$I$25,8,FALSE)*F20)</f>
        <v>14.494102558317273</v>
      </c>
      <c r="I20" s="100">
        <f>VLOOKUP(C:C,[1]Inputs!$C$54:$G$59,5,FALSE)*F20</f>
        <v>1.9732436288346318</v>
      </c>
      <c r="J20" s="100"/>
      <c r="K20" s="100"/>
      <c r="L20" s="100"/>
      <c r="M20" s="100">
        <f t="shared" si="10"/>
        <v>16.467346187151904</v>
      </c>
      <c r="N20" s="100">
        <f>[1]Inputs!$M$43*M20</f>
        <v>7.6725748096531268</v>
      </c>
      <c r="O20" s="100">
        <f>[1]Inputs!$M$48*M20</f>
        <v>2.6409932148194968</v>
      </c>
      <c r="P20" s="100">
        <f>[1]Inputs!$H$13*SUM(M20:O20)</f>
        <v>1.6984455793012276</v>
      </c>
      <c r="Q20" s="100">
        <f t="shared" si="11"/>
        <v>28.479359790925756</v>
      </c>
    </row>
    <row r="21" spans="1:34" x14ac:dyDescent="0.2">
      <c r="B21" s="89" t="s">
        <v>83</v>
      </c>
      <c r="C21" s="88" t="s">
        <v>91</v>
      </c>
      <c r="D21" s="98">
        <v>0.1</v>
      </c>
      <c r="E21" s="92">
        <v>1</v>
      </c>
      <c r="F21" s="99">
        <f t="shared" si="9"/>
        <v>0.1</v>
      </c>
      <c r="G21" s="199">
        <v>0</v>
      </c>
      <c r="H21" s="100">
        <f>IF(G21=0,VLOOKUP(C:C,[1]Inputs!$B$20:$H$25,7,FALSE)*F21,VLOOKUP(C:C,[1]Inputs!$B$20:$I$25,8,FALSE)*F21)</f>
        <v>7.3741483017720002</v>
      </c>
      <c r="I21" s="100">
        <f>VLOOKUP(C:C,[1]Inputs!$C$54:$G$59,5,FALSE)*F21</f>
        <v>0</v>
      </c>
      <c r="J21" s="100"/>
      <c r="K21" s="100"/>
      <c r="L21" s="100"/>
      <c r="M21" s="100">
        <f t="shared" si="10"/>
        <v>7.3741483017720002</v>
      </c>
      <c r="N21" s="100">
        <f>[1]Inputs!$M$43*M21</f>
        <v>3.4358119310666995</v>
      </c>
      <c r="O21" s="100">
        <f>[1]Inputs!$M$48*M21</f>
        <v>1.1826480969500324</v>
      </c>
      <c r="P21" s="100">
        <f>[1]Inputs!$H$13*SUM(M21:O21)</f>
        <v>0.76057122027520141</v>
      </c>
      <c r="Q21" s="100">
        <f t="shared" si="11"/>
        <v>12.753179550063933</v>
      </c>
    </row>
    <row r="22" spans="1:34" x14ac:dyDescent="0.2">
      <c r="B22" s="89"/>
      <c r="C22" s="88"/>
      <c r="D22" s="98"/>
      <c r="E22" s="94"/>
      <c r="F22" s="99"/>
      <c r="G22" s="99"/>
      <c r="H22" s="99"/>
      <c r="I22" s="99"/>
      <c r="J22" s="99"/>
      <c r="K22" s="99"/>
      <c r="L22" s="99"/>
      <c r="M22" s="99"/>
      <c r="N22" s="99"/>
      <c r="O22" s="35"/>
      <c r="P22" s="37"/>
      <c r="Q22" s="37"/>
    </row>
    <row r="23" spans="1:34" x14ac:dyDescent="0.2">
      <c r="B23" s="280" t="s">
        <v>1</v>
      </c>
      <c r="C23" s="281"/>
      <c r="D23" s="281"/>
      <c r="E23" s="282"/>
      <c r="F23" s="101">
        <f>SUM(F17:F22)</f>
        <v>2.3000000000000003</v>
      </c>
      <c r="G23" s="101">
        <f t="shared" ref="G23:Q23" si="23">SUM(G17:G22)</f>
        <v>4</v>
      </c>
      <c r="H23" s="101">
        <f t="shared" si="23"/>
        <v>326.24440458475192</v>
      </c>
      <c r="I23" s="101">
        <f t="shared" si="23"/>
        <v>43.411359834361896</v>
      </c>
      <c r="J23" s="101">
        <f t="shared" si="23"/>
        <v>0</v>
      </c>
      <c r="K23" s="101">
        <f t="shared" si="23"/>
        <v>0</v>
      </c>
      <c r="L23" s="101">
        <f t="shared" si="23"/>
        <v>0</v>
      </c>
      <c r="M23" s="101">
        <f t="shared" si="23"/>
        <v>369.65576441911389</v>
      </c>
      <c r="N23" s="101">
        <f t="shared" si="23"/>
        <v>172.2324577434355</v>
      </c>
      <c r="O23" s="101">
        <f t="shared" si="23"/>
        <v>59.284498822978961</v>
      </c>
      <c r="P23" s="101">
        <f t="shared" si="23"/>
        <v>38.126373964902221</v>
      </c>
      <c r="Q23" s="101">
        <f t="shared" si="23"/>
        <v>639.29909495043057</v>
      </c>
    </row>
    <row r="31" spans="1:34" x14ac:dyDescent="0.2">
      <c r="A31" s="69"/>
    </row>
    <row r="44" spans="1:1" x14ac:dyDescent="0.2">
      <c r="A44" s="69"/>
    </row>
  </sheetData>
  <mergeCells count="8">
    <mergeCell ref="Y2:AH2"/>
    <mergeCell ref="Y3:AH3"/>
    <mergeCell ref="S18:V18"/>
    <mergeCell ref="B23:E23"/>
    <mergeCell ref="S8:V8"/>
    <mergeCell ref="B13:E13"/>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I16"/>
    </sheetView>
  </sheetViews>
  <sheetFormatPr defaultColWidth="9.140625" defaultRowHeight="12.75" x14ac:dyDescent="0.2"/>
  <cols>
    <col min="1" max="1" width="3.140625" style="156" customWidth="1"/>
    <col min="2" max="2" width="80" style="156" bestFit="1" customWidth="1"/>
    <col min="3" max="3" width="65.140625" style="156" customWidth="1"/>
    <col min="4" max="4" width="12.85546875" style="156" customWidth="1"/>
    <col min="5" max="8" width="11.28515625" style="156" customWidth="1"/>
    <col min="9" max="9" width="12.7109375" style="156" customWidth="1"/>
    <col min="10" max="16384" width="9.140625" style="156"/>
  </cols>
  <sheetData>
    <row r="2" spans="2:9" x14ac:dyDescent="0.2">
      <c r="B2" s="154" t="s">
        <v>8</v>
      </c>
      <c r="C2" s="155"/>
      <c r="D2" s="155"/>
      <c r="E2" s="155"/>
      <c r="F2" s="155"/>
      <c r="G2" s="155"/>
      <c r="H2" s="155"/>
      <c r="I2" s="155"/>
    </row>
    <row r="3" spans="2:9" x14ac:dyDescent="0.2">
      <c r="B3" s="157"/>
      <c r="C3" s="157"/>
      <c r="D3" s="157"/>
      <c r="E3" s="157"/>
      <c r="F3" s="157"/>
      <c r="G3" s="157"/>
      <c r="H3" s="157"/>
      <c r="I3" s="157"/>
    </row>
    <row r="4" spans="2:9" x14ac:dyDescent="0.2">
      <c r="B4" s="154" t="s">
        <v>2</v>
      </c>
      <c r="C4" s="155"/>
      <c r="D4" s="155"/>
      <c r="E4" s="155"/>
      <c r="F4" s="155"/>
      <c r="G4" s="155"/>
      <c r="H4" s="155"/>
      <c r="I4" s="155"/>
    </row>
    <row r="5" spans="2:9" x14ac:dyDescent="0.2">
      <c r="B5" s="158" t="s">
        <v>96</v>
      </c>
      <c r="C5" s="158" t="s">
        <v>9</v>
      </c>
      <c r="D5" s="159" t="s">
        <v>62</v>
      </c>
      <c r="E5" s="159" t="s">
        <v>61</v>
      </c>
      <c r="F5" s="159" t="s">
        <v>60</v>
      </c>
      <c r="G5" s="160" t="s">
        <v>101</v>
      </c>
      <c r="H5" s="160" t="s">
        <v>102</v>
      </c>
      <c r="I5" s="161" t="s">
        <v>1</v>
      </c>
    </row>
    <row r="6" spans="2:9" ht="14.25" customHeight="1" x14ac:dyDescent="0.2">
      <c r="B6" s="162" t="s">
        <v>69</v>
      </c>
      <c r="C6" s="163"/>
      <c r="D6" s="164"/>
      <c r="E6" s="164"/>
      <c r="F6" s="164"/>
      <c r="G6" s="164"/>
      <c r="H6" s="164"/>
      <c r="I6" s="207">
        <f>SUM(D6:H6)</f>
        <v>0</v>
      </c>
    </row>
    <row r="7" spans="2:9" x14ac:dyDescent="0.2">
      <c r="B7" s="165"/>
      <c r="C7" s="166"/>
      <c r="D7" s="164"/>
      <c r="E7" s="164"/>
      <c r="F7" s="164"/>
      <c r="G7" s="164"/>
      <c r="H7" s="164"/>
      <c r="I7" s="207">
        <f t="shared" ref="I7:I9" si="0">SUM(D7:H7)</f>
        <v>0</v>
      </c>
    </row>
    <row r="8" spans="2:9" x14ac:dyDescent="0.2">
      <c r="B8" s="165"/>
      <c r="C8" s="166"/>
      <c r="D8" s="164"/>
      <c r="E8" s="164"/>
      <c r="F8" s="164"/>
      <c r="G8" s="164"/>
      <c r="H8" s="164"/>
      <c r="I8" s="207">
        <f t="shared" si="0"/>
        <v>0</v>
      </c>
    </row>
    <row r="9" spans="2:9" x14ac:dyDescent="0.2">
      <c r="B9" s="165"/>
      <c r="C9" s="166"/>
      <c r="D9" s="164"/>
      <c r="E9" s="164"/>
      <c r="F9" s="164"/>
      <c r="G9" s="164"/>
      <c r="H9" s="164"/>
      <c r="I9" s="207">
        <f t="shared" si="0"/>
        <v>0</v>
      </c>
    </row>
    <row r="10" spans="2:9" x14ac:dyDescent="0.2">
      <c r="B10" s="167" t="s">
        <v>1</v>
      </c>
      <c r="C10" s="168"/>
      <c r="D10" s="169">
        <f t="shared" ref="D10:I10" si="1">SUM(D6:D9)</f>
        <v>0</v>
      </c>
      <c r="E10" s="169">
        <f t="shared" ref="E10:H10" si="2">SUM(E6:E9)</f>
        <v>0</v>
      </c>
      <c r="F10" s="169">
        <f t="shared" si="2"/>
        <v>0</v>
      </c>
      <c r="G10" s="169">
        <f t="shared" si="2"/>
        <v>0</v>
      </c>
      <c r="H10" s="169">
        <f t="shared" si="2"/>
        <v>0</v>
      </c>
      <c r="I10" s="169">
        <f t="shared" si="1"/>
        <v>0</v>
      </c>
    </row>
    <row r="11" spans="2:9" x14ac:dyDescent="0.2">
      <c r="B11" s="157"/>
      <c r="C11" s="157"/>
      <c r="D11" s="157"/>
      <c r="E11" s="157"/>
      <c r="F11" s="157"/>
      <c r="G11" s="157"/>
      <c r="H11" s="157"/>
      <c r="I11" s="157"/>
    </row>
    <row r="12" spans="2:9" x14ac:dyDescent="0.2">
      <c r="B12" s="154" t="s">
        <v>10</v>
      </c>
      <c r="C12" s="155"/>
      <c r="D12" s="155"/>
      <c r="E12" s="155"/>
      <c r="F12" s="155"/>
      <c r="G12" s="155"/>
      <c r="H12" s="155"/>
      <c r="I12" s="155"/>
    </row>
    <row r="13" spans="2:9" x14ac:dyDescent="0.2">
      <c r="B13" s="158" t="s">
        <v>4</v>
      </c>
      <c r="C13" s="170" t="s">
        <v>9</v>
      </c>
      <c r="D13" s="159" t="s">
        <v>62</v>
      </c>
      <c r="E13" s="159" t="s">
        <v>61</v>
      </c>
      <c r="F13" s="159" t="s">
        <v>60</v>
      </c>
      <c r="G13" s="160" t="s">
        <v>101</v>
      </c>
      <c r="H13" s="160" t="s">
        <v>102</v>
      </c>
      <c r="I13" s="161" t="s">
        <v>1</v>
      </c>
    </row>
    <row r="14" spans="2:9" x14ac:dyDescent="0.2">
      <c r="B14" s="171" t="s">
        <v>19</v>
      </c>
      <c r="C14" s="171"/>
      <c r="D14" s="172"/>
      <c r="E14" s="172"/>
      <c r="F14" s="172"/>
      <c r="G14" s="172"/>
      <c r="H14" s="172"/>
      <c r="I14" s="208">
        <f>SUM(D14:H14)</f>
        <v>0</v>
      </c>
    </row>
    <row r="15" spans="2:9" x14ac:dyDescent="0.2">
      <c r="B15" s="171"/>
      <c r="C15" s="173"/>
      <c r="D15" s="172"/>
      <c r="E15" s="172"/>
      <c r="F15" s="172"/>
      <c r="G15" s="172"/>
      <c r="H15" s="172"/>
      <c r="I15" s="208">
        <f t="shared" ref="I15:I16" si="3">SUM(D15:H15)</f>
        <v>0</v>
      </c>
    </row>
    <row r="16" spans="2:9" x14ac:dyDescent="0.2">
      <c r="B16" s="171"/>
      <c r="C16" s="171"/>
      <c r="D16" s="172"/>
      <c r="E16" s="172"/>
      <c r="F16" s="172"/>
      <c r="G16" s="172"/>
      <c r="H16" s="172"/>
      <c r="I16" s="209">
        <f t="shared" si="3"/>
        <v>0</v>
      </c>
    </row>
    <row r="17" spans="2:9" x14ac:dyDescent="0.2">
      <c r="B17" s="174" t="s">
        <v>17</v>
      </c>
      <c r="C17" s="168"/>
      <c r="D17" s="175">
        <f t="shared" ref="D17:E17" si="4">SUM(D14:D16)</f>
        <v>0</v>
      </c>
      <c r="E17" s="175">
        <f t="shared" si="4"/>
        <v>0</v>
      </c>
      <c r="F17" s="175">
        <f t="shared" ref="F17:H17" si="5">SUM(F14:F16)</f>
        <v>0</v>
      </c>
      <c r="G17" s="175">
        <f t="shared" si="5"/>
        <v>0</v>
      </c>
      <c r="H17" s="175">
        <f t="shared" si="5"/>
        <v>0</v>
      </c>
      <c r="I17" s="175">
        <f>SUM(I14:I16)</f>
        <v>0</v>
      </c>
    </row>
    <row r="18" spans="2:9" x14ac:dyDescent="0.2">
      <c r="B18" s="157"/>
      <c r="C18" s="157"/>
      <c r="D18" s="176"/>
      <c r="E18" s="176"/>
      <c r="F18" s="176"/>
      <c r="G18" s="176"/>
      <c r="H18" s="176"/>
      <c r="I18" s="176"/>
    </row>
    <row r="19" spans="2:9" x14ac:dyDescent="0.2">
      <c r="B19" s="177" t="s">
        <v>6</v>
      </c>
      <c r="C19" s="157"/>
      <c r="D19" s="176"/>
      <c r="E19" s="176"/>
      <c r="F19" s="176"/>
      <c r="G19" s="176"/>
      <c r="H19" s="176"/>
      <c r="I19" s="176"/>
    </row>
    <row r="20" spans="2:9" x14ac:dyDescent="0.2">
      <c r="B20" s="283" t="s">
        <v>99</v>
      </c>
      <c r="C20" s="283"/>
      <c r="D20" s="283"/>
      <c r="E20" s="283"/>
      <c r="F20" s="283"/>
      <c r="G20" s="283"/>
      <c r="H20" s="283"/>
      <c r="I20" s="283"/>
    </row>
    <row r="21" spans="2:9" x14ac:dyDescent="0.2">
      <c r="B21" s="284"/>
      <c r="C21" s="284"/>
      <c r="D21" s="284"/>
      <c r="E21" s="284"/>
      <c r="F21" s="284"/>
      <c r="G21" s="284"/>
      <c r="H21" s="284"/>
      <c r="I21" s="284"/>
    </row>
    <row r="22" spans="2:9" x14ac:dyDescent="0.2">
      <c r="B22" s="157"/>
      <c r="C22" s="157"/>
      <c r="D22" s="176"/>
      <c r="E22" s="176"/>
      <c r="F22" s="176"/>
      <c r="G22" s="176"/>
      <c r="H22" s="176"/>
      <c r="I22" s="176"/>
    </row>
    <row r="23" spans="2:9" x14ac:dyDescent="0.2">
      <c r="B23" s="154" t="s">
        <v>2</v>
      </c>
      <c r="C23" s="155"/>
      <c r="D23" s="155"/>
      <c r="E23" s="155"/>
      <c r="F23" s="155"/>
      <c r="G23" s="155"/>
      <c r="H23" s="155"/>
      <c r="I23" s="155"/>
    </row>
    <row r="24" spans="2:9" x14ac:dyDescent="0.2">
      <c r="B24" s="178" t="s">
        <v>11</v>
      </c>
      <c r="C24" s="179"/>
      <c r="D24" s="179"/>
      <c r="E24" s="179"/>
      <c r="F24" s="179"/>
      <c r="G24" s="179"/>
      <c r="H24" s="179"/>
      <c r="I24" s="179"/>
    </row>
    <row r="25" spans="2:9" x14ac:dyDescent="0.2">
      <c r="B25" s="285"/>
      <c r="C25" s="285"/>
      <c r="D25" s="285"/>
      <c r="E25" s="285"/>
      <c r="F25" s="285"/>
      <c r="G25" s="285"/>
      <c r="H25" s="285"/>
      <c r="I25" s="285"/>
    </row>
    <row r="26" spans="2:9" x14ac:dyDescent="0.2">
      <c r="B26" s="286"/>
      <c r="C26" s="286"/>
      <c r="D26" s="286"/>
      <c r="E26" s="286"/>
      <c r="F26" s="286"/>
      <c r="G26" s="286"/>
      <c r="H26" s="286"/>
      <c r="I26" s="286"/>
    </row>
    <row r="27" spans="2:9" x14ac:dyDescent="0.2">
      <c r="B27" s="180"/>
      <c r="C27" s="181"/>
      <c r="D27" s="181"/>
      <c r="E27" s="181"/>
      <c r="F27" s="181"/>
      <c r="G27" s="181"/>
      <c r="H27" s="181"/>
      <c r="I27" s="181"/>
    </row>
  </sheetData>
  <mergeCells count="2">
    <mergeCell ref="B20:I21"/>
    <mergeCell ref="B25:I26"/>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1917-EED8-4F5A-AD5B-10053958792A}">
  <dimension ref="B1:O40"/>
  <sheetViews>
    <sheetView zoomScale="90" zoomScaleNormal="90" workbookViewId="0">
      <selection activeCell="G21" sqref="G21"/>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127</v>
      </c>
      <c r="D1" s="221">
        <f>[1]Inputs!H16</f>
        <v>1</v>
      </c>
      <c r="E1" s="221">
        <f>[1]Inputs!I16</f>
        <v>1</v>
      </c>
      <c r="F1" s="221">
        <f>[1]Inputs!J16</f>
        <v>1.0109999999999999</v>
      </c>
      <c r="G1" s="221">
        <f>[1]Inputs!K16</f>
        <v>1.0231319999999999</v>
      </c>
      <c r="H1" s="221">
        <f>[1]Inputs!L16</f>
        <v>1.0337725727999998</v>
      </c>
      <c r="K1" s="222">
        <f>D1</f>
        <v>1</v>
      </c>
      <c r="L1" s="222">
        <f t="shared" ref="L1:O5" si="0">E1</f>
        <v>1</v>
      </c>
      <c r="M1" s="222">
        <f t="shared" si="0"/>
        <v>1.0109999999999999</v>
      </c>
      <c r="N1" s="222">
        <f t="shared" si="0"/>
        <v>1.0231319999999999</v>
      </c>
      <c r="O1" s="222">
        <f t="shared" si="0"/>
        <v>1.0337725727999998</v>
      </c>
    </row>
    <row r="2" spans="2:15" x14ac:dyDescent="0.25">
      <c r="B2" t="s">
        <v>128</v>
      </c>
      <c r="D2" s="221">
        <f>[1]Inputs!H61</f>
        <v>0.04</v>
      </c>
      <c r="E2" s="221">
        <f>[1]Inputs!I61</f>
        <v>0.04</v>
      </c>
      <c r="F2" s="221">
        <f>[1]Inputs!J61</f>
        <v>0.04</v>
      </c>
      <c r="G2" s="221">
        <f>[1]Inputs!K61</f>
        <v>0.04</v>
      </c>
      <c r="H2" s="221">
        <f>[1]Inputs!L61</f>
        <v>0.04</v>
      </c>
      <c r="K2" s="222"/>
      <c r="L2" s="222"/>
      <c r="M2" s="222"/>
      <c r="N2" s="222"/>
      <c r="O2" s="222"/>
    </row>
    <row r="3" spans="2:15" x14ac:dyDescent="0.25">
      <c r="B3" t="s">
        <v>129</v>
      </c>
      <c r="D3" s="222">
        <f>[1]Inputs!$M$43</f>
        <v>0.46592661151676018</v>
      </c>
      <c r="E3" s="222">
        <f>[1]Inputs!$M$43</f>
        <v>0.46592661151676018</v>
      </c>
      <c r="F3" s="222">
        <f>[1]Inputs!$M$43</f>
        <v>0.46592661151676018</v>
      </c>
      <c r="G3" s="222">
        <f>[1]Inputs!$M$43</f>
        <v>0.46592661151676018</v>
      </c>
      <c r="H3" s="222">
        <f>[1]Inputs!$M$43</f>
        <v>0.46592661151676018</v>
      </c>
      <c r="K3" s="222">
        <f t="shared" ref="K3:K5" si="1">D3</f>
        <v>0.46592661151676018</v>
      </c>
      <c r="L3" s="222">
        <f t="shared" si="0"/>
        <v>0.46592661151676018</v>
      </c>
      <c r="M3" s="222">
        <f t="shared" si="0"/>
        <v>0.46592661151676018</v>
      </c>
      <c r="N3" s="222">
        <f t="shared" si="0"/>
        <v>0.46592661151676018</v>
      </c>
      <c r="O3" s="222">
        <f t="shared" si="0"/>
        <v>0.46592661151676018</v>
      </c>
    </row>
    <row r="4" spans="2:15" x14ac:dyDescent="0.25">
      <c r="B4" t="s">
        <v>130</v>
      </c>
      <c r="D4" s="222">
        <f>[1]Inputs!$M$48</f>
        <v>0.16037758511933414</v>
      </c>
      <c r="E4" s="222">
        <f>[1]Inputs!$M$48</f>
        <v>0.16037758511933414</v>
      </c>
      <c r="F4" s="222">
        <f>[1]Inputs!$M$48</f>
        <v>0.16037758511933414</v>
      </c>
      <c r="G4" s="222">
        <f>[1]Inputs!$M$48</f>
        <v>0.16037758511933414</v>
      </c>
      <c r="H4" s="222">
        <f>[1]Inputs!$M$48</f>
        <v>0.16037758511933414</v>
      </c>
      <c r="K4" s="222">
        <f t="shared" si="1"/>
        <v>0.16037758511933414</v>
      </c>
      <c r="L4" s="222">
        <f t="shared" si="0"/>
        <v>0.16037758511933414</v>
      </c>
      <c r="M4" s="222">
        <f t="shared" si="0"/>
        <v>0.16037758511933414</v>
      </c>
      <c r="N4" s="222">
        <f t="shared" si="0"/>
        <v>0.16037758511933414</v>
      </c>
      <c r="O4" s="222">
        <f t="shared" si="0"/>
        <v>0.16037758511933414</v>
      </c>
    </row>
    <row r="5" spans="2:15" x14ac:dyDescent="0.25">
      <c r="B5" t="s">
        <v>131</v>
      </c>
      <c r="D5" s="222">
        <f>[1]Inputs!$H$13</f>
        <v>6.3420000000000004E-2</v>
      </c>
      <c r="E5" s="222">
        <f>[1]Inputs!$H$13</f>
        <v>6.3420000000000004E-2</v>
      </c>
      <c r="F5" s="222">
        <f>[1]Inputs!$H$13</f>
        <v>6.3420000000000004E-2</v>
      </c>
      <c r="G5" s="222">
        <f>[1]Inputs!$H$13</f>
        <v>6.3420000000000004E-2</v>
      </c>
      <c r="H5" s="222">
        <f>[1]Inputs!$H$13</f>
        <v>6.3420000000000004E-2</v>
      </c>
      <c r="K5" s="222">
        <f t="shared" si="1"/>
        <v>6.3420000000000004E-2</v>
      </c>
      <c r="L5" s="222">
        <f t="shared" si="0"/>
        <v>6.3420000000000004E-2</v>
      </c>
      <c r="M5" s="222">
        <f t="shared" si="0"/>
        <v>6.3420000000000004E-2</v>
      </c>
      <c r="N5" s="222">
        <f t="shared" si="0"/>
        <v>6.3420000000000004E-2</v>
      </c>
      <c r="O5" s="222">
        <f t="shared" si="0"/>
        <v>6.3420000000000004E-2</v>
      </c>
    </row>
    <row r="6" spans="2:15" s="223" customFormat="1" ht="15.75" x14ac:dyDescent="0.25">
      <c r="D6" s="287" t="s">
        <v>132</v>
      </c>
      <c r="E6" s="287"/>
      <c r="F6" s="287"/>
      <c r="G6" s="287"/>
      <c r="H6" s="287"/>
      <c r="J6" s="288" t="s">
        <v>133</v>
      </c>
      <c r="K6" s="288"/>
      <c r="L6" s="288"/>
      <c r="M6" s="288"/>
      <c r="N6" s="288"/>
      <c r="O6" s="288"/>
    </row>
    <row r="7" spans="2:15" x14ac:dyDescent="0.25">
      <c r="B7" s="224" t="s">
        <v>146</v>
      </c>
      <c r="C7" s="225"/>
      <c r="D7" s="225" t="s">
        <v>134</v>
      </c>
      <c r="E7" s="225" t="s">
        <v>135</v>
      </c>
      <c r="F7" s="225" t="s">
        <v>136</v>
      </c>
      <c r="G7" s="225" t="s">
        <v>137</v>
      </c>
      <c r="H7" s="225" t="s">
        <v>138</v>
      </c>
      <c r="J7" s="225"/>
      <c r="K7" s="225" t="s">
        <v>134</v>
      </c>
      <c r="L7" s="225" t="s">
        <v>135</v>
      </c>
      <c r="M7" s="225" t="s">
        <v>136</v>
      </c>
      <c r="N7" s="225" t="s">
        <v>137</v>
      </c>
      <c r="O7" s="225" t="s">
        <v>138</v>
      </c>
    </row>
    <row r="8" spans="2:15" x14ac:dyDescent="0.25">
      <c r="B8" s="226" t="s">
        <v>110</v>
      </c>
      <c r="C8" s="227"/>
      <c r="D8" s="228">
        <f>(D19*D$27)+(D31*D$39)</f>
        <v>15040.672575151128</v>
      </c>
      <c r="E8" s="228">
        <f t="shared" ref="E8:H8" si="2">(E19*E$27)+(E31*E$39)</f>
        <v>14439.045672145083</v>
      </c>
      <c r="F8" s="228">
        <f t="shared" si="2"/>
        <v>14013.96016755713</v>
      </c>
      <c r="G8" s="228">
        <f t="shared" si="2"/>
        <v>13764.605850386939</v>
      </c>
      <c r="H8" s="228">
        <f t="shared" si="2"/>
        <v>13660.293123391139</v>
      </c>
      <c r="J8" s="227"/>
      <c r="K8" s="228">
        <f>(K19*K$27)+(K31*K$39)</f>
        <v>2682.1715554243751</v>
      </c>
      <c r="L8" s="228">
        <f t="shared" ref="L8:O8" si="3">(L19*L$27)+(L31*L$39)</f>
        <v>2574.8846932074002</v>
      </c>
      <c r="M8" s="228">
        <f t="shared" si="3"/>
        <v>2499.0800878393738</v>
      </c>
      <c r="N8" s="228">
        <f t="shared" si="3"/>
        <v>2454.6132560940232</v>
      </c>
      <c r="O8" s="228">
        <f t="shared" si="3"/>
        <v>2436.0113865420508</v>
      </c>
    </row>
    <row r="9" spans="2:15" x14ac:dyDescent="0.25">
      <c r="B9" s="226" t="s">
        <v>111</v>
      </c>
      <c r="C9" s="227"/>
      <c r="D9" s="228">
        <f t="shared" ref="D9:H15" si="4">(D20*D$27)+(D32*D$39)</f>
        <v>3571.5709681906833</v>
      </c>
      <c r="E9" s="228">
        <f t="shared" si="4"/>
        <v>3428.7081294630557</v>
      </c>
      <c r="F9" s="228">
        <f t="shared" si="4"/>
        <v>3291.5598042845336</v>
      </c>
      <c r="G9" s="228">
        <f t="shared" si="4"/>
        <v>3159.8974121131523</v>
      </c>
      <c r="H9" s="228">
        <f t="shared" si="4"/>
        <v>3033.5015156286263</v>
      </c>
      <c r="J9" s="227"/>
      <c r="K9" s="228">
        <f t="shared" ref="K9:O15" si="5">(K20*K$27)+(K32*K$39)</f>
        <v>359.130340447903</v>
      </c>
      <c r="L9" s="228">
        <f t="shared" si="5"/>
        <v>344.76512682998685</v>
      </c>
      <c r="M9" s="228">
        <f t="shared" si="5"/>
        <v>330.97452175678734</v>
      </c>
      <c r="N9" s="228">
        <f t="shared" si="5"/>
        <v>317.73554088651588</v>
      </c>
      <c r="O9" s="228">
        <f t="shared" si="5"/>
        <v>305.02611925105521</v>
      </c>
    </row>
    <row r="10" spans="2:15" x14ac:dyDescent="0.25">
      <c r="B10" s="226" t="s">
        <v>112</v>
      </c>
      <c r="C10" s="227"/>
      <c r="D10" s="228">
        <f t="shared" si="4"/>
        <v>0</v>
      </c>
      <c r="E10" s="228">
        <f t="shared" si="4"/>
        <v>0</v>
      </c>
      <c r="F10" s="228">
        <f t="shared" si="4"/>
        <v>0</v>
      </c>
      <c r="G10" s="228">
        <f t="shared" si="4"/>
        <v>0</v>
      </c>
      <c r="H10" s="228">
        <f t="shared" si="4"/>
        <v>0</v>
      </c>
      <c r="J10" s="227"/>
      <c r="K10" s="228">
        <f t="shared" si="5"/>
        <v>0</v>
      </c>
      <c r="L10" s="228">
        <f t="shared" si="5"/>
        <v>0</v>
      </c>
      <c r="M10" s="228">
        <f t="shared" si="5"/>
        <v>0</v>
      </c>
      <c r="N10" s="228">
        <f t="shared" si="5"/>
        <v>0</v>
      </c>
      <c r="O10" s="228">
        <f t="shared" si="5"/>
        <v>0</v>
      </c>
    </row>
    <row r="11" spans="2:15" x14ac:dyDescent="0.25">
      <c r="B11" s="229" t="s">
        <v>139</v>
      </c>
      <c r="C11" s="229"/>
      <c r="D11" s="233">
        <f t="shared" si="4"/>
        <v>18612.24354334181</v>
      </c>
      <c r="E11" s="233">
        <f t="shared" si="4"/>
        <v>17867.753801608138</v>
      </c>
      <c r="F11" s="233">
        <f t="shared" si="4"/>
        <v>17305.519971841662</v>
      </c>
      <c r="G11" s="233">
        <f t="shared" si="4"/>
        <v>16924.503262500089</v>
      </c>
      <c r="H11" s="233">
        <f t="shared" si="4"/>
        <v>16693.794639019765</v>
      </c>
      <c r="J11" s="229"/>
      <c r="K11" s="233">
        <f t="shared" si="5"/>
        <v>3041.3018958722782</v>
      </c>
      <c r="L11" s="233">
        <f t="shared" si="5"/>
        <v>2919.6498200373871</v>
      </c>
      <c r="M11" s="233">
        <f t="shared" si="5"/>
        <v>2830.0546095961613</v>
      </c>
      <c r="N11" s="233">
        <f t="shared" si="5"/>
        <v>2772.3487969805392</v>
      </c>
      <c r="O11" s="233">
        <f t="shared" si="5"/>
        <v>2741.0375057931064</v>
      </c>
    </row>
    <row r="12" spans="2:15" x14ac:dyDescent="0.25">
      <c r="B12" s="227" t="s">
        <v>116</v>
      </c>
      <c r="C12" s="227"/>
      <c r="D12" s="228">
        <f t="shared" si="4"/>
        <v>8671.9395668739471</v>
      </c>
      <c r="E12" s="228">
        <f t="shared" si="4"/>
        <v>8325.0619841989883</v>
      </c>
      <c r="F12" s="228">
        <f t="shared" si="4"/>
        <v>8063.1022810158038</v>
      </c>
      <c r="G12" s="228">
        <f t="shared" si="4"/>
        <v>7885.5764567010201</v>
      </c>
      <c r="H12" s="228">
        <f t="shared" si="4"/>
        <v>7778.0831695151346</v>
      </c>
      <c r="J12" s="227"/>
      <c r="K12" s="228">
        <f t="shared" si="5"/>
        <v>1417.0234869432693</v>
      </c>
      <c r="L12" s="228">
        <f t="shared" si="5"/>
        <v>1360.3425474655385</v>
      </c>
      <c r="M12" s="228">
        <f t="shared" si="5"/>
        <v>1318.5977546565271</v>
      </c>
      <c r="N12" s="228">
        <f t="shared" si="5"/>
        <v>1291.7110809197093</v>
      </c>
      <c r="O12" s="228">
        <f t="shared" si="5"/>
        <v>1277.1223171145341</v>
      </c>
    </row>
    <row r="13" spans="2:15" x14ac:dyDescent="0.25">
      <c r="B13" s="227" t="s">
        <v>117</v>
      </c>
      <c r="C13" s="227"/>
      <c r="D13" s="228">
        <f t="shared" si="4"/>
        <v>2984.9866731340785</v>
      </c>
      <c r="E13" s="228">
        <f t="shared" si="4"/>
        <v>2865.5872062087151</v>
      </c>
      <c r="F13" s="228">
        <f t="shared" si="4"/>
        <v>2775.4175023183734</v>
      </c>
      <c r="G13" s="228">
        <f t="shared" si="4"/>
        <v>2714.3109625840571</v>
      </c>
      <c r="H13" s="228">
        <f t="shared" si="4"/>
        <v>2677.3104706840763</v>
      </c>
      <c r="J13" s="227"/>
      <c r="K13" s="228">
        <f t="shared" si="5"/>
        <v>487.75665367884864</v>
      </c>
      <c r="L13" s="228">
        <f t="shared" si="5"/>
        <v>468.24638753169467</v>
      </c>
      <c r="M13" s="228">
        <f t="shared" si="5"/>
        <v>453.87732404287232</v>
      </c>
      <c r="N13" s="228">
        <f t="shared" si="5"/>
        <v>444.62260516823005</v>
      </c>
      <c r="O13" s="228">
        <f t="shared" si="5"/>
        <v>439.60097590062122</v>
      </c>
    </row>
    <row r="14" spans="2:15" x14ac:dyDescent="0.25">
      <c r="B14" s="227" t="s">
        <v>125</v>
      </c>
      <c r="C14" s="227"/>
      <c r="D14" s="228">
        <f t="shared" si="4"/>
        <v>1919.6707476600468</v>
      </c>
      <c r="E14" s="228">
        <f t="shared" si="4"/>
        <v>1842.8839177536449</v>
      </c>
      <c r="F14" s="228">
        <f t="shared" si="4"/>
        <v>1784.8950012732519</v>
      </c>
      <c r="G14" s="228">
        <f t="shared" si="4"/>
        <v>1745.5968570388156</v>
      </c>
      <c r="H14" s="228">
        <f t="shared" si="4"/>
        <v>1721.8015206680675</v>
      </c>
      <c r="J14" s="227"/>
      <c r="K14" s="228">
        <f t="shared" si="5"/>
        <v>313.68052275447462</v>
      </c>
      <c r="L14" s="228">
        <f t="shared" si="5"/>
        <v>301.13330184429566</v>
      </c>
      <c r="M14" s="228">
        <f t="shared" si="5"/>
        <v>291.89243283170447</v>
      </c>
      <c r="N14" s="228">
        <f t="shared" si="5"/>
        <v>285.94064307620295</v>
      </c>
      <c r="O14" s="228">
        <f t="shared" si="5"/>
        <v>282.71118986041995</v>
      </c>
    </row>
    <row r="15" spans="2:15" s="231" customFormat="1" x14ac:dyDescent="0.25">
      <c r="B15" s="230" t="s">
        <v>140</v>
      </c>
      <c r="C15" s="227"/>
      <c r="D15" s="228">
        <f t="shared" si="4"/>
        <v>32188.840531009882</v>
      </c>
      <c r="E15" s="228">
        <f t="shared" si="4"/>
        <v>30901.286909769486</v>
      </c>
      <c r="F15" s="228">
        <f t="shared" si="4"/>
        <v>29928.934756449096</v>
      </c>
      <c r="G15" s="228">
        <f t="shared" si="4"/>
        <v>29269.987538823989</v>
      </c>
      <c r="H15" s="228">
        <f t="shared" si="4"/>
        <v>28870.989799887044</v>
      </c>
      <c r="J15" s="227"/>
      <c r="K15" s="228">
        <f t="shared" si="5"/>
        <v>5259.7625592488703</v>
      </c>
      <c r="L15" s="228">
        <f t="shared" si="5"/>
        <v>5049.3720568789158</v>
      </c>
      <c r="M15" s="228">
        <f t="shared" si="5"/>
        <v>4894.4221211272652</v>
      </c>
      <c r="N15" s="228">
        <f t="shared" si="5"/>
        <v>4794.623126144681</v>
      </c>
      <c r="O15" s="228">
        <f t="shared" si="5"/>
        <v>4740.4719886686817</v>
      </c>
    </row>
    <row r="16" spans="2:15" s="212" customFormat="1" x14ac:dyDescent="0.25">
      <c r="B16" s="232" t="s">
        <v>141</v>
      </c>
      <c r="C16" s="229"/>
      <c r="D16" s="233">
        <f>D28+D40-D15</f>
        <v>0</v>
      </c>
      <c r="E16" s="233">
        <f t="shared" ref="E16:H16" si="6">E28+E40-E15</f>
        <v>0</v>
      </c>
      <c r="F16" s="233">
        <f t="shared" si="6"/>
        <v>0</v>
      </c>
      <c r="G16" s="233">
        <f t="shared" si="6"/>
        <v>0</v>
      </c>
      <c r="H16" s="233">
        <f t="shared" si="6"/>
        <v>0</v>
      </c>
      <c r="J16" s="229"/>
      <c r="K16" s="233">
        <f>K28+K40-K15</f>
        <v>0</v>
      </c>
      <c r="L16" s="233">
        <f t="shared" ref="L16:O16" si="7">L28+L40-L15</f>
        <v>0</v>
      </c>
      <c r="M16" s="233">
        <f t="shared" si="7"/>
        <v>0</v>
      </c>
      <c r="N16" s="233">
        <f t="shared" si="7"/>
        <v>0</v>
      </c>
      <c r="O16" s="233">
        <f t="shared" si="7"/>
        <v>0</v>
      </c>
    </row>
    <row r="17" spans="2:15" s="212" customFormat="1" x14ac:dyDescent="0.25">
      <c r="C17" s="234"/>
    </row>
    <row r="18" spans="2:15" x14ac:dyDescent="0.25">
      <c r="B18" s="235" t="s">
        <v>147</v>
      </c>
      <c r="C18" s="216"/>
      <c r="D18" s="289" t="s">
        <v>142</v>
      </c>
      <c r="E18" s="290"/>
      <c r="F18" s="290"/>
      <c r="G18" s="290"/>
      <c r="H18" s="290"/>
      <c r="J18" s="216"/>
      <c r="K18" s="289" t="s">
        <v>142</v>
      </c>
      <c r="L18" s="290"/>
      <c r="M18" s="290"/>
      <c r="N18" s="290"/>
      <c r="O18" s="290"/>
    </row>
    <row r="19" spans="2:15" x14ac:dyDescent="0.25">
      <c r="B19" s="236" t="s">
        <v>110</v>
      </c>
      <c r="C19" s="237">
        <f>'Proposed Fee'!H13</f>
        <v>183.01851053503503</v>
      </c>
      <c r="D19" s="238">
        <f>C19*D$1</f>
        <v>183.01851053503503</v>
      </c>
      <c r="E19" s="238">
        <f>D19*E1</f>
        <v>183.01851053503503</v>
      </c>
      <c r="F19" s="238">
        <f>E19*F1</f>
        <v>185.03171415092041</v>
      </c>
      <c r="G19" s="238">
        <f>F19*G1</f>
        <v>189.31186776265949</v>
      </c>
      <c r="H19" s="238">
        <f>G19*H1</f>
        <v>195.70541659857784</v>
      </c>
      <c r="J19" s="237">
        <f>'Proposed Fee'!H23</f>
        <v>326.24440458475192</v>
      </c>
      <c r="K19" s="238">
        <f>J19*K$1</f>
        <v>326.24440458475192</v>
      </c>
      <c r="L19" s="238">
        <f>K19*L1</f>
        <v>326.24440458475192</v>
      </c>
      <c r="M19" s="238">
        <f>L19*M1</f>
        <v>329.83309303518416</v>
      </c>
      <c r="N19" s="238">
        <f>M19*N1</f>
        <v>337.46279214327404</v>
      </c>
      <c r="O19" s="238">
        <f>N19*O1</f>
        <v>348.85977885822399</v>
      </c>
    </row>
    <row r="20" spans="2:15" x14ac:dyDescent="0.25">
      <c r="B20" s="236" t="s">
        <v>111</v>
      </c>
      <c r="C20" s="237">
        <f>'Proposed Fee'!I13</f>
        <v>43.411359834361896</v>
      </c>
      <c r="D20" s="238">
        <f>C20</f>
        <v>43.411359834361896</v>
      </c>
      <c r="E20" s="238">
        <f t="shared" ref="E20:H21" si="8">D20</f>
        <v>43.411359834361896</v>
      </c>
      <c r="F20" s="238">
        <f t="shared" si="8"/>
        <v>43.411359834361896</v>
      </c>
      <c r="G20" s="238">
        <f t="shared" si="8"/>
        <v>43.411359834361896</v>
      </c>
      <c r="H20" s="238">
        <f t="shared" si="8"/>
        <v>43.411359834361896</v>
      </c>
      <c r="J20" s="237">
        <f>'Proposed Fee'!I23</f>
        <v>43.411359834361896</v>
      </c>
      <c r="K20" s="238">
        <f>J20</f>
        <v>43.411359834361896</v>
      </c>
      <c r="L20" s="238">
        <f t="shared" ref="L20:O21" si="9">K20</f>
        <v>43.411359834361896</v>
      </c>
      <c r="M20" s="238">
        <f t="shared" si="9"/>
        <v>43.411359834361896</v>
      </c>
      <c r="N20" s="238">
        <f t="shared" si="9"/>
        <v>43.411359834361896</v>
      </c>
      <c r="O20" s="238">
        <f t="shared" si="9"/>
        <v>43.411359834361896</v>
      </c>
    </row>
    <row r="21" spans="2:15" x14ac:dyDescent="0.25">
      <c r="B21" s="236" t="s">
        <v>112</v>
      </c>
      <c r="C21" s="237">
        <f>'Proposed Fee'!J13</f>
        <v>0</v>
      </c>
      <c r="D21" s="238">
        <f>C21</f>
        <v>0</v>
      </c>
      <c r="E21" s="238">
        <f t="shared" si="8"/>
        <v>0</v>
      </c>
      <c r="F21" s="238">
        <f t="shared" si="8"/>
        <v>0</v>
      </c>
      <c r="G21" s="238">
        <f t="shared" si="8"/>
        <v>0</v>
      </c>
      <c r="H21" s="238">
        <f t="shared" si="8"/>
        <v>0</v>
      </c>
      <c r="J21" s="237">
        <f>'Proposed Fee'!J23</f>
        <v>0</v>
      </c>
      <c r="K21" s="238">
        <f>J21</f>
        <v>0</v>
      </c>
      <c r="L21" s="238">
        <f t="shared" si="9"/>
        <v>0</v>
      </c>
      <c r="M21" s="238">
        <f t="shared" si="9"/>
        <v>0</v>
      </c>
      <c r="N21" s="238">
        <f t="shared" si="9"/>
        <v>0</v>
      </c>
      <c r="O21" s="238">
        <f t="shared" si="9"/>
        <v>0</v>
      </c>
    </row>
    <row r="22" spans="2:15" s="212" customFormat="1" x14ac:dyDescent="0.25">
      <c r="B22" s="239" t="s">
        <v>139</v>
      </c>
      <c r="C22" s="240">
        <f>'Proposed Fee'!M13</f>
        <v>226.42987036939695</v>
      </c>
      <c r="D22" s="227">
        <f>SUM(D19:D21)</f>
        <v>226.42987036939692</v>
      </c>
      <c r="E22" s="227">
        <f t="shared" ref="E22:H22" si="10">SUM(E19:E21)</f>
        <v>226.42987036939692</v>
      </c>
      <c r="F22" s="227">
        <f t="shared" si="10"/>
        <v>228.4430739852823</v>
      </c>
      <c r="G22" s="227">
        <f t="shared" si="10"/>
        <v>232.72322759702138</v>
      </c>
      <c r="H22" s="227">
        <f t="shared" si="10"/>
        <v>239.11677643293973</v>
      </c>
      <c r="J22" s="240">
        <f>'Proposed Fee'!M23</f>
        <v>369.65576441911389</v>
      </c>
      <c r="K22" s="227">
        <f>SUM(K19:K21)</f>
        <v>369.65576441911384</v>
      </c>
      <c r="L22" s="227">
        <f t="shared" ref="L22:O22" si="11">SUM(L19:L21)</f>
        <v>369.65576441911384</v>
      </c>
      <c r="M22" s="227">
        <f t="shared" si="11"/>
        <v>373.24445286954608</v>
      </c>
      <c r="N22" s="227">
        <f t="shared" si="11"/>
        <v>380.87415197763596</v>
      </c>
      <c r="O22" s="227">
        <f t="shared" si="11"/>
        <v>392.27113869258591</v>
      </c>
    </row>
    <row r="23" spans="2:15" x14ac:dyDescent="0.25">
      <c r="B23" s="236" t="s">
        <v>116</v>
      </c>
      <c r="C23" s="237">
        <f>'Proposed Fee'!N13</f>
        <v>105.49970224739236</v>
      </c>
      <c r="D23" s="238">
        <f>D22*D$3</f>
        <v>105.49970224739236</v>
      </c>
      <c r="E23" s="238">
        <f t="shared" ref="E23:H23" si="12">E22*E$3</f>
        <v>105.49970224739236</v>
      </c>
      <c r="F23" s="238">
        <f t="shared" si="12"/>
        <v>106.43770738643512</v>
      </c>
      <c r="G23" s="238">
        <f t="shared" si="12"/>
        <v>108.43194485552394</v>
      </c>
      <c r="H23" s="238">
        <f t="shared" si="12"/>
        <v>111.4108694002103</v>
      </c>
      <c r="J23" s="237">
        <f>'Proposed Fee'!N23</f>
        <v>172.2324577434355</v>
      </c>
      <c r="K23" s="238">
        <f>K22*K$3</f>
        <v>172.23245774343548</v>
      </c>
      <c r="L23" s="238">
        <f t="shared" ref="L23:O23" si="13">L22*L$3</f>
        <v>172.23245774343548</v>
      </c>
      <c r="M23" s="238">
        <f t="shared" si="13"/>
        <v>173.9045231929347</v>
      </c>
      <c r="N23" s="238">
        <f t="shared" si="13"/>
        <v>177.45940304525948</v>
      </c>
      <c r="O23" s="238">
        <f t="shared" si="13"/>
        <v>182.76956244685763</v>
      </c>
    </row>
    <row r="24" spans="2:15" x14ac:dyDescent="0.25">
      <c r="B24" s="236" t="s">
        <v>117</v>
      </c>
      <c r="C24" s="237">
        <f>'Proposed Fee'!O13</f>
        <v>36.314275808727757</v>
      </c>
      <c r="D24" s="238">
        <f>D22*D$4</f>
        <v>36.31427580872775</v>
      </c>
      <c r="E24" s="238">
        <f t="shared" ref="E24:H24" si="14">E22*E$4</f>
        <v>36.31427580872775</v>
      </c>
      <c r="F24" s="238">
        <f t="shared" si="14"/>
        <v>36.637148542996961</v>
      </c>
      <c r="G24" s="238">
        <f t="shared" si="14"/>
        <v>37.32358924318747</v>
      </c>
      <c r="H24" s="238">
        <f t="shared" si="14"/>
        <v>38.348971165834584</v>
      </c>
      <c r="J24" s="237">
        <f>'Proposed Fee'!O23</f>
        <v>59.284498822978961</v>
      </c>
      <c r="K24" s="238">
        <f>K22*K$4</f>
        <v>59.284498822978961</v>
      </c>
      <c r="L24" s="238">
        <f t="shared" ref="L24:O24" si="15">L22*L$4</f>
        <v>59.284498822978961</v>
      </c>
      <c r="M24" s="238">
        <f t="shared" si="15"/>
        <v>59.860044010404927</v>
      </c>
      <c r="N24" s="238">
        <f t="shared" si="15"/>
        <v>61.083676728547523</v>
      </c>
      <c r="O24" s="238">
        <f t="shared" si="15"/>
        <v>62.911497935528324</v>
      </c>
    </row>
    <row r="25" spans="2:15" x14ac:dyDescent="0.25">
      <c r="B25" s="236" t="s">
        <v>118</v>
      </c>
      <c r="C25" s="237">
        <f>'Proposed Fee'!P13</f>
        <v>23.354024867146293</v>
      </c>
      <c r="D25" s="238">
        <f>SUM(D22:D24)*D$5</f>
        <v>23.354024867146293</v>
      </c>
      <c r="E25" s="238">
        <f t="shared" ref="E25:H25" si="16">SUM(E22:E24)*E$5</f>
        <v>23.354024867146293</v>
      </c>
      <c r="F25" s="238">
        <f t="shared" si="16"/>
        <v>23.561667115191188</v>
      </c>
      <c r="G25" s="238">
        <f t="shared" si="16"/>
        <v>24.003123066743377</v>
      </c>
      <c r="H25" s="238">
        <f t="shared" si="16"/>
        <v>24.662555050075607</v>
      </c>
      <c r="J25" s="237">
        <f>'Proposed Fee'!P23</f>
        <v>38.126373964902221</v>
      </c>
      <c r="K25" s="238">
        <f>SUM(K22:K24)*K$5</f>
        <v>38.126373964902207</v>
      </c>
      <c r="L25" s="238">
        <f t="shared" ref="L25:O25" si="17">SUM(L22:L24)*L$5</f>
        <v>38.126373964902207</v>
      </c>
      <c r="M25" s="238">
        <f t="shared" si="17"/>
        <v>38.496512053022414</v>
      </c>
      <c r="N25" s="238">
        <f t="shared" si="17"/>
        <v>39.283440837676515</v>
      </c>
      <c r="O25" s="238">
        <f t="shared" si="17"/>
        <v>40.458928465334722</v>
      </c>
    </row>
    <row r="26" spans="2:15" s="212" customFormat="1" x14ac:dyDescent="0.25">
      <c r="B26" s="241" t="s">
        <v>143</v>
      </c>
      <c r="C26" s="242">
        <f>'Proposed Fee'!Q13</f>
        <v>391.59787329266328</v>
      </c>
      <c r="D26" s="243">
        <f>SUM(D22:D25)</f>
        <v>391.59787329266334</v>
      </c>
      <c r="E26" s="243">
        <f t="shared" ref="E26:H26" si="18">SUM(E22:E25)</f>
        <v>391.59787329266334</v>
      </c>
      <c r="F26" s="243">
        <f t="shared" si="18"/>
        <v>395.07959702990559</v>
      </c>
      <c r="G26" s="243">
        <f t="shared" si="18"/>
        <v>402.48188476247623</v>
      </c>
      <c r="H26" s="243">
        <f t="shared" si="18"/>
        <v>413.5391720490602</v>
      </c>
      <c r="J26" s="242">
        <f>'Proposed Fee'!Q23</f>
        <v>639.29909495043057</v>
      </c>
      <c r="K26" s="243">
        <f>SUM(K22:K25)</f>
        <v>639.29909495043046</v>
      </c>
      <c r="L26" s="243">
        <f t="shared" ref="L26:O26" si="19">SUM(L22:L25)</f>
        <v>639.29909495043046</v>
      </c>
      <c r="M26" s="243">
        <f t="shared" si="19"/>
        <v>645.50553212590819</v>
      </c>
      <c r="N26" s="243">
        <f t="shared" si="19"/>
        <v>658.70067258911945</v>
      </c>
      <c r="O26" s="243">
        <f t="shared" si="19"/>
        <v>678.41112754030655</v>
      </c>
    </row>
    <row r="27" spans="2:15" x14ac:dyDescent="0.25">
      <c r="B27" s="244" t="s">
        <v>144</v>
      </c>
      <c r="C27" s="238"/>
      <c r="D27" s="245">
        <f>'Forecast Revenue - Costs'!D13</f>
        <v>80</v>
      </c>
      <c r="E27" s="245">
        <f>'Forecast Revenue - Costs'!E13</f>
        <v>76.8</v>
      </c>
      <c r="F27" s="245">
        <f>'Forecast Revenue - Costs'!F13</f>
        <v>73.727999999999994</v>
      </c>
      <c r="G27" s="245">
        <f>'Forecast Revenue - Costs'!G13</f>
        <v>70.778880000000001</v>
      </c>
      <c r="H27" s="245">
        <f>'Forecast Revenue - Costs'!H13</f>
        <v>67.947724800000003</v>
      </c>
      <c r="J27" s="238"/>
      <c r="K27" s="245">
        <f>'Forecast Revenue - Costs'!D14</f>
        <v>6</v>
      </c>
      <c r="L27" s="245">
        <f>'Forecast Revenue - Costs'!E14</f>
        <v>5.76</v>
      </c>
      <c r="M27" s="245">
        <f>'Forecast Revenue - Costs'!F14</f>
        <v>5.5295999999999994</v>
      </c>
      <c r="N27" s="245">
        <f>'Forecast Revenue - Costs'!G14</f>
        <v>5.3084159999999994</v>
      </c>
      <c r="O27" s="245">
        <f>'Forecast Revenue - Costs'!H14</f>
        <v>5.0960793599999992</v>
      </c>
    </row>
    <row r="28" spans="2:15" s="212" customFormat="1" x14ac:dyDescent="0.25">
      <c r="B28" s="230" t="s">
        <v>145</v>
      </c>
      <c r="C28" s="229"/>
      <c r="D28" s="233">
        <f>D26*D27</f>
        <v>31327.829863413066</v>
      </c>
      <c r="E28" s="233">
        <f t="shared" ref="E28:H28" si="20">E26*E27</f>
        <v>30074.716668876543</v>
      </c>
      <c r="F28" s="233">
        <f t="shared" si="20"/>
        <v>29128.428529820878</v>
      </c>
      <c r="G28" s="233">
        <f t="shared" si="20"/>
        <v>28487.217023777135</v>
      </c>
      <c r="H28" s="233">
        <f t="shared" si="20"/>
        <v>28099.045856409397</v>
      </c>
      <c r="J28" s="229"/>
      <c r="K28" s="233">
        <f>K27*K26</f>
        <v>3835.7945697025825</v>
      </c>
      <c r="L28" s="233">
        <f t="shared" ref="L28:O28" si="21">L27*L26</f>
        <v>3682.3627869144793</v>
      </c>
      <c r="M28" s="233">
        <f t="shared" si="21"/>
        <v>3569.3873904434217</v>
      </c>
      <c r="N28" s="233">
        <f t="shared" si="21"/>
        <v>3496.6571895828429</v>
      </c>
      <c r="O28" s="233">
        <f t="shared" si="21"/>
        <v>3457.2369446524831</v>
      </c>
    </row>
    <row r="30" spans="2:15" x14ac:dyDescent="0.25">
      <c r="B30" s="235" t="s">
        <v>148</v>
      </c>
      <c r="C30" s="216"/>
      <c r="D30" s="289" t="s">
        <v>142</v>
      </c>
      <c r="E30" s="290"/>
      <c r="F30" s="290"/>
      <c r="G30" s="290"/>
      <c r="H30" s="290"/>
      <c r="J30" s="216"/>
      <c r="K30" s="289" t="s">
        <v>142</v>
      </c>
      <c r="L30" s="290"/>
      <c r="M30" s="290"/>
      <c r="N30" s="290"/>
      <c r="O30" s="290"/>
    </row>
    <row r="31" spans="2:15" x14ac:dyDescent="0.25">
      <c r="B31" s="236" t="s">
        <v>110</v>
      </c>
      <c r="C31" s="237">
        <f>'Proposed Fee'!Y8</f>
        <v>79.838346469665012</v>
      </c>
      <c r="D31" s="238">
        <f>C31*D$1</f>
        <v>79.838346469665012</v>
      </c>
      <c r="E31" s="238">
        <f t="shared" ref="E31:H31" si="22">D31*E$1</f>
        <v>79.838346469665012</v>
      </c>
      <c r="F31" s="238">
        <f t="shared" si="22"/>
        <v>80.716568280831325</v>
      </c>
      <c r="G31" s="238">
        <f t="shared" si="22"/>
        <v>82.583703938303515</v>
      </c>
      <c r="H31" s="238">
        <f t="shared" si="22"/>
        <v>85.372768091653498</v>
      </c>
      <c r="J31" s="237">
        <f>'Proposed Fee'!Y18</f>
        <v>144.94102558317272</v>
      </c>
      <c r="K31" s="238">
        <f>J31*K$1</f>
        <v>144.94102558317272</v>
      </c>
      <c r="L31" s="238">
        <f t="shared" ref="L31:O31" si="23">K31*L$1</f>
        <v>144.94102558317272</v>
      </c>
      <c r="M31" s="238">
        <f t="shared" si="23"/>
        <v>146.53537686458759</v>
      </c>
      <c r="N31" s="238">
        <f t="shared" si="23"/>
        <v>149.92503320221923</v>
      </c>
      <c r="O31" s="238">
        <f t="shared" si="23"/>
        <v>154.98838730058355</v>
      </c>
    </row>
    <row r="32" spans="2:15" x14ac:dyDescent="0.25">
      <c r="B32" s="236" t="s">
        <v>111</v>
      </c>
      <c r="C32" s="237">
        <f>'Proposed Fee'!Z8</f>
        <v>19.732436288346317</v>
      </c>
      <c r="D32" s="238">
        <f>C32</f>
        <v>19.732436288346317</v>
      </c>
      <c r="E32" s="238">
        <f t="shared" ref="E32:E33" si="24">D32</f>
        <v>19.732436288346317</v>
      </c>
      <c r="F32" s="238">
        <f t="shared" ref="F32:F33" si="25">E32</f>
        <v>19.732436288346317</v>
      </c>
      <c r="G32" s="238">
        <f t="shared" ref="G32:G33" si="26">F32</f>
        <v>19.732436288346317</v>
      </c>
      <c r="H32" s="238">
        <f t="shared" ref="H32:H33" si="27">G32</f>
        <v>19.732436288346317</v>
      </c>
      <c r="J32" s="237">
        <f>'Proposed Fee'!Z18</f>
        <v>19.732436288346317</v>
      </c>
      <c r="K32" s="238">
        <f>J32</f>
        <v>19.732436288346317</v>
      </c>
      <c r="L32" s="238">
        <f t="shared" ref="L32:L33" si="28">K32</f>
        <v>19.732436288346317</v>
      </c>
      <c r="M32" s="238">
        <f t="shared" ref="M32:M33" si="29">L32</f>
        <v>19.732436288346317</v>
      </c>
      <c r="N32" s="238">
        <f t="shared" ref="N32:N33" si="30">M32</f>
        <v>19.732436288346317</v>
      </c>
      <c r="O32" s="238">
        <f t="shared" ref="O32:O33" si="31">N32</f>
        <v>19.732436288346317</v>
      </c>
    </row>
    <row r="33" spans="2:15" x14ac:dyDescent="0.25">
      <c r="B33" s="236" t="s">
        <v>112</v>
      </c>
      <c r="C33" s="237">
        <f>'Proposed Fee'!AA8</f>
        <v>0</v>
      </c>
      <c r="D33" s="238">
        <f>C33</f>
        <v>0</v>
      </c>
      <c r="E33" s="238">
        <f t="shared" si="24"/>
        <v>0</v>
      </c>
      <c r="F33" s="238">
        <f t="shared" si="25"/>
        <v>0</v>
      </c>
      <c r="G33" s="238">
        <f t="shared" si="26"/>
        <v>0</v>
      </c>
      <c r="H33" s="238">
        <f t="shared" si="27"/>
        <v>0</v>
      </c>
      <c r="J33" s="237">
        <f>'Proposed Fee'!AA18</f>
        <v>0</v>
      </c>
      <c r="K33" s="238">
        <f>J33</f>
        <v>0</v>
      </c>
      <c r="L33" s="238">
        <f t="shared" si="28"/>
        <v>0</v>
      </c>
      <c r="M33" s="238">
        <f t="shared" si="29"/>
        <v>0</v>
      </c>
      <c r="N33" s="238">
        <f t="shared" si="30"/>
        <v>0</v>
      </c>
      <c r="O33" s="238">
        <f t="shared" si="31"/>
        <v>0</v>
      </c>
    </row>
    <row r="34" spans="2:15" s="212" customFormat="1" x14ac:dyDescent="0.25">
      <c r="B34" s="239" t="s">
        <v>139</v>
      </c>
      <c r="C34" s="240">
        <f>'Proposed Fee'!AD8</f>
        <v>99.570782758011333</v>
      </c>
      <c r="D34" s="227">
        <f>SUM(D31:D33)</f>
        <v>99.570782758011333</v>
      </c>
      <c r="E34" s="227">
        <f t="shared" ref="E34:H34" si="32">SUM(E31:E33)</f>
        <v>99.570782758011333</v>
      </c>
      <c r="F34" s="227">
        <f t="shared" si="32"/>
        <v>100.44900456917765</v>
      </c>
      <c r="G34" s="227">
        <f t="shared" si="32"/>
        <v>102.31614022664984</v>
      </c>
      <c r="H34" s="227">
        <f t="shared" si="32"/>
        <v>105.10520437999982</v>
      </c>
      <c r="J34" s="240">
        <f>'Proposed Fee'!AD18</f>
        <v>164.67346187151904</v>
      </c>
      <c r="K34" s="227">
        <f>SUM(K31:K33)</f>
        <v>164.67346187151904</v>
      </c>
      <c r="L34" s="227">
        <f t="shared" ref="L34:O34" si="33">SUM(L31:L33)</f>
        <v>164.67346187151904</v>
      </c>
      <c r="M34" s="227">
        <f t="shared" si="33"/>
        <v>166.26781315293391</v>
      </c>
      <c r="N34" s="227">
        <f t="shared" si="33"/>
        <v>169.65746949056555</v>
      </c>
      <c r="O34" s="227">
        <f t="shared" si="33"/>
        <v>174.72082358892987</v>
      </c>
    </row>
    <row r="35" spans="2:15" x14ac:dyDescent="0.25">
      <c r="B35" s="236" t="s">
        <v>116</v>
      </c>
      <c r="C35" s="237">
        <f>'Proposed Fee'!AE8</f>
        <v>46.392677416511667</v>
      </c>
      <c r="D35" s="238">
        <f>D34*D$3</f>
        <v>46.392677416511667</v>
      </c>
      <c r="E35" s="238">
        <f t="shared" ref="E35:H35" si="34">E34*E$3</f>
        <v>46.392677416511667</v>
      </c>
      <c r="F35" s="238">
        <f t="shared" si="34"/>
        <v>46.801864329148501</v>
      </c>
      <c r="G35" s="238">
        <f t="shared" si="34"/>
        <v>47.671812519276635</v>
      </c>
      <c r="H35" s="238">
        <f t="shared" si="34"/>
        <v>48.971311729549853</v>
      </c>
      <c r="J35" s="237">
        <f>'Proposed Fee'!AE18</f>
        <v>76.725748096531277</v>
      </c>
      <c r="K35" s="238">
        <f>K34*K$3</f>
        <v>76.725748096531277</v>
      </c>
      <c r="L35" s="238">
        <f t="shared" ref="L35:O35" si="35">L34*L$3</f>
        <v>76.725748096531277</v>
      </c>
      <c r="M35" s="238">
        <f t="shared" si="35"/>
        <v>77.4685987866483</v>
      </c>
      <c r="N35" s="238">
        <f t="shared" si="35"/>
        <v>79.047929878247331</v>
      </c>
      <c r="O35" s="238">
        <f t="shared" si="35"/>
        <v>81.407081296207721</v>
      </c>
    </row>
    <row r="36" spans="2:15" x14ac:dyDescent="0.25">
      <c r="B36" s="236" t="s">
        <v>117</v>
      </c>
      <c r="C36" s="237">
        <f>'Proposed Fee'!AF8</f>
        <v>15.968921687171692</v>
      </c>
      <c r="D36" s="238">
        <f>D34*D$4</f>
        <v>15.968921687171692</v>
      </c>
      <c r="E36" s="238">
        <f t="shared" ref="E36:H36" si="36">E34*E$4</f>
        <v>15.968921687171692</v>
      </c>
      <c r="F36" s="238">
        <f t="shared" si="36"/>
        <v>16.109768780445673</v>
      </c>
      <c r="G36" s="238">
        <f t="shared" si="36"/>
        <v>16.409215488281262</v>
      </c>
      <c r="H36" s="238">
        <f t="shared" si="36"/>
        <v>16.856518861938433</v>
      </c>
      <c r="J36" s="237">
        <f>'Proposed Fee'!AF18</f>
        <v>26.409932148194969</v>
      </c>
      <c r="K36" s="238">
        <f>K34*K$4</f>
        <v>26.409932148194969</v>
      </c>
      <c r="L36" s="238">
        <f t="shared" ref="L36:O36" si="37">L34*L$4</f>
        <v>26.409932148194969</v>
      </c>
      <c r="M36" s="238">
        <f t="shared" si="37"/>
        <v>26.665630356540202</v>
      </c>
      <c r="N36" s="238">
        <f t="shared" si="37"/>
        <v>27.209255254354012</v>
      </c>
      <c r="O36" s="238">
        <f t="shared" si="37"/>
        <v>28.021303757253765</v>
      </c>
    </row>
    <row r="37" spans="2:15" x14ac:dyDescent="0.25">
      <c r="B37" s="236" t="s">
        <v>118</v>
      </c>
      <c r="C37" s="237">
        <f>'Proposed Fee'!AG8</f>
        <v>10.269751657668678</v>
      </c>
      <c r="D37" s="238">
        <f>SUM(D34:D36)*D$5</f>
        <v>10.269751657668678</v>
      </c>
      <c r="E37" s="238">
        <f t="shared" ref="E37:H37" si="38">SUM(E34:E36)*E$5</f>
        <v>10.269751657668678</v>
      </c>
      <c r="F37" s="238">
        <f t="shared" si="38"/>
        <v>10.36033164158771</v>
      </c>
      <c r="G37" s="238">
        <f t="shared" si="38"/>
        <v>10.552908409413455</v>
      </c>
      <c r="H37" s="238">
        <f t="shared" si="38"/>
        <v>10.840573077891777</v>
      </c>
      <c r="J37" s="237">
        <f>'Proposed Fee'!AG18</f>
        <v>16.98445579301228</v>
      </c>
      <c r="K37" s="238">
        <f>SUM(K34:K36)*K$5</f>
        <v>16.98445579301228</v>
      </c>
      <c r="L37" s="238">
        <f t="shared" ref="L37:O37" si="39">SUM(L34:L36)*L$5</f>
        <v>16.98445579301228</v>
      </c>
      <c r="M37" s="238">
        <f t="shared" si="39"/>
        <v>17.148897522420086</v>
      </c>
      <c r="N37" s="238">
        <f t="shared" si="39"/>
        <v>17.498507396201244</v>
      </c>
      <c r="O37" s="238">
        <f t="shared" si="39"/>
        <v>18.020742812100458</v>
      </c>
    </row>
    <row r="38" spans="2:15" s="212" customFormat="1" x14ac:dyDescent="0.25">
      <c r="B38" s="241" t="s">
        <v>143</v>
      </c>
      <c r="C38" s="242">
        <f>'Proposed Fee'!AH8</f>
        <v>172.20213351936337</v>
      </c>
      <c r="D38" s="243">
        <f>SUM(D34:D37)</f>
        <v>172.20213351936337</v>
      </c>
      <c r="E38" s="243">
        <f t="shared" ref="E38:H38" si="40">SUM(E34:E37)</f>
        <v>172.20213351936337</v>
      </c>
      <c r="F38" s="243">
        <f t="shared" si="40"/>
        <v>173.72096932035953</v>
      </c>
      <c r="G38" s="243">
        <f t="shared" si="40"/>
        <v>176.95007664362117</v>
      </c>
      <c r="H38" s="243">
        <f t="shared" si="40"/>
        <v>181.7736080493799</v>
      </c>
      <c r="J38" s="242">
        <f>'Proposed Fee'!AH18</f>
        <v>284.79359790925758</v>
      </c>
      <c r="K38" s="243">
        <f>SUM(K34:K37)</f>
        <v>284.79359790925758</v>
      </c>
      <c r="L38" s="243">
        <f t="shared" ref="L38:O38" si="41">SUM(L34:L37)</f>
        <v>284.79359790925758</v>
      </c>
      <c r="M38" s="243">
        <f t="shared" si="41"/>
        <v>287.55093981854253</v>
      </c>
      <c r="N38" s="243">
        <f t="shared" si="41"/>
        <v>293.41316201936814</v>
      </c>
      <c r="O38" s="243">
        <f t="shared" si="41"/>
        <v>302.16995145449181</v>
      </c>
    </row>
    <row r="39" spans="2:15" x14ac:dyDescent="0.25">
      <c r="B39" s="244" t="s">
        <v>144</v>
      </c>
      <c r="C39" s="238"/>
      <c r="D39" s="245">
        <f>'Forecast Revenue - Costs'!D15</f>
        <v>5</v>
      </c>
      <c r="E39" s="245">
        <f>'Forecast Revenue - Costs'!E15</f>
        <v>4.8</v>
      </c>
      <c r="F39" s="245">
        <f>'Forecast Revenue - Costs'!F15</f>
        <v>4.6079999999999997</v>
      </c>
      <c r="G39" s="245">
        <f>'Forecast Revenue - Costs'!G15</f>
        <v>4.4236800000000001</v>
      </c>
      <c r="H39" s="245">
        <f>'Forecast Revenue - Costs'!H15</f>
        <v>4.2467328000000002</v>
      </c>
      <c r="J39" s="238"/>
      <c r="K39" s="245">
        <f>'Forecast Revenue - Costs'!D16</f>
        <v>5</v>
      </c>
      <c r="L39" s="245">
        <f>'Forecast Revenue - Costs'!E16</f>
        <v>4.8</v>
      </c>
      <c r="M39" s="245">
        <f>'Forecast Revenue - Costs'!F16</f>
        <v>4.6079999999999997</v>
      </c>
      <c r="N39" s="245">
        <f>'Forecast Revenue - Costs'!G16</f>
        <v>4.4236800000000001</v>
      </c>
      <c r="O39" s="245">
        <f>'Forecast Revenue - Costs'!H16</f>
        <v>4.2467328000000002</v>
      </c>
    </row>
    <row r="40" spans="2:15" s="212" customFormat="1" x14ac:dyDescent="0.25">
      <c r="B40" s="230" t="s">
        <v>145</v>
      </c>
      <c r="C40" s="229"/>
      <c r="D40" s="233">
        <f>D38*D39</f>
        <v>861.0106675968168</v>
      </c>
      <c r="E40" s="233">
        <f t="shared" ref="E40:H40" si="42">E38*E39</f>
        <v>826.57024089294418</v>
      </c>
      <c r="F40" s="233">
        <f t="shared" si="42"/>
        <v>800.50622662821661</v>
      </c>
      <c r="G40" s="233">
        <f t="shared" si="42"/>
        <v>782.77051504685414</v>
      </c>
      <c r="H40" s="233">
        <f t="shared" si="42"/>
        <v>771.94394347764569</v>
      </c>
      <c r="J40" s="229"/>
      <c r="K40" s="233">
        <f>K39*K38</f>
        <v>1423.967989546288</v>
      </c>
      <c r="L40" s="233">
        <f t="shared" ref="L40:O40" si="43">L39*L38</f>
        <v>1367.0092699644363</v>
      </c>
      <c r="M40" s="233">
        <f t="shared" si="43"/>
        <v>1325.0347306838439</v>
      </c>
      <c r="N40" s="233">
        <f t="shared" si="43"/>
        <v>1297.9659365618386</v>
      </c>
      <c r="O40" s="233">
        <f t="shared" si="43"/>
        <v>1283.2350440161981</v>
      </c>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8"/>
  <sheetViews>
    <sheetView showGridLines="0" zoomScale="90" zoomScaleNormal="90" workbookViewId="0">
      <selection activeCell="D15" sqref="D15"/>
    </sheetView>
  </sheetViews>
  <sheetFormatPr defaultColWidth="9.140625" defaultRowHeight="15" x14ac:dyDescent="0.25"/>
  <cols>
    <col min="1" max="1" width="3.28515625" style="128" customWidth="1"/>
    <col min="2" max="2" width="83.5703125" style="128" bestFit="1" customWidth="1"/>
    <col min="3" max="3" width="91.140625" style="128" customWidth="1"/>
    <col min="4" max="4" width="11.85546875" style="128" customWidth="1"/>
    <col min="5" max="8" width="11.28515625" style="128" customWidth="1"/>
    <col min="9" max="9" width="12.7109375" style="128" customWidth="1"/>
    <col min="10" max="16384" width="9.140625" style="128"/>
  </cols>
  <sheetData>
    <row r="2" spans="2:9" x14ac:dyDescent="0.25">
      <c r="B2" s="126" t="s">
        <v>51</v>
      </c>
      <c r="C2" s="127"/>
      <c r="D2" s="127"/>
      <c r="E2" s="127"/>
      <c r="F2" s="127"/>
      <c r="G2" s="127"/>
      <c r="H2" s="127"/>
      <c r="I2" s="127"/>
    </row>
    <row r="3" spans="2:9" x14ac:dyDescent="0.25">
      <c r="B3" s="129"/>
      <c r="C3" s="129"/>
      <c r="D3" s="129"/>
      <c r="E3" s="129"/>
      <c r="F3" s="129"/>
      <c r="G3" s="129"/>
      <c r="H3" s="129"/>
      <c r="I3" s="129"/>
    </row>
    <row r="4" spans="2:9" x14ac:dyDescent="0.25">
      <c r="B4" s="130" t="s">
        <v>96</v>
      </c>
      <c r="C4" s="130" t="s">
        <v>3</v>
      </c>
      <c r="D4" s="131" t="s">
        <v>63</v>
      </c>
      <c r="E4" s="131" t="s">
        <v>64</v>
      </c>
      <c r="F4" s="131" t="s">
        <v>65</v>
      </c>
      <c r="G4" s="131" t="s">
        <v>97</v>
      </c>
      <c r="H4" s="131" t="s">
        <v>66</v>
      </c>
      <c r="I4" s="132" t="s">
        <v>1</v>
      </c>
    </row>
    <row r="5" spans="2:9" x14ac:dyDescent="0.25">
      <c r="B5" s="133" t="s">
        <v>98</v>
      </c>
      <c r="C5" s="5" t="s">
        <v>149</v>
      </c>
      <c r="D5" s="134">
        <f>'Forecast by year'!D28</f>
        <v>31327.829863413066</v>
      </c>
      <c r="E5" s="134">
        <f>'Forecast by year'!E28</f>
        <v>30074.716668876543</v>
      </c>
      <c r="F5" s="134">
        <f>'Forecast by year'!F28</f>
        <v>29128.428529820878</v>
      </c>
      <c r="G5" s="134">
        <f>'Forecast by year'!G28</f>
        <v>28487.217023777135</v>
      </c>
      <c r="H5" s="134">
        <f>'Forecast by year'!H28</f>
        <v>28099.045856409397</v>
      </c>
      <c r="I5" s="210">
        <f>SUM(D5:H5)</f>
        <v>147117.23794229701</v>
      </c>
    </row>
    <row r="6" spans="2:9" x14ac:dyDescent="0.25">
      <c r="B6" s="135"/>
      <c r="C6" s="5" t="s">
        <v>151</v>
      </c>
      <c r="D6" s="136">
        <f>'Forecast by year'!K28</f>
        <v>3835.7945697025825</v>
      </c>
      <c r="E6" s="136">
        <f>'Forecast by year'!L28</f>
        <v>3682.3627869144793</v>
      </c>
      <c r="F6" s="136">
        <f>'Forecast by year'!M28</f>
        <v>3569.3873904434217</v>
      </c>
      <c r="G6" s="136">
        <f>'Forecast by year'!N28</f>
        <v>3496.6571895828429</v>
      </c>
      <c r="H6" s="136">
        <f>'Forecast by year'!O28</f>
        <v>3457.2369446524831</v>
      </c>
      <c r="I6" s="210">
        <f t="shared" ref="I6:I8" si="0">SUM(D6:H6)</f>
        <v>18041.43888129581</v>
      </c>
    </row>
    <row r="7" spans="2:9" x14ac:dyDescent="0.25">
      <c r="B7" s="135"/>
      <c r="C7" s="5" t="s">
        <v>150</v>
      </c>
      <c r="D7" s="136">
        <f>'Forecast by year'!D40</f>
        <v>861.0106675968168</v>
      </c>
      <c r="E7" s="136">
        <f>'Forecast by year'!E40</f>
        <v>826.57024089294418</v>
      </c>
      <c r="F7" s="136">
        <f>'Forecast by year'!F40</f>
        <v>800.50622662821661</v>
      </c>
      <c r="G7" s="136">
        <f>'Forecast by year'!G40</f>
        <v>782.77051504685414</v>
      </c>
      <c r="H7" s="136">
        <f>'Forecast by year'!H40</f>
        <v>771.94394347764569</v>
      </c>
      <c r="I7" s="210">
        <f t="shared" si="0"/>
        <v>4042.8015936424772</v>
      </c>
    </row>
    <row r="8" spans="2:9" x14ac:dyDescent="0.25">
      <c r="B8" s="135"/>
      <c r="C8" s="5" t="s">
        <v>152</v>
      </c>
      <c r="D8" s="136">
        <f>'Forecast by year'!K40</f>
        <v>1423.967989546288</v>
      </c>
      <c r="E8" s="136">
        <f>'Forecast by year'!L40</f>
        <v>1367.0092699644363</v>
      </c>
      <c r="F8" s="136">
        <f>'Forecast by year'!M40</f>
        <v>1325.0347306838439</v>
      </c>
      <c r="G8" s="136">
        <f>'Forecast by year'!N40</f>
        <v>1297.9659365618386</v>
      </c>
      <c r="H8" s="136">
        <f>'Forecast by year'!O40</f>
        <v>1283.2350440161981</v>
      </c>
      <c r="I8" s="210">
        <f t="shared" si="0"/>
        <v>6697.2129707726044</v>
      </c>
    </row>
    <row r="9" spans="2:9" x14ac:dyDescent="0.25">
      <c r="B9" s="137" t="s">
        <v>1</v>
      </c>
      <c r="C9" s="138"/>
      <c r="D9" s="139">
        <f t="shared" ref="D9:I9" si="1">SUM(D5:D8)</f>
        <v>37448.603090258759</v>
      </c>
      <c r="E9" s="139">
        <f t="shared" si="1"/>
        <v>35950.6589666484</v>
      </c>
      <c r="F9" s="139">
        <f t="shared" si="1"/>
        <v>34823.356877576363</v>
      </c>
      <c r="G9" s="139">
        <f t="shared" ref="G9" si="2">SUM(G5:G8)</f>
        <v>34064.61066496867</v>
      </c>
      <c r="H9" s="139">
        <f t="shared" ref="H9" si="3">SUM(H5:H8)</f>
        <v>33611.461788555724</v>
      </c>
      <c r="I9" s="139">
        <f t="shared" si="1"/>
        <v>175898.69138800792</v>
      </c>
    </row>
    <row r="10" spans="2:9" x14ac:dyDescent="0.25">
      <c r="B10" s="129"/>
      <c r="C10" s="129"/>
      <c r="D10" s="129"/>
      <c r="E10" s="129"/>
      <c r="F10" s="129"/>
      <c r="G10" s="129"/>
      <c r="H10" s="129"/>
      <c r="I10" s="129"/>
    </row>
    <row r="11" spans="2:9" x14ac:dyDescent="0.25">
      <c r="B11" s="126" t="s">
        <v>27</v>
      </c>
      <c r="C11" s="127"/>
      <c r="D11" s="127"/>
      <c r="E11" s="127"/>
      <c r="F11" s="127"/>
      <c r="G11" s="127"/>
      <c r="H11" s="127"/>
      <c r="I11" s="127"/>
    </row>
    <row r="12" spans="2:9" x14ac:dyDescent="0.25">
      <c r="B12" s="130" t="s">
        <v>96</v>
      </c>
      <c r="C12" s="130" t="s">
        <v>3</v>
      </c>
      <c r="D12" s="131" t="s">
        <v>63</v>
      </c>
      <c r="E12" s="131" t="s">
        <v>64</v>
      </c>
      <c r="F12" s="131" t="s">
        <v>65</v>
      </c>
      <c r="G12" s="131" t="s">
        <v>97</v>
      </c>
      <c r="H12" s="131" t="s">
        <v>66</v>
      </c>
      <c r="I12" s="132" t="s">
        <v>1</v>
      </c>
    </row>
    <row r="13" spans="2:9" x14ac:dyDescent="0.25">
      <c r="B13" s="133" t="s">
        <v>98</v>
      </c>
      <c r="C13" s="5" t="s">
        <v>149</v>
      </c>
      <c r="D13" s="140">
        <v>80</v>
      </c>
      <c r="E13" s="140">
        <f>D13-D13*4%</f>
        <v>76.8</v>
      </c>
      <c r="F13" s="140">
        <f t="shared" ref="F13:H13" si="4">E13-E13*4%</f>
        <v>73.727999999999994</v>
      </c>
      <c r="G13" s="140">
        <f t="shared" si="4"/>
        <v>70.778880000000001</v>
      </c>
      <c r="H13" s="140">
        <f t="shared" si="4"/>
        <v>67.947724800000003</v>
      </c>
      <c r="I13" s="247">
        <f>SUM(D13:H13)</f>
        <v>369.25460480000004</v>
      </c>
    </row>
    <row r="14" spans="2:9" x14ac:dyDescent="0.25">
      <c r="B14" s="141"/>
      <c r="C14" s="5" t="s">
        <v>151</v>
      </c>
      <c r="D14" s="142">
        <v>6</v>
      </c>
      <c r="E14" s="140">
        <f>D14-D14*4%</f>
        <v>5.76</v>
      </c>
      <c r="F14" s="140">
        <f t="shared" ref="F14:H14" si="5">E14-E14*4%</f>
        <v>5.5295999999999994</v>
      </c>
      <c r="G14" s="140">
        <f t="shared" si="5"/>
        <v>5.3084159999999994</v>
      </c>
      <c r="H14" s="140">
        <f t="shared" si="5"/>
        <v>5.0960793599999992</v>
      </c>
      <c r="I14" s="247">
        <f>SUM(D14:F14)</f>
        <v>17.2896</v>
      </c>
    </row>
    <row r="15" spans="2:9" x14ac:dyDescent="0.25">
      <c r="B15" s="141"/>
      <c r="C15" s="5" t="s">
        <v>150</v>
      </c>
      <c r="D15" s="142">
        <v>5</v>
      </c>
      <c r="E15" s="140">
        <f>D15-D15*4%</f>
        <v>4.8</v>
      </c>
      <c r="F15" s="140">
        <f t="shared" ref="F15:H15" si="6">E15-E15*4%</f>
        <v>4.6079999999999997</v>
      </c>
      <c r="G15" s="140">
        <f t="shared" si="6"/>
        <v>4.4236800000000001</v>
      </c>
      <c r="H15" s="140">
        <f t="shared" si="6"/>
        <v>4.2467328000000002</v>
      </c>
      <c r="I15" s="247">
        <f>SUM(D15:F15)</f>
        <v>14.408000000000001</v>
      </c>
    </row>
    <row r="16" spans="2:9" x14ac:dyDescent="0.25">
      <c r="B16" s="246"/>
      <c r="C16" s="5" t="s">
        <v>152</v>
      </c>
      <c r="D16" s="142">
        <v>5</v>
      </c>
      <c r="E16" s="140">
        <f>D16-D16*4%</f>
        <v>4.8</v>
      </c>
      <c r="F16" s="140">
        <f t="shared" ref="F16:H16" si="7">E16-E16*4%</f>
        <v>4.6079999999999997</v>
      </c>
      <c r="G16" s="140">
        <f t="shared" si="7"/>
        <v>4.4236800000000001</v>
      </c>
      <c r="H16" s="140">
        <f t="shared" si="7"/>
        <v>4.2467328000000002</v>
      </c>
      <c r="I16" s="247">
        <f>SUM(D16:H16)</f>
        <v>23.078412800000002</v>
      </c>
    </row>
    <row r="17" spans="2:9" x14ac:dyDescent="0.25">
      <c r="B17" s="137" t="s">
        <v>17</v>
      </c>
      <c r="C17" s="138"/>
      <c r="D17" s="143">
        <f>SUM(D13:D16)</f>
        <v>96</v>
      </c>
      <c r="E17" s="143">
        <f t="shared" ref="E17:H17" si="8">SUM(E13:E16)</f>
        <v>92.16</v>
      </c>
      <c r="F17" s="143">
        <f t="shared" si="8"/>
        <v>88.473600000000005</v>
      </c>
      <c r="G17" s="143">
        <f t="shared" si="8"/>
        <v>84.934656000000004</v>
      </c>
      <c r="H17" s="143">
        <f t="shared" si="8"/>
        <v>81.537269760000015</v>
      </c>
      <c r="I17" s="143">
        <f>SUM(I13:I16)</f>
        <v>424.03061760000008</v>
      </c>
    </row>
    <row r="18" spans="2:9" x14ac:dyDescent="0.25">
      <c r="B18" s="129"/>
      <c r="C18" s="129"/>
      <c r="D18" s="144"/>
      <c r="E18" s="144"/>
      <c r="F18" s="144"/>
      <c r="G18" s="144"/>
      <c r="H18" s="144"/>
      <c r="I18" s="144"/>
    </row>
    <row r="19" spans="2:9" x14ac:dyDescent="0.25">
      <c r="B19" s="145" t="s">
        <v>6</v>
      </c>
      <c r="C19" s="129"/>
      <c r="D19" s="144"/>
      <c r="E19" s="144"/>
      <c r="F19" s="144"/>
      <c r="G19" s="144"/>
      <c r="H19" s="144"/>
      <c r="I19" s="144"/>
    </row>
    <row r="20" spans="2:9" x14ac:dyDescent="0.25">
      <c r="B20" s="291"/>
      <c r="C20" s="291"/>
      <c r="D20" s="291"/>
      <c r="E20" s="291"/>
      <c r="F20" s="291"/>
      <c r="G20" s="291"/>
      <c r="H20" s="291"/>
      <c r="I20" s="291"/>
    </row>
    <row r="21" spans="2:9" x14ac:dyDescent="0.25">
      <c r="B21" s="292"/>
      <c r="C21" s="292"/>
      <c r="D21" s="292"/>
      <c r="E21" s="292"/>
      <c r="F21" s="292"/>
      <c r="G21" s="292"/>
      <c r="H21" s="292"/>
      <c r="I21" s="292"/>
    </row>
    <row r="22" spans="2:9" x14ac:dyDescent="0.25">
      <c r="B22" s="129"/>
      <c r="C22" s="129"/>
      <c r="D22" s="144"/>
      <c r="E22" s="144"/>
      <c r="F22" s="144"/>
      <c r="G22" s="144"/>
      <c r="H22" s="144"/>
      <c r="I22" s="144"/>
    </row>
    <row r="23" spans="2:9" x14ac:dyDescent="0.25">
      <c r="B23" s="126" t="s">
        <v>28</v>
      </c>
      <c r="C23" s="127"/>
      <c r="D23" s="127"/>
      <c r="E23" s="127"/>
      <c r="F23" s="127"/>
      <c r="G23" s="127"/>
      <c r="H23" s="127"/>
      <c r="I23" s="127"/>
    </row>
    <row r="24" spans="2:9" x14ac:dyDescent="0.25">
      <c r="B24" s="146" t="s">
        <v>26</v>
      </c>
      <c r="C24" s="147"/>
      <c r="D24" s="147"/>
      <c r="E24" s="147"/>
      <c r="F24" s="147"/>
      <c r="G24" s="147"/>
      <c r="H24" s="147"/>
      <c r="I24" s="147"/>
    </row>
    <row r="25" spans="2:9" x14ac:dyDescent="0.25">
      <c r="B25" s="275" t="s">
        <v>126</v>
      </c>
      <c r="C25" s="293"/>
      <c r="D25" s="293"/>
      <c r="E25" s="293"/>
      <c r="F25" s="293"/>
      <c r="G25" s="293"/>
      <c r="H25" s="293"/>
      <c r="I25" s="293"/>
    </row>
    <row r="26" spans="2:9" x14ac:dyDescent="0.25">
      <c r="B26" s="294"/>
      <c r="C26" s="294"/>
      <c r="D26" s="294"/>
      <c r="E26" s="294"/>
      <c r="F26" s="294"/>
      <c r="G26" s="294"/>
      <c r="H26" s="294"/>
      <c r="I26" s="294"/>
    </row>
    <row r="27" spans="2:9" x14ac:dyDescent="0.25">
      <c r="B27" s="148"/>
      <c r="C27" s="149"/>
      <c r="D27" s="149"/>
      <c r="E27" s="149"/>
      <c r="F27" s="149"/>
      <c r="G27" s="149"/>
      <c r="H27" s="149"/>
      <c r="I27" s="149"/>
    </row>
    <row r="28" spans="2:9" x14ac:dyDescent="0.25">
      <c r="B28" s="129"/>
      <c r="C28" s="129"/>
      <c r="D28" s="129"/>
      <c r="E28" s="129"/>
      <c r="F28" s="129"/>
      <c r="G28" s="129"/>
      <c r="H28" s="129"/>
      <c r="I28" s="129"/>
    </row>
    <row r="29" spans="2:9" customFormat="1" x14ac:dyDescent="0.25">
      <c r="B29" s="211" t="s">
        <v>48</v>
      </c>
      <c r="C29" s="25"/>
      <c r="D29" s="295" t="s">
        <v>121</v>
      </c>
      <c r="E29" s="295"/>
      <c r="F29" s="295"/>
      <c r="G29" s="295"/>
      <c r="H29" s="295"/>
      <c r="I29" s="25"/>
    </row>
    <row r="30" spans="2:9" customFormat="1" ht="15.75" customHeight="1" x14ac:dyDescent="0.25">
      <c r="B30" s="2" t="s">
        <v>20</v>
      </c>
      <c r="C30" s="16" t="s">
        <v>3</v>
      </c>
      <c r="D30" s="86" t="s">
        <v>63</v>
      </c>
      <c r="E30" s="86" t="s">
        <v>64</v>
      </c>
      <c r="F30" s="86" t="s">
        <v>65</v>
      </c>
      <c r="G30" s="86" t="s">
        <v>97</v>
      </c>
      <c r="H30" s="153" t="s">
        <v>66</v>
      </c>
      <c r="I30" s="17" t="s">
        <v>1</v>
      </c>
    </row>
    <row r="31" spans="2:9" s="212" customFormat="1" x14ac:dyDescent="0.25">
      <c r="B31" s="213" t="s">
        <v>122</v>
      </c>
      <c r="C31" s="214"/>
      <c r="D31" s="151">
        <f>'Forecast by year'!D8+'Forecast by year'!K8</f>
        <v>17722.844130575504</v>
      </c>
      <c r="E31" s="151">
        <f>'Forecast by year'!E8+'Forecast by year'!L8</f>
        <v>17013.930365352484</v>
      </c>
      <c r="F31" s="151">
        <f>'Forecast by year'!F8+'Forecast by year'!M8</f>
        <v>16513.040255396503</v>
      </c>
      <c r="G31" s="151">
        <f>'Forecast by year'!G8+'Forecast by year'!N8</f>
        <v>16219.219106480963</v>
      </c>
      <c r="H31" s="151">
        <f>'Forecast by year'!H8+'Forecast by year'!O8</f>
        <v>16096.30450993319</v>
      </c>
      <c r="I31" s="215">
        <f t="shared" ref="I31:I33" si="9">SUM(D31:H31)</f>
        <v>83565.338367738645</v>
      </c>
    </row>
    <row r="32" spans="2:9" s="212" customFormat="1" x14ac:dyDescent="0.25">
      <c r="B32" s="213" t="s">
        <v>123</v>
      </c>
      <c r="C32" s="216"/>
      <c r="D32" s="151">
        <f>'Forecast by year'!D9+'Forecast by year'!K9</f>
        <v>3930.7013086385864</v>
      </c>
      <c r="E32" s="151">
        <f>'Forecast by year'!E9+'Forecast by year'!L9</f>
        <v>3773.4732562930426</v>
      </c>
      <c r="F32" s="151">
        <f>'Forecast by year'!F9+'Forecast by year'!M9</f>
        <v>3622.534326041321</v>
      </c>
      <c r="G32" s="151">
        <f>'Forecast by year'!G9+'Forecast by year'!N9</f>
        <v>3477.6329529996683</v>
      </c>
      <c r="H32" s="151">
        <f>'Forecast by year'!H9+'Forecast by year'!O9</f>
        <v>3338.5276348796815</v>
      </c>
      <c r="I32" s="215">
        <f t="shared" si="9"/>
        <v>18142.869478852299</v>
      </c>
    </row>
    <row r="33" spans="2:9" s="212" customFormat="1" x14ac:dyDescent="0.25">
      <c r="B33" s="213" t="s">
        <v>112</v>
      </c>
      <c r="C33" s="216"/>
      <c r="D33" s="151">
        <f>'Forecast by year'!D10+'Forecast by year'!K10</f>
        <v>0</v>
      </c>
      <c r="E33" s="151">
        <f>'Forecast by year'!E10+'Forecast by year'!L10</f>
        <v>0</v>
      </c>
      <c r="F33" s="151">
        <f>'Forecast by year'!F10+'Forecast by year'!M10</f>
        <v>0</v>
      </c>
      <c r="G33" s="151">
        <f>'Forecast by year'!G10+'Forecast by year'!N10</f>
        <v>0</v>
      </c>
      <c r="H33" s="151">
        <f>'Forecast by year'!H10+'Forecast by year'!O10</f>
        <v>0</v>
      </c>
      <c r="I33" s="215">
        <f t="shared" si="9"/>
        <v>0</v>
      </c>
    </row>
    <row r="34" spans="2:9" s="212" customFormat="1" x14ac:dyDescent="0.25">
      <c r="B34" s="217" t="s">
        <v>124</v>
      </c>
      <c r="C34" s="216"/>
      <c r="D34" s="218">
        <f>'Forecast by year'!D11+'Forecast by year'!K11</f>
        <v>21653.545439214089</v>
      </c>
      <c r="E34" s="218">
        <f>'Forecast by year'!E11+'Forecast by year'!L11</f>
        <v>20787.403621645524</v>
      </c>
      <c r="F34" s="218">
        <f>'Forecast by year'!F11+'Forecast by year'!M11</f>
        <v>20135.574581437824</v>
      </c>
      <c r="G34" s="218">
        <f>'Forecast by year'!G11+'Forecast by year'!N11</f>
        <v>19696.852059480629</v>
      </c>
      <c r="H34" s="218">
        <f>'Forecast by year'!H11+'Forecast by year'!O11</f>
        <v>19434.83214481287</v>
      </c>
      <c r="I34" s="215">
        <f>SUM(D34:H34)</f>
        <v>101708.20784659093</v>
      </c>
    </row>
    <row r="35" spans="2:9" customFormat="1" x14ac:dyDescent="0.25">
      <c r="B35" s="219" t="s">
        <v>116</v>
      </c>
      <c r="C35" s="8"/>
      <c r="D35" s="151">
        <f>'Forecast by year'!D12+'Forecast by year'!K12</f>
        <v>10088.963053817217</v>
      </c>
      <c r="E35" s="151">
        <f>'Forecast by year'!E12+'Forecast by year'!L12</f>
        <v>9685.4045316645261</v>
      </c>
      <c r="F35" s="151">
        <f>'Forecast by year'!F12+'Forecast by year'!M12</f>
        <v>9381.7000356723311</v>
      </c>
      <c r="G35" s="151">
        <f>'Forecast by year'!G12+'Forecast by year'!N12</f>
        <v>9177.2875376207303</v>
      </c>
      <c r="H35" s="151">
        <f>'Forecast by year'!H12+'Forecast by year'!O12</f>
        <v>9055.2054866296694</v>
      </c>
      <c r="I35" s="215">
        <f>SUM(D35:H35)</f>
        <v>47388.560645404468</v>
      </c>
    </row>
    <row r="36" spans="2:9" customFormat="1" x14ac:dyDescent="0.25">
      <c r="B36" s="219" t="s">
        <v>117</v>
      </c>
      <c r="C36" s="5"/>
      <c r="D36" s="151">
        <f>'Forecast by year'!D13+'Forecast by year'!K13</f>
        <v>3472.7433268129271</v>
      </c>
      <c r="E36" s="151">
        <f>'Forecast by year'!E13+'Forecast by year'!L13</f>
        <v>3333.8335937404099</v>
      </c>
      <c r="F36" s="151">
        <f>'Forecast by year'!F13+'Forecast by year'!M13</f>
        <v>3229.2948263612457</v>
      </c>
      <c r="G36" s="151">
        <f>'Forecast by year'!G13+'Forecast by year'!N13</f>
        <v>3158.9335677522872</v>
      </c>
      <c r="H36" s="151">
        <f>'Forecast by year'!H13+'Forecast by year'!O13</f>
        <v>3116.9114465846974</v>
      </c>
      <c r="I36" s="215">
        <f>SUM(D36:H36)</f>
        <v>16311.716761251568</v>
      </c>
    </row>
    <row r="37" spans="2:9" customFormat="1" x14ac:dyDescent="0.25">
      <c r="B37" s="219" t="s">
        <v>125</v>
      </c>
      <c r="C37" s="5"/>
      <c r="D37" s="151">
        <f>'Forecast by year'!D14+'Forecast by year'!K14</f>
        <v>2233.3512704145214</v>
      </c>
      <c r="E37" s="151">
        <f>'Forecast by year'!E14+'Forecast by year'!L14</f>
        <v>2144.0172195979408</v>
      </c>
      <c r="F37" s="151">
        <f>'Forecast by year'!F14+'Forecast by year'!M14</f>
        <v>2076.7874341049564</v>
      </c>
      <c r="G37" s="151">
        <f>'Forecast by year'!G14+'Forecast by year'!N14</f>
        <v>2031.5375001150187</v>
      </c>
      <c r="H37" s="151">
        <f>'Forecast by year'!H14+'Forecast by year'!O14</f>
        <v>2004.5127105284873</v>
      </c>
      <c r="I37" s="215">
        <f>SUM(D37:H37)</f>
        <v>10490.206134760927</v>
      </c>
    </row>
    <row r="38" spans="2:9" customFormat="1" x14ac:dyDescent="0.25">
      <c r="B38" s="220" t="s">
        <v>1</v>
      </c>
      <c r="C38" s="18"/>
      <c r="D38" s="19">
        <f>SUM(D34:D37)</f>
        <v>37448.603090258752</v>
      </c>
      <c r="E38" s="19">
        <f t="shared" ref="E38:H38" si="10">SUM(E34:E37)</f>
        <v>35950.6589666484</v>
      </c>
      <c r="F38" s="19">
        <f t="shared" si="10"/>
        <v>34823.356877576356</v>
      </c>
      <c r="G38" s="19">
        <f t="shared" si="10"/>
        <v>34064.610664968663</v>
      </c>
      <c r="H38" s="19">
        <f t="shared" si="10"/>
        <v>33611.461788555724</v>
      </c>
      <c r="I38" s="20">
        <f t="shared" ref="I38" si="11">SUM(I32:I37)</f>
        <v>194041.56086686018</v>
      </c>
    </row>
  </sheetData>
  <mergeCells count="3">
    <mergeCell ref="B20:I21"/>
    <mergeCell ref="B25:I26"/>
    <mergeCell ref="D29:H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Fee</vt:lpstr>
      <vt:lpstr>Historical Revenue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2018-04-18T03:21:10Z</dcterms:modified>
</cp:coreProperties>
</file>