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2_Emergency Maint (Retailer Meter) - (NEW)\"/>
    </mc:Choice>
  </mc:AlternateContent>
  <xr:revisionPtr revIDLastSave="0" documentId="13_ncr:1_{A6C738E7-40DA-4EEA-BF29-3BD4A460193C}"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24" i="11"/>
  <c r="H24" i="11"/>
  <c r="I23" i="11"/>
  <c r="H23" i="11"/>
  <c r="I22" i="11"/>
  <c r="H22" i="11"/>
  <c r="I21" i="11"/>
  <c r="H21" i="11"/>
  <c r="I20" i="11"/>
  <c r="H20" i="11"/>
  <c r="I19" i="11"/>
  <c r="H19" i="11"/>
  <c r="I12" i="11"/>
  <c r="H12" i="11"/>
  <c r="I11" i="11"/>
  <c r="H11" i="11"/>
  <c r="I10" i="11"/>
  <c r="H10" i="11"/>
  <c r="I9" i="11"/>
  <c r="H9" i="11"/>
  <c r="I8" i="11"/>
  <c r="H8" i="11"/>
  <c r="I7" i="11"/>
  <c r="H7" i="11"/>
  <c r="E11" i="16" l="1"/>
  <c r="L27" i="17" s="1"/>
  <c r="J21" i="17"/>
  <c r="K27" i="17"/>
  <c r="D27" i="17"/>
  <c r="C21" i="17"/>
  <c r="D21" i="17" s="1"/>
  <c r="K21" i="17"/>
  <c r="N5" i="17"/>
  <c r="K5" i="17"/>
  <c r="M1" i="17"/>
  <c r="O1" i="17"/>
  <c r="N1" i="17"/>
  <c r="L1" i="17"/>
  <c r="K1" i="17"/>
  <c r="G27" i="11"/>
  <c r="I27" i="11"/>
  <c r="J20" i="17" s="1"/>
  <c r="K20" i="17" s="1"/>
  <c r="J27" i="11"/>
  <c r="K27" i="11"/>
  <c r="L27" i="11"/>
  <c r="M21" i="11"/>
  <c r="M22" i="11"/>
  <c r="M23" i="11"/>
  <c r="M24" i="11"/>
  <c r="M20" i="11"/>
  <c r="M19" i="11"/>
  <c r="G15" i="11"/>
  <c r="H15" i="11"/>
  <c r="C19" i="17" s="1"/>
  <c r="D19" i="17" s="1"/>
  <c r="I15" i="11"/>
  <c r="C20" i="17" s="1"/>
  <c r="D20" i="17" s="1"/>
  <c r="J15" i="11"/>
  <c r="K15" i="11"/>
  <c r="L15" i="11"/>
  <c r="M9" i="11"/>
  <c r="M10" i="11"/>
  <c r="M11" i="11"/>
  <c r="M12" i="11"/>
  <c r="M8" i="11"/>
  <c r="M7" i="11"/>
  <c r="M15" i="11" l="1"/>
  <c r="C22" i="17" s="1"/>
  <c r="L20" i="17"/>
  <c r="L9" i="17" s="1"/>
  <c r="K9" i="17"/>
  <c r="F11" i="16"/>
  <c r="G11" i="16" s="1"/>
  <c r="H11" i="16" s="1"/>
  <c r="O27" i="17" s="1"/>
  <c r="N27" i="17"/>
  <c r="K10" i="17"/>
  <c r="E20" i="17"/>
  <c r="D9" i="17"/>
  <c r="D27" i="16" s="1"/>
  <c r="E19" i="17"/>
  <c r="D22" i="17"/>
  <c r="D8" i="17"/>
  <c r="E21" i="17"/>
  <c r="D10" i="17"/>
  <c r="D28" i="16" s="1"/>
  <c r="O5" i="17"/>
  <c r="L21" i="17"/>
  <c r="M5" i="17"/>
  <c r="L5" i="17"/>
  <c r="M27" i="11"/>
  <c r="J22" i="17" s="1"/>
  <c r="H27" i="11"/>
  <c r="J19" i="17" s="1"/>
  <c r="K19" i="17" s="1"/>
  <c r="E10" i="16"/>
  <c r="E27" i="17" s="1"/>
  <c r="F10" i="16" l="1"/>
  <c r="F27" i="17" s="1"/>
  <c r="M20" i="17"/>
  <c r="M27" i="17"/>
  <c r="F21" i="17"/>
  <c r="E10" i="17"/>
  <c r="K22" i="17"/>
  <c r="K8" i="17"/>
  <c r="D26" i="16" s="1"/>
  <c r="L19" i="17"/>
  <c r="M21" i="17"/>
  <c r="L10" i="17"/>
  <c r="D11" i="17"/>
  <c r="M9" i="17"/>
  <c r="N20" i="17"/>
  <c r="F19" i="17"/>
  <c r="E8" i="17"/>
  <c r="E22" i="17"/>
  <c r="F20" i="17"/>
  <c r="E9" i="17"/>
  <c r="E27" i="16" s="1"/>
  <c r="I15" i="13"/>
  <c r="I16" i="13"/>
  <c r="I14" i="13"/>
  <c r="G17" i="13"/>
  <c r="H17" i="13"/>
  <c r="I7" i="13"/>
  <c r="I8" i="13"/>
  <c r="I9" i="13"/>
  <c r="I6" i="13"/>
  <c r="G10" i="13"/>
  <c r="H10" i="13"/>
  <c r="I14" i="15"/>
  <c r="I13" i="15"/>
  <c r="G15" i="15"/>
  <c r="H15" i="15"/>
  <c r="I5" i="15"/>
  <c r="I6" i="15"/>
  <c r="I7" i="15"/>
  <c r="I8" i="15"/>
  <c r="I4" i="15"/>
  <c r="G9" i="15"/>
  <c r="H9" i="15"/>
  <c r="G10" i="16" l="1"/>
  <c r="G27" i="17" s="1"/>
  <c r="E28" i="16"/>
  <c r="N21" i="17"/>
  <c r="M10" i="17"/>
  <c r="G21" i="17"/>
  <c r="F10" i="17"/>
  <c r="G20" i="17"/>
  <c r="F9" i="17"/>
  <c r="F27" i="16" s="1"/>
  <c r="K11" i="17"/>
  <c r="D29" i="16" s="1"/>
  <c r="C42" i="8" s="1"/>
  <c r="E11" i="17"/>
  <c r="O20" i="17"/>
  <c r="O9" i="17" s="1"/>
  <c r="N9" i="17"/>
  <c r="M19" i="17"/>
  <c r="L8" i="17"/>
  <c r="E26" i="16" s="1"/>
  <c r="L22" i="17"/>
  <c r="F22" i="17"/>
  <c r="F8" i="17"/>
  <c r="G19" i="17"/>
  <c r="H10" i="16" l="1"/>
  <c r="H27" i="17" s="1"/>
  <c r="F28" i="16"/>
  <c r="N19" i="17"/>
  <c r="M8" i="17"/>
  <c r="F26" i="16" s="1"/>
  <c r="M22" i="17"/>
  <c r="G22" i="17"/>
  <c r="H19" i="17"/>
  <c r="G8" i="17"/>
  <c r="H21" i="17"/>
  <c r="H10" i="17" s="1"/>
  <c r="G10" i="17"/>
  <c r="F11" i="17"/>
  <c r="L11" i="17"/>
  <c r="E29" i="16" s="1"/>
  <c r="D42" i="8" s="1"/>
  <c r="G9" i="17"/>
  <c r="G27" i="16" s="1"/>
  <c r="H20" i="17"/>
  <c r="O21" i="17"/>
  <c r="O10" i="17" s="1"/>
  <c r="N10" i="17"/>
  <c r="I11" i="16"/>
  <c r="G12" i="16"/>
  <c r="I10" i="16" l="1"/>
  <c r="H9" i="17"/>
  <c r="H27" i="16" s="1"/>
  <c r="H28" i="16"/>
  <c r="G28" i="16"/>
  <c r="I27" i="16"/>
  <c r="H8" i="17"/>
  <c r="H22" i="17"/>
  <c r="G11" i="17"/>
  <c r="M11" i="17"/>
  <c r="F29" i="16" s="1"/>
  <c r="E42" i="8" s="1"/>
  <c r="O19" i="17"/>
  <c r="N22" i="17"/>
  <c r="N8" i="17"/>
  <c r="G26" i="16" s="1"/>
  <c r="F58" i="8"/>
  <c r="I28" i="16" l="1"/>
  <c r="N11" i="17"/>
  <c r="G29" i="16" s="1"/>
  <c r="F42" i="8" s="1"/>
  <c r="O22" i="17"/>
  <c r="O8" i="17"/>
  <c r="H26" i="16" s="1"/>
  <c r="I26" i="16" s="1"/>
  <c r="H11" i="17"/>
  <c r="F24" i="11"/>
  <c r="F23" i="11"/>
  <c r="F21" i="11"/>
  <c r="F20" i="11"/>
  <c r="F19" i="11"/>
  <c r="F12" i="11"/>
  <c r="F11" i="11"/>
  <c r="F9" i="11"/>
  <c r="F8" i="11"/>
  <c r="F7" i="11"/>
  <c r="O11" i="17" l="1"/>
  <c r="H29" i="16" s="1"/>
  <c r="G42" i="8" s="1"/>
  <c r="F27" i="11"/>
  <c r="F15" i="11"/>
  <c r="I29" i="16" l="1"/>
  <c r="H12" i="16"/>
  <c r="G58" i="8" l="1"/>
  <c r="F15" i="15" l="1"/>
  <c r="E15" i="15"/>
  <c r="D15" i="15"/>
  <c r="I15" i="15" l="1"/>
  <c r="E9" i="15"/>
  <c r="D9" i="15"/>
  <c r="F12" i="16"/>
  <c r="E12" i="16"/>
  <c r="D12" i="16"/>
  <c r="F17" i="13"/>
  <c r="E17" i="13"/>
  <c r="D17" i="13"/>
  <c r="F10" i="13"/>
  <c r="E10" i="13"/>
  <c r="D10" i="13"/>
  <c r="D58" i="8" l="1"/>
  <c r="E58" i="8"/>
  <c r="C58" i="8"/>
  <c r="I12" i="16"/>
  <c r="I10" i="13"/>
  <c r="I17" i="13"/>
  <c r="F9" i="15"/>
  <c r="I9" i="15" l="1"/>
  <c r="D3" i="9" l="1"/>
  <c r="H42" i="8" l="1"/>
  <c r="H58" i="8" l="1"/>
  <c r="E4" i="17" l="1"/>
  <c r="O22" i="11"/>
  <c r="O12" i="11"/>
  <c r="O8" i="11"/>
  <c r="H4" i="17"/>
  <c r="D4" i="17"/>
  <c r="O23" i="11"/>
  <c r="O19" i="11"/>
  <c r="O9" i="11"/>
  <c r="G4" i="17"/>
  <c r="O24" i="11"/>
  <c r="O20" i="11"/>
  <c r="O10" i="11"/>
  <c r="F4" i="17"/>
  <c r="O21" i="11"/>
  <c r="O11" i="11"/>
  <c r="O7" i="11"/>
  <c r="O27" i="11" l="1"/>
  <c r="J24" i="17" s="1"/>
  <c r="M4" i="17"/>
  <c r="M24" i="17" s="1"/>
  <c r="M13" i="17" s="1"/>
  <c r="F24" i="17"/>
  <c r="F13" i="17" s="1"/>
  <c r="N4" i="17"/>
  <c r="N24" i="17" s="1"/>
  <c r="N13" i="17" s="1"/>
  <c r="G24" i="17"/>
  <c r="G13" i="17" s="1"/>
  <c r="K4" i="17"/>
  <c r="K24" i="17" s="1"/>
  <c r="K13" i="17" s="1"/>
  <c r="D24" i="17"/>
  <c r="D13" i="17" s="1"/>
  <c r="O15" i="11"/>
  <c r="C24" i="17" s="1"/>
  <c r="O4" i="17"/>
  <c r="O24" i="17" s="1"/>
  <c r="O13" i="17" s="1"/>
  <c r="H24" i="17"/>
  <c r="H13" i="17" s="1"/>
  <c r="L4" i="17"/>
  <c r="L24" i="17" s="1"/>
  <c r="L13" i="17" s="1"/>
  <c r="E24" i="17"/>
  <c r="E13" i="17" s="1"/>
  <c r="G31" i="16" l="1"/>
  <c r="F31" i="16"/>
  <c r="E31" i="16"/>
  <c r="D31" i="16"/>
  <c r="H31" i="16"/>
  <c r="I31" i="16" s="1"/>
  <c r="F3" i="17" l="1"/>
  <c r="N21" i="11"/>
  <c r="N11" i="11"/>
  <c r="N7" i="11"/>
  <c r="E3" i="17"/>
  <c r="N22" i="11"/>
  <c r="N12" i="11"/>
  <c r="N8" i="11"/>
  <c r="H3" i="17"/>
  <c r="D3" i="17"/>
  <c r="N23" i="11"/>
  <c r="N19" i="11"/>
  <c r="N9" i="11"/>
  <c r="G3" i="17"/>
  <c r="N24" i="11"/>
  <c r="N20" i="11"/>
  <c r="N10" i="11"/>
  <c r="P20" i="11" l="1"/>
  <c r="Q20" i="11" s="1"/>
  <c r="P7" i="11"/>
  <c r="N15" i="11"/>
  <c r="C23" i="17" s="1"/>
  <c r="P24" i="11"/>
  <c r="Q24" i="11" s="1"/>
  <c r="P23" i="11"/>
  <c r="Q23" i="11" s="1"/>
  <c r="P12" i="11"/>
  <c r="Q12" i="11" s="1"/>
  <c r="P11" i="11"/>
  <c r="Q11" i="11" s="1"/>
  <c r="P8" i="11"/>
  <c r="Q8" i="11" s="1"/>
  <c r="G23" i="17"/>
  <c r="N3" i="17"/>
  <c r="N23" i="17" s="1"/>
  <c r="K3" i="17"/>
  <c r="K23" i="17" s="1"/>
  <c r="D23" i="17"/>
  <c r="P22" i="11"/>
  <c r="Q22" i="11" s="1"/>
  <c r="P21" i="11"/>
  <c r="Q21" i="11" s="1"/>
  <c r="P19" i="11"/>
  <c r="Q19" i="11" s="1"/>
  <c r="N27" i="11"/>
  <c r="J23" i="17" s="1"/>
  <c r="P10" i="11"/>
  <c r="Q10" i="11" s="1"/>
  <c r="P9" i="11"/>
  <c r="Q9" i="11" s="1"/>
  <c r="O3" i="17"/>
  <c r="O23" i="17" s="1"/>
  <c r="H23" i="17"/>
  <c r="E23" i="17"/>
  <c r="L3" i="17"/>
  <c r="L23" i="17" s="1"/>
  <c r="F23" i="17"/>
  <c r="M3" i="17"/>
  <c r="M23" i="17" s="1"/>
  <c r="M12" i="17" l="1"/>
  <c r="M25" i="17"/>
  <c r="M14" i="17" s="1"/>
  <c r="H25" i="17"/>
  <c r="H14" i="17" s="1"/>
  <c r="H12" i="17"/>
  <c r="P27" i="11"/>
  <c r="J25" i="17" s="1"/>
  <c r="G12" i="17"/>
  <c r="G25" i="17"/>
  <c r="G14" i="17" s="1"/>
  <c r="O12" i="17"/>
  <c r="O25" i="17"/>
  <c r="O14" i="17" s="1"/>
  <c r="D12" i="17"/>
  <c r="D25" i="17"/>
  <c r="D14" i="17" s="1"/>
  <c r="L25" i="17"/>
  <c r="L14" i="17" s="1"/>
  <c r="L12" i="17"/>
  <c r="Q27" i="11"/>
  <c r="K12" i="17"/>
  <c r="K25" i="17"/>
  <c r="K14" i="17" s="1"/>
  <c r="F25" i="17"/>
  <c r="F14" i="17" s="1"/>
  <c r="F32" i="16" s="1"/>
  <c r="F12" i="17"/>
  <c r="F26" i="17"/>
  <c r="P15" i="11"/>
  <c r="C25" i="17" s="1"/>
  <c r="E25" i="17"/>
  <c r="E14" i="17" s="1"/>
  <c r="E32" i="16" s="1"/>
  <c r="E12" i="17"/>
  <c r="E26" i="17"/>
  <c r="N12" i="17"/>
  <c r="N25" i="17"/>
  <c r="N14" i="17" s="1"/>
  <c r="Q7" i="11"/>
  <c r="Q15" i="11" s="1"/>
  <c r="F30" i="16" l="1"/>
  <c r="F33" i="16" s="1"/>
  <c r="M26" i="17"/>
  <c r="D32" i="16"/>
  <c r="G26" i="17"/>
  <c r="H26" i="17"/>
  <c r="H28" i="17" s="1"/>
  <c r="K26" i="17"/>
  <c r="K15" i="17" s="1"/>
  <c r="L26" i="17"/>
  <c r="D30" i="16"/>
  <c r="C44" i="8" s="1"/>
  <c r="M15" i="17"/>
  <c r="M28" i="17"/>
  <c r="J26" i="17"/>
  <c r="D8" i="8"/>
  <c r="D26" i="17"/>
  <c r="G30" i="16"/>
  <c r="H32" i="16"/>
  <c r="C26" i="17"/>
  <c r="D7" i="8"/>
  <c r="E15" i="17"/>
  <c r="E28" i="17"/>
  <c r="F15" i="17"/>
  <c r="F28" i="17"/>
  <c r="G15" i="17"/>
  <c r="G28" i="17"/>
  <c r="L28" i="17"/>
  <c r="L15" i="17"/>
  <c r="N26" i="17"/>
  <c r="E30" i="16"/>
  <c r="O26" i="17"/>
  <c r="G32" i="16"/>
  <c r="H30" i="16"/>
  <c r="E44" i="8" l="1"/>
  <c r="E46" i="8" s="1"/>
  <c r="D33" i="16"/>
  <c r="H15" i="17"/>
  <c r="K28" i="17"/>
  <c r="D5" i="16" s="1"/>
  <c r="I30" i="16"/>
  <c r="I33" i="16" s="1"/>
  <c r="E5" i="16"/>
  <c r="L16" i="17"/>
  <c r="H4" i="16"/>
  <c r="H16" i="17"/>
  <c r="G44" i="8"/>
  <c r="G46" i="8" s="1"/>
  <c r="H33" i="16"/>
  <c r="I32" i="16"/>
  <c r="D44" i="8"/>
  <c r="D46" i="8" s="1"/>
  <c r="E33" i="16"/>
  <c r="G16" i="17"/>
  <c r="G4" i="16"/>
  <c r="C46" i="8"/>
  <c r="F44" i="8"/>
  <c r="F46" i="8" s="1"/>
  <c r="G33" i="16"/>
  <c r="F5" i="16"/>
  <c r="M16" i="17"/>
  <c r="E4" i="16"/>
  <c r="E6" i="16" s="1"/>
  <c r="E16" i="17"/>
  <c r="O15" i="17"/>
  <c r="O28" i="17"/>
  <c r="N28" i="17"/>
  <c r="N15" i="17"/>
  <c r="F16" i="17"/>
  <c r="F4" i="16"/>
  <c r="D15" i="17"/>
  <c r="D28" i="17"/>
  <c r="K16" i="17" l="1"/>
  <c r="F6" i="16"/>
  <c r="H44" i="8"/>
  <c r="H46" i="8" s="1"/>
  <c r="H5" i="16"/>
  <c r="H6" i="16" s="1"/>
  <c r="O16" i="17"/>
  <c r="D16" i="17"/>
  <c r="D4" i="16"/>
  <c r="G5" i="16"/>
  <c r="N16" i="17"/>
  <c r="I5" i="16" l="1"/>
  <c r="G6" i="16"/>
  <c r="D6" i="16"/>
  <c r="I4" i="16"/>
  <c r="I6" i="16" l="1"/>
</calcChain>
</file>

<file path=xl/sharedStrings.xml><?xml version="1.0" encoding="utf-8"?>
<sst xmlns="http://schemas.openxmlformats.org/spreadsheetml/2006/main" count="265" uniqueCount="145">
  <si>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</si>
  <si>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</si>
  <si>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</si>
  <si>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</si>
  <si>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</si>
  <si>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</si>
  <si>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</si>
  <si>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</si>
  <si>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</si>
  <si>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</si>
  <si>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</si>
  <si>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</si>
  <si>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</si>
  <si>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</si>
  <si>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</si>
  <si>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</si>
  <si>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</si>
  <si>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 xml:space="preserve">Existing Service Description (2009 - 14) </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</si>
  <si>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</si>
  <si>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</si>
  <si>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</si>
  <si>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</si>
  <si>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</si>
  <si>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</si>
  <si>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</si>
  <si>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</si>
  <si>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</si>
  <si>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</si>
  <si>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</si>
  <si>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</si>
  <si>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</si>
  <si>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</si>
  <si>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</si>
  <si>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</si>
  <si>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</si>
  <si>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</si>
  <si>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</si>
  <si>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</si>
  <si>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</si>
  <si>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</si>
  <si>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</si>
  <si>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</si>
  <si>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</si>
  <si>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</si>
  <si>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</si>
  <si>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</si>
  <si>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</si>
  <si>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</si>
  <si>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</si>
  <si>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</si>
  <si>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</si>
  <si>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</si>
  <si>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</si>
  <si>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</si>
  <si>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</si>
  <si>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</si>
  <si>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</si>
  <si>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</si>
  <si>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</si>
  <si>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</si>
  <si>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</si>
  <si>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</si>
  <si>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</si>
  <si>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</si>
  <si>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Fixed Fee</t>
  </si>
  <si>
    <t>New Service</t>
  </si>
  <si>
    <t xml:space="preserve">
New Service</t>
  </si>
  <si>
    <t>Emergency Maintenance of Failed Metering Equipment Not Owned by the Distributor (Contestable Meters)
The distributor is called out by the customer or their agent (e.g. retailer, metering coordinator or metering provider) due to a power outage where an external metering provider's metering equipment has failed or an outage has been caused by the metering provider and the distributor has had to restore power to the customer's premises. This may result in an unmetered supply arrangement at this site. This fee will also be levied where a metering provider has requested the distributor to check a potentially faulty network connection and when tested by the distributor, no fault is found.</t>
  </si>
  <si>
    <t>Detailed Service Descriptions (2019-24)</t>
  </si>
  <si>
    <t>R4</t>
  </si>
  <si>
    <t>Travel to / from site</t>
  </si>
  <si>
    <t xml:space="preserve"> - </t>
  </si>
  <si>
    <t>Normal Hrs</t>
  </si>
  <si>
    <t>After Hours</t>
  </si>
  <si>
    <t>Unplanned Outage -  Site Attendance - Retailer planned interruption impacting non retailer customer - (NEW)</t>
  </si>
  <si>
    <t>Unplanned Outage - Site attendance required -  Retailer planned interruption impacting non retailer customer (EE not notified) - (Fixed Fee)</t>
  </si>
  <si>
    <t>Unplanned Outage - Site attandance required - Retailer planned interruption EE not notified - NT (Fixed Fee)</t>
  </si>
  <si>
    <t>Unplanned Outage - Site attandance required - Retailer planned interruption EE not notified - OT (Fixed Fee)</t>
  </si>
  <si>
    <t>Unplanned outage information recorded and field resource assigned by Dispatch Officer</t>
  </si>
  <si>
    <t>Field technician recieves fault information</t>
  </si>
  <si>
    <t>Cause of fault diagnosed - Retailer / MC failure to notify EE</t>
  </si>
  <si>
    <t xml:space="preserve">Complete necessay reporting  and close job with Dispatch </t>
  </si>
  <si>
    <t>Log job to MC and update job complete status</t>
  </si>
  <si>
    <t>Bottom Up Estimation</t>
  </si>
  <si>
    <t>R1a</t>
  </si>
  <si>
    <t xml:space="preserve">
Unplanned Outage -  Site Attendance - Retailer planned interruption impacting non retailer customer 
Site attendance by Essential Energy to an unplanned outage. Where it is determined that the un notified customers have been incorrectly isolated by a MC.
Site attendance required by Essential Energy staff to determine the cause of the interruption to un-notified customers.
*Essential Energy will impose an overtime fee for services provided outside the hrs of 7:30am - 4:00pm Mon - Fri (ordinary hrs).
</t>
  </si>
  <si>
    <t>Projected Volumes for FY2019-24 Regulatory Period</t>
  </si>
  <si>
    <t>Operating Costs (on IO's, work orders, cost objects, cost centres)</t>
  </si>
  <si>
    <t>Field Officer</t>
  </si>
  <si>
    <t>Project Code</t>
  </si>
  <si>
    <t>FY22/23</t>
  </si>
  <si>
    <t xml:space="preserve">Operating Costs - </t>
  </si>
  <si>
    <t>New Service - Unplanned Outage (retailer caused)</t>
  </si>
  <si>
    <t>New Service. No historical revenue information available.</t>
  </si>
  <si>
    <t>New Service. No historical operating costs available.</t>
  </si>
  <si>
    <t>FY17/18</t>
  </si>
  <si>
    <t>FY18/19</t>
  </si>
  <si>
    <t>Increase in volume each year by 4% based on meter replacement values.</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</si>
  <si>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</si>
  <si>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</si>
  <si>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</si>
  <si>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</si>
  <si>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</si>
  <si>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</si>
  <si>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</si>
  <si>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</si>
  <si>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</si>
  <si>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</si>
  <si>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</si>
  <si>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</si>
  <si>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</si>
  <si>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</si>
  <si>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</si>
  <si>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</si>
  <si>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</si>
  <si>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</si>
  <si>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</si>
  <si>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</si>
  <si>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</si>
  <si>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</si>
  <si>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</si>
  <si>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</si>
  <si>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</si>
  <si>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</si>
  <si>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</si>
  <si>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</si>
  <si>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</si>
  <si>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</si>
  <si>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</si>
  <si>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</si>
  <si>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</si>
  <si>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</si>
  <si>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</si>
  <si>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</si>
  <si>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</si>
  <si>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</si>
  <si>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</si>
  <si>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</si>
  <si>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</si>
  <si>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2.3 Unplanned Outage - (retailer meter fault)</t>
  </si>
  <si>
    <t>Unplanned Outage - (retailer meter fault)</t>
  </si>
  <si>
    <t>Unplanned outage (retailer meter fault) - NT</t>
  </si>
  <si>
    <t>Unplanned outage (retailer meter fault) - OT</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</si>
  <si>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</si>
  <si>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Forecast volume based on historical information. EE estimated approx 1 job per week. Increase in meter replacement will also increase volume of associated no supply faults.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</si>
</sst>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45"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0"/>
      <color theme="0"/>
      <name val="Arial"/>
      <family val="2"/>
    </font>
    <font>
      <sz val="10"/>
      <color theme="0"/>
      <name val="Arial"/>
      <family val="2"/>
    </font>
    <font>
      <sz val="11"/>
      <color theme="1"/>
      <name val="Calibri"/>
      <family val="2"/>
      <scheme val="minor"/>
    </font>
    <font>
      <b/>
      <sz val="10"/>
      <name val="Arial"/>
      <family val="2"/>
    </font>
    <font>
      <sz val="10"/>
      <color rgb="FFFF0000"/>
      <name val="Arial"/>
      <family val="2"/>
    </font>
    <font>
      <sz val="10"/>
      <color theme="1"/>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311">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0" fontId="7" fillId="5" borderId="0" xfId="0"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4" fillId="5" borderId="12" xfId="0" applyFont="1" applyFill="1" applyBorder="1"/>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8" fillId="8" borderId="0" xfId="0" applyFont="1" applyFill="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10" xfId="0" applyNumberFormat="1" applyFont="1" applyFill="1" applyBorder="1" applyAlignment="1">
      <alignment horizont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8" fillId="0" borderId="0" xfId="0" applyFont="1"/>
    <xf numFmtId="0" fontId="8" fillId="0" borderId="2" xfId="0" applyFont="1" applyBorder="1"/>
    <xf numFmtId="169" fontId="8" fillId="0" borderId="1" xfId="0" applyNumberFormat="1" applyFont="1" applyBorder="1" applyAlignment="1">
      <alignment horizontal="center"/>
    </xf>
    <xf numFmtId="0" fontId="2" fillId="0" borderId="2" xfId="0" applyFont="1" applyBorder="1"/>
    <xf numFmtId="169" fontId="2" fillId="0" borderId="0" xfId="0" applyNumberFormat="1" applyFont="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4"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1" xfId="0" applyFont="1" applyFill="1" applyBorder="1" applyAlignment="1">
      <alignment horizontal="left" vertical="center" wrapText="1"/>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4" fillId="10" borderId="4"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13"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10"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7" fillId="11" borderId="4" xfId="0" applyNumberFormat="1" applyFont="1" applyFill="1" applyBorder="1" applyAlignment="1">
      <alignment horizontal="center"/>
    </xf>
    <xf numFmtId="0" fontId="2" fillId="0" borderId="7" xfId="0" applyFont="1" applyBorder="1"/>
    <xf numFmtId="167" fontId="2" fillId="10" borderId="5" xfId="2" applyNumberFormat="1" applyFont="1" applyFill="1" applyBorder="1" applyAlignment="1">
      <alignment horizontal="center"/>
    </xf>
    <xf numFmtId="3" fontId="2" fillId="10" borderId="4" xfId="0" applyNumberFormat="1" applyFont="1" applyFill="1" applyBorder="1"/>
    <xf numFmtId="2" fontId="4" fillId="10" borderId="8" xfId="0" applyNumberFormat="1" applyFont="1" applyFill="1" applyBorder="1" applyAlignment="1">
      <alignment horizontal="center" vertical="center"/>
    </xf>
    <xf numFmtId="1" fontId="4" fillId="10" borderId="10" xfId="0" applyNumberFormat="1" applyFont="1" applyFill="1" applyBorder="1" applyAlignment="1">
      <alignment horizontal="center" vertical="center"/>
    </xf>
    <xf numFmtId="2" fontId="4" fillId="10" borderId="10" xfId="3" applyNumberFormat="1" applyFont="1" applyFill="1" applyBorder="1" applyAlignment="1">
      <alignment horizontal="center" vertical="center"/>
    </xf>
    <xf numFmtId="2" fontId="4" fillId="10" borderId="9" xfId="0" applyNumberFormat="1" applyFont="1" applyFill="1" applyBorder="1" applyAlignment="1">
      <alignment horizontal="center"/>
    </xf>
    <xf numFmtId="2" fontId="4" fillId="10" borderId="8" xfId="0" applyNumberFormat="1" applyFont="1" applyFill="1" applyBorder="1" applyAlignment="1">
      <alignment horizontal="center"/>
    </xf>
    <xf numFmtId="2" fontId="4" fillId="10" borderId="4" xfId="3" applyNumberFormat="1" applyFont="1" applyFill="1" applyBorder="1" applyAlignment="1">
      <alignment horizontal="center"/>
    </xf>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10" xfId="0" applyFont="1" applyFill="1" applyBorder="1"/>
    <xf numFmtId="0" fontId="18" fillId="7" borderId="0" xfId="0" applyFont="1" applyFill="1" applyBorder="1" applyAlignment="1">
      <alignment horizontal="center" vertical="center" wrapText="1"/>
    </xf>
    <xf numFmtId="0" fontId="16" fillId="9" borderId="5" xfId="0" applyFont="1" applyFill="1" applyBorder="1"/>
    <xf numFmtId="0" fontId="18" fillId="2" borderId="4" xfId="0" applyFont="1" applyFill="1" applyBorder="1" applyAlignment="1">
      <alignment vertical="center"/>
    </xf>
    <xf numFmtId="0" fontId="19" fillId="7" borderId="0" xfId="0" applyFont="1" applyFill="1" applyBorder="1" applyAlignment="1">
      <alignment horizontal="center" vertical="center"/>
    </xf>
    <xf numFmtId="0" fontId="16" fillId="9" borderId="10" xfId="0" applyFont="1" applyFill="1" applyBorder="1" applyAlignment="1">
      <alignment horizontal="left" vertical="center"/>
    </xf>
    <xf numFmtId="169" fontId="15" fillId="7" borderId="4" xfId="0" applyNumberFormat="1" applyFont="1" applyFill="1" applyBorder="1" applyAlignment="1"/>
    <xf numFmtId="169" fontId="15" fillId="7" borderId="4" xfId="0" applyNumberFormat="1" applyFont="1" applyFill="1" applyBorder="1" applyAlignment="1">
      <alignment horizontal="center"/>
    </xf>
    <xf numFmtId="0" fontId="15" fillId="7" borderId="0" xfId="0" applyFont="1" applyFill="1" applyBorder="1" applyAlignment="1">
      <alignment horizontal="center" vertical="center"/>
    </xf>
    <xf numFmtId="169" fontId="15" fillId="7" borderId="4" xfId="0" applyNumberFormat="1" applyFont="1" applyFill="1" applyBorder="1" applyAlignment="1">
      <alignment horizontal="left"/>
    </xf>
    <xf numFmtId="169" fontId="15" fillId="3" borderId="4" xfId="2" applyNumberFormat="1" applyFont="1" applyFill="1" applyBorder="1" applyAlignment="1">
      <alignment horizontal="center"/>
    </xf>
    <xf numFmtId="169" fontId="15" fillId="7" borderId="5" xfId="0" applyNumberFormat="1" applyFont="1" applyFill="1" applyBorder="1" applyAlignment="1">
      <alignment horizontal="left"/>
    </xf>
    <xf numFmtId="169" fontId="15" fillId="3" borderId="3" xfId="2" applyNumberFormat="1" applyFont="1" applyFill="1" applyBorder="1" applyAlignment="1">
      <alignment horizontal="center"/>
    </xf>
    <xf numFmtId="0" fontId="16" fillId="9" borderId="4" xfId="0" applyFont="1" applyFill="1" applyBorder="1" applyAlignment="1">
      <alignment horizontal="left" vertical="center"/>
    </xf>
    <xf numFmtId="0" fontId="17" fillId="7" borderId="0" xfId="0" applyFont="1" applyFill="1" applyBorder="1" applyAlignment="1">
      <alignment horizontal="left"/>
    </xf>
    <xf numFmtId="0" fontId="13" fillId="8" borderId="5" xfId="0" applyFont="1" applyFill="1" applyBorder="1"/>
    <xf numFmtId="0" fontId="14" fillId="8" borderId="12" xfId="0" applyFont="1" applyFill="1" applyBorder="1"/>
    <xf numFmtId="0" fontId="14" fillId="8" borderId="2" xfId="0" applyFont="1" applyFill="1" applyBorder="1"/>
    <xf numFmtId="0" fontId="14" fillId="8" borderId="3"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7" borderId="0" xfId="0" applyFont="1" applyFill="1" applyBorder="1" applyAlignment="1">
      <alignment horizontal="left" wrapText="1"/>
    </xf>
    <xf numFmtId="0" fontId="15" fillId="7" borderId="0" xfId="0" applyFont="1" applyFill="1" applyBorder="1" applyAlignment="1">
      <alignment horizontal="left"/>
    </xf>
    <xf numFmtId="0" fontId="15" fillId="0" borderId="0" xfId="0" applyFont="1" applyAlignment="1">
      <alignment horizontal="left"/>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7" fontId="20" fillId="0" borderId="0" xfId="2" applyNumberFormat="1" applyFont="1"/>
    <xf numFmtId="167" fontId="16" fillId="2" borderId="7" xfId="2" applyNumberFormat="1" applyFont="1" applyFill="1" applyBorder="1"/>
    <xf numFmtId="10" fontId="15" fillId="0" borderId="0" xfId="1" applyNumberFormat="1" applyFont="1"/>
    <xf numFmtId="10" fontId="15" fillId="0" borderId="0" xfId="0" applyNumberFormat="1" applyFont="1"/>
    <xf numFmtId="170" fontId="15" fillId="0" borderId="0" xfId="1"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8" fontId="20" fillId="0" borderId="0" xfId="3" applyNumberFormat="1" applyFont="1" applyAlignment="1"/>
    <xf numFmtId="171" fontId="16" fillId="2" borderId="7" xfId="2" applyNumberFormat="1" applyFont="1" applyFill="1" applyBorder="1" applyAlignment="1"/>
    <xf numFmtId="168" fontId="22" fillId="0" borderId="0" xfId="3" applyNumberFormat="1" applyFont="1" applyAlignment="1">
      <alignment horizontal="right"/>
    </xf>
    <xf numFmtId="168" fontId="22" fillId="0" borderId="0" xfId="3" applyNumberFormat="1" applyFont="1" applyAlignment="1">
      <alignment horizontal="center" vertical="center"/>
    </xf>
    <xf numFmtId="0" fontId="23" fillId="8" borderId="0" xfId="0" applyFont="1" applyFill="1"/>
    <xf numFmtId="0" fontId="24" fillId="8" borderId="0" xfId="0" applyFont="1" applyFill="1"/>
    <xf numFmtId="0" fontId="25" fillId="0" borderId="0" xfId="0" applyFont="1"/>
    <xf numFmtId="0" fontId="27" fillId="4" borderId="4" xfId="0" applyFont="1" applyFill="1" applyBorder="1" applyAlignment="1">
      <alignment horizontal="left"/>
    </xf>
    <xf numFmtId="0" fontId="28" fillId="4" borderId="4" xfId="0" applyFont="1" applyFill="1" applyBorder="1"/>
    <xf numFmtId="167" fontId="28" fillId="10" borderId="4" xfId="2" applyNumberFormat="1" applyFont="1" applyFill="1" applyBorder="1"/>
    <xf numFmtId="167" fontId="28" fillId="4" borderId="4" xfId="2" applyNumberFormat="1" applyFont="1" applyFill="1" applyBorder="1"/>
    <xf numFmtId="0" fontId="28" fillId="0" borderId="0" xfId="0" applyFont="1"/>
    <xf numFmtId="3" fontId="28" fillId="10" borderId="4" xfId="0" applyNumberFormat="1" applyFont="1" applyFill="1" applyBorder="1"/>
    <xf numFmtId="3" fontId="28" fillId="4" borderId="4" xfId="0" applyNumberFormat="1" applyFont="1" applyFill="1" applyBorder="1"/>
    <xf numFmtId="0" fontId="29" fillId="0" borderId="0" xfId="0" applyFont="1"/>
    <xf numFmtId="0" fontId="26" fillId="5" borderId="6" xfId="0" applyFont="1" applyFill="1" applyBorder="1" applyAlignment="1">
      <alignment horizontal="left"/>
    </xf>
    <xf numFmtId="0" fontId="26" fillId="5" borderId="12" xfId="0" applyFont="1" applyFill="1" applyBorder="1"/>
    <xf numFmtId="0" fontId="30" fillId="5" borderId="12" xfId="0" applyFont="1" applyFill="1" applyBorder="1"/>
    <xf numFmtId="0" fontId="28" fillId="4" borderId="0" xfId="0" quotePrefix="1" applyFont="1" applyFill="1" applyBorder="1" applyAlignment="1">
      <alignment vertical="top"/>
    </xf>
    <xf numFmtId="0" fontId="28" fillId="4" borderId="0" xfId="0" applyFont="1" applyFill="1" applyBorder="1" applyAlignment="1">
      <alignment vertical="top"/>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31" fillId="8" borderId="0" xfId="0" applyFont="1" applyFill="1"/>
    <xf numFmtId="0" fontId="32" fillId="8" borderId="0" xfId="0" applyFont="1" applyFill="1"/>
    <xf numFmtId="0" fontId="33" fillId="0" borderId="0" xfId="0" applyFont="1"/>
    <xf numFmtId="0" fontId="34" fillId="0" borderId="0" xfId="0" applyFont="1"/>
    <xf numFmtId="0" fontId="35" fillId="11" borderId="7" xfId="0" applyFont="1" applyFill="1" applyBorder="1" applyAlignment="1">
      <alignment horizontal="left"/>
    </xf>
    <xf numFmtId="0" fontId="35" fillId="11" borderId="7" xfId="0" applyFont="1" applyFill="1" applyBorder="1" applyAlignment="1">
      <alignment horizontal="center"/>
    </xf>
    <xf numFmtId="0" fontId="35" fillId="11" borderId="8" xfId="0" applyFont="1" applyFill="1" applyBorder="1" applyAlignment="1">
      <alignment horizontal="center"/>
    </xf>
    <xf numFmtId="0" fontId="35" fillId="11" borderId="8" xfId="0" applyFont="1" applyFill="1" applyBorder="1" applyAlignment="1">
      <alignment horizontal="right"/>
    </xf>
    <xf numFmtId="0" fontId="36" fillId="10" borderId="4" xfId="0" applyFont="1" applyFill="1" applyBorder="1" applyAlignment="1">
      <alignment horizontal="left"/>
    </xf>
    <xf numFmtId="0" fontId="34" fillId="10" borderId="4" xfId="0" applyFont="1" applyFill="1" applyBorder="1" applyAlignment="1">
      <alignment wrapText="1"/>
    </xf>
    <xf numFmtId="167" fontId="34" fillId="10" borderId="4" xfId="2" applyNumberFormat="1" applyFont="1" applyFill="1" applyBorder="1"/>
    <xf numFmtId="0" fontId="34" fillId="4" borderId="3" xfId="0" applyFont="1" applyFill="1" applyBorder="1"/>
    <xf numFmtId="0" fontId="34" fillId="10" borderId="4" xfId="0" applyFont="1" applyFill="1" applyBorder="1"/>
    <xf numFmtId="0" fontId="35" fillId="5" borderId="8" xfId="0" applyFont="1" applyFill="1" applyBorder="1"/>
    <xf numFmtId="0" fontId="35" fillId="5" borderId="0" xfId="0" applyFont="1" applyFill="1" applyBorder="1"/>
    <xf numFmtId="167" fontId="35" fillId="5" borderId="8" xfId="2" applyNumberFormat="1" applyFont="1" applyFill="1" applyBorder="1"/>
    <xf numFmtId="0" fontId="35" fillId="11" borderId="11" xfId="0" applyFont="1" applyFill="1" applyBorder="1" applyAlignment="1">
      <alignment horizontal="left"/>
    </xf>
    <xf numFmtId="0" fontId="34" fillId="4" borderId="5" xfId="0" applyFont="1" applyFill="1" applyBorder="1"/>
    <xf numFmtId="3" fontId="34" fillId="10" borderId="4" xfId="0" applyNumberFormat="1" applyFont="1" applyFill="1" applyBorder="1"/>
    <xf numFmtId="0" fontId="34" fillId="4" borderId="5" xfId="0" quotePrefix="1" applyFont="1" applyFill="1" applyBorder="1"/>
    <xf numFmtId="3" fontId="34" fillId="4" borderId="4" xfId="0" applyNumberFormat="1" applyFont="1" applyFill="1" applyBorder="1"/>
    <xf numFmtId="0" fontId="35" fillId="11" borderId="8" xfId="0" applyFont="1" applyFill="1" applyBorder="1"/>
    <xf numFmtId="3" fontId="35" fillId="5" borderId="8" xfId="0" applyNumberFormat="1" applyFont="1" applyFill="1" applyBorder="1"/>
    <xf numFmtId="0" fontId="37" fillId="0" borderId="0" xfId="0" applyFont="1"/>
    <xf numFmtId="0" fontId="35" fillId="5" borderId="6" xfId="0" applyFont="1" applyFill="1" applyBorder="1" applyAlignment="1">
      <alignment horizontal="left"/>
    </xf>
    <xf numFmtId="0" fontId="35" fillId="5" borderId="12" xfId="0" applyFont="1" applyFill="1" applyBorder="1"/>
    <xf numFmtId="0" fontId="38" fillId="5" borderId="12" xfId="0" applyFont="1" applyFill="1" applyBorder="1"/>
    <xf numFmtId="0" fontId="34" fillId="4" borderId="0" xfId="0" quotePrefix="1" applyFont="1" applyFill="1" applyBorder="1" applyAlignment="1">
      <alignment vertical="top"/>
    </xf>
    <xf numFmtId="0" fontId="34" fillId="4" borderId="0" xfId="0" applyFont="1" applyFill="1" applyBorder="1" applyAlignment="1">
      <alignment vertical="top"/>
    </xf>
    <xf numFmtId="0" fontId="40" fillId="2" borderId="4" xfId="0" applyFont="1" applyFill="1" applyBorder="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4" xfId="0" applyFont="1" applyFill="1" applyBorder="1" applyAlignment="1">
      <alignment horizontal="left" vertical="center"/>
    </xf>
    <xf numFmtId="0" fontId="4" fillId="10" borderId="14"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3" fontId="4" fillId="10" borderId="4" xfId="3" applyNumberFormat="1" applyFont="1" applyFill="1" applyBorder="1" applyAlignment="1">
      <alignment horizontal="center"/>
    </xf>
    <xf numFmtId="167" fontId="37" fillId="11" borderId="5" xfId="2" applyNumberFormat="1" applyFont="1" applyFill="1" applyBorder="1"/>
    <xf numFmtId="3" fontId="37" fillId="11" borderId="10" xfId="0" applyNumberFormat="1" applyFont="1" applyFill="1" applyBorder="1"/>
    <xf numFmtId="3" fontId="37" fillId="11" borderId="5" xfId="0" applyNumberFormat="1" applyFont="1" applyFill="1" applyBorder="1"/>
    <xf numFmtId="0" fontId="5" fillId="8" borderId="12" xfId="0"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9"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2" fillId="4" borderId="3" xfId="0" applyFont="1" applyFill="1" applyBorder="1"/>
    <xf numFmtId="0" fontId="7" fillId="5" borderId="1" xfId="0" applyFont="1" applyFill="1" applyBorder="1"/>
    <xf numFmtId="10" fontId="0" fillId="0" borderId="0" xfId="1" applyNumberFormat="1" applyFont="1"/>
    <xf numFmtId="10" fontId="0" fillId="0" borderId="0" xfId="0" applyNumberFormat="1"/>
    <xf numFmtId="0" fontId="41"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0" fontId="6" fillId="5" borderId="5" xfId="0" applyFont="1" applyFill="1" applyBorder="1"/>
    <xf numFmtId="0" fontId="0" fillId="0" borderId="0" xfId="0" applyFont="1"/>
    <xf numFmtId="0" fontId="6" fillId="5" borderId="0" xfId="0" applyFont="1" applyFill="1" applyBorder="1"/>
    <xf numFmtId="172" fontId="6" fillId="5" borderId="4" xfId="3" applyNumberFormat="1" applyFont="1" applyFill="1" applyBorder="1"/>
    <xf numFmtId="0" fontId="7" fillId="0" borderId="8" xfId="0" applyFont="1" applyFill="1" applyBorder="1"/>
    <xf numFmtId="0" fontId="42" fillId="4" borderId="5" xfId="0" applyFont="1" applyFill="1" applyBorder="1"/>
    <xf numFmtId="0" fontId="2" fillId="4" borderId="4" xfId="0" applyFont="1" applyFill="1" applyBorder="1" applyAlignment="1">
      <alignment horizontal="left"/>
    </xf>
    <xf numFmtId="166" fontId="43"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0" fontId="6" fillId="4" borderId="4" xfId="0" applyFont="1" applyFill="1" applyBorder="1" applyAlignment="1">
      <alignment horizontal="left"/>
    </xf>
    <xf numFmtId="166" fontId="44"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17" fillId="7" borderId="10"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15" fillId="7" borderId="0" xfId="0" applyFont="1" applyFill="1" applyBorder="1" applyAlignment="1">
      <alignment horizontal="left" wrapText="1"/>
    </xf>
    <xf numFmtId="0" fontId="15"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15" fillId="7" borderId="0" xfId="0" quotePrefix="1" applyFont="1" applyFill="1" applyBorder="1" applyAlignment="1">
      <alignment horizontal="left" vertical="top" wrapText="1"/>
    </xf>
    <xf numFmtId="0" fontId="15" fillId="2" borderId="8" xfId="0" applyFont="1" applyFill="1" applyBorder="1" applyAlignment="1">
      <alignment horizontal="center"/>
    </xf>
    <xf numFmtId="0" fontId="15" fillId="2" borderId="0" xfId="0" applyFont="1" applyFill="1" applyBorder="1" applyAlignment="1">
      <alignment horizontal="center"/>
    </xf>
    <xf numFmtId="169" fontId="20" fillId="7" borderId="5" xfId="0" applyNumberFormat="1" applyFont="1" applyFill="1" applyBorder="1" applyAlignment="1">
      <alignment horizontal="left"/>
    </xf>
    <xf numFmtId="169" fontId="20" fillId="7" borderId="3" xfId="0" applyNumberFormat="1" applyFont="1" applyFill="1" applyBorder="1" applyAlignment="1">
      <alignment horizontal="left"/>
    </xf>
    <xf numFmtId="0" fontId="7" fillId="9" borderId="9" xfId="0" applyFont="1" applyFill="1" applyBorder="1" applyAlignment="1">
      <alignment horizontal="left" vertical="center"/>
    </xf>
    <xf numFmtId="0" fontId="16" fillId="9" borderId="14" xfId="0" applyFont="1" applyFill="1" applyBorder="1" applyAlignment="1">
      <alignment horizontal="left" vertical="center"/>
    </xf>
    <xf numFmtId="0" fontId="15" fillId="7" borderId="1" xfId="0" applyFont="1" applyFill="1" applyBorder="1" applyAlignment="1">
      <alignment horizontal="left" wrapText="1"/>
    </xf>
    <xf numFmtId="0" fontId="21" fillId="7" borderId="0" xfId="0" quotePrefix="1" applyFont="1" applyFill="1" applyBorder="1" applyAlignment="1">
      <alignment horizontal="left" vertical="top" wrapText="1"/>
    </xf>
    <xf numFmtId="0" fontId="15"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36" fillId="4" borderId="1" xfId="0" applyFont="1" applyFill="1" applyBorder="1" applyAlignment="1">
      <alignment horizontal="left" vertical="top" wrapText="1"/>
    </xf>
    <xf numFmtId="0" fontId="36" fillId="4" borderId="0" xfId="0" applyFont="1" applyFill="1" applyBorder="1" applyAlignment="1">
      <alignment horizontal="left" vertical="top" wrapText="1"/>
    </xf>
    <xf numFmtId="0" fontId="34" fillId="4" borderId="1" xfId="0" quotePrefix="1" applyFont="1" applyFill="1" applyBorder="1" applyAlignment="1">
      <alignment horizontal="left" vertical="top" wrapText="1"/>
    </xf>
    <xf numFmtId="0" fontId="34" fillId="4" borderId="0" xfId="0" quotePrefix="1" applyFont="1" applyFill="1" applyBorder="1" applyAlignment="1">
      <alignment horizontal="left" vertical="top" wrapText="1"/>
    </xf>
    <xf numFmtId="10" fontId="41" fillId="14" borderId="12" xfId="0" applyNumberFormat="1" applyFont="1" applyFill="1" applyBorder="1" applyAlignment="1">
      <alignment horizontal="center"/>
    </xf>
    <xf numFmtId="10" fontId="41"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28" fillId="4" borderId="1" xfId="0" quotePrefix="1" applyFont="1" applyFill="1" applyBorder="1" applyAlignment="1">
      <alignment horizontal="left" vertical="top" wrapText="1"/>
    </xf>
    <xf numFmtId="0" fontId="28" fillId="4" borderId="0" xfId="0" quotePrefix="1" applyFont="1" applyFill="1" applyBorder="1" applyAlignment="1">
      <alignment horizontal="left" vertical="top" wrapText="1"/>
    </xf>
    <xf numFmtId="0" fontId="5" fillId="8" borderId="12" xfId="0" applyFont="1" applyFill="1" applyBorder="1" applyAlignment="1">
      <alignment horizontal="center"/>
    </xf>
    <xf numFmtId="166" fontId="44" fillId="5" borderId="4" xfId="3" applyFont="1" applyFill="1" applyBorder="1"/>
    <xf numFmtId="0" fontId="26" fillId="5" borderId="4" xfId="0" applyFont="1" applyFill="1" applyBorder="1" applyAlignment="1">
      <alignment horizontal="left"/>
    </xf>
    <xf numFmtId="0" fontId="26" fillId="5" borderId="4" xfId="0" applyFont="1" applyFill="1" applyBorder="1" applyAlignment="1">
      <alignment horizontal="center"/>
    </xf>
    <xf numFmtId="0" fontId="26" fillId="5" borderId="4" xfId="0" applyFont="1" applyFill="1" applyBorder="1" applyAlignment="1">
      <alignment horizontal="right"/>
    </xf>
    <xf numFmtId="3" fontId="29" fillId="11" borderId="4" xfId="0" applyNumberFormat="1" applyFont="1" applyFill="1" applyBorder="1"/>
    <xf numFmtId="0" fontId="26" fillId="5" borderId="4" xfId="0" applyFont="1" applyFill="1" applyBorder="1"/>
    <xf numFmtId="3" fontId="26" fillId="5" borderId="4" xfId="0" applyNumberFormat="1" applyFont="1" applyFill="1" applyBorder="1"/>
    <xf numFmtId="167" fontId="29" fillId="11" borderId="4" xfId="2" applyNumberFormat="1" applyFont="1" applyFill="1" applyBorder="1"/>
    <xf numFmtId="167" fontId="26" fillId="5" borderId="4" xfId="2" applyNumberFormat="1"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90" zoomScaleNormal="90" workbookViewId="0">
      <selection activeCell="O16" sqref="O16"/>
    </sheetView>
  </sheetViews>
  <sheetFormatPr defaultRowHeight="12.75" x14ac:dyDescent="0.2"/>
  <cols>
    <col min="1" max="1" width="2.42578125" style="99" customWidth="1"/>
    <col min="2" max="2" width="41.85546875" style="99" customWidth="1"/>
    <col min="3" max="4" width="17.5703125" style="99" customWidth="1"/>
    <col min="5" max="5" width="13.85546875" style="99" customWidth="1"/>
    <col min="6" max="6" width="14" style="99" customWidth="1"/>
    <col min="7" max="7" width="12.85546875" style="99" customWidth="1"/>
    <col min="8" max="8" width="13.28515625" style="99" customWidth="1"/>
    <col min="9" max="9" width="11.5703125" style="99" customWidth="1"/>
    <col min="10" max="16384" width="9.140625" style="99"/>
  </cols>
  <sheetData>
    <row r="2" spans="2:19" x14ac:dyDescent="0.2">
      <c r="B2" s="97" t="s">
        <v>7</v>
      </c>
      <c r="C2" s="98"/>
      <c r="D2" s="98"/>
      <c r="E2" s="98"/>
      <c r="F2" s="98"/>
      <c r="G2" s="98"/>
      <c r="H2" s="98"/>
      <c r="O2" s="100"/>
      <c r="P2" s="100"/>
      <c r="Q2" s="100"/>
      <c r="R2" s="100"/>
      <c r="S2" s="100"/>
    </row>
    <row r="3" spans="2:19" ht="75.75" customHeight="1" x14ac:dyDescent="0.2">
      <c r="B3" s="101" t="s">
        <v>55</v>
      </c>
      <c r="C3" s="252" t="s">
        <v>74</v>
      </c>
      <c r="D3" s="253"/>
      <c r="E3" s="253"/>
      <c r="F3" s="253"/>
      <c r="G3" s="253"/>
      <c r="H3" s="253"/>
      <c r="M3" s="102"/>
      <c r="N3" s="102"/>
      <c r="O3" s="100"/>
      <c r="P3" s="100"/>
      <c r="Q3" s="100"/>
      <c r="R3" s="100"/>
      <c r="S3" s="100"/>
    </row>
    <row r="4" spans="2:19" ht="55.5" customHeight="1" x14ac:dyDescent="0.2">
      <c r="B4" s="103"/>
      <c r="C4" s="258"/>
      <c r="D4" s="259"/>
      <c r="E4" s="104"/>
      <c r="F4" s="104"/>
      <c r="G4" s="104"/>
      <c r="H4" s="104"/>
      <c r="M4" s="102"/>
      <c r="N4" s="102"/>
      <c r="O4" s="100"/>
      <c r="P4" s="100"/>
      <c r="Q4" s="100"/>
      <c r="R4" s="100"/>
      <c r="S4" s="100"/>
    </row>
    <row r="5" spans="2:19" x14ac:dyDescent="0.2">
      <c r="B5" s="105" t="s">
        <v>13</v>
      </c>
      <c r="C5" s="106"/>
      <c r="D5" s="196" t="s">
        <v>64</v>
      </c>
      <c r="E5" s="107"/>
      <c r="F5" s="107"/>
      <c r="G5" s="107"/>
      <c r="H5" s="107"/>
      <c r="M5" s="102"/>
      <c r="N5" s="102"/>
      <c r="O5" s="100"/>
      <c r="P5" s="100"/>
      <c r="Q5" s="100"/>
      <c r="R5" s="100"/>
      <c r="S5" s="100"/>
    </row>
    <row r="6" spans="2:19" x14ac:dyDescent="0.2">
      <c r="B6" s="108" t="s">
        <v>42</v>
      </c>
      <c r="C6" s="109"/>
      <c r="D6" s="110" t="s">
        <v>71</v>
      </c>
      <c r="E6" s="111"/>
      <c r="F6" s="111"/>
      <c r="G6" s="111"/>
      <c r="H6" s="111"/>
      <c r="M6" s="102"/>
      <c r="N6" s="102"/>
      <c r="O6" s="100"/>
      <c r="P6" s="100"/>
      <c r="Q6" s="100"/>
      <c r="R6" s="100"/>
      <c r="S6" s="100"/>
    </row>
    <row r="7" spans="2:19" x14ac:dyDescent="0.2">
      <c r="B7" s="262" t="s">
        <v>98</v>
      </c>
      <c r="C7" s="112" t="s">
        <v>72</v>
      </c>
      <c r="D7" s="113">
        <f>'Proposed Fee'!Q15</f>
        <v>335.47019943498191</v>
      </c>
      <c r="E7" s="111"/>
      <c r="F7" s="111"/>
      <c r="G7" s="111"/>
      <c r="H7" s="111"/>
      <c r="O7" s="100"/>
      <c r="P7" s="100"/>
      <c r="Q7" s="100"/>
      <c r="R7" s="100"/>
      <c r="S7" s="100"/>
    </row>
    <row r="8" spans="2:19" x14ac:dyDescent="0.2">
      <c r="B8" s="263"/>
      <c r="C8" s="114" t="s">
        <v>73</v>
      </c>
      <c r="D8" s="115">
        <f>'Proposed Fee'!Q27</f>
        <v>538.13483533679153</v>
      </c>
      <c r="E8" s="111"/>
      <c r="F8" s="111"/>
      <c r="G8" s="111"/>
      <c r="H8" s="111"/>
      <c r="O8" s="100"/>
      <c r="P8" s="100"/>
      <c r="Q8" s="100"/>
      <c r="R8" s="100"/>
      <c r="S8" s="100"/>
    </row>
    <row r="9" spans="2:19" x14ac:dyDescent="0.2">
      <c r="B9" s="116" t="s">
        <v>47</v>
      </c>
      <c r="C9" s="260" t="s">
        <v>83</v>
      </c>
      <c r="D9" s="261"/>
      <c r="E9" s="117"/>
      <c r="F9" s="117"/>
      <c r="G9" s="117"/>
      <c r="H9" s="117"/>
      <c r="O9" s="100"/>
      <c r="P9" s="100"/>
      <c r="Q9" s="100"/>
      <c r="R9" s="100"/>
      <c r="S9" s="100"/>
    </row>
    <row r="10" spans="2:19" x14ac:dyDescent="0.2">
      <c r="B10" s="118" t="s">
        <v>5</v>
      </c>
      <c r="C10" s="119"/>
      <c r="D10" s="119"/>
      <c r="E10" s="120"/>
      <c r="F10" s="120"/>
      <c r="G10" s="120"/>
      <c r="H10" s="121"/>
      <c r="O10" s="100"/>
      <c r="P10" s="100"/>
      <c r="Q10" s="100"/>
      <c r="R10" s="100"/>
      <c r="S10" s="100"/>
    </row>
    <row r="11" spans="2:19" ht="105" customHeight="1" x14ac:dyDescent="0.2">
      <c r="B11" s="255" t="s">
        <v>85</v>
      </c>
      <c r="C11" s="255"/>
      <c r="D11" s="255"/>
      <c r="E11" s="255"/>
      <c r="F11" s="255"/>
      <c r="G11" s="255"/>
      <c r="H11" s="255"/>
      <c r="O11" s="100"/>
      <c r="P11" s="100"/>
      <c r="Q11" s="100"/>
      <c r="R11" s="100"/>
      <c r="S11" s="100"/>
    </row>
    <row r="12" spans="2:19" x14ac:dyDescent="0.2">
      <c r="B12" s="122"/>
      <c r="C12" s="122"/>
      <c r="D12" s="122"/>
      <c r="E12" s="122"/>
      <c r="F12" s="122"/>
      <c r="G12" s="122"/>
      <c r="H12" s="122"/>
      <c r="O12" s="100"/>
      <c r="P12" s="100"/>
      <c r="Q12" s="100"/>
      <c r="R12" s="100"/>
      <c r="S12" s="100"/>
    </row>
    <row r="13" spans="2:19" x14ac:dyDescent="0.2">
      <c r="O13" s="100"/>
      <c r="P13" s="100"/>
      <c r="Q13" s="100"/>
      <c r="R13" s="100"/>
      <c r="S13" s="100"/>
    </row>
    <row r="14" spans="2:19" x14ac:dyDescent="0.2">
      <c r="B14" s="123" t="s">
        <v>35</v>
      </c>
      <c r="C14" s="98"/>
      <c r="D14" s="98"/>
      <c r="E14" s="98"/>
      <c r="F14" s="98"/>
      <c r="G14" s="98"/>
      <c r="H14" s="98"/>
      <c r="O14" s="100"/>
      <c r="P14" s="100"/>
      <c r="Q14" s="100"/>
      <c r="R14" s="100"/>
      <c r="S14" s="100"/>
    </row>
    <row r="15" spans="2:19" x14ac:dyDescent="0.2">
      <c r="B15" s="254"/>
      <c r="C15" s="254"/>
      <c r="D15" s="254"/>
      <c r="E15" s="254"/>
      <c r="F15" s="254"/>
      <c r="G15" s="254"/>
      <c r="H15" s="254"/>
    </row>
    <row r="16" spans="2:19" ht="129" customHeight="1" x14ac:dyDescent="0.2">
      <c r="B16" s="256" t="s">
        <v>143</v>
      </c>
      <c r="C16" s="257"/>
      <c r="D16" s="257"/>
      <c r="E16" s="257"/>
      <c r="F16" s="257"/>
      <c r="G16" s="257"/>
      <c r="H16" s="257"/>
      <c r="I16" s="100"/>
    </row>
    <row r="17" spans="2:9" x14ac:dyDescent="0.2">
      <c r="B17" s="125"/>
      <c r="C17" s="125"/>
      <c r="D17" s="125"/>
      <c r="E17" s="125"/>
      <c r="F17" s="125"/>
      <c r="G17" s="125"/>
      <c r="H17" s="125"/>
    </row>
    <row r="18" spans="2:9" x14ac:dyDescent="0.2">
      <c r="B18" s="126"/>
      <c r="C18" s="126"/>
      <c r="D18" s="126"/>
      <c r="E18" s="126"/>
      <c r="F18" s="126"/>
      <c r="G18" s="126"/>
      <c r="H18" s="126"/>
    </row>
    <row r="19" spans="2:9" x14ac:dyDescent="0.2">
      <c r="B19" s="123" t="s">
        <v>43</v>
      </c>
      <c r="C19" s="98"/>
      <c r="D19" s="98"/>
      <c r="E19" s="98"/>
      <c r="F19" s="98"/>
      <c r="G19" s="98"/>
      <c r="H19" s="98"/>
    </row>
    <row r="20" spans="2:9" x14ac:dyDescent="0.2">
      <c r="B20" s="254"/>
      <c r="C20" s="254"/>
      <c r="D20" s="254"/>
      <c r="E20" s="254"/>
      <c r="F20" s="254"/>
      <c r="G20" s="254"/>
      <c r="H20" s="254"/>
    </row>
    <row r="21" spans="2:9" x14ac:dyDescent="0.2">
      <c r="B21" s="265" t="s">
        <v>65</v>
      </c>
      <c r="C21" s="265"/>
      <c r="D21" s="265"/>
      <c r="E21" s="265"/>
      <c r="F21" s="265"/>
      <c r="G21" s="265"/>
      <c r="H21" s="265"/>
    </row>
    <row r="22" spans="2:9" x14ac:dyDescent="0.2">
      <c r="B22" s="257"/>
      <c r="C22" s="257"/>
      <c r="D22" s="257"/>
      <c r="E22" s="257"/>
      <c r="F22" s="257"/>
      <c r="G22" s="257"/>
      <c r="H22" s="257"/>
    </row>
    <row r="23" spans="2:9" x14ac:dyDescent="0.2">
      <c r="B23" s="257"/>
      <c r="C23" s="266"/>
      <c r="D23" s="266"/>
      <c r="E23" s="266"/>
      <c r="F23" s="266"/>
      <c r="G23" s="266"/>
      <c r="H23" s="266"/>
    </row>
    <row r="24" spans="2:9" x14ac:dyDescent="0.2">
      <c r="B24" s="124"/>
      <c r="C24" s="124"/>
      <c r="D24" s="124"/>
      <c r="E24" s="124"/>
      <c r="F24" s="124"/>
      <c r="G24" s="124"/>
      <c r="H24" s="124"/>
    </row>
    <row r="25" spans="2:9" x14ac:dyDescent="0.2">
      <c r="B25" s="254"/>
      <c r="C25" s="254"/>
      <c r="D25" s="254"/>
      <c r="E25" s="254"/>
      <c r="F25" s="254"/>
      <c r="G25" s="254"/>
      <c r="H25" s="254"/>
    </row>
    <row r="26" spans="2:9" x14ac:dyDescent="0.2">
      <c r="B26" s="125"/>
      <c r="C26" s="125"/>
      <c r="D26" s="125"/>
      <c r="E26" s="125"/>
      <c r="F26" s="125"/>
      <c r="G26" s="125"/>
      <c r="H26" s="125"/>
    </row>
    <row r="27" spans="2:9" x14ac:dyDescent="0.2">
      <c r="B27" s="125"/>
      <c r="C27" s="125"/>
      <c r="D27" s="125"/>
      <c r="E27" s="125"/>
      <c r="F27" s="125"/>
      <c r="G27" s="125"/>
      <c r="H27" s="125"/>
    </row>
    <row r="28" spans="2:9" x14ac:dyDescent="0.2">
      <c r="B28" s="125"/>
      <c r="C28" s="125"/>
      <c r="D28" s="125"/>
      <c r="E28" s="125"/>
      <c r="F28" s="125"/>
      <c r="G28" s="125"/>
      <c r="H28" s="125"/>
    </row>
    <row r="29" spans="2:9" x14ac:dyDescent="0.2">
      <c r="B29" s="125"/>
      <c r="C29" s="125"/>
      <c r="D29" s="125"/>
      <c r="E29" s="125"/>
      <c r="F29" s="125"/>
      <c r="G29" s="125"/>
      <c r="H29" s="125"/>
    </row>
    <row r="30" spans="2:9" x14ac:dyDescent="0.2">
      <c r="B30" s="127"/>
      <c r="C30" s="127"/>
      <c r="D30" s="127"/>
      <c r="E30" s="127"/>
      <c r="F30" s="127"/>
      <c r="G30" s="127"/>
      <c r="H30" s="127"/>
      <c r="I30" s="100"/>
    </row>
    <row r="31" spans="2:9" x14ac:dyDescent="0.2">
      <c r="B31" s="123" t="s">
        <v>6</v>
      </c>
    </row>
    <row r="32" spans="2:9" x14ac:dyDescent="0.2">
      <c r="B32" s="128" t="s">
        <v>14</v>
      </c>
      <c r="C32" s="129" t="s">
        <v>30</v>
      </c>
      <c r="D32" s="129"/>
      <c r="E32" s="129"/>
      <c r="F32" s="129"/>
      <c r="G32" s="129"/>
      <c r="H32" s="129"/>
    </row>
    <row r="33" spans="2:8" x14ac:dyDescent="0.2">
      <c r="B33" s="130" t="s">
        <v>45</v>
      </c>
      <c r="C33" s="129" t="s">
        <v>51</v>
      </c>
      <c r="D33" s="129"/>
      <c r="E33" s="129"/>
      <c r="F33" s="129"/>
      <c r="G33" s="129"/>
      <c r="H33" s="129"/>
    </row>
    <row r="34" spans="2:8" x14ac:dyDescent="0.2">
      <c r="B34" s="130" t="s">
        <v>46</v>
      </c>
      <c r="C34" s="129" t="s">
        <v>52</v>
      </c>
      <c r="D34" s="129"/>
      <c r="E34" s="129"/>
      <c r="F34" s="129"/>
      <c r="G34" s="129"/>
      <c r="H34" s="129"/>
    </row>
    <row r="35" spans="2:8" x14ac:dyDescent="0.2">
      <c r="B35" s="130" t="s">
        <v>15</v>
      </c>
      <c r="C35" s="129" t="s">
        <v>31</v>
      </c>
      <c r="D35" s="129"/>
      <c r="E35" s="129"/>
      <c r="F35" s="129"/>
      <c r="G35" s="129"/>
      <c r="H35" s="129"/>
    </row>
    <row r="38" spans="2:8" x14ac:dyDescent="0.2">
      <c r="B38" s="123" t="s">
        <v>36</v>
      </c>
      <c r="C38" s="98"/>
      <c r="D38" s="98"/>
      <c r="E38" s="98"/>
      <c r="F38" s="98"/>
      <c r="G38" s="98"/>
      <c r="H38" s="98"/>
    </row>
    <row r="40" spans="2:8" x14ac:dyDescent="0.2">
      <c r="B40" s="131"/>
      <c r="C40" s="132" t="s">
        <v>37</v>
      </c>
      <c r="D40" s="132" t="s">
        <v>38</v>
      </c>
      <c r="E40" s="132" t="s">
        <v>39</v>
      </c>
      <c r="F40" s="132" t="s">
        <v>41</v>
      </c>
      <c r="G40" s="132" t="s">
        <v>40</v>
      </c>
      <c r="H40" s="133" t="s">
        <v>1</v>
      </c>
    </row>
    <row r="41" spans="2:8" x14ac:dyDescent="0.2">
      <c r="C41" s="134"/>
      <c r="D41" s="134"/>
      <c r="E41" s="134"/>
      <c r="F41" s="134"/>
      <c r="G41" s="134"/>
      <c r="H41" s="134"/>
    </row>
    <row r="42" spans="2:8" x14ac:dyDescent="0.2">
      <c r="B42" s="197" t="s">
        <v>99</v>
      </c>
      <c r="C42" s="135">
        <f>'Forecast Revenue - Costs'!D29</f>
        <v>10321.106334342776</v>
      </c>
      <c r="D42" s="135">
        <f>'Forecast Revenue - Costs'!E29</f>
        <v>10733.950587716487</v>
      </c>
      <c r="E42" s="135">
        <f>'Forecast Revenue - Costs'!F29</f>
        <v>11264.130661807698</v>
      </c>
      <c r="F42" s="135">
        <f>'Forecast Revenue - Costs'!G29</f>
        <v>11937.621783584556</v>
      </c>
      <c r="G42" s="135">
        <f>'Forecast Revenue - Costs'!H29</f>
        <v>12761.44579130001</v>
      </c>
      <c r="H42" s="135">
        <f>SUM(C42:G42)</f>
        <v>57018.255158751519</v>
      </c>
    </row>
    <row r="43" spans="2:8" x14ac:dyDescent="0.2">
      <c r="C43" s="136"/>
      <c r="D43" s="137"/>
      <c r="E43" s="136"/>
      <c r="F43" s="136"/>
      <c r="G43" s="136"/>
    </row>
    <row r="44" spans="2:8" x14ac:dyDescent="0.2">
      <c r="B44" s="197" t="s">
        <v>100</v>
      </c>
      <c r="C44" s="135">
        <f>SUM('Forecast Revenue - Costs'!D30:D32)</f>
        <v>7528.6733080799031</v>
      </c>
      <c r="D44" s="135">
        <f>SUM('Forecast Revenue - Costs'!E30:E32)</f>
        <v>7829.8202404030981</v>
      </c>
      <c r="E44" s="135">
        <f>SUM('Forecast Revenue - Costs'!F30:F32)</f>
        <v>8216.5571310990799</v>
      </c>
      <c r="F44" s="135">
        <f>SUM('Forecast Revenue - Costs'!G30:G32)</f>
        <v>8707.8314642467303</v>
      </c>
      <c r="G44" s="135">
        <f>SUM('Forecast Revenue - Costs'!H30:H32)</f>
        <v>9308.7652804990648</v>
      </c>
      <c r="H44" s="135">
        <f>SUM(C44:G44)</f>
        <v>41591.647424327879</v>
      </c>
    </row>
    <row r="45" spans="2:8" x14ac:dyDescent="0.2">
      <c r="C45" s="136"/>
      <c r="D45" s="137"/>
      <c r="E45" s="136"/>
      <c r="F45" s="136"/>
      <c r="G45" s="136"/>
    </row>
    <row r="46" spans="2:8" x14ac:dyDescent="0.2">
      <c r="B46" s="197" t="s">
        <v>101</v>
      </c>
      <c r="C46" s="135">
        <f t="shared" ref="C46:H46" si="0">+C42+C44</f>
        <v>17849.77964242268</v>
      </c>
      <c r="D46" s="135">
        <f t="shared" si="0"/>
        <v>18563.770828119585</v>
      </c>
      <c r="E46" s="135">
        <f t="shared" si="0"/>
        <v>19480.687792906778</v>
      </c>
      <c r="F46" s="135">
        <f t="shared" si="0"/>
        <v>20645.453247831287</v>
      </c>
      <c r="G46" s="135">
        <f t="shared" si="0"/>
        <v>22070.211071799073</v>
      </c>
      <c r="H46" s="135">
        <f t="shared" si="0"/>
        <v>98609.902583079398</v>
      </c>
    </row>
    <row r="47" spans="2:8" x14ac:dyDescent="0.2">
      <c r="C47" s="138"/>
      <c r="D47" s="138"/>
      <c r="E47" s="138"/>
      <c r="F47" s="138"/>
      <c r="G47" s="138"/>
    </row>
    <row r="48" spans="2:8" x14ac:dyDescent="0.2">
      <c r="B48" s="139" t="s">
        <v>6</v>
      </c>
    </row>
    <row r="49" spans="2:9" ht="14.25" customHeight="1" x14ac:dyDescent="0.2">
      <c r="B49" s="264"/>
      <c r="C49" s="264"/>
      <c r="D49" s="264"/>
      <c r="E49" s="264"/>
      <c r="F49" s="264"/>
      <c r="G49" s="264"/>
      <c r="H49" s="264"/>
    </row>
    <row r="50" spans="2:9" x14ac:dyDescent="0.2">
      <c r="B50" s="254"/>
      <c r="C50" s="254"/>
      <c r="D50" s="254"/>
      <c r="E50" s="254"/>
      <c r="F50" s="254"/>
      <c r="G50" s="254"/>
      <c r="H50" s="254"/>
      <c r="I50" s="100"/>
    </row>
    <row r="51" spans="2:9" ht="27.75" customHeight="1" x14ac:dyDescent="0.2">
      <c r="B51" s="254"/>
      <c r="C51" s="254"/>
      <c r="D51" s="254"/>
      <c r="E51" s="254"/>
      <c r="F51" s="254"/>
      <c r="G51" s="254"/>
      <c r="H51" s="254"/>
    </row>
    <row r="54" spans="2:9" x14ac:dyDescent="0.2">
      <c r="B54" s="123" t="s">
        <v>86</v>
      </c>
      <c r="C54" s="98"/>
      <c r="D54" s="98"/>
      <c r="E54" s="98"/>
      <c r="F54" s="98"/>
      <c r="G54" s="98"/>
      <c r="H54" s="98"/>
    </row>
    <row r="55" spans="2:9" x14ac:dyDescent="0.2">
      <c r="B55" s="140"/>
    </row>
    <row r="56" spans="2:9" x14ac:dyDescent="0.2">
      <c r="B56" s="141"/>
      <c r="C56" s="142" t="s">
        <v>37</v>
      </c>
      <c r="D56" s="142" t="s">
        <v>38</v>
      </c>
      <c r="E56" s="142" t="s">
        <v>39</v>
      </c>
      <c r="F56" s="142" t="s">
        <v>41</v>
      </c>
      <c r="G56" s="142" t="s">
        <v>40</v>
      </c>
      <c r="H56" s="143" t="s">
        <v>1</v>
      </c>
    </row>
    <row r="57" spans="2:9" x14ac:dyDescent="0.2">
      <c r="C57" s="144"/>
      <c r="D57" s="144"/>
      <c r="E57" s="144"/>
      <c r="F57" s="144"/>
      <c r="G57" s="144"/>
      <c r="H57" s="144"/>
    </row>
    <row r="58" spans="2:9" x14ac:dyDescent="0.2">
      <c r="B58" s="141" t="s">
        <v>12</v>
      </c>
      <c r="C58" s="145">
        <f>'Forecast Revenue - Costs'!D12</f>
        <v>52</v>
      </c>
      <c r="D58" s="145">
        <f>'Forecast Revenue - Costs'!E12</f>
        <v>54.08</v>
      </c>
      <c r="E58" s="145">
        <f>'Forecast Revenue - Costs'!F12</f>
        <v>56.243200000000002</v>
      </c>
      <c r="F58" s="145">
        <f>'Forecast Revenue - Costs'!G12</f>
        <v>58.492927999999999</v>
      </c>
      <c r="G58" s="145">
        <f>'Forecast Revenue - Costs'!H12</f>
        <v>60.832645120000002</v>
      </c>
      <c r="H58" s="145">
        <f>SUM(C58:G58)</f>
        <v>281.64877311999999</v>
      </c>
    </row>
    <row r="59" spans="2:9" x14ac:dyDescent="0.2">
      <c r="C59" s="146"/>
      <c r="D59" s="146"/>
      <c r="E59" s="146"/>
      <c r="F59" s="146"/>
      <c r="G59" s="146"/>
      <c r="H59" s="147"/>
    </row>
  </sheetData>
  <mergeCells count="13">
    <mergeCell ref="B49:H51"/>
    <mergeCell ref="B20:H20"/>
    <mergeCell ref="B21:H21"/>
    <mergeCell ref="B22:H22"/>
    <mergeCell ref="B23:H23"/>
    <mergeCell ref="B25:H25"/>
    <mergeCell ref="C3:H3"/>
    <mergeCell ref="B15:H15"/>
    <mergeCell ref="B11:H11"/>
    <mergeCell ref="B16:H16"/>
    <mergeCell ref="C4:D4"/>
    <mergeCell ref="C9:D9"/>
    <mergeCell ref="B7:B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41" customWidth="1"/>
    <col min="3" max="3" width="10.140625" style="41" customWidth="1"/>
    <col min="4" max="9" width="13.140625" style="41" customWidth="1"/>
    <col min="10" max="11" width="9.140625" style="41"/>
    <col min="12" max="12" width="5.28515625" style="41" customWidth="1"/>
    <col min="13" max="13" width="2.42578125" style="1" customWidth="1"/>
    <col min="14" max="16384" width="9.140625" style="1"/>
  </cols>
  <sheetData>
    <row r="1" spans="2:14" ht="9" customHeight="1" x14ac:dyDescent="0.2"/>
    <row r="2" spans="2:14" ht="18" customHeight="1" x14ac:dyDescent="0.2">
      <c r="B2" s="38" t="s">
        <v>16</v>
      </c>
      <c r="C2" s="38"/>
      <c r="D2" s="38"/>
      <c r="E2" s="38"/>
      <c r="F2" s="38"/>
      <c r="G2" s="38"/>
      <c r="H2" s="38"/>
      <c r="I2" s="38"/>
      <c r="J2" s="38"/>
      <c r="K2" s="38"/>
    </row>
    <row r="3" spans="2:14" x14ac:dyDescent="0.2">
      <c r="B3" s="26" t="s">
        <v>0</v>
      </c>
      <c r="C3" s="39"/>
      <c r="D3" s="269" t="str">
        <f>'AER Summary'!C3</f>
        <v>Unplanned Outage -  Site Attendance - Retailer planned interruption impacting non retailer customer - (NEW)</v>
      </c>
      <c r="E3" s="270"/>
      <c r="F3" s="270"/>
      <c r="G3" s="270"/>
      <c r="H3" s="270"/>
      <c r="I3" s="270"/>
      <c r="J3" s="270"/>
      <c r="K3" s="270"/>
      <c r="N3" s="24"/>
    </row>
    <row r="4" spans="2:14" x14ac:dyDescent="0.2">
      <c r="N4" s="24"/>
    </row>
    <row r="5" spans="2:14" x14ac:dyDescent="0.2">
      <c r="B5" s="271" t="s">
        <v>17</v>
      </c>
      <c r="C5" s="271"/>
      <c r="D5" s="271"/>
      <c r="E5" s="271"/>
      <c r="F5" s="271"/>
      <c r="G5" s="271"/>
      <c r="H5" s="271"/>
      <c r="I5" s="271"/>
      <c r="J5" s="271"/>
      <c r="K5" s="271"/>
      <c r="N5" s="24"/>
    </row>
    <row r="6" spans="2:14" ht="45" customHeight="1" x14ac:dyDescent="0.2">
      <c r="B6" s="272" t="s">
        <v>66</v>
      </c>
      <c r="C6" s="273"/>
      <c r="D6" s="273"/>
      <c r="E6" s="273"/>
      <c r="F6" s="273"/>
      <c r="G6" s="273"/>
      <c r="H6" s="273"/>
      <c r="I6" s="273"/>
      <c r="J6" s="273"/>
      <c r="K6" s="273"/>
      <c r="N6" s="24"/>
    </row>
    <row r="9" spans="2:14" x14ac:dyDescent="0.2">
      <c r="B9" s="271" t="s">
        <v>44</v>
      </c>
      <c r="C9" s="271"/>
      <c r="D9" s="271"/>
      <c r="E9" s="271"/>
      <c r="F9" s="271"/>
      <c r="G9" s="271"/>
      <c r="H9" s="271"/>
      <c r="I9" s="271"/>
      <c r="J9" s="271"/>
      <c r="K9" s="271"/>
    </row>
    <row r="10" spans="2:14" ht="15" customHeight="1" x14ac:dyDescent="0.2">
      <c r="B10" s="268" t="s">
        <v>67</v>
      </c>
      <c r="C10" s="268"/>
      <c r="D10" s="268"/>
      <c r="E10" s="268"/>
      <c r="F10" s="268"/>
      <c r="G10" s="268"/>
      <c r="H10" s="268"/>
      <c r="I10" s="268"/>
      <c r="J10" s="268"/>
      <c r="K10" s="268"/>
    </row>
    <row r="11" spans="2:14" ht="24.75" customHeight="1" x14ac:dyDescent="0.2">
      <c r="B11" s="274"/>
      <c r="C11" s="274"/>
      <c r="D11" s="274"/>
      <c r="E11" s="274"/>
      <c r="F11" s="274"/>
      <c r="G11" s="274"/>
      <c r="H11" s="274"/>
      <c r="I11" s="274"/>
      <c r="J11" s="274"/>
      <c r="K11" s="274"/>
      <c r="L11" s="43"/>
      <c r="M11" s="25"/>
      <c r="N11" s="25"/>
    </row>
    <row r="12" spans="2:14" x14ac:dyDescent="0.2">
      <c r="B12" s="274"/>
      <c r="C12" s="274"/>
      <c r="D12" s="274"/>
      <c r="E12" s="274"/>
      <c r="F12" s="274"/>
      <c r="G12" s="274"/>
      <c r="H12" s="274"/>
      <c r="I12" s="274"/>
      <c r="J12" s="274"/>
      <c r="K12" s="274"/>
      <c r="L12" s="43"/>
      <c r="M12" s="25"/>
      <c r="N12" s="25"/>
    </row>
    <row r="13" spans="2:14" x14ac:dyDescent="0.2">
      <c r="B13" s="274"/>
      <c r="C13" s="274"/>
      <c r="D13" s="274"/>
      <c r="E13" s="274"/>
      <c r="F13" s="274"/>
      <c r="G13" s="274"/>
      <c r="H13" s="274"/>
      <c r="I13" s="274"/>
      <c r="J13" s="274"/>
      <c r="K13" s="274"/>
      <c r="L13" s="43"/>
      <c r="M13" s="25"/>
      <c r="N13" s="25"/>
    </row>
    <row r="14" spans="2:14" ht="48" customHeight="1" x14ac:dyDescent="0.2">
      <c r="B14" s="274"/>
      <c r="C14" s="274"/>
      <c r="D14" s="274"/>
      <c r="E14" s="274"/>
      <c r="F14" s="274"/>
      <c r="G14" s="274"/>
      <c r="H14" s="274"/>
      <c r="I14" s="274"/>
      <c r="J14" s="274"/>
      <c r="K14" s="274"/>
      <c r="L14" s="43"/>
      <c r="M14" s="25"/>
      <c r="N14" s="25"/>
    </row>
    <row r="15" spans="2:14" x14ac:dyDescent="0.2">
      <c r="B15" s="274"/>
      <c r="C15" s="274"/>
      <c r="D15" s="274"/>
      <c r="E15" s="274"/>
      <c r="F15" s="274"/>
      <c r="G15" s="274"/>
      <c r="H15" s="274"/>
      <c r="I15" s="274"/>
      <c r="J15" s="274"/>
      <c r="K15" s="274"/>
      <c r="L15" s="43"/>
      <c r="M15" s="25"/>
      <c r="N15" s="25"/>
    </row>
    <row r="16" spans="2:14" x14ac:dyDescent="0.2">
      <c r="B16" s="274"/>
      <c r="C16" s="274"/>
      <c r="D16" s="274"/>
      <c r="E16" s="274"/>
      <c r="F16" s="274"/>
      <c r="G16" s="274"/>
      <c r="H16" s="274"/>
      <c r="I16" s="274"/>
      <c r="J16" s="274"/>
      <c r="K16" s="274"/>
      <c r="L16" s="43"/>
      <c r="M16" s="25"/>
      <c r="N16" s="25"/>
    </row>
    <row r="17" spans="2:14" x14ac:dyDescent="0.2">
      <c r="L17" s="43"/>
      <c r="M17" s="25"/>
      <c r="N17" s="25"/>
    </row>
    <row r="18" spans="2:14" x14ac:dyDescent="0.2">
      <c r="L18" s="43"/>
      <c r="M18" s="25"/>
      <c r="N18" s="25"/>
    </row>
    <row r="19" spans="2:14" x14ac:dyDescent="0.2">
      <c r="B19" s="271" t="s">
        <v>68</v>
      </c>
      <c r="C19" s="271"/>
      <c r="D19" s="271"/>
      <c r="E19" s="271"/>
      <c r="F19" s="271"/>
      <c r="G19" s="271"/>
      <c r="H19" s="271"/>
      <c r="I19" s="271"/>
      <c r="J19" s="271"/>
      <c r="K19" s="271"/>
      <c r="L19" s="43"/>
      <c r="M19" s="25"/>
      <c r="N19" s="25"/>
    </row>
    <row r="20" spans="2:14" ht="113.25" customHeight="1" x14ac:dyDescent="0.2">
      <c r="B20" s="268" t="str">
        <f>'AER Summary'!B11:H11</f>
        <v xml:space="preserve">
Unplanned Outage -  Site Attendance - Retailer planned interruption impacting non retailer customer 
Site attendance by Essential Energy to an unplanned outage. Where it is determined that the un notified customers have been incorrectly isolated by a MC.
Site attendance required by Essential Energy staff to determine the cause of the interruption to un-notified customers.
*Essential Energy will impose an overtime fee for services provided outside the hrs of 7:30am - 4:00pm Mon - Fri (ordinary hrs).
</v>
      </c>
      <c r="C20" s="268"/>
      <c r="D20" s="268"/>
      <c r="E20" s="268"/>
      <c r="F20" s="268"/>
      <c r="G20" s="268"/>
      <c r="H20" s="268"/>
      <c r="I20" s="268"/>
      <c r="J20" s="268"/>
      <c r="K20" s="268"/>
    </row>
    <row r="21" spans="2:14" x14ac:dyDescent="0.2">
      <c r="B21" s="267"/>
      <c r="C21" s="267"/>
      <c r="D21" s="267"/>
      <c r="E21" s="267"/>
      <c r="F21" s="267"/>
      <c r="G21" s="267"/>
      <c r="H21" s="267"/>
      <c r="I21" s="267"/>
      <c r="J21" s="267"/>
      <c r="K21" s="26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I14" sqref="I14"/>
    </sheetView>
  </sheetViews>
  <sheetFormatPr defaultRowHeight="12.75" x14ac:dyDescent="0.2"/>
  <cols>
    <col min="1" max="1" width="3.5703125" style="44" customWidth="1"/>
    <col min="2" max="2" width="58.7109375" style="44" customWidth="1"/>
    <col min="3" max="3" width="65.140625" style="44" customWidth="1"/>
    <col min="4" max="4" width="12.85546875" style="44" customWidth="1"/>
    <col min="5" max="8" width="11.28515625" style="44" customWidth="1"/>
    <col min="9" max="9" width="12.7109375" style="44" customWidth="1"/>
    <col min="10" max="16384" width="9.140625" style="44"/>
  </cols>
  <sheetData>
    <row r="2" spans="1:9" x14ac:dyDescent="0.2">
      <c r="B2" s="40" t="s">
        <v>87</v>
      </c>
      <c r="C2" s="22"/>
      <c r="D2" s="22"/>
      <c r="E2" s="22"/>
      <c r="F2" s="22"/>
      <c r="G2" s="22"/>
      <c r="H2" s="22"/>
      <c r="I2" s="22"/>
    </row>
    <row r="3" spans="1:9" x14ac:dyDescent="0.2">
      <c r="B3" s="15" t="s">
        <v>21</v>
      </c>
      <c r="C3" s="15" t="s">
        <v>3</v>
      </c>
      <c r="D3" s="60" t="s">
        <v>58</v>
      </c>
      <c r="E3" s="60" t="s">
        <v>57</v>
      </c>
      <c r="F3" s="60" t="s">
        <v>56</v>
      </c>
      <c r="G3" s="165" t="s">
        <v>95</v>
      </c>
      <c r="H3" s="165" t="s">
        <v>96</v>
      </c>
      <c r="I3" s="16" t="s">
        <v>1</v>
      </c>
    </row>
    <row r="4" spans="1:9" x14ac:dyDescent="0.2">
      <c r="B4" s="4" t="s">
        <v>22</v>
      </c>
      <c r="C4" s="4" t="s">
        <v>88</v>
      </c>
      <c r="D4" s="89"/>
      <c r="E4" s="89"/>
      <c r="F4" s="89"/>
      <c r="G4" s="89"/>
      <c r="H4" s="89"/>
      <c r="I4" s="198">
        <f>SUM(D4:H4)</f>
        <v>0</v>
      </c>
    </row>
    <row r="5" spans="1:9" x14ac:dyDescent="0.2">
      <c r="B5" s="4" t="s">
        <v>24</v>
      </c>
      <c r="C5" s="7"/>
      <c r="D5" s="89"/>
      <c r="E5" s="89"/>
      <c r="F5" s="89"/>
      <c r="G5" s="89"/>
      <c r="H5" s="89"/>
      <c r="I5" s="198">
        <f t="shared" ref="I5:I8" si="0">SUM(D5:H5)</f>
        <v>0</v>
      </c>
    </row>
    <row r="6" spans="1:9" x14ac:dyDescent="0.2">
      <c r="B6" s="4" t="s">
        <v>25</v>
      </c>
      <c r="C6" s="4"/>
      <c r="D6" s="89">
        <v>0</v>
      </c>
      <c r="E6" s="89">
        <v>0</v>
      </c>
      <c r="F6" s="89">
        <v>0</v>
      </c>
      <c r="G6" s="89">
        <v>0</v>
      </c>
      <c r="H6" s="89">
        <v>0</v>
      </c>
      <c r="I6" s="198">
        <f t="shared" si="0"/>
        <v>0</v>
      </c>
    </row>
    <row r="7" spans="1:9" x14ac:dyDescent="0.2">
      <c r="B7" s="4" t="s">
        <v>26</v>
      </c>
      <c r="C7" s="4"/>
      <c r="D7" s="89"/>
      <c r="E7" s="89"/>
      <c r="F7" s="89"/>
      <c r="G7" s="89"/>
      <c r="H7" s="89"/>
      <c r="I7" s="198">
        <f t="shared" si="0"/>
        <v>0</v>
      </c>
    </row>
    <row r="8" spans="1:9" x14ac:dyDescent="0.2">
      <c r="B8" s="4" t="s">
        <v>23</v>
      </c>
      <c r="C8" s="4"/>
      <c r="D8" s="89"/>
      <c r="E8" s="89"/>
      <c r="F8" s="89"/>
      <c r="G8" s="89"/>
      <c r="H8" s="89"/>
      <c r="I8" s="198">
        <f t="shared" si="0"/>
        <v>0</v>
      </c>
    </row>
    <row r="9" spans="1:9" x14ac:dyDescent="0.2">
      <c r="B9" s="52" t="s">
        <v>1</v>
      </c>
      <c r="C9" s="17"/>
      <c r="D9" s="18">
        <f t="shared" ref="D9:I9" si="1">SUM(D4:D8)</f>
        <v>0</v>
      </c>
      <c r="E9" s="18">
        <f t="shared" si="1"/>
        <v>0</v>
      </c>
      <c r="F9" s="18">
        <f t="shared" si="1"/>
        <v>0</v>
      </c>
      <c r="G9" s="18">
        <f t="shared" ref="G9:H9" si="2">SUM(G4:G8)</f>
        <v>0</v>
      </c>
      <c r="H9" s="18">
        <f t="shared" si="2"/>
        <v>0</v>
      </c>
      <c r="I9" s="19">
        <f t="shared" si="1"/>
        <v>0</v>
      </c>
    </row>
    <row r="10" spans="1:9" x14ac:dyDescent="0.2">
      <c r="B10" s="48"/>
      <c r="C10" s="49"/>
      <c r="D10" s="50"/>
      <c r="E10" s="50"/>
      <c r="F10" s="50"/>
      <c r="G10" s="50"/>
      <c r="H10" s="50"/>
      <c r="I10" s="50"/>
    </row>
    <row r="11" spans="1:9" x14ac:dyDescent="0.2">
      <c r="B11" s="51" t="s">
        <v>10</v>
      </c>
      <c r="C11" s="21"/>
      <c r="D11" s="21"/>
      <c r="E11" s="21"/>
      <c r="F11" s="21"/>
      <c r="G11" s="21"/>
      <c r="H11" s="21"/>
      <c r="I11" s="21"/>
    </row>
    <row r="12" spans="1:9" x14ac:dyDescent="0.2">
      <c r="B12" s="53" t="s">
        <v>4</v>
      </c>
      <c r="C12" s="6" t="s">
        <v>9</v>
      </c>
      <c r="D12" s="61" t="s">
        <v>58</v>
      </c>
      <c r="E12" s="61" t="s">
        <v>57</v>
      </c>
      <c r="F12" s="61" t="s">
        <v>56</v>
      </c>
      <c r="G12" s="166" t="s">
        <v>95</v>
      </c>
      <c r="H12" s="166" t="s">
        <v>96</v>
      </c>
      <c r="I12" s="3" t="s">
        <v>1</v>
      </c>
    </row>
    <row r="13" spans="1:9" x14ac:dyDescent="0.2">
      <c r="B13" s="4" t="s">
        <v>20</v>
      </c>
      <c r="C13" s="7" t="s">
        <v>49</v>
      </c>
      <c r="D13" s="90"/>
      <c r="E13" s="90"/>
      <c r="F13" s="90"/>
      <c r="G13" s="90"/>
      <c r="H13" s="90"/>
      <c r="I13" s="199">
        <f>SUM(D13:H13)</f>
        <v>0</v>
      </c>
    </row>
    <row r="14" spans="1:9" x14ac:dyDescent="0.2">
      <c r="B14" s="7"/>
      <c r="C14" s="9"/>
      <c r="D14" s="8"/>
      <c r="E14" s="8"/>
      <c r="F14" s="8"/>
      <c r="G14" s="8"/>
      <c r="H14" s="8"/>
      <c r="I14" s="200">
        <f>SUM(D14:H14)</f>
        <v>0</v>
      </c>
    </row>
    <row r="15" spans="1:9" x14ac:dyDescent="0.2">
      <c r="A15" s="54"/>
      <c r="B15" s="55" t="s">
        <v>53</v>
      </c>
      <c r="C15" s="5"/>
      <c r="D15" s="10">
        <f t="shared" ref="D15:I15" si="3">SUM(D13:D14)</f>
        <v>0</v>
      </c>
      <c r="E15" s="10">
        <f t="shared" si="3"/>
        <v>0</v>
      </c>
      <c r="F15" s="10">
        <f t="shared" si="3"/>
        <v>0</v>
      </c>
      <c r="G15" s="10">
        <f t="shared" ref="G15:H15" si="4">SUM(G13:G14)</f>
        <v>0</v>
      </c>
      <c r="H15" s="10">
        <f t="shared" si="4"/>
        <v>0</v>
      </c>
      <c r="I15" s="10">
        <f t="shared" si="3"/>
        <v>0</v>
      </c>
    </row>
    <row r="17" spans="1:9" x14ac:dyDescent="0.2">
      <c r="A17" s="54"/>
      <c r="B17" s="12" t="s">
        <v>6</v>
      </c>
      <c r="C17" s="1"/>
      <c r="D17" s="11"/>
      <c r="E17" s="11"/>
      <c r="F17" s="11"/>
      <c r="G17" s="11"/>
      <c r="H17" s="11"/>
      <c r="I17" s="11"/>
    </row>
    <row r="18" spans="1:9" x14ac:dyDescent="0.2">
      <c r="B18" s="275" t="s">
        <v>94</v>
      </c>
      <c r="C18" s="276"/>
      <c r="D18" s="276"/>
      <c r="E18" s="276"/>
      <c r="F18" s="276"/>
      <c r="G18" s="276"/>
      <c r="H18" s="276"/>
      <c r="I18" s="276"/>
    </row>
    <row r="19" spans="1:9" x14ac:dyDescent="0.2">
      <c r="B19" s="277"/>
      <c r="C19" s="278"/>
      <c r="D19" s="278"/>
      <c r="E19" s="278"/>
      <c r="F19" s="278"/>
      <c r="G19" s="278"/>
      <c r="H19" s="278"/>
      <c r="I19" s="278"/>
    </row>
    <row r="20" spans="1:9" x14ac:dyDescent="0.2">
      <c r="B20" s="56"/>
      <c r="C20" s="23"/>
      <c r="D20" s="23"/>
      <c r="E20" s="23"/>
      <c r="F20" s="23"/>
      <c r="G20" s="164"/>
      <c r="H20" s="164"/>
      <c r="I20" s="23"/>
    </row>
    <row r="21" spans="1:9" x14ac:dyDescent="0.2">
      <c r="B21" s="1"/>
      <c r="C21" s="1"/>
      <c r="D21" s="11"/>
      <c r="E21" s="11"/>
      <c r="F21" s="11"/>
      <c r="G21" s="11"/>
      <c r="H21" s="11"/>
      <c r="I21" s="11"/>
    </row>
    <row r="22" spans="1:9" x14ac:dyDescent="0.2">
      <c r="B22" s="51" t="s">
        <v>91</v>
      </c>
      <c r="C22" s="21"/>
      <c r="D22" s="21"/>
      <c r="E22" s="21"/>
      <c r="F22" s="21"/>
      <c r="G22" s="21"/>
      <c r="H22" s="21"/>
      <c r="I22" s="21"/>
    </row>
    <row r="23" spans="1:9" x14ac:dyDescent="0.2">
      <c r="B23" s="1"/>
      <c r="C23" s="1"/>
      <c r="D23" s="1"/>
      <c r="E23" s="1"/>
      <c r="F23" s="1"/>
      <c r="G23" s="1"/>
      <c r="H23" s="1"/>
      <c r="I23" s="1"/>
    </row>
    <row r="24" spans="1:9" x14ac:dyDescent="0.2">
      <c r="B24" s="57" t="s">
        <v>11</v>
      </c>
      <c r="C24" s="13"/>
      <c r="D24" s="13"/>
      <c r="E24" s="13"/>
      <c r="F24" s="13"/>
      <c r="G24" s="13"/>
      <c r="H24" s="13"/>
      <c r="I24" s="13"/>
    </row>
    <row r="25" spans="1:9" x14ac:dyDescent="0.2">
      <c r="B25" s="279"/>
      <c r="C25" s="280"/>
      <c r="D25" s="280"/>
      <c r="E25" s="280"/>
      <c r="F25" s="280"/>
      <c r="G25" s="280"/>
      <c r="H25" s="280"/>
      <c r="I25" s="280"/>
    </row>
    <row r="26" spans="1:9" x14ac:dyDescent="0.2">
      <c r="B26" s="281"/>
      <c r="C26" s="282"/>
      <c r="D26" s="282"/>
      <c r="E26" s="282"/>
      <c r="F26" s="282"/>
      <c r="G26" s="282"/>
      <c r="H26" s="282"/>
      <c r="I26" s="282"/>
    </row>
    <row r="27" spans="1:9" x14ac:dyDescent="0.2">
      <c r="B27" s="58"/>
      <c r="C27" s="14"/>
      <c r="D27" s="14"/>
      <c r="E27" s="14"/>
      <c r="F27" s="14"/>
      <c r="G27" s="14"/>
      <c r="H27" s="14"/>
      <c r="I27" s="14"/>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9" sqref="I9"/>
    </sheetView>
  </sheetViews>
  <sheetFormatPr defaultRowHeight="12.75" x14ac:dyDescent="0.2"/>
  <cols>
    <col min="1" max="1" width="3.140625" style="169" customWidth="1"/>
    <col min="2" max="2" width="80" style="169" bestFit="1" customWidth="1"/>
    <col min="3" max="3" width="49.7109375" style="169" customWidth="1"/>
    <col min="4" max="4" width="12.85546875" style="169" customWidth="1"/>
    <col min="5" max="8" width="11.28515625" style="169" customWidth="1"/>
    <col min="9" max="9" width="12.7109375" style="169" customWidth="1"/>
    <col min="10" max="16384" width="9.140625" style="169"/>
  </cols>
  <sheetData>
    <row r="2" spans="2:9" x14ac:dyDescent="0.2">
      <c r="B2" s="167" t="s">
        <v>8</v>
      </c>
      <c r="C2" s="168"/>
      <c r="D2" s="168"/>
      <c r="E2" s="168"/>
      <c r="F2" s="168"/>
      <c r="G2" s="168"/>
      <c r="H2" s="168"/>
      <c r="I2" s="168"/>
    </row>
    <row r="3" spans="2:9" x14ac:dyDescent="0.2">
      <c r="B3" s="170"/>
      <c r="C3" s="170"/>
      <c r="D3" s="170"/>
      <c r="E3" s="170"/>
      <c r="F3" s="170"/>
      <c r="G3" s="170"/>
      <c r="H3" s="170"/>
      <c r="I3" s="170"/>
    </row>
    <row r="4" spans="2:9" x14ac:dyDescent="0.2">
      <c r="B4" s="167" t="s">
        <v>2</v>
      </c>
      <c r="C4" s="168"/>
      <c r="D4" s="168"/>
      <c r="E4" s="168"/>
      <c r="F4" s="168"/>
      <c r="G4" s="168"/>
      <c r="H4" s="168"/>
      <c r="I4" s="168"/>
    </row>
    <row r="5" spans="2:9" x14ac:dyDescent="0.2">
      <c r="B5" s="171" t="s">
        <v>89</v>
      </c>
      <c r="C5" s="171" t="s">
        <v>9</v>
      </c>
      <c r="D5" s="172" t="s">
        <v>58</v>
      </c>
      <c r="E5" s="172" t="s">
        <v>57</v>
      </c>
      <c r="F5" s="172" t="s">
        <v>56</v>
      </c>
      <c r="G5" s="173" t="s">
        <v>95</v>
      </c>
      <c r="H5" s="173" t="s">
        <v>96</v>
      </c>
      <c r="I5" s="174" t="s">
        <v>1</v>
      </c>
    </row>
    <row r="6" spans="2:9" ht="13.5" customHeight="1" x14ac:dyDescent="0.2">
      <c r="B6" s="175" t="s">
        <v>65</v>
      </c>
      <c r="C6" s="176"/>
      <c r="D6" s="177"/>
      <c r="E6" s="177"/>
      <c r="F6" s="177"/>
      <c r="G6" s="177"/>
      <c r="H6" s="177"/>
      <c r="I6" s="215">
        <f>SUM(D6:H6)</f>
        <v>0</v>
      </c>
    </row>
    <row r="7" spans="2:9" x14ac:dyDescent="0.2">
      <c r="B7" s="178"/>
      <c r="C7" s="179"/>
      <c r="D7" s="177"/>
      <c r="E7" s="177"/>
      <c r="F7" s="177"/>
      <c r="G7" s="177"/>
      <c r="H7" s="177"/>
      <c r="I7" s="215">
        <f t="shared" ref="I7:I9" si="0">SUM(D7:H7)</f>
        <v>0</v>
      </c>
    </row>
    <row r="8" spans="2:9" x14ac:dyDescent="0.2">
      <c r="B8" s="178"/>
      <c r="C8" s="179"/>
      <c r="D8" s="177"/>
      <c r="E8" s="177"/>
      <c r="F8" s="177"/>
      <c r="G8" s="177"/>
      <c r="H8" s="177"/>
      <c r="I8" s="215">
        <f t="shared" si="0"/>
        <v>0</v>
      </c>
    </row>
    <row r="9" spans="2:9" x14ac:dyDescent="0.2">
      <c r="B9" s="178"/>
      <c r="C9" s="179"/>
      <c r="D9" s="177"/>
      <c r="E9" s="177"/>
      <c r="F9" s="177"/>
      <c r="G9" s="177"/>
      <c r="H9" s="177"/>
      <c r="I9" s="215">
        <f t="shared" si="0"/>
        <v>0</v>
      </c>
    </row>
    <row r="10" spans="2:9" x14ac:dyDescent="0.2">
      <c r="B10" s="180" t="s">
        <v>1</v>
      </c>
      <c r="C10" s="181"/>
      <c r="D10" s="182">
        <f t="shared" ref="D10:I10" si="1">SUM(D6:D9)</f>
        <v>0</v>
      </c>
      <c r="E10" s="182">
        <f t="shared" si="1"/>
        <v>0</v>
      </c>
      <c r="F10" s="182">
        <f t="shared" si="1"/>
        <v>0</v>
      </c>
      <c r="G10" s="182">
        <f t="shared" ref="G10:H10" si="2">SUM(G6:G9)</f>
        <v>0</v>
      </c>
      <c r="H10" s="182">
        <f t="shared" si="2"/>
        <v>0</v>
      </c>
      <c r="I10" s="182">
        <f t="shared" si="1"/>
        <v>0</v>
      </c>
    </row>
    <row r="11" spans="2:9" x14ac:dyDescent="0.2">
      <c r="B11" s="170"/>
      <c r="C11" s="170"/>
      <c r="D11" s="170"/>
      <c r="E11" s="170"/>
      <c r="F11" s="170"/>
      <c r="G11" s="170"/>
      <c r="H11" s="170"/>
      <c r="I11" s="170"/>
    </row>
    <row r="12" spans="2:9" x14ac:dyDescent="0.2">
      <c r="B12" s="167" t="s">
        <v>10</v>
      </c>
      <c r="C12" s="168"/>
      <c r="D12" s="168"/>
      <c r="E12" s="168"/>
      <c r="F12" s="168"/>
      <c r="G12" s="168"/>
      <c r="H12" s="168"/>
      <c r="I12" s="168"/>
    </row>
    <row r="13" spans="2:9" x14ac:dyDescent="0.2">
      <c r="B13" s="171" t="s">
        <v>89</v>
      </c>
      <c r="C13" s="183" t="s">
        <v>9</v>
      </c>
      <c r="D13" s="172" t="s">
        <v>58</v>
      </c>
      <c r="E13" s="172" t="s">
        <v>57</v>
      </c>
      <c r="F13" s="172" t="s">
        <v>56</v>
      </c>
      <c r="G13" s="173" t="s">
        <v>95</v>
      </c>
      <c r="H13" s="173" t="s">
        <v>96</v>
      </c>
      <c r="I13" s="174" t="s">
        <v>1</v>
      </c>
    </row>
    <row r="14" spans="2:9" x14ac:dyDescent="0.2">
      <c r="B14" s="184" t="s">
        <v>20</v>
      </c>
      <c r="C14" s="184"/>
      <c r="D14" s="185"/>
      <c r="E14" s="185"/>
      <c r="F14" s="185"/>
      <c r="G14" s="185"/>
      <c r="H14" s="185"/>
      <c r="I14" s="216">
        <f>SUM(D14:H14)</f>
        <v>0</v>
      </c>
    </row>
    <row r="15" spans="2:9" x14ac:dyDescent="0.2">
      <c r="B15" s="184"/>
      <c r="C15" s="186"/>
      <c r="D15" s="185"/>
      <c r="E15" s="185"/>
      <c r="F15" s="185"/>
      <c r="G15" s="185"/>
      <c r="H15" s="185"/>
      <c r="I15" s="216">
        <f t="shared" ref="I15:I16" si="3">SUM(D15:H15)</f>
        <v>0</v>
      </c>
    </row>
    <row r="16" spans="2:9" x14ac:dyDescent="0.2">
      <c r="B16" s="184"/>
      <c r="C16" s="184"/>
      <c r="D16" s="187"/>
      <c r="E16" s="187"/>
      <c r="F16" s="187"/>
      <c r="G16" s="187"/>
      <c r="H16" s="187"/>
      <c r="I16" s="217">
        <f t="shared" si="3"/>
        <v>0</v>
      </c>
    </row>
    <row r="17" spans="2:9" x14ac:dyDescent="0.2">
      <c r="B17" s="188" t="s">
        <v>18</v>
      </c>
      <c r="C17" s="181"/>
      <c r="D17" s="189">
        <f t="shared" ref="D17:F17" si="4">SUM(D14:D16)</f>
        <v>0</v>
      </c>
      <c r="E17" s="189">
        <f t="shared" si="4"/>
        <v>0</v>
      </c>
      <c r="F17" s="189">
        <f t="shared" si="4"/>
        <v>0</v>
      </c>
      <c r="G17" s="189">
        <f t="shared" ref="G17:H17" si="5">SUM(G14:G16)</f>
        <v>0</v>
      </c>
      <c r="H17" s="189">
        <f t="shared" si="5"/>
        <v>0</v>
      </c>
      <c r="I17" s="189">
        <f>SUM(I14:I16)</f>
        <v>0</v>
      </c>
    </row>
    <row r="18" spans="2:9" x14ac:dyDescent="0.2">
      <c r="B18" s="170"/>
      <c r="C18" s="170"/>
      <c r="D18" s="190"/>
      <c r="E18" s="190"/>
      <c r="F18" s="190"/>
      <c r="G18" s="190"/>
      <c r="H18" s="190"/>
      <c r="I18" s="190"/>
    </row>
    <row r="19" spans="2:9" x14ac:dyDescent="0.2">
      <c r="B19" s="191" t="s">
        <v>6</v>
      </c>
      <c r="C19" s="170"/>
      <c r="D19" s="190"/>
      <c r="E19" s="190"/>
      <c r="F19" s="190"/>
      <c r="G19" s="190"/>
      <c r="H19" s="190"/>
      <c r="I19" s="190"/>
    </row>
    <row r="20" spans="2:9" x14ac:dyDescent="0.2">
      <c r="B20" s="288" t="s">
        <v>93</v>
      </c>
      <c r="C20" s="288"/>
      <c r="D20" s="288"/>
      <c r="E20" s="288"/>
      <c r="F20" s="288"/>
      <c r="G20" s="288"/>
      <c r="H20" s="288"/>
      <c r="I20" s="288"/>
    </row>
    <row r="21" spans="2:9" x14ac:dyDescent="0.2">
      <c r="B21" s="289"/>
      <c r="C21" s="289"/>
      <c r="D21" s="289"/>
      <c r="E21" s="289"/>
      <c r="F21" s="289"/>
      <c r="G21" s="289"/>
      <c r="H21" s="289"/>
      <c r="I21" s="289"/>
    </row>
    <row r="22" spans="2:9" x14ac:dyDescent="0.2">
      <c r="B22" s="170"/>
      <c r="C22" s="170"/>
      <c r="D22" s="190"/>
      <c r="E22" s="190"/>
      <c r="F22" s="190"/>
      <c r="G22" s="190"/>
      <c r="H22" s="190"/>
      <c r="I22" s="190"/>
    </row>
    <row r="23" spans="2:9" x14ac:dyDescent="0.2">
      <c r="B23" s="167" t="s">
        <v>2</v>
      </c>
      <c r="C23" s="168"/>
      <c r="D23" s="168"/>
      <c r="E23" s="168"/>
      <c r="F23" s="168"/>
      <c r="G23" s="168"/>
      <c r="H23" s="168"/>
      <c r="I23" s="168"/>
    </row>
    <row r="24" spans="2:9" x14ac:dyDescent="0.2">
      <c r="B24" s="192" t="s">
        <v>11</v>
      </c>
      <c r="C24" s="193"/>
      <c r="D24" s="193"/>
      <c r="E24" s="193"/>
      <c r="F24" s="193"/>
      <c r="G24" s="193"/>
      <c r="H24" s="193"/>
      <c r="I24" s="193"/>
    </row>
    <row r="25" spans="2:9" x14ac:dyDescent="0.2">
      <c r="B25" s="290"/>
      <c r="C25" s="290"/>
      <c r="D25" s="290"/>
      <c r="E25" s="290"/>
      <c r="F25" s="290"/>
      <c r="G25" s="290"/>
      <c r="H25" s="290"/>
      <c r="I25" s="290"/>
    </row>
    <row r="26" spans="2:9" x14ac:dyDescent="0.2">
      <c r="B26" s="291"/>
      <c r="C26" s="291"/>
      <c r="D26" s="291"/>
      <c r="E26" s="291"/>
      <c r="F26" s="291"/>
      <c r="G26" s="291"/>
      <c r="H26" s="291"/>
      <c r="I26" s="291"/>
    </row>
    <row r="27" spans="2:9" x14ac:dyDescent="0.2">
      <c r="B27" s="194"/>
      <c r="C27" s="195"/>
      <c r="D27" s="195"/>
      <c r="E27" s="195"/>
      <c r="F27" s="195"/>
      <c r="G27" s="195"/>
      <c r="H27" s="195"/>
      <c r="I27" s="195"/>
    </row>
  </sheetData>
  <mergeCells count="2">
    <mergeCell ref="B20:I21"/>
    <mergeCell ref="B25:I26"/>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R45"/>
  <sheetViews>
    <sheetView showGridLines="0" zoomScale="90" zoomScaleNormal="90" workbookViewId="0">
      <selection activeCell="B36" sqref="B36"/>
    </sheetView>
  </sheetViews>
  <sheetFormatPr defaultRowHeight="12.75" x14ac:dyDescent="0.2"/>
  <cols>
    <col min="1" max="1" width="2.28515625" style="1" customWidth="1"/>
    <col min="2" max="2" width="93.5703125" style="1" customWidth="1"/>
    <col min="3" max="3" width="15.140625" style="74" bestFit="1" customWidth="1"/>
    <col min="4" max="4" width="9.140625" style="85"/>
    <col min="5" max="5" width="9.140625" style="71"/>
    <col min="6" max="6" width="9.140625" style="81"/>
    <col min="7" max="7" width="10.140625" style="81" customWidth="1"/>
    <col min="8" max="14" width="9.140625" style="81"/>
    <col min="15" max="15" width="9.140625" style="1"/>
    <col min="16" max="17" width="9.140625" style="36"/>
    <col min="18" max="18" width="2.85546875" style="1" customWidth="1"/>
    <col min="19" max="19" width="9.140625" style="1" customWidth="1"/>
    <col min="20" max="16384" width="9.140625" style="1"/>
  </cols>
  <sheetData>
    <row r="2" spans="1:18" x14ac:dyDescent="0.2">
      <c r="B2" s="201" t="s">
        <v>54</v>
      </c>
      <c r="C2" s="202"/>
      <c r="D2" s="202"/>
      <c r="E2" s="202"/>
      <c r="F2" s="202"/>
      <c r="G2" s="202"/>
      <c r="H2" s="286" t="s">
        <v>102</v>
      </c>
      <c r="I2" s="286"/>
      <c r="J2" s="286"/>
      <c r="K2" s="286"/>
      <c r="L2" s="286"/>
      <c r="M2" s="286"/>
      <c r="N2" s="286"/>
      <c r="O2" s="286"/>
      <c r="P2" s="286"/>
      <c r="Q2" s="286"/>
      <c r="R2" s="88"/>
    </row>
    <row r="3" spans="1:18" ht="15.75" x14ac:dyDescent="0.25">
      <c r="B3" s="59" t="s">
        <v>75</v>
      </c>
      <c r="C3" s="42"/>
      <c r="D3" s="82"/>
      <c r="E3" s="66"/>
      <c r="F3" s="75"/>
      <c r="G3" s="75"/>
      <c r="H3" s="287" t="s">
        <v>103</v>
      </c>
      <c r="I3" s="287"/>
      <c r="J3" s="287"/>
      <c r="K3" s="287"/>
      <c r="L3" s="287"/>
      <c r="M3" s="287"/>
      <c r="N3" s="287"/>
      <c r="O3" s="287"/>
      <c r="P3" s="287"/>
      <c r="Q3" s="287"/>
      <c r="R3" s="88"/>
    </row>
    <row r="4" spans="1:18" s="25" customFormat="1" ht="3" customHeight="1" x14ac:dyDescent="0.2">
      <c r="B4" s="27"/>
      <c r="C4" s="72"/>
      <c r="D4" s="83"/>
      <c r="E4" s="67"/>
      <c r="F4" s="76"/>
      <c r="G4" s="76"/>
      <c r="H4" s="76"/>
      <c r="I4" s="76"/>
      <c r="J4" s="76"/>
      <c r="K4" s="76"/>
      <c r="L4" s="76"/>
      <c r="M4" s="76"/>
      <c r="N4" s="76"/>
      <c r="O4" s="27"/>
      <c r="P4" s="27"/>
      <c r="Q4" s="27"/>
    </row>
    <row r="5" spans="1:18" ht="76.5" x14ac:dyDescent="0.2">
      <c r="B5" s="28" t="s">
        <v>19</v>
      </c>
      <c r="C5" s="28" t="s">
        <v>32</v>
      </c>
      <c r="D5" s="203" t="s">
        <v>63</v>
      </c>
      <c r="E5" s="204" t="s">
        <v>34</v>
      </c>
      <c r="F5" s="203" t="s">
        <v>33</v>
      </c>
      <c r="G5" s="203" t="s">
        <v>104</v>
      </c>
      <c r="H5" s="203" t="s">
        <v>105</v>
      </c>
      <c r="I5" s="203" t="s">
        <v>106</v>
      </c>
      <c r="J5" s="203" t="s">
        <v>107</v>
      </c>
      <c r="K5" s="205" t="s">
        <v>108</v>
      </c>
      <c r="L5" s="205" t="s">
        <v>109</v>
      </c>
      <c r="M5" s="203" t="s">
        <v>110</v>
      </c>
      <c r="N5" s="203" t="s">
        <v>111</v>
      </c>
      <c r="O5" s="203" t="s">
        <v>112</v>
      </c>
      <c r="P5" s="203" t="s">
        <v>113</v>
      </c>
      <c r="Q5" s="203" t="s">
        <v>114</v>
      </c>
      <c r="R5" s="45"/>
    </row>
    <row r="6" spans="1:18" x14ac:dyDescent="0.2">
      <c r="B6" s="211" t="s">
        <v>76</v>
      </c>
      <c r="C6" s="212"/>
      <c r="D6" s="212"/>
      <c r="E6" s="212"/>
      <c r="F6" s="212"/>
      <c r="G6" s="212"/>
      <c r="H6" s="212"/>
      <c r="I6" s="212"/>
      <c r="J6" s="212"/>
      <c r="K6" s="212"/>
      <c r="L6" s="212"/>
      <c r="M6" s="212"/>
      <c r="N6" s="212"/>
      <c r="O6" s="212"/>
      <c r="P6" s="212"/>
      <c r="Q6" s="213"/>
      <c r="R6" s="20"/>
    </row>
    <row r="7" spans="1:18" x14ac:dyDescent="0.2">
      <c r="B7" s="206" t="s">
        <v>78</v>
      </c>
      <c r="C7" s="207" t="s">
        <v>84</v>
      </c>
      <c r="D7" s="208">
        <v>0.1</v>
      </c>
      <c r="E7" s="209">
        <v>1</v>
      </c>
      <c r="F7" s="210">
        <f>E7*D7</f>
        <v>0.1</v>
      </c>
      <c r="G7" s="214">
        <v>0</v>
      </c>
      <c r="H7" s="96">
        <f>IF(G7=0,VLOOKUP(C:C,[1]Inputs!$B$20:$H$25,7,FALSE)*F7,VLOOKUP(C:C,[1]Inputs!$B$20:$I$25,8,FALSE)*F7)</f>
        <v>7.3741483017720002</v>
      </c>
      <c r="I7" s="96">
        <f>VLOOKUP(C:C,[1]Inputs!$C$54:$G$59,5,FALSE)*F7</f>
        <v>0</v>
      </c>
      <c r="J7" s="96"/>
      <c r="K7" s="96"/>
      <c r="L7" s="96"/>
      <c r="M7" s="96">
        <f>SUM(H7:J7)</f>
        <v>7.3741483017720002</v>
      </c>
      <c r="N7" s="96">
        <f>[1]Inputs!$M$43*M7</f>
        <v>3.4358119310666995</v>
      </c>
      <c r="O7" s="96">
        <f>[1]Inputs!$M$48*M7</f>
        <v>1.1826480969500324</v>
      </c>
      <c r="P7" s="96">
        <f>[1]Inputs!$H$13*SUM(M7:O7)</f>
        <v>0.76057122027520141</v>
      </c>
      <c r="Q7" s="96">
        <f t="shared" ref="Q7:Q8" si="0">SUM(M7:P7)</f>
        <v>12.753179550063933</v>
      </c>
    </row>
    <row r="8" spans="1:18" x14ac:dyDescent="0.2">
      <c r="B8" s="63" t="s">
        <v>79</v>
      </c>
      <c r="C8" s="62" t="s">
        <v>69</v>
      </c>
      <c r="D8" s="94">
        <v>0.1</v>
      </c>
      <c r="E8" s="68">
        <v>1</v>
      </c>
      <c r="F8" s="96">
        <f t="shared" ref="F8:F12" si="1">E8*D8</f>
        <v>0.1</v>
      </c>
      <c r="G8" s="214">
        <v>0</v>
      </c>
      <c r="H8" s="96">
        <f>IF(G8=0,VLOOKUP(C:C,[1]Inputs!$B$20:$H$25,7,FALSE)*F8,VLOOKUP(C:C,[1]Inputs!$B$20:$I$25,8,FALSE)*F8)</f>
        <v>7.9838346469665016</v>
      </c>
      <c r="I8" s="96">
        <f>VLOOKUP(C:C,[1]Inputs!$C$54:$G$59,5,FALSE)*F8</f>
        <v>1.9732436288346318</v>
      </c>
      <c r="J8" s="96"/>
      <c r="K8" s="96"/>
      <c r="L8" s="96"/>
      <c r="M8" s="96">
        <f t="shared" ref="M8:M9" si="2">SUM(H8:J8)</f>
        <v>9.957078275801134</v>
      </c>
      <c r="N8" s="96">
        <f>[1]Inputs!$M$43*M8</f>
        <v>4.6392677416511674</v>
      </c>
      <c r="O8" s="96">
        <f>[1]Inputs!$M$48*M8</f>
        <v>1.5968921687171693</v>
      </c>
      <c r="P8" s="96">
        <f>[1]Inputs!$H$13*SUM(M8:O8)</f>
        <v>1.0269751657668678</v>
      </c>
      <c r="Q8" s="96">
        <f t="shared" si="0"/>
        <v>17.220213351936337</v>
      </c>
      <c r="R8" s="45"/>
    </row>
    <row r="9" spans="1:18" x14ac:dyDescent="0.2">
      <c r="A9" s="46"/>
      <c r="B9" s="64" t="s">
        <v>70</v>
      </c>
      <c r="C9" s="62" t="s">
        <v>69</v>
      </c>
      <c r="D9" s="78">
        <v>1</v>
      </c>
      <c r="E9" s="68">
        <v>1</v>
      </c>
      <c r="F9" s="86">
        <f t="shared" si="1"/>
        <v>1</v>
      </c>
      <c r="G9" s="214">
        <v>0</v>
      </c>
      <c r="H9" s="96">
        <f>IF(G9=0,VLOOKUP(C:C,[1]Inputs!$B$20:$H$25,7,FALSE)*F9,VLOOKUP(C:C,[1]Inputs!$B$20:$I$25,8,FALSE)*F9)</f>
        <v>79.838346469665012</v>
      </c>
      <c r="I9" s="96">
        <f>VLOOKUP(C:C,[1]Inputs!$C$54:$G$59,5,FALSE)*F9</f>
        <v>19.732436288346317</v>
      </c>
      <c r="J9" s="96"/>
      <c r="K9" s="96"/>
      <c r="L9" s="96"/>
      <c r="M9" s="96">
        <f t="shared" si="2"/>
        <v>99.570782758011333</v>
      </c>
      <c r="N9" s="96">
        <f>[1]Inputs!$M$43*M9</f>
        <v>46.392677416511667</v>
      </c>
      <c r="O9" s="96">
        <f>[1]Inputs!$M$48*M9</f>
        <v>15.968921687171692</v>
      </c>
      <c r="P9" s="96">
        <f>[1]Inputs!$H$13*SUM(M9:O9)</f>
        <v>10.269751657668678</v>
      </c>
      <c r="Q9" s="96">
        <f t="shared" ref="Q9:Q12" si="3">SUM(M9:P9)</f>
        <v>172.20213351936337</v>
      </c>
      <c r="R9" s="45"/>
    </row>
    <row r="10" spans="1:18" x14ac:dyDescent="0.2">
      <c r="B10" s="65" t="s">
        <v>80</v>
      </c>
      <c r="C10" s="62" t="s">
        <v>69</v>
      </c>
      <c r="D10" s="95">
        <v>1</v>
      </c>
      <c r="E10" s="68">
        <v>1</v>
      </c>
      <c r="F10" s="93">
        <v>0.5</v>
      </c>
      <c r="G10" s="214">
        <v>0</v>
      </c>
      <c r="H10" s="96">
        <f>IF(G10=0,VLOOKUP(C:C,[1]Inputs!$B$20:$H$25,7,FALSE)*F10,VLOOKUP(C:C,[1]Inputs!$B$20:$I$25,8,FALSE)*F10)</f>
        <v>39.919173234832506</v>
      </c>
      <c r="I10" s="96">
        <f>VLOOKUP(C:C,[1]Inputs!$C$54:$G$59,5,FALSE)*F10</f>
        <v>9.8662181441731587</v>
      </c>
      <c r="J10" s="96"/>
      <c r="K10" s="96"/>
      <c r="L10" s="96"/>
      <c r="M10" s="96">
        <f t="shared" ref="M10:M12" si="4">SUM(H10:J10)</f>
        <v>49.785391379005667</v>
      </c>
      <c r="N10" s="96">
        <f>[1]Inputs!$M$43*M10</f>
        <v>23.196338708255833</v>
      </c>
      <c r="O10" s="96">
        <f>[1]Inputs!$M$48*M10</f>
        <v>7.984460843585846</v>
      </c>
      <c r="P10" s="96">
        <f>[1]Inputs!$H$13*SUM(M10:O10)</f>
        <v>5.134875828834339</v>
      </c>
      <c r="Q10" s="96">
        <f t="shared" si="3"/>
        <v>86.101066759681686</v>
      </c>
    </row>
    <row r="11" spans="1:18" x14ac:dyDescent="0.2">
      <c r="B11" s="63" t="s">
        <v>81</v>
      </c>
      <c r="C11" s="62" t="s">
        <v>69</v>
      </c>
      <c r="D11" s="79">
        <v>0.2</v>
      </c>
      <c r="E11" s="68">
        <v>1</v>
      </c>
      <c r="F11" s="86">
        <f t="shared" si="1"/>
        <v>0.2</v>
      </c>
      <c r="G11" s="214">
        <v>0</v>
      </c>
      <c r="H11" s="96">
        <f>IF(G11=0,VLOOKUP(C:C,[1]Inputs!$B$20:$H$25,7,FALSE)*F11,VLOOKUP(C:C,[1]Inputs!$B$20:$I$25,8,FALSE)*F11)</f>
        <v>15.967669293933003</v>
      </c>
      <c r="I11" s="96">
        <f>VLOOKUP(C:C,[1]Inputs!$C$54:$G$59,5,FALSE)*F11</f>
        <v>3.9464872576692636</v>
      </c>
      <c r="J11" s="96"/>
      <c r="K11" s="96"/>
      <c r="L11" s="96"/>
      <c r="M11" s="96">
        <f t="shared" si="4"/>
        <v>19.914156551602268</v>
      </c>
      <c r="N11" s="96">
        <f>[1]Inputs!$M$43*M11</f>
        <v>9.2785354833023348</v>
      </c>
      <c r="O11" s="96">
        <f>[1]Inputs!$M$48*M11</f>
        <v>3.1937843374343386</v>
      </c>
      <c r="P11" s="96">
        <f>[1]Inputs!$H$13*SUM(M11:O11)</f>
        <v>2.0539503315337355</v>
      </c>
      <c r="Q11" s="96">
        <f t="shared" si="3"/>
        <v>34.440426703872674</v>
      </c>
    </row>
    <row r="12" spans="1:18" x14ac:dyDescent="0.2">
      <c r="B12" s="63" t="s">
        <v>82</v>
      </c>
      <c r="C12" s="62" t="s">
        <v>84</v>
      </c>
      <c r="D12" s="79">
        <v>0.1</v>
      </c>
      <c r="E12" s="68">
        <v>1</v>
      </c>
      <c r="F12" s="86">
        <f t="shared" si="1"/>
        <v>0.1</v>
      </c>
      <c r="G12" s="214">
        <v>0</v>
      </c>
      <c r="H12" s="96">
        <f>IF(G12=0,VLOOKUP(C:C,[1]Inputs!$B$20:$H$25,7,FALSE)*F12,VLOOKUP(C:C,[1]Inputs!$B$20:$I$25,8,FALSE)*F12)</f>
        <v>7.3741483017720002</v>
      </c>
      <c r="I12" s="96">
        <f>VLOOKUP(C:C,[1]Inputs!$C$54:$G$59,5,FALSE)*F12</f>
        <v>0</v>
      </c>
      <c r="J12" s="96"/>
      <c r="K12" s="96"/>
      <c r="L12" s="96"/>
      <c r="M12" s="96">
        <f t="shared" si="4"/>
        <v>7.3741483017720002</v>
      </c>
      <c r="N12" s="96">
        <f>[1]Inputs!$M$43*M12</f>
        <v>3.4358119310666995</v>
      </c>
      <c r="O12" s="96">
        <f>[1]Inputs!$M$48*M12</f>
        <v>1.1826480969500324</v>
      </c>
      <c r="P12" s="96">
        <f>[1]Inputs!$H$13*SUM(M12:O12)</f>
        <v>0.76057122027520141</v>
      </c>
      <c r="Q12" s="96">
        <f t="shared" si="3"/>
        <v>12.753179550063933</v>
      </c>
      <c r="R12" s="47"/>
    </row>
    <row r="13" spans="1:18" x14ac:dyDescent="0.2">
      <c r="B13" s="63"/>
      <c r="C13" s="62"/>
      <c r="D13" s="79"/>
      <c r="E13" s="68"/>
      <c r="F13" s="86"/>
      <c r="G13" s="86"/>
      <c r="H13" s="86"/>
      <c r="I13" s="86"/>
      <c r="J13" s="86"/>
      <c r="K13" s="86"/>
      <c r="L13" s="86"/>
      <c r="M13" s="86"/>
      <c r="N13" s="86"/>
      <c r="O13" s="30"/>
      <c r="P13" s="30"/>
      <c r="Q13" s="30"/>
    </row>
    <row r="14" spans="1:18" x14ac:dyDescent="0.2">
      <c r="B14" s="63"/>
      <c r="C14" s="62"/>
      <c r="D14" s="78"/>
      <c r="E14" s="68"/>
      <c r="F14" s="86"/>
      <c r="G14" s="86"/>
      <c r="H14" s="86"/>
      <c r="I14" s="86"/>
      <c r="J14" s="86"/>
      <c r="K14" s="86"/>
      <c r="L14" s="86"/>
      <c r="M14" s="86"/>
      <c r="N14" s="86"/>
      <c r="O14" s="30"/>
      <c r="P14" s="30"/>
      <c r="Q14" s="30"/>
    </row>
    <row r="15" spans="1:18" x14ac:dyDescent="0.2">
      <c r="B15" s="283" t="s">
        <v>1</v>
      </c>
      <c r="C15" s="284"/>
      <c r="D15" s="284"/>
      <c r="E15" s="285"/>
      <c r="F15" s="87">
        <f>SUM(F7:F14)</f>
        <v>2</v>
      </c>
      <c r="G15" s="87">
        <f t="shared" ref="G15:Q15" si="5">SUM(G7:G14)</f>
        <v>0</v>
      </c>
      <c r="H15" s="87">
        <f t="shared" si="5"/>
        <v>158.45732024894102</v>
      </c>
      <c r="I15" s="87">
        <f t="shared" si="5"/>
        <v>35.518385319023366</v>
      </c>
      <c r="J15" s="87">
        <f t="shared" si="5"/>
        <v>0</v>
      </c>
      <c r="K15" s="87">
        <f t="shared" si="5"/>
        <v>0</v>
      </c>
      <c r="L15" s="87">
        <f t="shared" si="5"/>
        <v>0</v>
      </c>
      <c r="M15" s="87">
        <f t="shared" si="5"/>
        <v>193.97570556796441</v>
      </c>
      <c r="N15" s="87">
        <f t="shared" si="5"/>
        <v>90.378443211854403</v>
      </c>
      <c r="O15" s="87">
        <f t="shared" si="5"/>
        <v>31.109355230809111</v>
      </c>
      <c r="P15" s="87">
        <f t="shared" si="5"/>
        <v>20.006695424354024</v>
      </c>
      <c r="Q15" s="87">
        <f t="shared" si="5"/>
        <v>335.47019943498191</v>
      </c>
      <c r="R15" s="45"/>
    </row>
    <row r="16" spans="1:18" x14ac:dyDescent="0.2">
      <c r="B16" s="32"/>
      <c r="C16" s="73"/>
      <c r="D16" s="84"/>
      <c r="E16" s="70"/>
      <c r="F16" s="80"/>
      <c r="G16" s="80"/>
      <c r="H16" s="80"/>
      <c r="I16" s="80"/>
      <c r="J16" s="80"/>
      <c r="K16" s="80"/>
      <c r="L16" s="80"/>
      <c r="M16" s="80"/>
      <c r="N16" s="80"/>
      <c r="O16" s="33"/>
      <c r="P16" s="34"/>
      <c r="Q16" s="34"/>
    </row>
    <row r="17" spans="2:18" ht="76.5" x14ac:dyDescent="0.2">
      <c r="B17" s="28" t="s">
        <v>19</v>
      </c>
      <c r="C17" s="28" t="s">
        <v>32</v>
      </c>
      <c r="D17" s="203" t="s">
        <v>63</v>
      </c>
      <c r="E17" s="204" t="s">
        <v>34</v>
      </c>
      <c r="F17" s="203" t="s">
        <v>33</v>
      </c>
      <c r="G17" s="203" t="s">
        <v>104</v>
      </c>
      <c r="H17" s="203" t="s">
        <v>105</v>
      </c>
      <c r="I17" s="203" t="s">
        <v>106</v>
      </c>
      <c r="J17" s="203" t="s">
        <v>107</v>
      </c>
      <c r="K17" s="205" t="s">
        <v>108</v>
      </c>
      <c r="L17" s="205" t="s">
        <v>109</v>
      </c>
      <c r="M17" s="203" t="s">
        <v>110</v>
      </c>
      <c r="N17" s="203" t="s">
        <v>111</v>
      </c>
      <c r="O17" s="203" t="s">
        <v>112</v>
      </c>
      <c r="P17" s="203" t="s">
        <v>113</v>
      </c>
      <c r="Q17" s="203" t="s">
        <v>114</v>
      </c>
    </row>
    <row r="18" spans="2:18" x14ac:dyDescent="0.2">
      <c r="B18" s="211" t="s">
        <v>77</v>
      </c>
      <c r="C18" s="212"/>
      <c r="D18" s="212"/>
      <c r="E18" s="212"/>
      <c r="F18" s="212"/>
      <c r="G18" s="212"/>
      <c r="H18" s="212"/>
      <c r="I18" s="212"/>
      <c r="J18" s="212"/>
      <c r="K18" s="212"/>
      <c r="L18" s="212"/>
      <c r="M18" s="212"/>
      <c r="N18" s="212"/>
      <c r="O18" s="212"/>
      <c r="P18" s="212"/>
      <c r="Q18" s="213"/>
    </row>
    <row r="19" spans="2:18" x14ac:dyDescent="0.2">
      <c r="B19" s="206" t="s">
        <v>78</v>
      </c>
      <c r="C19" s="207" t="s">
        <v>84</v>
      </c>
      <c r="D19" s="208">
        <v>0.1</v>
      </c>
      <c r="E19" s="209">
        <v>1</v>
      </c>
      <c r="F19" s="210">
        <f>E19*D19</f>
        <v>0.1</v>
      </c>
      <c r="G19" s="214">
        <v>0</v>
      </c>
      <c r="H19" s="96">
        <f>IF(G19=0,VLOOKUP(C:C,[1]Inputs!$B$20:$H$25,7,FALSE)*F19,VLOOKUP(C:C,[1]Inputs!$B$20:$I$25,8,FALSE)*F19)</f>
        <v>7.3741483017720002</v>
      </c>
      <c r="I19" s="96">
        <f>VLOOKUP(C:C,[1]Inputs!$C$54:$G$59,5,FALSE)*F19</f>
        <v>0</v>
      </c>
      <c r="J19" s="96"/>
      <c r="K19" s="96"/>
      <c r="L19" s="96"/>
      <c r="M19" s="96">
        <f>SUM(H19:J19)</f>
        <v>7.3741483017720002</v>
      </c>
      <c r="N19" s="96">
        <f>[1]Inputs!$M$43*M19</f>
        <v>3.4358119310666995</v>
      </c>
      <c r="O19" s="96">
        <f>[1]Inputs!$M$48*M19</f>
        <v>1.1826480969500324</v>
      </c>
      <c r="P19" s="96">
        <f>[1]Inputs!$H$13*SUM(M19:O19)</f>
        <v>0.76057122027520141</v>
      </c>
      <c r="Q19" s="96">
        <f t="shared" ref="Q19:Q20" si="6">SUM(M19:P19)</f>
        <v>12.753179550063933</v>
      </c>
    </row>
    <row r="20" spans="2:18" x14ac:dyDescent="0.2">
      <c r="B20" s="63" t="s">
        <v>79</v>
      </c>
      <c r="C20" s="62" t="s">
        <v>69</v>
      </c>
      <c r="D20" s="77">
        <v>0.1</v>
      </c>
      <c r="E20" s="68">
        <v>1</v>
      </c>
      <c r="F20" s="86">
        <f t="shared" ref="F20:F24" si="7">E20*D20</f>
        <v>0.1</v>
      </c>
      <c r="G20" s="214">
        <v>1</v>
      </c>
      <c r="H20" s="96">
        <f>IF(G20=0,VLOOKUP(C:C,[1]Inputs!$B$20:$H$25,7,FALSE)*F20,VLOOKUP(C:C,[1]Inputs!$B$20:$I$25,8,FALSE)*F20)</f>
        <v>14.494102558317273</v>
      </c>
      <c r="I20" s="96">
        <f>VLOOKUP(C:C,[1]Inputs!$C$54:$G$59,5,FALSE)*F20</f>
        <v>1.9732436288346318</v>
      </c>
      <c r="J20" s="96"/>
      <c r="K20" s="96"/>
      <c r="L20" s="96"/>
      <c r="M20" s="96">
        <f t="shared" ref="M20:M21" si="8">SUM(H20:J20)</f>
        <v>16.467346187151904</v>
      </c>
      <c r="N20" s="96">
        <f>[1]Inputs!$M$43*M20</f>
        <v>7.6725748096531268</v>
      </c>
      <c r="O20" s="96">
        <f>[1]Inputs!$M$48*M20</f>
        <v>2.6409932148194968</v>
      </c>
      <c r="P20" s="96">
        <f>[1]Inputs!$H$13*SUM(M20:O20)</f>
        <v>1.6984455793012276</v>
      </c>
      <c r="Q20" s="96">
        <f t="shared" si="6"/>
        <v>28.479359790925756</v>
      </c>
      <c r="R20" s="45"/>
    </row>
    <row r="21" spans="2:18" x14ac:dyDescent="0.2">
      <c r="B21" s="64" t="s">
        <v>70</v>
      </c>
      <c r="C21" s="62" t="s">
        <v>69</v>
      </c>
      <c r="D21" s="78">
        <v>1</v>
      </c>
      <c r="E21" s="68">
        <v>1</v>
      </c>
      <c r="F21" s="86">
        <f t="shared" si="7"/>
        <v>1</v>
      </c>
      <c r="G21" s="214">
        <v>1</v>
      </c>
      <c r="H21" s="96">
        <f>IF(G21=0,VLOOKUP(C:C,[1]Inputs!$B$20:$H$25,7,FALSE)*F21,VLOOKUP(C:C,[1]Inputs!$B$20:$I$25,8,FALSE)*F21)</f>
        <v>144.94102558317272</v>
      </c>
      <c r="I21" s="96">
        <f>VLOOKUP(C:C,[1]Inputs!$C$54:$G$59,5,FALSE)*F21</f>
        <v>19.732436288346317</v>
      </c>
      <c r="J21" s="96"/>
      <c r="K21" s="96"/>
      <c r="L21" s="96"/>
      <c r="M21" s="96">
        <f t="shared" si="8"/>
        <v>164.67346187151904</v>
      </c>
      <c r="N21" s="96">
        <f>[1]Inputs!$M$43*M21</f>
        <v>76.725748096531277</v>
      </c>
      <c r="O21" s="96">
        <f>[1]Inputs!$M$48*M21</f>
        <v>26.409932148194969</v>
      </c>
      <c r="P21" s="96">
        <f>[1]Inputs!$H$13*SUM(M21:O21)</f>
        <v>16.98445579301228</v>
      </c>
      <c r="Q21" s="96">
        <f t="shared" ref="Q21:Q24" si="9">SUM(M21:P21)</f>
        <v>284.79359790925758</v>
      </c>
      <c r="R21" s="88"/>
    </row>
    <row r="22" spans="2:18" x14ac:dyDescent="0.2">
      <c r="B22" s="65" t="s">
        <v>80</v>
      </c>
      <c r="C22" s="62" t="s">
        <v>69</v>
      </c>
      <c r="D22" s="91">
        <v>1</v>
      </c>
      <c r="E22" s="92">
        <v>1</v>
      </c>
      <c r="F22" s="93">
        <v>0.5</v>
      </c>
      <c r="G22" s="214">
        <v>1</v>
      </c>
      <c r="H22" s="96">
        <f>IF(G22=0,VLOOKUP(C:C,[1]Inputs!$B$20:$H$25,7,FALSE)*F22,VLOOKUP(C:C,[1]Inputs!$B$20:$I$25,8,FALSE)*F22)</f>
        <v>72.470512791586359</v>
      </c>
      <c r="I22" s="96">
        <f>VLOOKUP(C:C,[1]Inputs!$C$54:$G$59,5,FALSE)*F22</f>
        <v>9.8662181441731587</v>
      </c>
      <c r="J22" s="96"/>
      <c r="K22" s="96"/>
      <c r="L22" s="96"/>
      <c r="M22" s="96">
        <f t="shared" ref="M22:M24" si="10">SUM(H22:J22)</f>
        <v>82.336730935759519</v>
      </c>
      <c r="N22" s="96">
        <f>[1]Inputs!$M$43*M22</f>
        <v>38.362874048265638</v>
      </c>
      <c r="O22" s="96">
        <f>[1]Inputs!$M$48*M22</f>
        <v>13.204966074097484</v>
      </c>
      <c r="P22" s="96">
        <f>[1]Inputs!$H$13*SUM(M22:O22)</f>
        <v>8.4922278965061402</v>
      </c>
      <c r="Q22" s="96">
        <f t="shared" si="9"/>
        <v>142.39679895462879</v>
      </c>
    </row>
    <row r="23" spans="2:18" x14ac:dyDescent="0.2">
      <c r="B23" s="63" t="s">
        <v>81</v>
      </c>
      <c r="C23" s="62" t="s">
        <v>69</v>
      </c>
      <c r="D23" s="79">
        <v>0.2</v>
      </c>
      <c r="E23" s="68">
        <v>1</v>
      </c>
      <c r="F23" s="86">
        <f t="shared" si="7"/>
        <v>0.2</v>
      </c>
      <c r="G23" s="214">
        <v>1</v>
      </c>
      <c r="H23" s="96">
        <f>IF(G23=0,VLOOKUP(C:C,[1]Inputs!$B$20:$H$25,7,FALSE)*F23,VLOOKUP(C:C,[1]Inputs!$B$20:$I$25,8,FALSE)*F23)</f>
        <v>28.988205116634546</v>
      </c>
      <c r="I23" s="96">
        <f>VLOOKUP(C:C,[1]Inputs!$C$54:$G$59,5,FALSE)*F23</f>
        <v>3.9464872576692636</v>
      </c>
      <c r="J23" s="96"/>
      <c r="K23" s="96"/>
      <c r="L23" s="96"/>
      <c r="M23" s="96">
        <f t="shared" si="10"/>
        <v>32.934692374303808</v>
      </c>
      <c r="N23" s="96">
        <f>[1]Inputs!$M$43*M23</f>
        <v>15.345149619306254</v>
      </c>
      <c r="O23" s="96">
        <f>[1]Inputs!$M$48*M23</f>
        <v>5.2819864296389936</v>
      </c>
      <c r="P23" s="96">
        <f>[1]Inputs!$H$13*SUM(M23:O23)</f>
        <v>3.3968911586024553</v>
      </c>
      <c r="Q23" s="96">
        <f t="shared" si="9"/>
        <v>56.958719581851511</v>
      </c>
    </row>
    <row r="24" spans="2:18" x14ac:dyDescent="0.2">
      <c r="B24" s="63" t="s">
        <v>82</v>
      </c>
      <c r="C24" s="62" t="s">
        <v>84</v>
      </c>
      <c r="D24" s="79">
        <v>0.1</v>
      </c>
      <c r="E24" s="68">
        <v>1</v>
      </c>
      <c r="F24" s="86">
        <f t="shared" si="7"/>
        <v>0.1</v>
      </c>
      <c r="G24" s="214">
        <v>0</v>
      </c>
      <c r="H24" s="96">
        <f>IF(G24=0,VLOOKUP(C:C,[1]Inputs!$B$20:$H$25,7,FALSE)*F24,VLOOKUP(C:C,[1]Inputs!$B$20:$I$25,8,FALSE)*F24)</f>
        <v>7.3741483017720002</v>
      </c>
      <c r="I24" s="96">
        <f>VLOOKUP(C:C,[1]Inputs!$C$54:$G$59,5,FALSE)*F24</f>
        <v>0</v>
      </c>
      <c r="J24" s="96"/>
      <c r="K24" s="96"/>
      <c r="L24" s="96"/>
      <c r="M24" s="96">
        <f t="shared" si="10"/>
        <v>7.3741483017720002</v>
      </c>
      <c r="N24" s="96">
        <f>[1]Inputs!$M$43*M24</f>
        <v>3.4358119310666995</v>
      </c>
      <c r="O24" s="96">
        <f>[1]Inputs!$M$48*M24</f>
        <v>1.1826480969500324</v>
      </c>
      <c r="P24" s="96">
        <f>[1]Inputs!$H$13*SUM(M24:O24)</f>
        <v>0.76057122027520141</v>
      </c>
      <c r="Q24" s="96">
        <f t="shared" si="9"/>
        <v>12.753179550063933</v>
      </c>
    </row>
    <row r="25" spans="2:18" x14ac:dyDescent="0.2">
      <c r="B25" s="63"/>
      <c r="C25" s="62"/>
      <c r="D25" s="79"/>
      <c r="E25" s="68"/>
      <c r="F25" s="86"/>
      <c r="G25" s="86"/>
      <c r="H25" s="86"/>
      <c r="I25" s="86"/>
      <c r="J25" s="86"/>
      <c r="K25" s="86"/>
      <c r="L25" s="86"/>
      <c r="M25" s="86"/>
      <c r="N25" s="86"/>
      <c r="O25" s="29"/>
      <c r="P25" s="31"/>
      <c r="Q25" s="31"/>
    </row>
    <row r="26" spans="2:18" x14ac:dyDescent="0.2">
      <c r="B26" s="63"/>
      <c r="C26" s="62"/>
      <c r="D26" s="79"/>
      <c r="E26" s="69"/>
      <c r="F26" s="86"/>
      <c r="G26" s="86"/>
      <c r="H26" s="86"/>
      <c r="I26" s="86"/>
      <c r="J26" s="86"/>
      <c r="K26" s="86"/>
      <c r="L26" s="86"/>
      <c r="M26" s="86"/>
      <c r="N26" s="86"/>
      <c r="O26" s="29"/>
      <c r="P26" s="31"/>
      <c r="Q26" s="31"/>
    </row>
    <row r="27" spans="2:18" x14ac:dyDescent="0.2">
      <c r="B27" s="283" t="s">
        <v>1</v>
      </c>
      <c r="C27" s="284"/>
      <c r="D27" s="284"/>
      <c r="E27" s="285"/>
      <c r="F27" s="87">
        <f>SUM(F19:F26)</f>
        <v>2</v>
      </c>
      <c r="G27" s="87">
        <f t="shared" ref="G27:Q27" si="11">SUM(G19:G26)</f>
        <v>4</v>
      </c>
      <c r="H27" s="87">
        <f t="shared" si="11"/>
        <v>275.64214265325489</v>
      </c>
      <c r="I27" s="87">
        <f t="shared" si="11"/>
        <v>35.518385319023366</v>
      </c>
      <c r="J27" s="87">
        <f t="shared" si="11"/>
        <v>0</v>
      </c>
      <c r="K27" s="87">
        <f t="shared" si="11"/>
        <v>0</v>
      </c>
      <c r="L27" s="87">
        <f t="shared" si="11"/>
        <v>0</v>
      </c>
      <c r="M27" s="87">
        <f t="shared" si="11"/>
        <v>311.1605279722782</v>
      </c>
      <c r="N27" s="87">
        <f t="shared" si="11"/>
        <v>144.97797043588969</v>
      </c>
      <c r="O27" s="87">
        <f t="shared" si="11"/>
        <v>49.903174060651004</v>
      </c>
      <c r="P27" s="87">
        <f t="shared" si="11"/>
        <v>32.093162867972502</v>
      </c>
      <c r="Q27" s="87">
        <f t="shared" si="11"/>
        <v>538.13483533679153</v>
      </c>
    </row>
    <row r="28" spans="2:18" x14ac:dyDescent="0.2">
      <c r="O28" s="35"/>
    </row>
    <row r="29" spans="2:18" x14ac:dyDescent="0.2">
      <c r="O29" s="37"/>
    </row>
    <row r="32" spans="2:18" x14ac:dyDescent="0.2">
      <c r="R32" s="45"/>
    </row>
    <row r="45" spans="18:18" x14ac:dyDescent="0.2">
      <c r="R45" s="45"/>
    </row>
  </sheetData>
  <mergeCells count="4">
    <mergeCell ref="B27:E27"/>
    <mergeCell ref="B15:E15"/>
    <mergeCell ref="H2:Q2"/>
    <mergeCell ref="H3:Q3"/>
  </mergeCells>
  <pageMargins left="0.70866141732283472" right="0.70866141732283472" top="0.74803149606299213" bottom="0.74803149606299213" header="0.31496062992125984" footer="0.31496062992125984"/>
  <pageSetup paperSize="9" scale="2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48202-FEC5-49CF-AF79-D236CD1FC674}">
  <dimension ref="B1:O28"/>
  <sheetViews>
    <sheetView workbookViewId="0">
      <selection activeCell="F31" sqref="F31"/>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120</v>
      </c>
      <c r="D1" s="228">
        <f>[1]Inputs!H16</f>
        <v>1</v>
      </c>
      <c r="E1" s="228">
        <f>[1]Inputs!I16</f>
        <v>1</v>
      </c>
      <c r="F1" s="228">
        <f>[1]Inputs!J16</f>
        <v>1.0109999999999999</v>
      </c>
      <c r="G1" s="228">
        <f>[1]Inputs!K16</f>
        <v>1.0231319999999999</v>
      </c>
      <c r="H1" s="228">
        <f>[1]Inputs!L16</f>
        <v>1.0337725727999998</v>
      </c>
      <c r="K1" s="229">
        <f>D1</f>
        <v>1</v>
      </c>
      <c r="L1" s="229">
        <f t="shared" ref="L1:O5" si="0">E1</f>
        <v>1</v>
      </c>
      <c r="M1" s="229">
        <f t="shared" si="0"/>
        <v>1.0109999999999999</v>
      </c>
      <c r="N1" s="229">
        <f t="shared" si="0"/>
        <v>1.0231319999999999</v>
      </c>
      <c r="O1" s="229">
        <f t="shared" si="0"/>
        <v>1.0337725727999998</v>
      </c>
    </row>
    <row r="2" spans="2:15" x14ac:dyDescent="0.25">
      <c r="B2" t="s">
        <v>121</v>
      </c>
      <c r="D2" s="228">
        <f>[1]Inputs!H61</f>
        <v>0.04</v>
      </c>
      <c r="E2" s="228">
        <f>[1]Inputs!I61</f>
        <v>0.04</v>
      </c>
      <c r="F2" s="228">
        <f>[1]Inputs!J61</f>
        <v>0.04</v>
      </c>
      <c r="G2" s="228">
        <f>[1]Inputs!K61</f>
        <v>0.04</v>
      </c>
      <c r="H2" s="228">
        <f>[1]Inputs!L61</f>
        <v>0.04</v>
      </c>
      <c r="K2" s="229"/>
      <c r="L2" s="229"/>
      <c r="M2" s="229"/>
      <c r="N2" s="229"/>
      <c r="O2" s="229"/>
    </row>
    <row r="3" spans="2:15" x14ac:dyDescent="0.25">
      <c r="B3" t="s">
        <v>122</v>
      </c>
      <c r="D3" s="229">
        <f>[1]Inputs!$M$43</f>
        <v>0.46592661151676018</v>
      </c>
      <c r="E3" s="229">
        <f>[1]Inputs!$M$43</f>
        <v>0.46592661151676018</v>
      </c>
      <c r="F3" s="229">
        <f>[1]Inputs!$M$43</f>
        <v>0.46592661151676018</v>
      </c>
      <c r="G3" s="229">
        <f>[1]Inputs!$M$43</f>
        <v>0.46592661151676018</v>
      </c>
      <c r="H3" s="229">
        <f>[1]Inputs!$M$43</f>
        <v>0.46592661151676018</v>
      </c>
      <c r="K3" s="229">
        <f t="shared" ref="K3:K5" si="1">D3</f>
        <v>0.46592661151676018</v>
      </c>
      <c r="L3" s="229">
        <f t="shared" si="0"/>
        <v>0.46592661151676018</v>
      </c>
      <c r="M3" s="229">
        <f t="shared" si="0"/>
        <v>0.46592661151676018</v>
      </c>
      <c r="N3" s="229">
        <f t="shared" si="0"/>
        <v>0.46592661151676018</v>
      </c>
      <c r="O3" s="229">
        <f t="shared" si="0"/>
        <v>0.46592661151676018</v>
      </c>
    </row>
    <row r="4" spans="2:15" x14ac:dyDescent="0.25">
      <c r="B4" t="s">
        <v>123</v>
      </c>
      <c r="D4" s="229">
        <f>[1]Inputs!$M$48</f>
        <v>0.16037758511933414</v>
      </c>
      <c r="E4" s="229">
        <f>[1]Inputs!$M$48</f>
        <v>0.16037758511933414</v>
      </c>
      <c r="F4" s="229">
        <f>[1]Inputs!$M$48</f>
        <v>0.16037758511933414</v>
      </c>
      <c r="G4" s="229">
        <f>[1]Inputs!$M$48</f>
        <v>0.16037758511933414</v>
      </c>
      <c r="H4" s="229">
        <f>[1]Inputs!$M$48</f>
        <v>0.16037758511933414</v>
      </c>
      <c r="K4" s="229">
        <f t="shared" si="1"/>
        <v>0.16037758511933414</v>
      </c>
      <c r="L4" s="229">
        <f t="shared" si="0"/>
        <v>0.16037758511933414</v>
      </c>
      <c r="M4" s="229">
        <f t="shared" si="0"/>
        <v>0.16037758511933414</v>
      </c>
      <c r="N4" s="229">
        <f t="shared" si="0"/>
        <v>0.16037758511933414</v>
      </c>
      <c r="O4" s="229">
        <f t="shared" si="0"/>
        <v>0.16037758511933414</v>
      </c>
    </row>
    <row r="5" spans="2:15" x14ac:dyDescent="0.25">
      <c r="B5" t="s">
        <v>124</v>
      </c>
      <c r="D5" s="229">
        <f>[1]Inputs!$H$13</f>
        <v>6.3420000000000004E-2</v>
      </c>
      <c r="E5" s="229">
        <f>[1]Inputs!$H$13</f>
        <v>6.3420000000000004E-2</v>
      </c>
      <c r="F5" s="229">
        <f>[1]Inputs!$H$13</f>
        <v>6.3420000000000004E-2</v>
      </c>
      <c r="G5" s="229">
        <f>[1]Inputs!$H$13</f>
        <v>6.3420000000000004E-2</v>
      </c>
      <c r="H5" s="229">
        <f>[1]Inputs!$H$13</f>
        <v>6.3420000000000004E-2</v>
      </c>
      <c r="K5" s="229">
        <f t="shared" si="1"/>
        <v>6.3420000000000004E-2</v>
      </c>
      <c r="L5" s="229">
        <f t="shared" si="0"/>
        <v>6.3420000000000004E-2</v>
      </c>
      <c r="M5" s="229">
        <f t="shared" si="0"/>
        <v>6.3420000000000004E-2</v>
      </c>
      <c r="N5" s="229">
        <f t="shared" si="0"/>
        <v>6.3420000000000004E-2</v>
      </c>
      <c r="O5" s="229">
        <f t="shared" si="0"/>
        <v>6.3420000000000004E-2</v>
      </c>
    </row>
    <row r="6" spans="2:15" s="230" customFormat="1" ht="15.75" x14ac:dyDescent="0.25">
      <c r="D6" s="292" t="s">
        <v>125</v>
      </c>
      <c r="E6" s="292"/>
      <c r="F6" s="292"/>
      <c r="G6" s="292"/>
      <c r="H6" s="292"/>
      <c r="J6" s="293" t="s">
        <v>126</v>
      </c>
      <c r="K6" s="293"/>
      <c r="L6" s="293"/>
      <c r="M6" s="293"/>
      <c r="N6" s="293"/>
      <c r="O6" s="293"/>
    </row>
    <row r="7" spans="2:15" x14ac:dyDescent="0.25">
      <c r="B7" s="231" t="s">
        <v>139</v>
      </c>
      <c r="C7" s="232"/>
      <c r="D7" s="232" t="s">
        <v>127</v>
      </c>
      <c r="E7" s="232" t="s">
        <v>128</v>
      </c>
      <c r="F7" s="232" t="s">
        <v>129</v>
      </c>
      <c r="G7" s="232" t="s">
        <v>130</v>
      </c>
      <c r="H7" s="232" t="s">
        <v>131</v>
      </c>
      <c r="J7" s="232"/>
      <c r="K7" s="232" t="s">
        <v>127</v>
      </c>
      <c r="L7" s="232" t="s">
        <v>128</v>
      </c>
      <c r="M7" s="232" t="s">
        <v>129</v>
      </c>
      <c r="N7" s="232" t="s">
        <v>130</v>
      </c>
      <c r="O7" s="232" t="s">
        <v>131</v>
      </c>
    </row>
    <row r="8" spans="2:15" x14ac:dyDescent="0.25">
      <c r="B8" s="233" t="s">
        <v>105</v>
      </c>
      <c r="C8" s="234"/>
      <c r="D8" s="235">
        <f>(D19*D$27)</f>
        <v>7922.8660124470507</v>
      </c>
      <c r="E8" s="235">
        <f t="shared" ref="E8:H8" si="2">(E19*E$27)</f>
        <v>8239.7806529449335</v>
      </c>
      <c r="F8" s="235">
        <f t="shared" si="2"/>
        <v>8663.6349697324185</v>
      </c>
      <c r="G8" s="235">
        <f t="shared" si="2"/>
        <v>9218.6038608063609</v>
      </c>
      <c r="H8" s="235">
        <f t="shared" si="2"/>
        <v>9911.1374240421937</v>
      </c>
      <c r="J8" s="234"/>
      <c r="K8" s="235">
        <f>(K19*K$27)</f>
        <v>551.28428530650979</v>
      </c>
      <c r="L8" s="235">
        <f t="shared" ref="L8:O8" si="3">(L19*L$27)</f>
        <v>573.33565671877022</v>
      </c>
      <c r="M8" s="235">
        <f t="shared" si="3"/>
        <v>602.82804290038371</v>
      </c>
      <c r="N8" s="235">
        <f t="shared" si="3"/>
        <v>641.4435676363056</v>
      </c>
      <c r="O8" s="235">
        <f t="shared" si="3"/>
        <v>689.63103791025003</v>
      </c>
    </row>
    <row r="9" spans="2:15" x14ac:dyDescent="0.25">
      <c r="B9" s="233" t="s">
        <v>106</v>
      </c>
      <c r="C9" s="234"/>
      <c r="D9" s="235">
        <f t="shared" ref="D9:H15" si="4">(D20*D$27)</f>
        <v>1775.9192659511682</v>
      </c>
      <c r="E9" s="235">
        <f t="shared" si="4"/>
        <v>1846.956036589215</v>
      </c>
      <c r="F9" s="235">
        <f t="shared" si="4"/>
        <v>1920.8342780527835</v>
      </c>
      <c r="G9" s="235">
        <f t="shared" si="4"/>
        <v>1997.6676491748951</v>
      </c>
      <c r="H9" s="235">
        <f t="shared" si="4"/>
        <v>2077.5743551418909</v>
      </c>
      <c r="J9" s="234"/>
      <c r="K9" s="235">
        <f t="shared" ref="K9:O15" si="5">(K20*K$27)</f>
        <v>71.036770638046733</v>
      </c>
      <c r="L9" s="235">
        <f t="shared" si="5"/>
        <v>73.8782414635686</v>
      </c>
      <c r="M9" s="235">
        <f t="shared" si="5"/>
        <v>76.833371122111359</v>
      </c>
      <c r="N9" s="235">
        <f t="shared" si="5"/>
        <v>79.906705966995801</v>
      </c>
      <c r="O9" s="235">
        <f t="shared" si="5"/>
        <v>83.102974205675636</v>
      </c>
    </row>
    <row r="10" spans="2:15" x14ac:dyDescent="0.25">
      <c r="B10" s="233" t="s">
        <v>107</v>
      </c>
      <c r="C10" s="234"/>
      <c r="D10" s="235">
        <f t="shared" si="4"/>
        <v>0</v>
      </c>
      <c r="E10" s="235">
        <f t="shared" si="4"/>
        <v>0</v>
      </c>
      <c r="F10" s="235">
        <f t="shared" si="4"/>
        <v>0</v>
      </c>
      <c r="G10" s="235">
        <f t="shared" si="4"/>
        <v>0</v>
      </c>
      <c r="H10" s="235">
        <f t="shared" si="4"/>
        <v>0</v>
      </c>
      <c r="J10" s="234"/>
      <c r="K10" s="235">
        <f t="shared" si="5"/>
        <v>0</v>
      </c>
      <c r="L10" s="235">
        <f t="shared" si="5"/>
        <v>0</v>
      </c>
      <c r="M10" s="235">
        <f t="shared" si="5"/>
        <v>0</v>
      </c>
      <c r="N10" s="235">
        <f t="shared" si="5"/>
        <v>0</v>
      </c>
      <c r="O10" s="235">
        <f t="shared" si="5"/>
        <v>0</v>
      </c>
    </row>
    <row r="11" spans="2:15" x14ac:dyDescent="0.25">
      <c r="B11" s="236" t="s">
        <v>132</v>
      </c>
      <c r="C11" s="236"/>
      <c r="D11" s="240">
        <f t="shared" si="4"/>
        <v>9698.7852783982198</v>
      </c>
      <c r="E11" s="240">
        <f t="shared" si="4"/>
        <v>10086.736689534147</v>
      </c>
      <c r="F11" s="240">
        <f t="shared" si="4"/>
        <v>10584.469247785202</v>
      </c>
      <c r="G11" s="240">
        <f t="shared" si="4"/>
        <v>11216.271509981256</v>
      </c>
      <c r="H11" s="240">
        <f t="shared" si="4"/>
        <v>11988.711779184085</v>
      </c>
      <c r="I11" s="222"/>
      <c r="J11" s="236"/>
      <c r="K11" s="240">
        <f t="shared" si="5"/>
        <v>622.32105594455652</v>
      </c>
      <c r="L11" s="240">
        <f t="shared" si="5"/>
        <v>647.21389818233877</v>
      </c>
      <c r="M11" s="240">
        <f t="shared" si="5"/>
        <v>679.66141402249502</v>
      </c>
      <c r="N11" s="240">
        <f t="shared" si="5"/>
        <v>721.35027360330139</v>
      </c>
      <c r="O11" s="240">
        <f t="shared" si="5"/>
        <v>772.73401211592568</v>
      </c>
    </row>
    <row r="12" spans="2:15" x14ac:dyDescent="0.25">
      <c r="B12" s="234" t="s">
        <v>111</v>
      </c>
      <c r="C12" s="234"/>
      <c r="D12" s="235">
        <f t="shared" si="4"/>
        <v>4518.9221605927196</v>
      </c>
      <c r="E12" s="235">
        <f t="shared" si="4"/>
        <v>4699.6790470164278</v>
      </c>
      <c r="F12" s="235">
        <f t="shared" si="4"/>
        <v>4931.5858913239117</v>
      </c>
      <c r="G12" s="235">
        <f t="shared" si="4"/>
        <v>5225.9593784975414</v>
      </c>
      <c r="H12" s="235">
        <f t="shared" si="4"/>
        <v>5585.8598557263094</v>
      </c>
      <c r="J12" s="234"/>
      <c r="K12" s="235">
        <f t="shared" si="5"/>
        <v>289.95594087177938</v>
      </c>
      <c r="L12" s="235">
        <f t="shared" si="5"/>
        <v>301.55417850665054</v>
      </c>
      <c r="M12" s="235">
        <f t="shared" si="5"/>
        <v>316.67233961419095</v>
      </c>
      <c r="N12" s="235">
        <f t="shared" si="5"/>
        <v>336.09628869667404</v>
      </c>
      <c r="O12" s="235">
        <f t="shared" si="5"/>
        <v>360.03733986892433</v>
      </c>
    </row>
    <row r="13" spans="2:15" x14ac:dyDescent="0.25">
      <c r="B13" s="234" t="s">
        <v>112</v>
      </c>
      <c r="C13" s="234"/>
      <c r="D13" s="235">
        <f t="shared" si="4"/>
        <v>1555.4677615404553</v>
      </c>
      <c r="E13" s="235">
        <f t="shared" si="4"/>
        <v>1617.6864720020735</v>
      </c>
      <c r="F13" s="235">
        <f t="shared" si="4"/>
        <v>1697.5116177296459</v>
      </c>
      <c r="G13" s="235">
        <f t="shared" si="4"/>
        <v>1798.8385388135814</v>
      </c>
      <c r="H13" s="235">
        <f t="shared" si="4"/>
        <v>1922.7206438372593</v>
      </c>
      <c r="J13" s="234"/>
      <c r="K13" s="235">
        <f t="shared" si="5"/>
        <v>99.806348121302022</v>
      </c>
      <c r="L13" s="235">
        <f t="shared" si="5"/>
        <v>103.7986020461541</v>
      </c>
      <c r="M13" s="235">
        <f t="shared" si="5"/>
        <v>109.00245627971971</v>
      </c>
      <c r="N13" s="235">
        <f t="shared" si="5"/>
        <v>115.68841490566844</v>
      </c>
      <c r="O13" s="235">
        <f t="shared" si="5"/>
        <v>123.92921480272645</v>
      </c>
    </row>
    <row r="14" spans="2:15" x14ac:dyDescent="0.25">
      <c r="B14" s="234" t="s">
        <v>119</v>
      </c>
      <c r="C14" s="234"/>
      <c r="D14" s="235">
        <f t="shared" si="4"/>
        <v>1000.3347712177012</v>
      </c>
      <c r="E14" s="235">
        <f t="shared" si="4"/>
        <v>1040.3481620664093</v>
      </c>
      <c r="F14" s="235">
        <f t="shared" si="4"/>
        <v>1091.6844037187141</v>
      </c>
      <c r="G14" s="235">
        <f t="shared" si="4"/>
        <v>1156.8486230788828</v>
      </c>
      <c r="H14" s="235">
        <f t="shared" si="4"/>
        <v>1236.5182763181763</v>
      </c>
      <c r="J14" s="234"/>
      <c r="K14" s="235">
        <f t="shared" si="5"/>
        <v>64.186325735945005</v>
      </c>
      <c r="L14" s="235">
        <f t="shared" si="5"/>
        <v>66.753778765382805</v>
      </c>
      <c r="M14" s="235">
        <f t="shared" si="5"/>
        <v>70.100422432898455</v>
      </c>
      <c r="N14" s="235">
        <f t="shared" si="5"/>
        <v>74.400220254381949</v>
      </c>
      <c r="O14" s="235">
        <f t="shared" si="5"/>
        <v>79.699949945668109</v>
      </c>
    </row>
    <row r="15" spans="2:15" s="238" customFormat="1" x14ac:dyDescent="0.25">
      <c r="B15" s="237" t="s">
        <v>133</v>
      </c>
      <c r="C15" s="234"/>
      <c r="D15" s="235">
        <f t="shared" si="4"/>
        <v>16773.509971749096</v>
      </c>
      <c r="E15" s="235">
        <f t="shared" si="4"/>
        <v>17444.450370619059</v>
      </c>
      <c r="F15" s="235">
        <f t="shared" si="4"/>
        <v>18305.251160557473</v>
      </c>
      <c r="G15" s="235">
        <f t="shared" si="4"/>
        <v>19397.918050371263</v>
      </c>
      <c r="H15" s="235">
        <f t="shared" si="4"/>
        <v>20733.810555065829</v>
      </c>
      <c r="J15" s="234"/>
      <c r="K15" s="235">
        <f t="shared" si="5"/>
        <v>1076.2696706735828</v>
      </c>
      <c r="L15" s="235">
        <f t="shared" si="5"/>
        <v>1119.3204575005261</v>
      </c>
      <c r="M15" s="235">
        <f t="shared" si="5"/>
        <v>1175.4366323493041</v>
      </c>
      <c r="N15" s="235">
        <f t="shared" si="5"/>
        <v>1247.5351974600258</v>
      </c>
      <c r="O15" s="235">
        <f t="shared" si="5"/>
        <v>1336.4005167332448</v>
      </c>
    </row>
    <row r="16" spans="2:15" s="222" customFormat="1" x14ac:dyDescent="0.25">
      <c r="B16" s="239" t="s">
        <v>134</v>
      </c>
      <c r="C16" s="236"/>
      <c r="D16" s="240">
        <f>D28-D15</f>
        <v>0</v>
      </c>
      <c r="E16" s="240">
        <f t="shared" ref="E16:H16" si="6">E28-E15</f>
        <v>0</v>
      </c>
      <c r="F16" s="240">
        <f t="shared" si="6"/>
        <v>0</v>
      </c>
      <c r="G16" s="240">
        <f t="shared" si="6"/>
        <v>0</v>
      </c>
      <c r="H16" s="240">
        <f t="shared" si="6"/>
        <v>0</v>
      </c>
      <c r="J16" s="236"/>
      <c r="K16" s="240">
        <f>K28-K15</f>
        <v>0</v>
      </c>
      <c r="L16" s="240">
        <f t="shared" ref="L16:O16" si="7">L28-L15</f>
        <v>0</v>
      </c>
      <c r="M16" s="240">
        <f t="shared" si="7"/>
        <v>0</v>
      </c>
      <c r="N16" s="240">
        <f t="shared" si="7"/>
        <v>0</v>
      </c>
      <c r="O16" s="240">
        <f t="shared" si="7"/>
        <v>0</v>
      </c>
    </row>
    <row r="17" spans="2:15" s="222" customFormat="1" x14ac:dyDescent="0.25">
      <c r="C17" s="241"/>
    </row>
    <row r="18" spans="2:15" x14ac:dyDescent="0.25">
      <c r="B18" s="242" t="s">
        <v>140</v>
      </c>
      <c r="C18" s="223"/>
      <c r="D18" s="294" t="s">
        <v>135</v>
      </c>
      <c r="E18" s="295"/>
      <c r="F18" s="295"/>
      <c r="G18" s="295"/>
      <c r="H18" s="295"/>
      <c r="J18" s="223"/>
      <c r="K18" s="294" t="s">
        <v>135</v>
      </c>
      <c r="L18" s="295"/>
      <c r="M18" s="295"/>
      <c r="N18" s="295"/>
      <c r="O18" s="295"/>
    </row>
    <row r="19" spans="2:15" x14ac:dyDescent="0.25">
      <c r="B19" s="243" t="s">
        <v>105</v>
      </c>
      <c r="C19" s="244">
        <f>'Proposed Fee'!H15</f>
        <v>158.45732024894102</v>
      </c>
      <c r="D19" s="245">
        <f>C19*D$1</f>
        <v>158.45732024894102</v>
      </c>
      <c r="E19" s="245">
        <f>D19*E1</f>
        <v>158.45732024894102</v>
      </c>
      <c r="F19" s="245">
        <f>E19*F1</f>
        <v>160.20035077167935</v>
      </c>
      <c r="G19" s="245">
        <f>F19*G1</f>
        <v>163.90610528572984</v>
      </c>
      <c r="H19" s="245">
        <f>G19*H1</f>
        <v>169.44163615885657</v>
      </c>
      <c r="J19" s="244">
        <f>'Proposed Fee'!H27</f>
        <v>275.64214265325489</v>
      </c>
      <c r="K19" s="245">
        <f>J19*K$1</f>
        <v>275.64214265325489</v>
      </c>
      <c r="L19" s="245">
        <f>K19*L1</f>
        <v>275.64214265325489</v>
      </c>
      <c r="M19" s="245">
        <f>L19*M1</f>
        <v>278.67420622244066</v>
      </c>
      <c r="N19" s="245">
        <f>M19*N1</f>
        <v>285.12049796077815</v>
      </c>
      <c r="O19" s="245">
        <f>N19*O1</f>
        <v>294.74975073493073</v>
      </c>
    </row>
    <row r="20" spans="2:15" x14ac:dyDescent="0.25">
      <c r="B20" s="243" t="s">
        <v>106</v>
      </c>
      <c r="C20" s="244">
        <f>'Proposed Fee'!I15</f>
        <v>35.518385319023366</v>
      </c>
      <c r="D20" s="245">
        <f>C20</f>
        <v>35.518385319023366</v>
      </c>
      <c r="E20" s="245">
        <f t="shared" ref="E20:H21" si="8">D20</f>
        <v>35.518385319023366</v>
      </c>
      <c r="F20" s="245">
        <f t="shared" si="8"/>
        <v>35.518385319023366</v>
      </c>
      <c r="G20" s="245">
        <f t="shared" si="8"/>
        <v>35.518385319023366</v>
      </c>
      <c r="H20" s="245">
        <f t="shared" si="8"/>
        <v>35.518385319023366</v>
      </c>
      <c r="J20" s="244">
        <f>'Proposed Fee'!I27</f>
        <v>35.518385319023366</v>
      </c>
      <c r="K20" s="245">
        <f>J20</f>
        <v>35.518385319023366</v>
      </c>
      <c r="L20" s="245">
        <f t="shared" ref="L20:O21" si="9">K20</f>
        <v>35.518385319023366</v>
      </c>
      <c r="M20" s="245">
        <f t="shared" si="9"/>
        <v>35.518385319023366</v>
      </c>
      <c r="N20" s="245">
        <f t="shared" si="9"/>
        <v>35.518385319023366</v>
      </c>
      <c r="O20" s="245">
        <f t="shared" si="9"/>
        <v>35.518385319023366</v>
      </c>
    </row>
    <row r="21" spans="2:15" x14ac:dyDescent="0.25">
      <c r="B21" s="243" t="s">
        <v>107</v>
      </c>
      <c r="C21" s="244">
        <f>'Proposed Fee'!J15</f>
        <v>0</v>
      </c>
      <c r="D21" s="245">
        <f>C21</f>
        <v>0</v>
      </c>
      <c r="E21" s="245">
        <f t="shared" si="8"/>
        <v>0</v>
      </c>
      <c r="F21" s="245">
        <f t="shared" si="8"/>
        <v>0</v>
      </c>
      <c r="G21" s="245">
        <f t="shared" si="8"/>
        <v>0</v>
      </c>
      <c r="H21" s="245">
        <f t="shared" si="8"/>
        <v>0</v>
      </c>
      <c r="J21" s="244">
        <f>'Proposed Fee'!J27</f>
        <v>0</v>
      </c>
      <c r="K21" s="245">
        <f>J21</f>
        <v>0</v>
      </c>
      <c r="L21" s="245">
        <f t="shared" si="9"/>
        <v>0</v>
      </c>
      <c r="M21" s="245">
        <f t="shared" si="9"/>
        <v>0</v>
      </c>
      <c r="N21" s="245">
        <f t="shared" si="9"/>
        <v>0</v>
      </c>
      <c r="O21" s="245">
        <f t="shared" si="9"/>
        <v>0</v>
      </c>
    </row>
    <row r="22" spans="2:15" s="222" customFormat="1" x14ac:dyDescent="0.25">
      <c r="B22" s="246" t="s">
        <v>132</v>
      </c>
      <c r="C22" s="301">
        <f>'Proposed Fee'!M15</f>
        <v>193.97570556796441</v>
      </c>
      <c r="D22" s="236">
        <f>SUM(D19:D21)</f>
        <v>193.97570556796438</v>
      </c>
      <c r="E22" s="236">
        <f t="shared" ref="E22:H22" si="10">SUM(E19:E21)</f>
        <v>193.97570556796438</v>
      </c>
      <c r="F22" s="236">
        <f t="shared" si="10"/>
        <v>195.71873609070272</v>
      </c>
      <c r="G22" s="236">
        <f t="shared" si="10"/>
        <v>199.4244906047532</v>
      </c>
      <c r="H22" s="236">
        <f t="shared" si="10"/>
        <v>204.96002147787993</v>
      </c>
      <c r="J22" s="301">
        <f>'Proposed Fee'!M27</f>
        <v>311.1605279722782</v>
      </c>
      <c r="K22" s="236">
        <f>SUM(K19:K21)</f>
        <v>311.16052797227826</v>
      </c>
      <c r="L22" s="236">
        <f t="shared" ref="L22:O22" si="11">SUM(L19:L21)</f>
        <v>311.16052797227826</v>
      </c>
      <c r="M22" s="236">
        <f t="shared" si="11"/>
        <v>314.19259154146403</v>
      </c>
      <c r="N22" s="236">
        <f t="shared" si="11"/>
        <v>320.63888327980152</v>
      </c>
      <c r="O22" s="236">
        <f t="shared" si="11"/>
        <v>330.26813605395409</v>
      </c>
    </row>
    <row r="23" spans="2:15" x14ac:dyDescent="0.25">
      <c r="B23" s="243" t="s">
        <v>111</v>
      </c>
      <c r="C23" s="244">
        <f>'Proposed Fee'!N15</f>
        <v>90.378443211854403</v>
      </c>
      <c r="D23" s="245">
        <f>D22*D$3</f>
        <v>90.378443211854389</v>
      </c>
      <c r="E23" s="245">
        <f t="shared" ref="E23:H23" si="12">E22*E$3</f>
        <v>90.378443211854389</v>
      </c>
      <c r="F23" s="245">
        <f t="shared" si="12"/>
        <v>91.190567517084162</v>
      </c>
      <c r="G23" s="245">
        <f t="shared" si="12"/>
        <v>92.917177160928631</v>
      </c>
      <c r="H23" s="245">
        <f t="shared" si="12"/>
        <v>95.496328303590985</v>
      </c>
      <c r="J23" s="244">
        <f>'Proposed Fee'!N27</f>
        <v>144.97797043588969</v>
      </c>
      <c r="K23" s="245">
        <f>K22*K$3</f>
        <v>144.97797043588969</v>
      </c>
      <c r="L23" s="245">
        <f t="shared" ref="L23:O23" si="13">L22*L$3</f>
        <v>144.97797043588969</v>
      </c>
      <c r="M23" s="245">
        <f t="shared" si="13"/>
        <v>146.39068954058382</v>
      </c>
      <c r="N23" s="245">
        <f t="shared" si="13"/>
        <v>149.39418840707589</v>
      </c>
      <c r="O23" s="245">
        <f t="shared" si="13"/>
        <v>153.88071352357517</v>
      </c>
    </row>
    <row r="24" spans="2:15" x14ac:dyDescent="0.25">
      <c r="B24" s="243" t="s">
        <v>112</v>
      </c>
      <c r="C24" s="244">
        <f>'Proposed Fee'!O15</f>
        <v>31.109355230809111</v>
      </c>
      <c r="D24" s="245">
        <f>D22*D$4</f>
        <v>31.109355230809104</v>
      </c>
      <c r="E24" s="245">
        <f t="shared" ref="E24:H24" si="14">E22*E$4</f>
        <v>31.109355230809104</v>
      </c>
      <c r="F24" s="245">
        <f t="shared" si="14"/>
        <v>31.388898256835169</v>
      </c>
      <c r="G24" s="245">
        <f t="shared" si="14"/>
        <v>31.98321821684366</v>
      </c>
      <c r="H24" s="245">
        <f t="shared" si="14"/>
        <v>32.870993290629244</v>
      </c>
      <c r="J24" s="244">
        <f>'Proposed Fee'!O27</f>
        <v>49.903174060651004</v>
      </c>
      <c r="K24" s="245">
        <f>K22*K$4</f>
        <v>49.903174060651011</v>
      </c>
      <c r="L24" s="245">
        <f t="shared" ref="L24:O24" si="15">L22*L$4</f>
        <v>49.903174060651011</v>
      </c>
      <c r="M24" s="245">
        <f t="shared" si="15"/>
        <v>50.389449093805332</v>
      </c>
      <c r="N24" s="245">
        <f t="shared" si="15"/>
        <v>51.423289795774615</v>
      </c>
      <c r="O24" s="245">
        <f t="shared" si="15"/>
        <v>52.967606102196854</v>
      </c>
    </row>
    <row r="25" spans="2:15" x14ac:dyDescent="0.25">
      <c r="B25" s="243" t="s">
        <v>113</v>
      </c>
      <c r="C25" s="244">
        <f>'Proposed Fee'!P15</f>
        <v>20.006695424354024</v>
      </c>
      <c r="D25" s="245">
        <f>SUM(D22:D24)*D$5</f>
        <v>20.006695424354024</v>
      </c>
      <c r="E25" s="245">
        <f t="shared" ref="E25:H25" si="16">SUM(E22:E24)*E$5</f>
        <v>20.006695424354024</v>
      </c>
      <c r="F25" s="245">
        <f t="shared" si="16"/>
        <v>20.18647196225433</v>
      </c>
      <c r="G25" s="245">
        <f t="shared" si="16"/>
        <v>20.568684269011772</v>
      </c>
      <c r="H25" s="245">
        <f t="shared" si="16"/>
        <v>21.139620097632594</v>
      </c>
      <c r="J25" s="244">
        <f>'Proposed Fee'!P27</f>
        <v>32.093162867972502</v>
      </c>
      <c r="K25" s="245">
        <f>SUM(K22:K24)*K$5</f>
        <v>32.093162867972502</v>
      </c>
      <c r="L25" s="245">
        <f t="shared" ref="L25:O25" si="17">SUM(L22:L24)*L$5</f>
        <v>32.093162867972502</v>
      </c>
      <c r="M25" s="245">
        <f t="shared" si="17"/>
        <v>32.405890547752612</v>
      </c>
      <c r="N25" s="245">
        <f t="shared" si="17"/>
        <v>33.070762445229796</v>
      </c>
      <c r="O25" s="245">
        <f t="shared" si="17"/>
        <v>34.063925619208234</v>
      </c>
    </row>
    <row r="26" spans="2:15" s="222" customFormat="1" x14ac:dyDescent="0.25">
      <c r="B26" s="247" t="s">
        <v>136</v>
      </c>
      <c r="C26" s="248">
        <f>'Proposed Fee'!Q15</f>
        <v>335.47019943498191</v>
      </c>
      <c r="D26" s="249">
        <f>SUM(D22:D25)</f>
        <v>335.47019943498191</v>
      </c>
      <c r="E26" s="249">
        <f t="shared" ref="E26:H26" si="18">SUM(E22:E25)</f>
        <v>335.47019943498191</v>
      </c>
      <c r="F26" s="249">
        <f t="shared" si="18"/>
        <v>338.48467382687636</v>
      </c>
      <c r="G26" s="249">
        <f t="shared" si="18"/>
        <v>344.89357025153731</v>
      </c>
      <c r="H26" s="249">
        <f t="shared" si="18"/>
        <v>354.46696316973276</v>
      </c>
      <c r="J26" s="248">
        <f>'Proposed Fee'!Q27</f>
        <v>538.13483533679153</v>
      </c>
      <c r="K26" s="249">
        <f>SUM(K22:K25)</f>
        <v>538.13483533679141</v>
      </c>
      <c r="L26" s="249">
        <f t="shared" ref="L26:O26" si="19">SUM(L22:L25)</f>
        <v>538.13483533679141</v>
      </c>
      <c r="M26" s="249">
        <f t="shared" si="19"/>
        <v>543.37862072360576</v>
      </c>
      <c r="N26" s="249">
        <f t="shared" si="19"/>
        <v>554.5271239278818</v>
      </c>
      <c r="O26" s="249">
        <f t="shared" si="19"/>
        <v>571.18038129893444</v>
      </c>
    </row>
    <row r="27" spans="2:15" x14ac:dyDescent="0.25">
      <c r="B27" s="250" t="s">
        <v>137</v>
      </c>
      <c r="C27" s="245"/>
      <c r="D27" s="251">
        <f>'Forecast Revenue - Costs'!D10</f>
        <v>50</v>
      </c>
      <c r="E27" s="251">
        <f>'Forecast Revenue - Costs'!E10</f>
        <v>52</v>
      </c>
      <c r="F27" s="251">
        <f>'Forecast Revenue - Costs'!F10</f>
        <v>54.08</v>
      </c>
      <c r="G27" s="251">
        <f>'Forecast Revenue - Costs'!G10</f>
        <v>56.243200000000002</v>
      </c>
      <c r="H27" s="251">
        <f>'Forecast Revenue - Costs'!H10</f>
        <v>58.492927999999999</v>
      </c>
      <c r="J27" s="245"/>
      <c r="K27" s="251">
        <f>'Forecast Revenue - Costs'!D11</f>
        <v>2</v>
      </c>
      <c r="L27" s="251">
        <f>'Forecast Revenue - Costs'!E11</f>
        <v>2.08</v>
      </c>
      <c r="M27" s="251">
        <f>'Forecast Revenue - Costs'!F11</f>
        <v>2.1632000000000002</v>
      </c>
      <c r="N27" s="251">
        <f>'Forecast Revenue - Costs'!G11</f>
        <v>2.2497280000000002</v>
      </c>
      <c r="O27" s="251">
        <f>'Forecast Revenue - Costs'!H11</f>
        <v>2.33971712</v>
      </c>
    </row>
    <row r="28" spans="2:15" s="222" customFormat="1" x14ac:dyDescent="0.25">
      <c r="B28" s="237" t="s">
        <v>138</v>
      </c>
      <c r="C28" s="236"/>
      <c r="D28" s="240">
        <f>D26*D27</f>
        <v>16773.509971749096</v>
      </c>
      <c r="E28" s="240">
        <f t="shared" ref="E28:H28" si="20">E26*E27</f>
        <v>17444.450370619059</v>
      </c>
      <c r="F28" s="240">
        <f t="shared" si="20"/>
        <v>18305.251160557473</v>
      </c>
      <c r="G28" s="240">
        <f t="shared" si="20"/>
        <v>19397.918050371263</v>
      </c>
      <c r="H28" s="240">
        <f t="shared" si="20"/>
        <v>20733.810555065829</v>
      </c>
      <c r="J28" s="236"/>
      <c r="K28" s="240">
        <f>K27*K26</f>
        <v>1076.2696706735828</v>
      </c>
      <c r="L28" s="240">
        <f t="shared" ref="L28:O28" si="21">L27*L26</f>
        <v>1119.3204575005261</v>
      </c>
      <c r="M28" s="240">
        <f t="shared" si="21"/>
        <v>1175.4366323493041</v>
      </c>
      <c r="N28" s="240">
        <f t="shared" si="21"/>
        <v>1247.5351974600258</v>
      </c>
      <c r="O28" s="240">
        <f t="shared" si="21"/>
        <v>1336.4005167332448</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3"/>
  <sheetViews>
    <sheetView showGridLines="0" zoomScale="90" zoomScaleNormal="90" workbookViewId="0">
      <selection activeCell="C39" sqref="C39"/>
    </sheetView>
  </sheetViews>
  <sheetFormatPr defaultRowHeight="15" x14ac:dyDescent="0.25"/>
  <cols>
    <col min="1" max="1" width="3.28515625" style="150" customWidth="1"/>
    <col min="2" max="2" width="59.5703125" style="150" customWidth="1"/>
    <col min="3" max="3" width="97.85546875" style="150" bestFit="1" customWidth="1"/>
    <col min="4" max="4" width="11.85546875" style="150" customWidth="1"/>
    <col min="5" max="8" width="11.28515625" style="150" customWidth="1"/>
    <col min="9" max="9" width="12.7109375" style="150" customWidth="1"/>
    <col min="10" max="16384" width="9.140625" style="150"/>
  </cols>
  <sheetData>
    <row r="2" spans="2:9" x14ac:dyDescent="0.25">
      <c r="B2" s="148" t="s">
        <v>50</v>
      </c>
      <c r="C2" s="149"/>
      <c r="D2" s="149"/>
      <c r="E2" s="149"/>
      <c r="F2" s="149"/>
      <c r="G2" s="149"/>
      <c r="H2" s="149"/>
      <c r="I2" s="149"/>
    </row>
    <row r="3" spans="2:9" x14ac:dyDescent="0.25">
      <c r="B3" s="302" t="s">
        <v>89</v>
      </c>
      <c r="C3" s="302" t="s">
        <v>3</v>
      </c>
      <c r="D3" s="303" t="s">
        <v>59</v>
      </c>
      <c r="E3" s="303" t="s">
        <v>60</v>
      </c>
      <c r="F3" s="303" t="s">
        <v>61</v>
      </c>
      <c r="G3" s="303" t="s">
        <v>90</v>
      </c>
      <c r="H3" s="303" t="s">
        <v>62</v>
      </c>
      <c r="I3" s="304" t="s">
        <v>1</v>
      </c>
    </row>
    <row r="4" spans="2:9" x14ac:dyDescent="0.25">
      <c r="B4" s="151" t="s">
        <v>92</v>
      </c>
      <c r="C4" s="4" t="s">
        <v>141</v>
      </c>
      <c r="D4" s="153">
        <f>'Forecast by year'!D28</f>
        <v>16773.509971749096</v>
      </c>
      <c r="E4" s="153">
        <f>'Forecast by year'!E28</f>
        <v>17444.450370619059</v>
      </c>
      <c r="F4" s="153">
        <f>'Forecast by year'!F28</f>
        <v>18305.251160557473</v>
      </c>
      <c r="G4" s="153">
        <f>'Forecast by year'!G28</f>
        <v>19397.918050371263</v>
      </c>
      <c r="H4" s="153">
        <f>'Forecast by year'!H28</f>
        <v>20733.810555065829</v>
      </c>
      <c r="I4" s="308">
        <f>SUM(D4:H4)</f>
        <v>92654.940108362731</v>
      </c>
    </row>
    <row r="5" spans="2:9" x14ac:dyDescent="0.25">
      <c r="B5" s="152"/>
      <c r="C5" s="4" t="s">
        <v>142</v>
      </c>
      <c r="D5" s="154">
        <f>'Forecast by year'!K28</f>
        <v>1076.2696706735828</v>
      </c>
      <c r="E5" s="154">
        <f>'Forecast by year'!L28</f>
        <v>1119.3204575005261</v>
      </c>
      <c r="F5" s="154">
        <f>'Forecast by year'!M28</f>
        <v>1175.4366323493041</v>
      </c>
      <c r="G5" s="154">
        <f>'Forecast by year'!N28</f>
        <v>1247.5351974600258</v>
      </c>
      <c r="H5" s="154">
        <f>'Forecast by year'!O28</f>
        <v>1336.4005167332448</v>
      </c>
      <c r="I5" s="308">
        <f t="shared" ref="I5" si="0">SUM(D5:H5)</f>
        <v>5954.9624747166836</v>
      </c>
    </row>
    <row r="6" spans="2:9" x14ac:dyDescent="0.25">
      <c r="B6" s="306" t="s">
        <v>1</v>
      </c>
      <c r="C6" s="306"/>
      <c r="D6" s="309">
        <f>SUM(D4:D5)</f>
        <v>17849.77964242268</v>
      </c>
      <c r="E6" s="309">
        <f>SUM(E4:E5)</f>
        <v>18563.770828119585</v>
      </c>
      <c r="F6" s="309">
        <f>SUM(F4:F5)</f>
        <v>19480.687792906778</v>
      </c>
      <c r="G6" s="309">
        <f>SUM(G4:G5)</f>
        <v>20645.45324783129</v>
      </c>
      <c r="H6" s="309">
        <f>SUM(H4:H5)</f>
        <v>22070.211071799073</v>
      </c>
      <c r="I6" s="309">
        <f>SUM(I4:I5)</f>
        <v>98609.902583079413</v>
      </c>
    </row>
    <row r="7" spans="2:9" x14ac:dyDescent="0.25">
      <c r="B7" s="155"/>
      <c r="C7" s="155"/>
      <c r="D7" s="155"/>
      <c r="E7" s="155"/>
      <c r="F7" s="155"/>
      <c r="G7" s="155"/>
      <c r="H7" s="155"/>
      <c r="I7" s="155"/>
    </row>
    <row r="8" spans="2:9" x14ac:dyDescent="0.25">
      <c r="B8" s="148" t="s">
        <v>28</v>
      </c>
      <c r="C8" s="149"/>
      <c r="D8" s="149"/>
      <c r="E8" s="149"/>
      <c r="F8" s="149"/>
      <c r="G8" s="149"/>
      <c r="H8" s="149"/>
      <c r="I8" s="149"/>
    </row>
    <row r="9" spans="2:9" x14ac:dyDescent="0.25">
      <c r="B9" s="302" t="s">
        <v>89</v>
      </c>
      <c r="C9" s="302" t="s">
        <v>3</v>
      </c>
      <c r="D9" s="303" t="s">
        <v>59</v>
      </c>
      <c r="E9" s="303" t="s">
        <v>60</v>
      </c>
      <c r="F9" s="303" t="s">
        <v>61</v>
      </c>
      <c r="G9" s="303" t="s">
        <v>90</v>
      </c>
      <c r="H9" s="303" t="s">
        <v>62</v>
      </c>
      <c r="I9" s="304" t="s">
        <v>1</v>
      </c>
    </row>
    <row r="10" spans="2:9" x14ac:dyDescent="0.25">
      <c r="B10" s="151" t="s">
        <v>92</v>
      </c>
      <c r="C10" s="4" t="s">
        <v>141</v>
      </c>
      <c r="D10" s="156">
        <v>50</v>
      </c>
      <c r="E10" s="156">
        <f>D10+(D10*4%)</f>
        <v>52</v>
      </c>
      <c r="F10" s="156">
        <f t="shared" ref="F10:H11" si="1">E10+(E10*4%)</f>
        <v>54.08</v>
      </c>
      <c r="G10" s="156">
        <f t="shared" si="1"/>
        <v>56.243200000000002</v>
      </c>
      <c r="H10" s="156">
        <f t="shared" si="1"/>
        <v>58.492927999999999</v>
      </c>
      <c r="I10" s="305">
        <f>SUM(D10:H10)</f>
        <v>270.81612799999999</v>
      </c>
    </row>
    <row r="11" spans="2:9" x14ac:dyDescent="0.25">
      <c r="B11" s="152"/>
      <c r="C11" s="4" t="s">
        <v>142</v>
      </c>
      <c r="D11" s="157">
        <v>2</v>
      </c>
      <c r="E11" s="156">
        <f>D11+(D11*4%)</f>
        <v>2.08</v>
      </c>
      <c r="F11" s="156">
        <f t="shared" si="1"/>
        <v>2.1632000000000002</v>
      </c>
      <c r="G11" s="156">
        <f t="shared" si="1"/>
        <v>2.2497280000000002</v>
      </c>
      <c r="H11" s="156">
        <f t="shared" si="1"/>
        <v>2.33971712</v>
      </c>
      <c r="I11" s="305">
        <f t="shared" ref="I11" si="2">SUM(D11:H11)</f>
        <v>10.832645119999999</v>
      </c>
    </row>
    <row r="12" spans="2:9" x14ac:dyDescent="0.25">
      <c r="B12" s="306" t="s">
        <v>18</v>
      </c>
      <c r="C12" s="306"/>
      <c r="D12" s="307">
        <f>SUM(D10:D11)</f>
        <v>52</v>
      </c>
      <c r="E12" s="307">
        <f>SUM(E10:E11)</f>
        <v>54.08</v>
      </c>
      <c r="F12" s="307">
        <f>SUM(F10:F11)</f>
        <v>56.243200000000002</v>
      </c>
      <c r="G12" s="307">
        <f>SUM(G10:G11)</f>
        <v>58.492927999999999</v>
      </c>
      <c r="H12" s="307">
        <f>SUM(H10:H11)</f>
        <v>60.832645120000002</v>
      </c>
      <c r="I12" s="307">
        <f>SUM(I10:I11)</f>
        <v>281.64877311999999</v>
      </c>
    </row>
    <row r="13" spans="2:9" x14ac:dyDescent="0.25">
      <c r="B13" s="155"/>
      <c r="C13" s="155"/>
      <c r="D13" s="158"/>
      <c r="E13" s="158"/>
      <c r="F13" s="158"/>
      <c r="G13" s="158"/>
      <c r="H13" s="158"/>
      <c r="I13" s="158"/>
    </row>
    <row r="14" spans="2:9" x14ac:dyDescent="0.25">
      <c r="B14" s="159" t="s">
        <v>6</v>
      </c>
      <c r="C14" s="155"/>
      <c r="D14" s="158"/>
      <c r="E14" s="158"/>
      <c r="F14" s="158"/>
      <c r="G14" s="158"/>
      <c r="H14" s="158"/>
      <c r="I14" s="158"/>
    </row>
    <row r="15" spans="2:9" x14ac:dyDescent="0.25">
      <c r="B15" s="296" t="s">
        <v>97</v>
      </c>
      <c r="C15" s="296"/>
      <c r="D15" s="296"/>
      <c r="E15" s="296"/>
      <c r="F15" s="296"/>
      <c r="G15" s="296"/>
      <c r="H15" s="296"/>
      <c r="I15" s="296"/>
    </row>
    <row r="16" spans="2:9" x14ac:dyDescent="0.25">
      <c r="B16" s="297"/>
      <c r="C16" s="297"/>
      <c r="D16" s="297"/>
      <c r="E16" s="297"/>
      <c r="F16" s="297"/>
      <c r="G16" s="297"/>
      <c r="H16" s="297"/>
      <c r="I16" s="297"/>
    </row>
    <row r="17" spans="2:9" x14ac:dyDescent="0.25">
      <c r="B17" s="155"/>
      <c r="C17" s="155"/>
      <c r="D17" s="158"/>
      <c r="E17" s="158"/>
      <c r="F17" s="158"/>
      <c r="G17" s="158"/>
      <c r="H17" s="158"/>
      <c r="I17" s="158"/>
    </row>
    <row r="18" spans="2:9" x14ac:dyDescent="0.25">
      <c r="B18" s="148" t="s">
        <v>29</v>
      </c>
      <c r="C18" s="149"/>
      <c r="D18" s="149"/>
      <c r="E18" s="149"/>
      <c r="F18" s="149"/>
      <c r="G18" s="149"/>
      <c r="H18" s="149"/>
      <c r="I18" s="149"/>
    </row>
    <row r="19" spans="2:9" x14ac:dyDescent="0.25">
      <c r="B19" s="160" t="s">
        <v>27</v>
      </c>
      <c r="C19" s="161"/>
      <c r="D19" s="161"/>
      <c r="E19" s="161"/>
      <c r="F19" s="161"/>
      <c r="G19" s="161"/>
      <c r="H19" s="161"/>
      <c r="I19" s="161"/>
    </row>
    <row r="20" spans="2:9" x14ac:dyDescent="0.25">
      <c r="B20" s="310" t="s">
        <v>144</v>
      </c>
      <c r="C20" s="298"/>
      <c r="D20" s="298"/>
      <c r="E20" s="298"/>
      <c r="F20" s="298"/>
      <c r="G20" s="298"/>
      <c r="H20" s="298"/>
      <c r="I20" s="298"/>
    </row>
    <row r="21" spans="2:9" x14ac:dyDescent="0.25">
      <c r="B21" s="299"/>
      <c r="C21" s="299"/>
      <c r="D21" s="299"/>
      <c r="E21" s="299"/>
      <c r="F21" s="299"/>
      <c r="G21" s="299"/>
      <c r="H21" s="299"/>
      <c r="I21" s="299"/>
    </row>
    <row r="22" spans="2:9" x14ac:dyDescent="0.25">
      <c r="B22" s="162"/>
      <c r="C22" s="163"/>
      <c r="D22" s="163"/>
      <c r="E22" s="163"/>
      <c r="F22" s="163"/>
      <c r="G22" s="163"/>
      <c r="H22" s="163"/>
      <c r="I22" s="163"/>
    </row>
    <row r="23" spans="2:9" x14ac:dyDescent="0.25">
      <c r="B23" s="155"/>
      <c r="C23" s="155"/>
      <c r="D23" s="155"/>
      <c r="E23" s="155"/>
      <c r="F23" s="155"/>
      <c r="G23" s="155"/>
      <c r="H23" s="155"/>
      <c r="I23" s="155"/>
    </row>
    <row r="24" spans="2:9" customFormat="1" x14ac:dyDescent="0.25">
      <c r="B24" s="218" t="s">
        <v>48</v>
      </c>
      <c r="C24" s="22"/>
      <c r="D24" s="300" t="s">
        <v>115</v>
      </c>
      <c r="E24" s="300"/>
      <c r="F24" s="300"/>
      <c r="G24" s="300"/>
      <c r="H24" s="300"/>
      <c r="I24" s="22"/>
    </row>
    <row r="25" spans="2:9" customFormat="1" ht="15.75" customHeight="1" x14ac:dyDescent="0.25">
      <c r="B25" s="2" t="s">
        <v>21</v>
      </c>
      <c r="C25" s="15" t="s">
        <v>3</v>
      </c>
      <c r="D25" s="61" t="s">
        <v>59</v>
      </c>
      <c r="E25" s="61" t="s">
        <v>60</v>
      </c>
      <c r="F25" s="61" t="s">
        <v>61</v>
      </c>
      <c r="G25" s="61" t="s">
        <v>90</v>
      </c>
      <c r="H25" s="166" t="s">
        <v>62</v>
      </c>
      <c r="I25" s="16" t="s">
        <v>1</v>
      </c>
    </row>
    <row r="26" spans="2:9" s="222" customFormat="1" x14ac:dyDescent="0.25">
      <c r="B26" s="219" t="s">
        <v>116</v>
      </c>
      <c r="C26" s="220"/>
      <c r="D26" s="89">
        <f>'Forecast by year'!D8+'Forecast by year'!K8</f>
        <v>8474.1502977535602</v>
      </c>
      <c r="E26" s="89">
        <f>'Forecast by year'!E8+'Forecast by year'!L8</f>
        <v>8813.1163096637029</v>
      </c>
      <c r="F26" s="89">
        <f>'Forecast by year'!F8+'Forecast by year'!M8</f>
        <v>9266.4630126328029</v>
      </c>
      <c r="G26" s="89">
        <f>'Forecast by year'!G8+'Forecast by year'!N8</f>
        <v>9860.0474284426673</v>
      </c>
      <c r="H26" s="89">
        <f>'Forecast by year'!H8+'Forecast by year'!O8</f>
        <v>10600.768461952444</v>
      </c>
      <c r="I26" s="221">
        <f t="shared" ref="I26:I28" si="3">SUM(D26:H26)</f>
        <v>47014.545510445176</v>
      </c>
    </row>
    <row r="27" spans="2:9" s="222" customFormat="1" x14ac:dyDescent="0.25">
      <c r="B27" s="219" t="s">
        <v>117</v>
      </c>
      <c r="C27" s="223"/>
      <c r="D27" s="89">
        <f>'Forecast by year'!D9+'Forecast by year'!K9</f>
        <v>1846.9560365892148</v>
      </c>
      <c r="E27" s="89">
        <f>'Forecast by year'!E9+'Forecast by year'!L9</f>
        <v>1920.8342780527837</v>
      </c>
      <c r="F27" s="89">
        <f>'Forecast by year'!F9+'Forecast by year'!M9</f>
        <v>1997.6676491748949</v>
      </c>
      <c r="G27" s="89">
        <f>'Forecast by year'!G9+'Forecast by year'!N9</f>
        <v>2077.5743551418909</v>
      </c>
      <c r="H27" s="89">
        <f>'Forecast by year'!H9+'Forecast by year'!O9</f>
        <v>2160.6773293475667</v>
      </c>
      <c r="I27" s="221">
        <f t="shared" si="3"/>
        <v>10003.709648306351</v>
      </c>
    </row>
    <row r="28" spans="2:9" s="222" customFormat="1" x14ac:dyDescent="0.25">
      <c r="B28" s="219" t="s">
        <v>107</v>
      </c>
      <c r="C28" s="223"/>
      <c r="D28" s="89">
        <f>'Forecast by year'!D10+'Forecast by year'!K10</f>
        <v>0</v>
      </c>
      <c r="E28" s="89">
        <f>'Forecast by year'!E10+'Forecast by year'!L10</f>
        <v>0</v>
      </c>
      <c r="F28" s="89">
        <f>'Forecast by year'!F10+'Forecast by year'!M10</f>
        <v>0</v>
      </c>
      <c r="G28" s="89">
        <f>'Forecast by year'!G10+'Forecast by year'!N10</f>
        <v>0</v>
      </c>
      <c r="H28" s="89">
        <f>'Forecast by year'!H10+'Forecast by year'!O10</f>
        <v>0</v>
      </c>
      <c r="I28" s="221">
        <f t="shared" si="3"/>
        <v>0</v>
      </c>
    </row>
    <row r="29" spans="2:9" s="222" customFormat="1" x14ac:dyDescent="0.25">
      <c r="B29" s="224" t="s">
        <v>118</v>
      </c>
      <c r="C29" s="223"/>
      <c r="D29" s="225">
        <f>'Forecast by year'!D11+'Forecast by year'!K11</f>
        <v>10321.106334342776</v>
      </c>
      <c r="E29" s="225">
        <f>'Forecast by year'!E11+'Forecast by year'!L11</f>
        <v>10733.950587716487</v>
      </c>
      <c r="F29" s="225">
        <f>'Forecast by year'!F11+'Forecast by year'!M11</f>
        <v>11264.130661807698</v>
      </c>
      <c r="G29" s="225">
        <f>'Forecast by year'!G11+'Forecast by year'!N11</f>
        <v>11937.621783584556</v>
      </c>
      <c r="H29" s="225">
        <f>'Forecast by year'!H11+'Forecast by year'!O11</f>
        <v>12761.44579130001</v>
      </c>
      <c r="I29" s="221">
        <f>SUM(D29:H29)</f>
        <v>57018.255158751519</v>
      </c>
    </row>
    <row r="30" spans="2:9" customFormat="1" x14ac:dyDescent="0.25">
      <c r="B30" s="226" t="s">
        <v>111</v>
      </c>
      <c r="C30" s="7"/>
      <c r="D30" s="89">
        <f>'Forecast by year'!D12+'Forecast by year'!K12</f>
        <v>4808.8781014644992</v>
      </c>
      <c r="E30" s="89">
        <f>'Forecast by year'!E12+'Forecast by year'!L12</f>
        <v>5001.2332255230785</v>
      </c>
      <c r="F30" s="89">
        <f>'Forecast by year'!F12+'Forecast by year'!M12</f>
        <v>5248.2582309381023</v>
      </c>
      <c r="G30" s="89">
        <f>'Forecast by year'!G12+'Forecast by year'!N12</f>
        <v>5562.0556671942159</v>
      </c>
      <c r="H30" s="89">
        <f>'Forecast by year'!H12+'Forecast by year'!O12</f>
        <v>5945.8971955952338</v>
      </c>
      <c r="I30" s="221">
        <f>SUM(D30:H30)</f>
        <v>26566.322420715132</v>
      </c>
    </row>
    <row r="31" spans="2:9" customFormat="1" x14ac:dyDescent="0.25">
      <c r="B31" s="226" t="s">
        <v>112</v>
      </c>
      <c r="C31" s="4"/>
      <c r="D31" s="89">
        <f>'Forecast by year'!D13+'Forecast by year'!K13</f>
        <v>1655.2741096617574</v>
      </c>
      <c r="E31" s="89">
        <f>'Forecast by year'!E13+'Forecast by year'!L13</f>
        <v>1721.4850740482277</v>
      </c>
      <c r="F31" s="89">
        <f>'Forecast by year'!F13+'Forecast by year'!M13</f>
        <v>1806.5140740093657</v>
      </c>
      <c r="G31" s="89">
        <f>'Forecast by year'!G13+'Forecast by year'!N13</f>
        <v>1914.5269537192498</v>
      </c>
      <c r="H31" s="89">
        <f>'Forecast by year'!H13+'Forecast by year'!O13</f>
        <v>2046.6498586399857</v>
      </c>
      <c r="I31" s="221">
        <f>SUM(D31:H31)</f>
        <v>9144.4500700785866</v>
      </c>
    </row>
    <row r="32" spans="2:9" customFormat="1" x14ac:dyDescent="0.25">
      <c r="B32" s="226" t="s">
        <v>119</v>
      </c>
      <c r="C32" s="4"/>
      <c r="D32" s="89">
        <f>'Forecast by year'!D14+'Forecast by year'!K14</f>
        <v>1064.5210969536463</v>
      </c>
      <c r="E32" s="89">
        <f>'Forecast by year'!E14+'Forecast by year'!L14</f>
        <v>1107.101940831792</v>
      </c>
      <c r="F32" s="89">
        <f>'Forecast by year'!F14+'Forecast by year'!M14</f>
        <v>1161.7848261516126</v>
      </c>
      <c r="G32" s="89">
        <f>'Forecast by year'!G14+'Forecast by year'!N14</f>
        <v>1231.2488433332649</v>
      </c>
      <c r="H32" s="89">
        <f>'Forecast by year'!H14+'Forecast by year'!O14</f>
        <v>1316.2182262638444</v>
      </c>
      <c r="I32" s="221">
        <f>SUM(D32:H32)</f>
        <v>5880.8749335341599</v>
      </c>
    </row>
    <row r="33" spans="2:9" customFormat="1" x14ac:dyDescent="0.25">
      <c r="B33" s="227" t="s">
        <v>1</v>
      </c>
      <c r="C33" s="17"/>
      <c r="D33" s="18">
        <f>SUM(D29:D32)</f>
        <v>17849.77964242268</v>
      </c>
      <c r="E33" s="18">
        <f t="shared" ref="E33:H33" si="4">SUM(E29:E32)</f>
        <v>18563.770828119585</v>
      </c>
      <c r="F33" s="18">
        <f t="shared" si="4"/>
        <v>19480.687792906778</v>
      </c>
      <c r="G33" s="18">
        <f t="shared" si="4"/>
        <v>20645.453247831287</v>
      </c>
      <c r="H33" s="18">
        <f t="shared" si="4"/>
        <v>22070.211071799076</v>
      </c>
      <c r="I33" s="19">
        <f>SUM(I29:I32)</f>
        <v>98609.902583079398</v>
      </c>
    </row>
  </sheetData>
  <mergeCells count="3">
    <mergeCell ref="B15:I16"/>
    <mergeCell ref="B20:I21"/>
    <mergeCell ref="D24:H2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2017-09-13T03:49:33Z</cp:lastPrinted>
  <dcterms:created xsi:type="dcterms:W3CDTF">2013-06-17T01:25:32Z</dcterms:created>
  <dcterms:modified xsi:type="dcterms:W3CDTF">2018-04-18T03:08:21Z</dcterms:modified>
</cp:coreProperties>
</file>