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3_ Inspection Services - Private &amp; ASPs\"/>
    </mc:Choice>
  </mc:AlternateContent>
  <xr:revisionPtr revIDLastSave="0" documentId="13_ncr:1_{B474F0BC-BF5C-4613-9EA4-9D8591C6C824}"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price" sheetId="11" r:id="rId5"/>
    <sheet name="Forecasts by year" sheetId="17" r:id="rId6"/>
    <sheet name="Forecast Revenue - Costs" sheetId="16" r:id="rId7"/>
  </sheets>
  <externalReferences>
    <externalReference r:id="rId8"/>
  </externalReferences>
  <calcPr calcId="171027"/>
</workbook>
</file>

<file path=xl/calcChain.xml><?xml version="1.0" encoding="utf-8"?>
<calcChain xmlns="http://schemas.openxmlformats.org/spreadsheetml/2006/main">
  <c r="B20" i="9" l="1"/>
  <c r="H5" i="17" l="1"/>
  <c r="G5" i="17"/>
  <c r="F5" i="17"/>
  <c r="E5" i="17"/>
  <c r="D5" i="17"/>
  <c r="H2" i="17"/>
  <c r="G2" i="17"/>
  <c r="F2" i="17"/>
  <c r="E2" i="17"/>
  <c r="D2" i="17"/>
  <c r="H1" i="17"/>
  <c r="G1" i="17"/>
  <c r="F1" i="17"/>
  <c r="E1" i="17"/>
  <c r="D1" i="17"/>
  <c r="I16" i="11"/>
  <c r="H16" i="11"/>
  <c r="I7" i="11"/>
  <c r="H7" i="11"/>
  <c r="G17" i="11" l="1"/>
  <c r="H17" i="11"/>
  <c r="C31" i="17" s="1"/>
  <c r="I17" i="11"/>
  <c r="C32" i="17" s="1"/>
  <c r="D32" i="17" s="1"/>
  <c r="J17" i="11"/>
  <c r="C33" i="17" s="1"/>
  <c r="D33" i="17" s="1"/>
  <c r="E33" i="17" s="1"/>
  <c r="F33" i="17" s="1"/>
  <c r="G33" i="17" s="1"/>
  <c r="H33" i="17" s="1"/>
  <c r="K17" i="11"/>
  <c r="L17" i="11"/>
  <c r="F17" i="11"/>
  <c r="G8" i="11"/>
  <c r="H8" i="11"/>
  <c r="C19" i="17" s="1"/>
  <c r="D19" i="17" s="1"/>
  <c r="I8" i="11"/>
  <c r="C20" i="17" s="1"/>
  <c r="D20" i="17" s="1"/>
  <c r="J8" i="11"/>
  <c r="C21" i="17" s="1"/>
  <c r="D21" i="17" s="1"/>
  <c r="K8" i="11"/>
  <c r="L8" i="11"/>
  <c r="F8" i="11"/>
  <c r="E39" i="17"/>
  <c r="F39" i="17"/>
  <c r="G39" i="17"/>
  <c r="H39" i="17"/>
  <c r="D39" i="17"/>
  <c r="E27" i="17"/>
  <c r="F27" i="17"/>
  <c r="G27" i="17"/>
  <c r="H27" i="17"/>
  <c r="D27" i="17"/>
  <c r="K33" i="17"/>
  <c r="L33" i="17" s="1"/>
  <c r="M33" i="17" s="1"/>
  <c r="N33" i="17" s="1"/>
  <c r="O33" i="17" s="1"/>
  <c r="K32" i="17"/>
  <c r="L32" i="17" s="1"/>
  <c r="M32" i="17" s="1"/>
  <c r="N32" i="17" s="1"/>
  <c r="O32" i="17" s="1"/>
  <c r="L21" i="17"/>
  <c r="M21" i="17" s="1"/>
  <c r="N21" i="17" s="1"/>
  <c r="O21" i="17" s="1"/>
  <c r="K21" i="17"/>
  <c r="K20" i="17"/>
  <c r="L20" i="17" s="1"/>
  <c r="M20" i="17" s="1"/>
  <c r="N20" i="17" s="1"/>
  <c r="O20" i="17" s="1"/>
  <c r="O5" i="17"/>
  <c r="M5" i="17"/>
  <c r="K5" i="17"/>
  <c r="N1" i="17"/>
  <c r="L1" i="17"/>
  <c r="O1" i="17"/>
  <c r="M1" i="17"/>
  <c r="K1" i="17"/>
  <c r="M16" i="11"/>
  <c r="M17" i="11" s="1"/>
  <c r="C34" i="17" s="1"/>
  <c r="M7" i="11"/>
  <c r="D9" i="17" l="1"/>
  <c r="D30" i="16" s="1"/>
  <c r="D10" i="17"/>
  <c r="D31" i="16" s="1"/>
  <c r="M8" i="11"/>
  <c r="C22" i="17" s="1"/>
  <c r="E19" i="17"/>
  <c r="E20" i="17"/>
  <c r="K31" i="17"/>
  <c r="L5" i="17"/>
  <c r="K19" i="17"/>
  <c r="N5" i="17"/>
  <c r="E21" i="17"/>
  <c r="E10" i="17" s="1"/>
  <c r="E31" i="16" s="1"/>
  <c r="D31" i="17"/>
  <c r="D8" i="17" s="1"/>
  <c r="D29" i="16" s="1"/>
  <c r="H5" i="15"/>
  <c r="H6" i="15"/>
  <c r="I6" i="15" s="1"/>
  <c r="H7" i="15"/>
  <c r="I7" i="15" s="1"/>
  <c r="H8" i="15"/>
  <c r="H9" i="15" s="1"/>
  <c r="H4" i="15"/>
  <c r="H6" i="13"/>
  <c r="H10" i="13" s="1"/>
  <c r="G17" i="13"/>
  <c r="H17" i="13"/>
  <c r="I14" i="13"/>
  <c r="I7" i="13"/>
  <c r="I8" i="13"/>
  <c r="I9" i="13"/>
  <c r="G10" i="13"/>
  <c r="I6" i="13"/>
  <c r="G15" i="15"/>
  <c r="H15" i="15"/>
  <c r="I13" i="15"/>
  <c r="I5" i="15"/>
  <c r="I4" i="15"/>
  <c r="G9" i="15"/>
  <c r="F20" i="17" l="1"/>
  <c r="F9" i="17" s="1"/>
  <c r="F30" i="16" s="1"/>
  <c r="E9" i="17"/>
  <c r="E30" i="16" s="1"/>
  <c r="F19" i="17"/>
  <c r="L31" i="17"/>
  <c r="K34" i="17"/>
  <c r="F21" i="17"/>
  <c r="F10" i="17" s="1"/>
  <c r="F31" i="16" s="1"/>
  <c r="D22" i="17"/>
  <c r="D34" i="17"/>
  <c r="E31" i="17"/>
  <c r="E8" i="17" s="1"/>
  <c r="E29" i="16" s="1"/>
  <c r="K22" i="17"/>
  <c r="L19" i="17"/>
  <c r="I8" i="15"/>
  <c r="G20" i="17" l="1"/>
  <c r="G9" i="17" s="1"/>
  <c r="G30" i="16" s="1"/>
  <c r="D11" i="17"/>
  <c r="D32" i="16" s="1"/>
  <c r="C42" i="8" s="1"/>
  <c r="G19" i="17"/>
  <c r="F31" i="17"/>
  <c r="F8" i="17" s="1"/>
  <c r="F29" i="16" s="1"/>
  <c r="E34" i="17"/>
  <c r="M31" i="17"/>
  <c r="L34" i="17"/>
  <c r="M19" i="17"/>
  <c r="L22" i="17"/>
  <c r="E22" i="17"/>
  <c r="G21" i="17"/>
  <c r="G10" i="17" s="1"/>
  <c r="G31" i="16" s="1"/>
  <c r="E9" i="15"/>
  <c r="F9" i="15"/>
  <c r="I13" i="16"/>
  <c r="I12" i="16"/>
  <c r="G14" i="16"/>
  <c r="F58" i="8" s="1"/>
  <c r="H20" i="17" l="1"/>
  <c r="H9" i="17" s="1"/>
  <c r="H30" i="16" s="1"/>
  <c r="I30" i="16" s="1"/>
  <c r="E11" i="17"/>
  <c r="E32" i="16" s="1"/>
  <c r="D42" i="8"/>
  <c r="H19" i="17"/>
  <c r="M22" i="17"/>
  <c r="N19" i="17"/>
  <c r="M34" i="17"/>
  <c r="N31" i="17"/>
  <c r="H21" i="17"/>
  <c r="H10" i="17" s="1"/>
  <c r="H31" i="16" s="1"/>
  <c r="I31" i="16" s="1"/>
  <c r="F22" i="17"/>
  <c r="G31" i="17"/>
  <c r="G8" i="17" s="1"/>
  <c r="G29" i="16" s="1"/>
  <c r="F34" i="17"/>
  <c r="F16" i="11"/>
  <c r="F11" i="17" l="1"/>
  <c r="F32" i="16" s="1"/>
  <c r="O31" i="17"/>
  <c r="O34" i="17" s="1"/>
  <c r="N34" i="17"/>
  <c r="G22" i="17"/>
  <c r="H31" i="17"/>
  <c r="H34" i="17" s="1"/>
  <c r="G34" i="17"/>
  <c r="O19" i="17"/>
  <c r="O22" i="17" s="1"/>
  <c r="N22" i="17"/>
  <c r="H14" i="16"/>
  <c r="G58" i="8" s="1"/>
  <c r="G11" i="17" l="1"/>
  <c r="G32" i="16" s="1"/>
  <c r="E42" i="8"/>
  <c r="H8" i="17"/>
  <c r="H29" i="16" s="1"/>
  <c r="I29" i="16" s="1"/>
  <c r="H22" i="17"/>
  <c r="H11" i="17" s="1"/>
  <c r="H32" i="16" s="1"/>
  <c r="I32" i="16" l="1"/>
  <c r="F42" i="8"/>
  <c r="G42" i="8"/>
  <c r="F15" i="15"/>
  <c r="E15" i="15"/>
  <c r="D15" i="15"/>
  <c r="I15" i="15" l="1"/>
  <c r="F14" i="16"/>
  <c r="E58" i="8" s="1"/>
  <c r="E14" i="16"/>
  <c r="D58" i="8" s="1"/>
  <c r="D14" i="16"/>
  <c r="C58" i="8" s="1"/>
  <c r="I14" i="16"/>
  <c r="I16" i="13"/>
  <c r="I15" i="13"/>
  <c r="F17" i="13"/>
  <c r="E17" i="13"/>
  <c r="D17" i="13"/>
  <c r="F10" i="13"/>
  <c r="E10" i="13"/>
  <c r="D10" i="13"/>
  <c r="I10" i="13" l="1"/>
  <c r="I17" i="13"/>
  <c r="I9" i="15" l="1"/>
  <c r="D3" i="9" l="1"/>
  <c r="H58" i="8" l="1"/>
  <c r="H42" i="8" l="1"/>
  <c r="E4" i="17" l="1"/>
  <c r="H4" i="17"/>
  <c r="D4" i="17"/>
  <c r="G4" i="17"/>
  <c r="O16" i="11"/>
  <c r="O17" i="11" s="1"/>
  <c r="C36" i="17" s="1"/>
  <c r="F4" i="17"/>
  <c r="O7" i="11"/>
  <c r="O8" i="11" s="1"/>
  <c r="C24" i="17" s="1"/>
  <c r="N4" i="17" l="1"/>
  <c r="G36" i="17"/>
  <c r="G24" i="17"/>
  <c r="K4" i="17"/>
  <c r="D36" i="17"/>
  <c r="D24" i="17"/>
  <c r="D13" i="17" s="1"/>
  <c r="D34" i="16" s="1"/>
  <c r="M4" i="17"/>
  <c r="F24" i="17"/>
  <c r="F36" i="17"/>
  <c r="O4" i="17"/>
  <c r="H36" i="17"/>
  <c r="H24" i="17"/>
  <c r="L4" i="17"/>
  <c r="E24" i="17"/>
  <c r="E36" i="17"/>
  <c r="F13" i="17" l="1"/>
  <c r="F34" i="16" s="1"/>
  <c r="G13" i="17"/>
  <c r="G34" i="16" s="1"/>
  <c r="H13" i="17"/>
  <c r="H34" i="16" s="1"/>
  <c r="K36" i="17"/>
  <c r="K24" i="17"/>
  <c r="M24" i="17"/>
  <c r="M36" i="17"/>
  <c r="E13" i="17"/>
  <c r="E34" i="16" s="1"/>
  <c r="O24" i="17"/>
  <c r="O36" i="17"/>
  <c r="L36" i="17"/>
  <c r="L24" i="17"/>
  <c r="N24" i="17"/>
  <c r="N36" i="17"/>
  <c r="I34" i="16" l="1"/>
  <c r="F3" i="17"/>
  <c r="N7" i="11"/>
  <c r="E3" i="17"/>
  <c r="H3" i="17"/>
  <c r="D3" i="17"/>
  <c r="G3" i="17"/>
  <c r="N16" i="11"/>
  <c r="H35" i="17" l="1"/>
  <c r="H37" i="17" s="1"/>
  <c r="H38" i="17" s="1"/>
  <c r="H40" i="17" s="1"/>
  <c r="H6" i="16" s="1"/>
  <c r="H23" i="17"/>
  <c r="O3" i="17"/>
  <c r="P16" i="11"/>
  <c r="P17" i="11" s="1"/>
  <c r="C37" i="17" s="1"/>
  <c r="N17" i="11"/>
  <c r="C35" i="17" s="1"/>
  <c r="G35" i="17"/>
  <c r="G37" i="17" s="1"/>
  <c r="G38" i="17" s="1"/>
  <c r="G40" i="17" s="1"/>
  <c r="G6" i="16" s="1"/>
  <c r="N3" i="17"/>
  <c r="G23" i="17"/>
  <c r="P7" i="11"/>
  <c r="P8" i="11" s="1"/>
  <c r="C25" i="17" s="1"/>
  <c r="N8" i="11"/>
  <c r="C23" i="17" s="1"/>
  <c r="E35" i="17"/>
  <c r="E37" i="17" s="1"/>
  <c r="E38" i="17" s="1"/>
  <c r="E40" i="17" s="1"/>
  <c r="E6" i="16" s="1"/>
  <c r="L3" i="17"/>
  <c r="E23" i="17"/>
  <c r="D35" i="17"/>
  <c r="D37" i="17" s="1"/>
  <c r="D38" i="17" s="1"/>
  <c r="D40" i="17" s="1"/>
  <c r="D6" i="16" s="1"/>
  <c r="D23" i="17"/>
  <c r="K3" i="17"/>
  <c r="M3" i="17"/>
  <c r="F35" i="17"/>
  <c r="F37" i="17" s="1"/>
  <c r="F38" i="17" s="1"/>
  <c r="F40" i="17" s="1"/>
  <c r="F6" i="16" s="1"/>
  <c r="F23" i="17"/>
  <c r="Q7" i="11" l="1"/>
  <c r="Q8" i="11" s="1"/>
  <c r="C26" i="17" s="1"/>
  <c r="K23" i="17"/>
  <c r="K25" i="17" s="1"/>
  <c r="K26" i="17" s="1"/>
  <c r="K35" i="17"/>
  <c r="K37" i="17" s="1"/>
  <c r="K38" i="17" s="1"/>
  <c r="D7" i="8"/>
  <c r="N23" i="17"/>
  <c r="N25" i="17" s="1"/>
  <c r="N26" i="17" s="1"/>
  <c r="N35" i="17"/>
  <c r="N37" i="17" s="1"/>
  <c r="N38" i="17" s="1"/>
  <c r="F25" i="17"/>
  <c r="F14" i="17" s="1"/>
  <c r="F35" i="16" s="1"/>
  <c r="F12" i="17"/>
  <c r="F33" i="16" s="1"/>
  <c r="D12" i="17"/>
  <c r="D33" i="16" s="1"/>
  <c r="D25" i="17"/>
  <c r="E25" i="17"/>
  <c r="E12" i="17"/>
  <c r="E33" i="16" s="1"/>
  <c r="O35" i="17"/>
  <c r="O37" i="17" s="1"/>
  <c r="O38" i="17" s="1"/>
  <c r="O23" i="17"/>
  <c r="O25" i="17" s="1"/>
  <c r="O26" i="17" s="1"/>
  <c r="I6" i="16"/>
  <c r="L35" i="17"/>
  <c r="L37" i="17" s="1"/>
  <c r="L38" i="17" s="1"/>
  <c r="L23" i="17"/>
  <c r="L25" i="17" s="1"/>
  <c r="L26" i="17" s="1"/>
  <c r="Q16" i="11"/>
  <c r="Q17" i="11" s="1"/>
  <c r="H25" i="17"/>
  <c r="H14" i="17" s="1"/>
  <c r="H35" i="16" s="1"/>
  <c r="H12" i="17"/>
  <c r="H33" i="16" s="1"/>
  <c r="M35" i="17"/>
  <c r="M37" i="17" s="1"/>
  <c r="M38" i="17" s="1"/>
  <c r="M23" i="17"/>
  <c r="M25" i="17" s="1"/>
  <c r="M26" i="17" s="1"/>
  <c r="G12" i="17"/>
  <c r="G33" i="16" s="1"/>
  <c r="G25" i="17"/>
  <c r="H36" i="16" l="1"/>
  <c r="H26" i="17"/>
  <c r="F36" i="16"/>
  <c r="D26" i="17"/>
  <c r="D14" i="17"/>
  <c r="D35" i="16" s="1"/>
  <c r="C44" i="8" s="1"/>
  <c r="G44" i="8"/>
  <c r="G46" i="8" s="1"/>
  <c r="I33" i="16"/>
  <c r="D8" i="8"/>
  <c r="C38" i="17"/>
  <c r="F26" i="17"/>
  <c r="G26" i="17"/>
  <c r="G14" i="17"/>
  <c r="G35" i="16" s="1"/>
  <c r="G36" i="16" s="1"/>
  <c r="H28" i="17"/>
  <c r="H5" i="16" s="1"/>
  <c r="H7" i="16" s="1"/>
  <c r="H15" i="17"/>
  <c r="E26" i="17"/>
  <c r="E14" i="17"/>
  <c r="E35" i="16" s="1"/>
  <c r="E36" i="16" s="1"/>
  <c r="E44" i="8"/>
  <c r="E46" i="8" s="1"/>
  <c r="H16" i="17" l="1"/>
  <c r="E15" i="17"/>
  <c r="E28" i="17"/>
  <c r="G28" i="17"/>
  <c r="G15" i="17"/>
  <c r="D36" i="16"/>
  <c r="I35" i="16"/>
  <c r="I36" i="16" s="1"/>
  <c r="F15" i="17"/>
  <c r="F28" i="17"/>
  <c r="C46" i="8"/>
  <c r="D15" i="17"/>
  <c r="D28" i="17"/>
  <c r="D44" i="8"/>
  <c r="D46" i="8" s="1"/>
  <c r="F44" i="8"/>
  <c r="F46" i="8" s="1"/>
  <c r="H44" i="8" l="1"/>
  <c r="H46" i="8" s="1"/>
  <c r="E5" i="16"/>
  <c r="E7" i="16" s="1"/>
  <c r="E16" i="17"/>
  <c r="G16" i="17"/>
  <c r="G5" i="16"/>
  <c r="G7" i="16" s="1"/>
  <c r="D5" i="16"/>
  <c r="D16" i="17"/>
  <c r="F16" i="17"/>
  <c r="F5" i="16"/>
  <c r="F7" i="16" s="1"/>
  <c r="D7" i="16" l="1"/>
  <c r="I5" i="16"/>
  <c r="I7" i="16" s="1"/>
</calcChain>
</file>

<file path=xl/sharedStrings.xml><?xml version="1.0" encoding="utf-8"?>
<sst xmlns="http://schemas.openxmlformats.org/spreadsheetml/2006/main" count="268" uniqueCount="151">
  <si>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</si>
  <si>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</si>
  <si>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</si>
  <si>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</si>
  <si>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</si>
  <si>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</si>
  <si>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</si>
  <si>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</si>
  <si>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</si>
  <si>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</si>
  <si>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</si>
  <si>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</si>
  <si>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</si>
  <si>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</si>
  <si>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</si>
  <si>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</si>
  <si>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</si>
  <si>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</si>
  <si>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</si>
  <si>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</si>
  <si>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</si>
  <si>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</si>
  <si>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</si>
  <si>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</si>
  <si>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</si>
  <si>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</si>
  <si>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</si>
  <si>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</si>
  <si>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</si>
  <si>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Estimated have been provided on the work effort that will be required to complete each service</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</si>
  <si>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</si>
  <si>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</si>
  <si>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</si>
  <si>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</si>
  <si>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</si>
  <si>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</si>
  <si>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</si>
  <si>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</si>
  <si>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</si>
  <si>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</si>
  <si>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</si>
  <si>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</si>
  <si>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</si>
  <si>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</si>
  <si>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</si>
  <si>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</si>
  <si>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</si>
  <si>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</si>
  <si>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</si>
  <si>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</si>
  <si>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</si>
  <si>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</si>
  <si>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</si>
  <si>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</si>
  <si>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</si>
  <si>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</si>
  <si>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R2a</t>
  </si>
  <si>
    <t>Network Service:</t>
  </si>
  <si>
    <t>FY16/17</t>
  </si>
  <si>
    <t>FY15/16</t>
  </si>
  <si>
    <t>FY14/15</t>
  </si>
  <si>
    <t>FY19/20</t>
  </si>
  <si>
    <t>FY20/21</t>
  </si>
  <si>
    <t>FY21/22</t>
  </si>
  <si>
    <t>FY23/24</t>
  </si>
  <si>
    <t>Time on Task (Hours)</t>
  </si>
  <si>
    <t>Contestable Works Database</t>
  </si>
  <si>
    <t>Investigation, review &amp; implementation of remedial actions asssociated with work performed by ASP's</t>
  </si>
  <si>
    <t>Investigation, review and implementation of remedial actions associated with work performed by ASP's</t>
  </si>
  <si>
    <t xml:space="preserve">Existing Service Description (2014 - 19) </t>
  </si>
  <si>
    <t xml:space="preserve">
The investigation, review and implementation of remedial actions associated with contestable connection works, leading to corrective and disciplinary action against an ASP due to unsafe practices, substandard workmanship or other serious circumstances.</t>
  </si>
  <si>
    <t>Inspection Services - Private Electrical Installations and ASPs
Inspection of and reinspection by a distributor, for safety purposes, of:
- private electrical wiring work undertaken by an electrical contractor and contestable works undertaken by ASPs.
- the investigation, review and implementation of remedial actions that may lead to corrective and disciplinary action of an ASP due to unsafe practices or substandard workmanship. 
- private inspection of privately owned low voltage or high voltage network infrastructure (i.e. privately owned distribution infrastructure before the meter).</t>
  </si>
  <si>
    <t>Operating Direct Costs (on IO's, work orders, cost objects, cost centres)</t>
  </si>
  <si>
    <t>Safety Officer</t>
  </si>
  <si>
    <t>Bottom Up Estimation</t>
  </si>
  <si>
    <t>Investigation of ASP's</t>
  </si>
  <si>
    <t>Inv, rev &amp; imp of remedial actions - ASP's Incident Cat 1-2 (Hourly Rate)</t>
  </si>
  <si>
    <t>Inv, rev &amp; imp of remedial actions - ASP's Incidenet Cat 3 - 5 (Fixed Fee)</t>
  </si>
  <si>
    <t>Investigation , review and implimentation of action due to ASP incident</t>
  </si>
  <si>
    <t>Hourly Rate / Fixed Fee</t>
  </si>
  <si>
    <t>Incident Category 1-2 - Hrly Rate</t>
  </si>
  <si>
    <t>Incident Category 3 - 5 - Fixed Fee</t>
  </si>
  <si>
    <t>Projected Volumes for FY2019-24 Regulatory Period</t>
  </si>
  <si>
    <t>Project Code</t>
  </si>
  <si>
    <t>FY22/23</t>
  </si>
  <si>
    <t>Category 3-5</t>
  </si>
  <si>
    <t>Category 1-2 (hours)</t>
  </si>
  <si>
    <t>ACSCW 30700 - ASP Investigations &amp; Remedial Actions</t>
  </si>
  <si>
    <t xml:space="preserve">Operating Costs - </t>
  </si>
  <si>
    <t>Service categories incident introduced.</t>
  </si>
  <si>
    <t>Fixed Fee service introduced (Category 3-5 Incident).</t>
  </si>
  <si>
    <t xml:space="preserve">Inconsistencies between volumes of hrs recorded and recorded volumes. </t>
  </si>
  <si>
    <t>Inconsistencies between volumes of hrs recorded and recorded volumes. Significant differences between operating costs and revenue for hrsly rate service.</t>
  </si>
  <si>
    <t>FY17/18</t>
  </si>
  <si>
    <t>FY18/19</t>
  </si>
  <si>
    <t>FY14/15 operating costs  - N/A</t>
  </si>
  <si>
    <t>FY15/16 operating costs  - Actuals</t>
  </si>
  <si>
    <t>FY16/17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</si>
  <si>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</si>
  <si>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</si>
  <si>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</si>
  <si>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</si>
  <si>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</si>
  <si>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</si>
  <si>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</si>
  <si>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r>
      <t xml:space="preserve">
</t>
    </r>
    <r>
      <rPr>
        <b/>
        <sz val="10"/>
        <color theme="1"/>
        <rFont val="Arial"/>
        <family val="2"/>
      </rPr>
      <t>Investigation, review and implementation of remedial actions associated with work performed by ASP's</t>
    </r>
    <r>
      <rPr>
        <sz val="10"/>
        <color theme="1"/>
        <rFont val="Arial"/>
        <family val="2"/>
      </rPr>
      <t xml:space="preserve">
The investigation, review and implementation of remedial actions associated with contestable connection works, leading to corrective and disciplinary action against an ASP due to unsafe practices, substandard workmanship or other serious circumstances.</t>
    </r>
  </si>
  <si>
    <t>Proposed Fee ($2018/19 - Excl GST)</t>
  </si>
  <si>
    <t>Total Direct Costs $2018/19</t>
  </si>
  <si>
    <t>Total Indirect Costs $2018/19</t>
  </si>
  <si>
    <t>TOTAL COSTS $2018/19</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</si>
  <si>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</si>
  <si>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</si>
  <si>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</si>
  <si>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</si>
  <si>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</si>
  <si>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</si>
  <si>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</si>
  <si>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</si>
  <si>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</si>
  <si>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</si>
  <si>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</si>
  <si>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</si>
  <si>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</si>
  <si>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</si>
  <si>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</si>
  <si>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</si>
  <si>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</si>
  <si>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</si>
  <si>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</si>
  <si>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</si>
  <si>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</si>
  <si>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</si>
  <si>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</si>
  <si>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</si>
  <si>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</si>
  <si>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</si>
  <si>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</si>
  <si>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</si>
  <si>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</si>
  <si>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</si>
  <si>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</si>
  <si>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</si>
  <si>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</si>
  <si>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</si>
  <si>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</si>
  <si>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</si>
  <si>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</si>
  <si>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13.5 Inv, rev &amp; impl remedial action associated with ASP's</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</si>
  <si>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</si>
  <si>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Historical operating costs referenced from ANS P&amp;L Report.</t>
  </si>
  <si>
    <t>Historical revenue referenced from ANS P&amp;L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</si>
</sst>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quot;$&quot;#,##0_);\(&quot;$&quot;#,##0\)"/>
    <numFmt numFmtId="167" formatCode="_(&quot;$&quot;* #,##0_);_(&quot;$&quot;* \(#,##0\);_(&quot;$&quot;* &quot;-&quot;_);_(@_)"/>
    <numFmt numFmtId="168" formatCode="_(&quot;$&quot;* #,##0.00_);_(&quot;$&quot;* \(#,##0.00\);_(&quot;$&quot;* &quot;-&quot;??_);_(@_)"/>
    <numFmt numFmtId="169" formatCode="_(* #,##0.00_);_(* \(#,##0.00\);_(* &quot;-&quot;??_);_(@_)"/>
    <numFmt numFmtId="170" formatCode="_-&quot;$&quot;* #,##0_-;\-&quot;$&quot;* #,##0_-;_-&quot;$&quot;* &quot;-&quot;??_-;_-@_-"/>
    <numFmt numFmtId="171" formatCode="_-* #,##0_-;\-* #,##0_-;_-* &quot;-&quot;??_-;_-@_-"/>
    <numFmt numFmtId="172" formatCode="&quot;$&quot;#,##0.00"/>
    <numFmt numFmtId="173" formatCode="#,##0.00\ ;\(#,##0.00\);\-\ "/>
    <numFmt numFmtId="174" formatCode="#,##0\ ;\(#,##0\);\-\ "/>
    <numFmt numFmtId="176" formatCode="_(* #,##0_);_(* \(#,##0\);_(* &quot;-&quot;??_);_(@_)"/>
  </numFmts>
  <fonts count="36"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8"/>
      <color theme="1"/>
      <name val="Arial"/>
      <family val="2"/>
    </font>
    <font>
      <b/>
      <sz val="7"/>
      <name val="Arial"/>
      <family val="2"/>
    </font>
    <font>
      <sz val="10"/>
      <name val="Arial"/>
      <family val="2"/>
    </font>
    <font>
      <sz val="10"/>
      <color rgb="FF0065A6"/>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8" fontId="3" fillId="0" borderId="0" applyFont="0" applyFill="0" applyBorder="0" applyAlignment="0" applyProtection="0"/>
    <xf numFmtId="169" fontId="3" fillId="0" borderId="0" applyFont="0" applyFill="0" applyBorder="0" applyAlignment="0" applyProtection="0"/>
    <xf numFmtId="168" fontId="3" fillId="0" borderId="0" applyFont="0" applyFill="0" applyBorder="0" applyAlignment="0" applyProtection="0"/>
    <xf numFmtId="0" fontId="4" fillId="0" borderId="0"/>
  </cellStyleXfs>
  <cellXfs count="267">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70" fontId="7" fillId="5" borderId="8" xfId="2" applyNumberFormat="1" applyFont="1" applyFill="1" applyBorder="1"/>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70" fontId="7" fillId="5" borderId="9" xfId="2" applyNumberFormat="1" applyFont="1" applyFill="1" applyBorder="1"/>
    <xf numFmtId="170" fontId="7" fillId="5" borderId="10" xfId="2" applyNumberFormat="1" applyFont="1" applyFill="1" applyBorder="1"/>
    <xf numFmtId="0" fontId="5" fillId="8" borderId="0" xfId="0" applyFont="1" applyFill="1"/>
    <xf numFmtId="0" fontId="8" fillId="8" borderId="0" xfId="0" applyFont="1" applyFill="1"/>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8" fillId="0" borderId="0" xfId="0" applyFont="1"/>
    <xf numFmtId="0" fontId="8" fillId="0" borderId="0" xfId="0" applyFont="1" applyBorder="1"/>
    <xf numFmtId="172" fontId="8" fillId="0" borderId="1" xfId="0" applyNumberFormat="1" applyFont="1" applyBorder="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2" fillId="0" borderId="0" xfId="0" applyFont="1" applyFill="1" applyAlignment="1">
      <alignment horizontal="left"/>
    </xf>
    <xf numFmtId="0" fontId="11" fillId="0" borderId="0" xfId="0" applyFont="1"/>
    <xf numFmtId="0" fontId="2" fillId="0" borderId="6" xfId="0" applyFont="1" applyBorder="1"/>
    <xf numFmtId="0" fontId="7" fillId="0" borderId="0" xfId="0" applyFont="1" applyFill="1" applyBorder="1"/>
    <xf numFmtId="0" fontId="4" fillId="0" borderId="0" xfId="0" applyFont="1" applyFill="1" applyBorder="1"/>
    <xf numFmtId="170" fontId="7" fillId="0" borderId="0" xfId="2" applyNumberFormat="1" applyFont="1" applyFill="1" applyBorder="1"/>
    <xf numFmtId="0" fontId="5" fillId="8" borderId="8" xfId="0" applyFont="1" applyFill="1" applyBorder="1"/>
    <xf numFmtId="0" fontId="7" fillId="5" borderId="10" xfId="0" applyFont="1" applyFill="1" applyBorder="1"/>
    <xf numFmtId="0" fontId="11" fillId="0" borderId="6" xfId="0" applyFont="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7" fillId="5" borderId="4" xfId="0" applyFont="1" applyFill="1" applyBorder="1" applyAlignment="1">
      <alignment horizontal="center"/>
    </xf>
    <xf numFmtId="0" fontId="7" fillId="5" borderId="7" xfId="0" applyFont="1" applyFill="1" applyBorder="1" applyAlignment="1">
      <alignment horizontal="center"/>
    </xf>
    <xf numFmtId="0" fontId="12" fillId="8" borderId="8" xfId="0" applyNumberFormat="1" applyFont="1" applyFill="1" applyBorder="1" applyAlignment="1">
      <alignment horizontal="left" wrapText="1"/>
    </xf>
    <xf numFmtId="3" fontId="2" fillId="10" borderId="4" xfId="0" applyNumberFormat="1" applyFont="1" applyFill="1" applyBorder="1"/>
    <xf numFmtId="164" fontId="7" fillId="5" borderId="9" xfId="2" applyNumberFormat="1" applyFont="1" applyFill="1" applyBorder="1"/>
    <xf numFmtId="0" fontId="5" fillId="8" borderId="0" xfId="0" applyFont="1" applyFill="1" applyAlignment="1">
      <alignment horizontal="left"/>
    </xf>
    <xf numFmtId="0" fontId="2" fillId="10" borderId="4" xfId="0" applyFont="1" applyFill="1" applyBorder="1" applyAlignment="1">
      <alignment horizontal="left"/>
    </xf>
    <xf numFmtId="0" fontId="2" fillId="4" borderId="4" xfId="0" applyFont="1" applyFill="1" applyBorder="1" applyAlignment="1">
      <alignment wrapText="1"/>
    </xf>
    <xf numFmtId="0" fontId="2" fillId="4" borderId="5" xfId="0" applyFont="1" applyFill="1" applyBorder="1" applyAlignment="1">
      <alignment wrapText="1"/>
    </xf>
    <xf numFmtId="167" fontId="2" fillId="10" borderId="5" xfId="2" applyNumberFormat="1" applyFont="1" applyFill="1" applyBorder="1" applyAlignment="1">
      <alignment horizontal="right"/>
    </xf>
    <xf numFmtId="167" fontId="2" fillId="4" borderId="5" xfId="2" applyNumberFormat="1" applyFont="1" applyFill="1" applyBorder="1" applyAlignment="1">
      <alignment horizontal="center"/>
    </xf>
    <xf numFmtId="167" fontId="2" fillId="4" borderId="5" xfId="2" applyNumberFormat="1" applyFont="1" applyFill="1" applyBorder="1" applyAlignment="1">
      <alignment horizontal="right"/>
    </xf>
    <xf numFmtId="167" fontId="7" fillId="5" borderId="9" xfId="2" applyNumberFormat="1" applyFont="1" applyFill="1" applyBorder="1"/>
    <xf numFmtId="170" fontId="2" fillId="10" borderId="4" xfId="2" applyNumberFormat="1" applyFont="1" applyFill="1" applyBorder="1"/>
    <xf numFmtId="3" fontId="2" fillId="10" borderId="4" xfId="0" applyNumberFormat="1" applyFont="1" applyFill="1" applyBorder="1" applyAlignment="1">
      <alignment vertical="center"/>
    </xf>
    <xf numFmtId="167" fontId="2" fillId="10" borderId="5" xfId="2" applyNumberFormat="1" applyFont="1" applyFill="1" applyBorder="1" applyAlignment="1">
      <alignment horizontal="center"/>
    </xf>
    <xf numFmtId="0" fontId="2" fillId="4" borderId="4" xfId="0" applyFont="1" applyFill="1" applyBorder="1" applyAlignment="1">
      <alignment vertical="center" wrapText="1"/>
    </xf>
    <xf numFmtId="0" fontId="2" fillId="4" borderId="5" xfId="0" applyFont="1" applyFill="1" applyBorder="1" applyAlignment="1">
      <alignment vertical="center"/>
    </xf>
    <xf numFmtId="0" fontId="0" fillId="0" borderId="0" xfId="0" applyAlignment="1">
      <alignment vertical="center"/>
    </xf>
    <xf numFmtId="170" fontId="2" fillId="10" borderId="4" xfId="2" applyNumberFormat="1" applyFont="1" applyFill="1" applyBorder="1" applyAlignment="1">
      <alignment vertical="center"/>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7" fillId="5" borderId="5" xfId="0" applyFont="1" applyFill="1" applyBorder="1" applyAlignment="1">
      <alignment horizontal="center"/>
    </xf>
    <xf numFmtId="0" fontId="9" fillId="4" borderId="1" xfId="0" applyFont="1" applyFill="1" applyBorder="1" applyAlignment="1">
      <alignment vertical="top" wrapText="1"/>
    </xf>
    <xf numFmtId="0" fontId="9" fillId="4" borderId="8" xfId="0" applyFont="1" applyFill="1" applyBorder="1" applyAlignment="1">
      <alignment vertical="top" wrapText="1"/>
    </xf>
    <xf numFmtId="0" fontId="9" fillId="4" borderId="0" xfId="0" applyFont="1" applyFill="1" applyBorder="1" applyAlignment="1">
      <alignment vertical="top" wrapText="1"/>
    </xf>
    <xf numFmtId="0" fontId="13" fillId="8" borderId="0" xfId="0" applyFont="1" applyFill="1"/>
    <xf numFmtId="0" fontId="14" fillId="8" borderId="0" xfId="0" applyFont="1" applyFill="1"/>
    <xf numFmtId="0" fontId="15" fillId="0" borderId="0" xfId="0" applyFont="1"/>
    <xf numFmtId="0" fontId="16" fillId="0" borderId="0" xfId="0" applyFont="1"/>
    <xf numFmtId="0" fontId="16" fillId="10" borderId="4" xfId="0" applyFont="1" applyFill="1" applyBorder="1" applyAlignment="1">
      <alignment horizontal="left"/>
    </xf>
    <xf numFmtId="0" fontId="16" fillId="10" borderId="4" xfId="0" applyFont="1" applyFill="1" applyBorder="1" applyAlignment="1">
      <alignment wrapText="1"/>
    </xf>
    <xf numFmtId="164" fontId="16" fillId="10" borderId="4" xfId="2" applyNumberFormat="1" applyFont="1" applyFill="1" applyBorder="1"/>
    <xf numFmtId="0" fontId="16" fillId="10" borderId="4" xfId="0" applyFont="1" applyFill="1" applyBorder="1"/>
    <xf numFmtId="3" fontId="16" fillId="10" borderId="4" xfId="0" applyNumberFormat="1" applyFont="1" applyFill="1" applyBorder="1"/>
    <xf numFmtId="3" fontId="16" fillId="4" borderId="4" xfId="0" applyNumberFormat="1" applyFont="1" applyFill="1" applyBorder="1"/>
    <xf numFmtId="0" fontId="18" fillId="0" borderId="0" xfId="0" applyFont="1"/>
    <xf numFmtId="0" fontId="17" fillId="5" borderId="6" xfId="0" applyFont="1" applyFill="1" applyBorder="1" applyAlignment="1">
      <alignment horizontal="left"/>
    </xf>
    <xf numFmtId="0" fontId="19" fillId="4" borderId="1" xfId="0" applyFont="1" applyFill="1" applyBorder="1" applyAlignment="1">
      <alignment vertical="top" wrapText="1"/>
    </xf>
    <xf numFmtId="0" fontId="19" fillId="4" borderId="0" xfId="0" applyFont="1" applyFill="1" applyBorder="1" applyAlignment="1">
      <alignment vertical="top" wrapText="1"/>
    </xf>
    <xf numFmtId="0" fontId="17" fillId="5" borderId="12" xfId="0" applyFont="1" applyFill="1" applyBorder="1"/>
    <xf numFmtId="0" fontId="20" fillId="5" borderId="12" xfId="0" applyFont="1" applyFill="1" applyBorder="1"/>
    <xf numFmtId="0" fontId="16" fillId="4" borderId="0" xfId="0" quotePrefix="1" applyFont="1" applyFill="1" applyBorder="1" applyAlignment="1">
      <alignment vertical="top"/>
    </xf>
    <xf numFmtId="0" fontId="16" fillId="4" borderId="0" xfId="0" applyFont="1" applyFill="1" applyBorder="1" applyAlignment="1">
      <alignment vertical="top"/>
    </xf>
    <xf numFmtId="0" fontId="7" fillId="5" borderId="4" xfId="0" applyFont="1" applyFill="1" applyBorder="1" applyAlignment="1">
      <alignment horizontal="left"/>
    </xf>
    <xf numFmtId="0" fontId="7" fillId="5" borderId="4" xfId="0" applyFont="1" applyFill="1" applyBorder="1" applyAlignment="1">
      <alignment horizontal="right"/>
    </xf>
    <xf numFmtId="0" fontId="2" fillId="4" borderId="4" xfId="0" quotePrefix="1" applyFont="1" applyFill="1" applyBorder="1"/>
    <xf numFmtId="0" fontId="7" fillId="11" borderId="4" xfId="0" applyFont="1" applyFill="1" applyBorder="1"/>
    <xf numFmtId="3" fontId="7" fillId="5" borderId="4" xfId="0" applyNumberFormat="1" applyFont="1" applyFill="1" applyBorder="1"/>
    <xf numFmtId="0" fontId="17" fillId="11" borderId="4" xfId="0" applyFont="1" applyFill="1" applyBorder="1" applyAlignment="1">
      <alignment horizontal="left"/>
    </xf>
    <xf numFmtId="0" fontId="17" fillId="11" borderId="4" xfId="0" applyFont="1" applyFill="1" applyBorder="1" applyAlignment="1">
      <alignment horizontal="center"/>
    </xf>
    <xf numFmtId="0" fontId="17" fillId="11" borderId="4" xfId="0" applyFont="1" applyFill="1" applyBorder="1" applyAlignment="1">
      <alignment horizontal="right"/>
    </xf>
    <xf numFmtId="0" fontId="16" fillId="4" borderId="4" xfId="0" applyFont="1" applyFill="1" applyBorder="1"/>
    <xf numFmtId="0" fontId="17" fillId="5" borderId="4" xfId="0" applyFont="1" applyFill="1" applyBorder="1"/>
    <xf numFmtId="164" fontId="17" fillId="5" borderId="4" xfId="2" applyNumberFormat="1" applyFont="1" applyFill="1" applyBorder="1"/>
    <xf numFmtId="170" fontId="17" fillId="5" borderId="4" xfId="2" applyNumberFormat="1" applyFont="1" applyFill="1" applyBorder="1"/>
    <xf numFmtId="0" fontId="16" fillId="4" borderId="4" xfId="0" quotePrefix="1" applyFont="1" applyFill="1" applyBorder="1"/>
    <xf numFmtId="0" fontId="17" fillId="11" borderId="4" xfId="0" applyFont="1" applyFill="1" applyBorder="1"/>
    <xf numFmtId="3" fontId="17" fillId="5" borderId="4" xfId="0" applyNumberFormat="1" applyFont="1" applyFill="1" applyBorder="1"/>
    <xf numFmtId="0" fontId="5" fillId="8" borderId="0" xfId="0" applyFont="1" applyFill="1" applyAlignment="1">
      <alignment horizontal="left"/>
    </xf>
    <xf numFmtId="0" fontId="21" fillId="8" borderId="11" xfId="0" applyFont="1" applyFill="1" applyBorder="1"/>
    <xf numFmtId="0" fontId="22" fillId="8" borderId="0" xfId="0" applyFont="1" applyFill="1"/>
    <xf numFmtId="0" fontId="23" fillId="0" borderId="0" xfId="0" applyFont="1"/>
    <xf numFmtId="0" fontId="23" fillId="0" borderId="0" xfId="0" applyFont="1" applyFill="1"/>
    <xf numFmtId="0" fontId="24" fillId="9" borderId="4" xfId="0" applyFont="1" applyFill="1" applyBorder="1"/>
    <xf numFmtId="0" fontId="23" fillId="6" borderId="0" xfId="0" applyFont="1" applyFill="1"/>
    <xf numFmtId="0" fontId="24" fillId="9" borderId="10" xfId="0" applyFont="1" applyFill="1" applyBorder="1"/>
    <xf numFmtId="0" fontId="26" fillId="7" borderId="0" xfId="0" applyFont="1" applyFill="1" applyBorder="1" applyAlignment="1">
      <alignment horizontal="center" vertical="center" wrapText="1"/>
    </xf>
    <xf numFmtId="0" fontId="24" fillId="9" borderId="5" xfId="0" applyFont="1" applyFill="1" applyBorder="1"/>
    <xf numFmtId="0" fontId="23" fillId="2" borderId="4" xfId="0" applyFont="1" applyFill="1" applyBorder="1" applyAlignment="1">
      <alignment horizontal="center"/>
    </xf>
    <xf numFmtId="0" fontId="27" fillId="2" borderId="4" xfId="0" applyFont="1" applyFill="1" applyBorder="1" applyAlignment="1">
      <alignment horizontal="center" vertical="center"/>
    </xf>
    <xf numFmtId="0" fontId="28" fillId="7" borderId="0" xfId="0" applyFont="1" applyFill="1" applyBorder="1" applyAlignment="1">
      <alignment horizontal="center" vertical="center"/>
    </xf>
    <xf numFmtId="0" fontId="24" fillId="9" borderId="10" xfId="0" applyFont="1" applyFill="1" applyBorder="1" applyAlignment="1">
      <alignment vertical="center"/>
    </xf>
    <xf numFmtId="172" fontId="23" fillId="7" borderId="4" xfId="0" applyNumberFormat="1" applyFont="1" applyFill="1" applyBorder="1" applyAlignment="1">
      <alignment horizontal="center"/>
    </xf>
    <xf numFmtId="0" fontId="23" fillId="7" borderId="0" xfId="0" applyFont="1" applyFill="1" applyBorder="1" applyAlignment="1">
      <alignment horizontal="center" vertical="center"/>
    </xf>
    <xf numFmtId="172" fontId="23" fillId="7" borderId="3" xfId="0" applyNumberFormat="1" applyFont="1" applyFill="1" applyBorder="1" applyAlignment="1">
      <alignment horizontal="left"/>
    </xf>
    <xf numFmtId="172" fontId="23" fillId="3" borderId="4" xfId="0" applyNumberFormat="1" applyFont="1" applyFill="1" applyBorder="1" applyAlignment="1">
      <alignment horizontal="center"/>
    </xf>
    <xf numFmtId="172" fontId="23" fillId="3" borderId="2" xfId="0" applyNumberFormat="1" applyFont="1" applyFill="1" applyBorder="1" applyAlignment="1">
      <alignment horizontal="center"/>
    </xf>
    <xf numFmtId="0" fontId="24" fillId="9" borderId="8" xfId="0" applyFont="1" applyFill="1" applyBorder="1" applyAlignment="1">
      <alignment horizontal="left" vertical="center"/>
    </xf>
    <xf numFmtId="0" fontId="25" fillId="7" borderId="0" xfId="0" applyFont="1" applyFill="1" applyBorder="1" applyAlignment="1">
      <alignment horizontal="left"/>
    </xf>
    <xf numFmtId="0" fontId="21" fillId="8" borderId="5" xfId="0" applyFont="1" applyFill="1" applyBorder="1"/>
    <xf numFmtId="0" fontId="22" fillId="8" borderId="2" xfId="0" applyFont="1" applyFill="1" applyBorder="1"/>
    <xf numFmtId="0" fontId="22" fillId="8" borderId="3" xfId="0" applyFont="1" applyFill="1" applyBorder="1"/>
    <xf numFmtId="0" fontId="23" fillId="7" borderId="0" xfId="0" applyFont="1" applyFill="1" applyBorder="1" applyAlignment="1">
      <alignment horizontal="left" vertical="top" wrapText="1"/>
    </xf>
    <xf numFmtId="0" fontId="21" fillId="8" borderId="0" xfId="0" applyFont="1" applyFill="1"/>
    <xf numFmtId="0" fontId="23" fillId="7" borderId="0" xfId="0" applyFont="1" applyFill="1" applyBorder="1" applyAlignment="1">
      <alignment horizontal="left"/>
    </xf>
    <xf numFmtId="0" fontId="23" fillId="0" borderId="0" xfId="0" applyFont="1" applyAlignment="1">
      <alignment horizontal="left"/>
    </xf>
    <xf numFmtId="0" fontId="23" fillId="7" borderId="0" xfId="0" applyFont="1" applyFill="1" applyBorder="1" applyAlignment="1">
      <alignment horizontal="left" wrapText="1"/>
    </xf>
    <xf numFmtId="0" fontId="23" fillId="0" borderId="0" xfId="0" applyFont="1" applyFill="1" applyBorder="1" applyAlignment="1">
      <alignment horizontal="left"/>
    </xf>
    <xf numFmtId="0" fontId="24" fillId="2" borderId="3" xfId="0" applyFont="1" applyFill="1" applyBorder="1"/>
    <xf numFmtId="0" fontId="23" fillId="7" borderId="0" xfId="0" applyFont="1" applyFill="1" applyAlignment="1">
      <alignment horizontal="left"/>
    </xf>
    <xf numFmtId="0" fontId="24" fillId="2" borderId="1" xfId="0" applyFont="1" applyFill="1" applyBorder="1"/>
    <xf numFmtId="0" fontId="24" fillId="9" borderId="6" xfId="0" applyFont="1" applyFill="1" applyBorder="1" applyAlignment="1">
      <alignment horizontal="left"/>
    </xf>
    <xf numFmtId="0" fontId="24" fillId="9" borderId="7" xfId="0" applyFont="1" applyFill="1" applyBorder="1" applyAlignment="1">
      <alignment horizontal="right"/>
    </xf>
    <xf numFmtId="0" fontId="24" fillId="9" borderId="8" xfId="0" applyFont="1" applyFill="1" applyBorder="1" applyAlignment="1">
      <alignment horizontal="right"/>
    </xf>
    <xf numFmtId="170" fontId="29" fillId="0" borderId="0" xfId="2" applyNumberFormat="1" applyFont="1"/>
    <xf numFmtId="170" fontId="24" fillId="2" borderId="7" xfId="2" applyNumberFormat="1" applyFont="1" applyFill="1" applyBorder="1"/>
    <xf numFmtId="10" fontId="23" fillId="0" borderId="0" xfId="1" applyNumberFormat="1" applyFont="1"/>
    <xf numFmtId="10" fontId="23" fillId="0" borderId="0" xfId="0" applyNumberFormat="1" applyFont="1"/>
    <xf numFmtId="173" fontId="23" fillId="0" borderId="0" xfId="1" applyNumberFormat="1" applyFont="1"/>
    <xf numFmtId="0" fontId="21" fillId="8" borderId="6" xfId="0" applyFont="1" applyFill="1" applyBorder="1" applyAlignment="1">
      <alignment horizontal="left"/>
    </xf>
    <xf numFmtId="0" fontId="25" fillId="0" borderId="0" xfId="0" applyFont="1"/>
    <xf numFmtId="0" fontId="24" fillId="2" borderId="6" xfId="0" applyFont="1" applyFill="1" applyBorder="1" applyAlignment="1">
      <alignment horizontal="left"/>
    </xf>
    <xf numFmtId="0" fontId="24" fillId="2" borderId="7" xfId="0" applyFont="1" applyFill="1" applyBorder="1" applyAlignment="1">
      <alignment horizontal="right"/>
    </xf>
    <xf numFmtId="0" fontId="24" fillId="2" borderId="8" xfId="0" applyFont="1" applyFill="1" applyBorder="1" applyAlignment="1">
      <alignment horizontal="right"/>
    </xf>
    <xf numFmtId="171" fontId="29" fillId="0" borderId="0" xfId="3" applyNumberFormat="1" applyFont="1" applyAlignment="1"/>
    <xf numFmtId="174" fontId="24" fillId="2" borderId="7" xfId="2" applyNumberFormat="1" applyFont="1" applyFill="1" applyBorder="1" applyAlignment="1"/>
    <xf numFmtId="171" fontId="30" fillId="0" borderId="0" xfId="3" applyNumberFormat="1" applyFont="1" applyAlignment="1">
      <alignment horizontal="right"/>
    </xf>
    <xf numFmtId="171" fontId="30" fillId="0" borderId="0" xfId="3" applyNumberFormat="1" applyFont="1" applyAlignment="1">
      <alignment horizontal="center" vertical="center"/>
    </xf>
    <xf numFmtId="0" fontId="7" fillId="2" borderId="6" xfId="0" applyFont="1" applyFill="1" applyBorder="1"/>
    <xf numFmtId="170" fontId="6" fillId="11" borderId="5" xfId="2" applyNumberFormat="1" applyFont="1" applyFill="1" applyBorder="1"/>
    <xf numFmtId="3" fontId="6" fillId="11" borderId="4" xfId="0" applyNumberFormat="1" applyFont="1" applyFill="1" applyBorder="1"/>
    <xf numFmtId="0" fontId="5" fillId="8" borderId="8" xfId="0" applyFont="1" applyFill="1" applyBorder="1" applyAlignment="1"/>
    <xf numFmtId="0" fontId="5" fillId="8" borderId="0" xfId="0" applyFont="1" applyFill="1" applyBorder="1" applyAlignment="1"/>
    <xf numFmtId="0" fontId="5" fillId="8" borderId="9" xfId="0" applyFont="1" applyFill="1" applyBorder="1" applyAlignment="1">
      <alignment horizontal="center" vertical="center" wrapText="1"/>
    </xf>
    <xf numFmtId="0" fontId="4" fillId="10" borderId="13" xfId="0" applyFont="1" applyFill="1" applyBorder="1"/>
    <xf numFmtId="0" fontId="4" fillId="10" borderId="13" xfId="0" applyFont="1" applyFill="1" applyBorder="1" applyAlignment="1">
      <alignment horizontal="center"/>
    </xf>
    <xf numFmtId="172" fontId="4" fillId="10" borderId="6" xfId="0" applyNumberFormat="1" applyFont="1" applyFill="1" applyBorder="1" applyAlignment="1">
      <alignment horizontal="center"/>
    </xf>
    <xf numFmtId="172" fontId="4" fillId="10" borderId="8" xfId="0" applyNumberFormat="1" applyFont="1" applyFill="1" applyBorder="1" applyAlignment="1">
      <alignment horizontal="center"/>
    </xf>
    <xf numFmtId="4" fontId="4" fillId="10" borderId="8" xfId="3" applyNumberFormat="1" applyFont="1" applyFill="1" applyBorder="1" applyAlignment="1">
      <alignment horizontal="center"/>
    </xf>
    <xf numFmtId="172" fontId="7" fillId="9" borderId="5" xfId="0" applyNumberFormat="1" applyFont="1" applyFill="1" applyBorder="1" applyAlignment="1"/>
    <xf numFmtId="172" fontId="7" fillId="9" borderId="2" xfId="0" applyNumberFormat="1" applyFont="1" applyFill="1" applyBorder="1" applyAlignment="1"/>
    <xf numFmtId="4" fontId="4" fillId="10" borderId="6" xfId="0" applyNumberFormat="1" applyFont="1" applyFill="1" applyBorder="1" applyAlignment="1">
      <alignment horizontal="center"/>
    </xf>
    <xf numFmtId="4" fontId="4" fillId="10" borderId="8" xfId="0" applyNumberFormat="1" applyFont="1" applyFill="1" applyBorder="1" applyAlignment="1">
      <alignment horizontal="center"/>
    </xf>
    <xf numFmtId="2" fontId="5" fillId="8" borderId="9" xfId="0" applyNumberFormat="1" applyFont="1" applyFill="1" applyBorder="1" applyAlignment="1">
      <alignment horizontal="center" vertical="center" wrapText="1"/>
    </xf>
    <xf numFmtId="1" fontId="4" fillId="10" borderId="8" xfId="3" applyNumberFormat="1" applyFont="1" applyFill="1" applyBorder="1" applyAlignment="1">
      <alignment horizontal="center"/>
    </xf>
    <xf numFmtId="2" fontId="4" fillId="10" borderId="4" xfId="3" applyNumberFormat="1" applyFont="1" applyFill="1" applyBorder="1" applyAlignment="1">
      <alignment horizontal="center"/>
    </xf>
    <xf numFmtId="2" fontId="4" fillId="10" borderId="8" xfId="3" applyNumberFormat="1" applyFont="1" applyFill="1" applyBorder="1" applyAlignment="1">
      <alignment horizontal="center"/>
    </xf>
    <xf numFmtId="170" fontId="18" fillId="11" borderId="4" xfId="2" applyNumberFormat="1" applyFont="1" applyFill="1" applyBorder="1"/>
    <xf numFmtId="3" fontId="18" fillId="11" borderId="4" xfId="0" applyNumberFormat="1" applyFont="1" applyFill="1" applyBorder="1"/>
    <xf numFmtId="3" fontId="6" fillId="11" borderId="10" xfId="0" applyNumberFormat="1" applyFont="1" applyFill="1" applyBorder="1" applyAlignment="1">
      <alignment vertical="center"/>
    </xf>
    <xf numFmtId="3" fontId="6" fillId="11" borderId="10" xfId="0" applyNumberFormat="1" applyFont="1" applyFill="1" applyBorder="1"/>
    <xf numFmtId="0" fontId="7" fillId="5" borderId="8" xfId="0" applyFont="1" applyFill="1" applyBorder="1" applyAlignment="1">
      <alignment horizontal="center"/>
    </xf>
    <xf numFmtId="0" fontId="2" fillId="4" borderId="3" xfId="0" applyFont="1" applyFill="1" applyBorder="1" applyAlignment="1">
      <alignment horizontal="left" indent="1"/>
    </xf>
    <xf numFmtId="0" fontId="6" fillId="4" borderId="4" xfId="0" applyFont="1" applyFill="1" applyBorder="1"/>
    <xf numFmtId="170" fontId="2" fillId="10" borderId="5" xfId="2" applyNumberFormat="1" applyFont="1" applyFill="1" applyBorder="1" applyAlignment="1">
      <alignment horizontal="center"/>
    </xf>
    <xf numFmtId="170" fontId="6" fillId="5" borderId="5" xfId="2" applyNumberFormat="1" applyFont="1" applyFill="1" applyBorder="1" applyAlignment="1">
      <alignment horizontal="center"/>
    </xf>
    <xf numFmtId="0" fontId="31" fillId="0" borderId="0" xfId="0" applyFont="1"/>
    <xf numFmtId="0" fontId="6" fillId="4" borderId="5" xfId="0" applyFont="1" applyFill="1" applyBorder="1"/>
    <xf numFmtId="0" fontId="6" fillId="4" borderId="3" xfId="0" applyFont="1" applyFill="1" applyBorder="1"/>
    <xf numFmtId="170"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32" fillId="0" borderId="0" xfId="0" applyFont="1"/>
    <xf numFmtId="169" fontId="5" fillId="15" borderId="4" xfId="3" applyFont="1" applyFill="1" applyBorder="1" applyAlignment="1">
      <alignment horizontal="left"/>
    </xf>
    <xf numFmtId="169" fontId="5" fillId="15" borderId="4" xfId="3" applyFont="1" applyFill="1" applyBorder="1" applyAlignment="1">
      <alignment horizontal="center"/>
    </xf>
    <xf numFmtId="169" fontId="2" fillId="5" borderId="4" xfId="3" applyFont="1" applyFill="1" applyBorder="1" applyAlignment="1">
      <alignment horizontal="left" indent="2"/>
    </xf>
    <xf numFmtId="169" fontId="2" fillId="5" borderId="4" xfId="3" applyFont="1" applyFill="1" applyBorder="1"/>
    <xf numFmtId="176" fontId="2" fillId="5" borderId="4" xfId="3" applyNumberFormat="1" applyFont="1" applyFill="1" applyBorder="1"/>
    <xf numFmtId="169" fontId="6" fillId="5" borderId="4" xfId="3" applyFont="1" applyFill="1" applyBorder="1"/>
    <xf numFmtId="176" fontId="6" fillId="5" borderId="4" xfId="3" applyNumberFormat="1" applyFont="1" applyFill="1" applyBorder="1"/>
    <xf numFmtId="0" fontId="0" fillId="0" borderId="0" xfId="0" applyFont="1"/>
    <xf numFmtId="0" fontId="6" fillId="5" borderId="5" xfId="0" applyFont="1" applyFill="1" applyBorder="1"/>
    <xf numFmtId="0" fontId="6" fillId="5" borderId="0" xfId="0" applyFont="1" applyFill="1" applyBorder="1"/>
    <xf numFmtId="0" fontId="7" fillId="0" borderId="8" xfId="0" applyFont="1" applyFill="1" applyBorder="1"/>
    <xf numFmtId="0" fontId="33" fillId="4" borderId="5" xfId="0" applyFont="1" applyFill="1" applyBorder="1"/>
    <xf numFmtId="0" fontId="2" fillId="4" borderId="4" xfId="0" applyFont="1" applyFill="1" applyBorder="1" applyAlignment="1">
      <alignment horizontal="left"/>
    </xf>
    <xf numFmtId="169" fontId="34" fillId="10" borderId="4" xfId="3" applyFont="1" applyFill="1" applyBorder="1"/>
    <xf numFmtId="169" fontId="2" fillId="10" borderId="4" xfId="3" applyFont="1" applyFill="1" applyBorder="1"/>
    <xf numFmtId="169" fontId="6" fillId="5" borderId="4" xfId="3" applyFont="1" applyFill="1" applyBorder="1" applyAlignment="1">
      <alignment horizontal="left"/>
    </xf>
    <xf numFmtId="169" fontId="34" fillId="5" borderId="4" xfId="3" applyFont="1" applyFill="1" applyBorder="1"/>
    <xf numFmtId="0" fontId="6" fillId="4" borderId="4" xfId="0" applyFont="1" applyFill="1" applyBorder="1" applyAlignment="1">
      <alignment horizontal="left"/>
    </xf>
    <xf numFmtId="169" fontId="35" fillId="10" borderId="4" xfId="3" applyFont="1" applyFill="1" applyBorder="1"/>
    <xf numFmtId="169" fontId="6" fillId="10" borderId="4" xfId="3" applyFont="1" applyFill="1" applyBorder="1"/>
    <xf numFmtId="0" fontId="2" fillId="4" borderId="7" xfId="0" applyFont="1" applyFill="1" applyBorder="1" applyAlignment="1">
      <alignment horizontal="left"/>
    </xf>
    <xf numFmtId="176" fontId="2" fillId="10" borderId="4" xfId="3" applyNumberFormat="1" applyFont="1" applyFill="1" applyBorder="1"/>
    <xf numFmtId="4" fontId="7" fillId="11" borderId="4" xfId="0" applyNumberFormat="1" applyFont="1" applyFill="1" applyBorder="1" applyAlignment="1">
      <alignment horizontal="center"/>
    </xf>
    <xf numFmtId="3" fontId="7" fillId="5" borderId="10" xfId="0" applyNumberFormat="1" applyFont="1" applyFill="1" applyBorder="1"/>
    <xf numFmtId="0" fontId="25" fillId="7" borderId="10" xfId="0" applyNumberFormat="1" applyFont="1" applyFill="1" applyBorder="1" applyAlignment="1">
      <alignment horizontal="left" wrapText="1"/>
    </xf>
    <xf numFmtId="0" fontId="25" fillId="7" borderId="1" xfId="0" applyNumberFormat="1" applyFont="1" applyFill="1" applyBorder="1" applyAlignment="1">
      <alignment horizontal="left" wrapText="1"/>
    </xf>
    <xf numFmtId="0" fontId="23" fillId="7" borderId="0" xfId="0" applyFont="1" applyFill="1" applyBorder="1" applyAlignment="1">
      <alignment horizontal="left" wrapText="1"/>
    </xf>
    <xf numFmtId="0" fontId="23"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3" fillId="2" borderId="5" xfId="0" applyFont="1" applyFill="1" applyBorder="1" applyAlignment="1">
      <alignment horizontal="center"/>
    </xf>
    <xf numFmtId="0" fontId="23" fillId="2" borderId="3" xfId="0" applyFont="1" applyFill="1" applyBorder="1" applyAlignment="1">
      <alignment horizontal="center"/>
    </xf>
    <xf numFmtId="172" fontId="29" fillId="7" borderId="5" xfId="0" applyNumberFormat="1" applyFont="1" applyFill="1" applyBorder="1" applyAlignment="1">
      <alignment horizontal="left"/>
    </xf>
    <xf numFmtId="172" fontId="29" fillId="7" borderId="2" xfId="0" applyNumberFormat="1" applyFont="1" applyFill="1" applyBorder="1" applyAlignment="1">
      <alignment horizontal="left"/>
    </xf>
    <xf numFmtId="0" fontId="7" fillId="9" borderId="9" xfId="0" applyFont="1" applyFill="1" applyBorder="1" applyAlignment="1">
      <alignment horizontal="left" vertical="center"/>
    </xf>
    <xf numFmtId="0" fontId="24" fillId="9" borderId="13" xfId="0" applyFont="1" applyFill="1" applyBorder="1" applyAlignment="1">
      <alignment horizontal="left" vertical="center"/>
    </xf>
    <xf numFmtId="0" fontId="23" fillId="7" borderId="1" xfId="0" applyFont="1" applyFill="1" applyBorder="1" applyAlignment="1">
      <alignment horizontal="left" wrapText="1"/>
    </xf>
    <xf numFmtId="0" fontId="23" fillId="7" borderId="0" xfId="0" quotePrefix="1" applyFont="1" applyFill="1" applyBorder="1" applyAlignment="1">
      <alignment horizontal="left" vertical="top" wrapText="1"/>
    </xf>
    <xf numFmtId="0" fontId="23" fillId="7" borderId="0"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16" fillId="4" borderId="1"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10" fontId="32" fillId="14" borderId="12" xfId="0" applyNumberFormat="1" applyFont="1" applyFill="1" applyBorder="1" applyAlignment="1">
      <alignment horizontal="center"/>
    </xf>
    <xf numFmtId="10" fontId="32"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1" fillId="4" borderId="10" xfId="0" quotePrefix="1" applyFont="1" applyFill="1" applyBorder="1" applyAlignment="1">
      <alignment horizontal="left" vertical="top" wrapText="1"/>
    </xf>
    <xf numFmtId="0" fontId="1" fillId="4" borderId="1" xfId="0" quotePrefix="1" applyFont="1" applyFill="1" applyBorder="1" applyAlignment="1">
      <alignment horizontal="left" vertical="top" wrapText="1"/>
    </xf>
    <xf numFmtId="169" fontId="35" fillId="5" borderId="4" xfId="3"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EAEAEA"/>
      <color rgb="FFA6A6A6"/>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9"/>
  <sheetViews>
    <sheetView showGridLines="0" tabSelected="1" zoomScale="90" zoomScaleNormal="90" workbookViewId="0">
      <selection activeCell="H58" sqref="H58"/>
    </sheetView>
  </sheetViews>
  <sheetFormatPr defaultColWidth="9.140625" defaultRowHeight="12.75" x14ac:dyDescent="0.2"/>
  <cols>
    <col min="1" max="1" width="2.42578125" style="117" customWidth="1"/>
    <col min="2" max="2" width="41.85546875" style="117" customWidth="1"/>
    <col min="3" max="3" width="31.28515625" style="117" customWidth="1"/>
    <col min="4" max="4" width="22.140625" style="117" bestFit="1" customWidth="1"/>
    <col min="5" max="5" width="13.85546875" style="117" customWidth="1"/>
    <col min="6" max="6" width="14" style="117" customWidth="1"/>
    <col min="7" max="7" width="12.85546875" style="117" customWidth="1"/>
    <col min="8" max="8" width="13.28515625" style="117" customWidth="1"/>
    <col min="9" max="9" width="11.5703125" style="117" customWidth="1"/>
    <col min="10" max="16384" width="9.140625" style="117"/>
  </cols>
  <sheetData>
    <row r="2" spans="2:19" x14ac:dyDescent="0.2">
      <c r="B2" s="115" t="s">
        <v>7</v>
      </c>
      <c r="C2" s="116"/>
      <c r="D2" s="116"/>
      <c r="E2" s="116"/>
      <c r="F2" s="116"/>
      <c r="G2" s="116"/>
      <c r="H2" s="116"/>
      <c r="O2" s="118"/>
      <c r="P2" s="118"/>
      <c r="Q2" s="118"/>
      <c r="R2" s="118"/>
      <c r="S2" s="118"/>
    </row>
    <row r="3" spans="2:19" ht="75.75" customHeight="1" x14ac:dyDescent="0.2">
      <c r="B3" s="119" t="s">
        <v>57</v>
      </c>
      <c r="C3" s="223" t="s">
        <v>68</v>
      </c>
      <c r="D3" s="224"/>
      <c r="E3" s="224"/>
      <c r="F3" s="224"/>
      <c r="G3" s="224"/>
      <c r="H3" s="224"/>
      <c r="M3" s="120"/>
      <c r="N3" s="120"/>
      <c r="O3" s="118"/>
      <c r="P3" s="118"/>
      <c r="Q3" s="118"/>
      <c r="R3" s="118"/>
      <c r="S3" s="118"/>
    </row>
    <row r="4" spans="2:19" ht="55.5" customHeight="1" x14ac:dyDescent="0.2">
      <c r="B4" s="121"/>
      <c r="C4" s="228"/>
      <c r="D4" s="229"/>
      <c r="E4" s="122"/>
      <c r="F4" s="122"/>
      <c r="G4" s="122"/>
      <c r="H4" s="122"/>
      <c r="M4" s="120"/>
      <c r="N4" s="120"/>
      <c r="O4" s="118"/>
      <c r="P4" s="118"/>
      <c r="Q4" s="118"/>
      <c r="R4" s="118"/>
      <c r="S4" s="118"/>
    </row>
    <row r="5" spans="2:19" x14ac:dyDescent="0.2">
      <c r="B5" s="123" t="s">
        <v>13</v>
      </c>
      <c r="C5" s="124"/>
      <c r="D5" s="125" t="s">
        <v>79</v>
      </c>
      <c r="E5" s="126"/>
      <c r="F5" s="126"/>
      <c r="G5" s="126"/>
      <c r="H5" s="126"/>
      <c r="M5" s="120"/>
      <c r="N5" s="120"/>
      <c r="O5" s="118"/>
      <c r="P5" s="118"/>
      <c r="Q5" s="118"/>
      <c r="R5" s="118"/>
      <c r="S5" s="118"/>
    </row>
    <row r="6" spans="2:19" x14ac:dyDescent="0.2">
      <c r="B6" s="127" t="s">
        <v>42</v>
      </c>
      <c r="C6" s="128"/>
      <c r="D6" s="128">
        <v>150.59</v>
      </c>
      <c r="E6" s="129"/>
      <c r="F6" s="129"/>
      <c r="G6" s="129"/>
      <c r="H6" s="129"/>
      <c r="M6" s="120"/>
      <c r="N6" s="120"/>
      <c r="O6" s="118"/>
      <c r="P6" s="118"/>
      <c r="Q6" s="118"/>
      <c r="R6" s="118"/>
      <c r="S6" s="118"/>
    </row>
    <row r="7" spans="2:19" x14ac:dyDescent="0.2">
      <c r="B7" s="232" t="s">
        <v>106</v>
      </c>
      <c r="C7" s="130" t="s">
        <v>80</v>
      </c>
      <c r="D7" s="131">
        <f>'Proposed price'!Q8</f>
        <v>178.58346320213872</v>
      </c>
      <c r="E7" s="129"/>
      <c r="F7" s="129"/>
      <c r="G7" s="129"/>
      <c r="H7" s="129"/>
      <c r="O7" s="118"/>
      <c r="P7" s="118"/>
      <c r="Q7" s="118"/>
      <c r="R7" s="118"/>
      <c r="S7" s="118"/>
    </row>
    <row r="8" spans="2:19" x14ac:dyDescent="0.2">
      <c r="B8" s="233"/>
      <c r="C8" s="130" t="s">
        <v>81</v>
      </c>
      <c r="D8" s="132">
        <f>'Proposed price'!Q17</f>
        <v>2678.7519480320802</v>
      </c>
      <c r="E8" s="129"/>
      <c r="F8" s="129"/>
      <c r="G8" s="129"/>
      <c r="H8" s="129"/>
      <c r="O8" s="118"/>
      <c r="P8" s="118"/>
      <c r="Q8" s="118"/>
      <c r="R8" s="118"/>
      <c r="S8" s="118"/>
    </row>
    <row r="9" spans="2:19" x14ac:dyDescent="0.2">
      <c r="B9" s="133" t="s">
        <v>48</v>
      </c>
      <c r="C9" s="230" t="s">
        <v>74</v>
      </c>
      <c r="D9" s="231"/>
      <c r="E9" s="134"/>
      <c r="F9" s="134"/>
      <c r="G9" s="134"/>
      <c r="H9" s="134"/>
      <c r="O9" s="118"/>
      <c r="P9" s="118"/>
      <c r="Q9" s="118"/>
      <c r="R9" s="118"/>
      <c r="S9" s="118"/>
    </row>
    <row r="10" spans="2:19" x14ac:dyDescent="0.2">
      <c r="B10" s="135" t="s">
        <v>5</v>
      </c>
      <c r="C10" s="136"/>
      <c r="D10" s="136"/>
      <c r="E10" s="136"/>
      <c r="F10" s="136"/>
      <c r="G10" s="136"/>
      <c r="H10" s="137"/>
      <c r="O10" s="118"/>
      <c r="P10" s="118"/>
      <c r="Q10" s="118"/>
      <c r="R10" s="118"/>
      <c r="S10" s="118"/>
    </row>
    <row r="11" spans="2:19" ht="94.5" customHeight="1" x14ac:dyDescent="0.2">
      <c r="B11" s="226" t="s">
        <v>105</v>
      </c>
      <c r="C11" s="226"/>
      <c r="D11" s="226"/>
      <c r="E11" s="226"/>
      <c r="F11" s="226"/>
      <c r="G11" s="226"/>
      <c r="H11" s="226"/>
      <c r="O11" s="118"/>
      <c r="P11" s="118"/>
      <c r="Q11" s="118"/>
      <c r="R11" s="118"/>
      <c r="S11" s="118"/>
    </row>
    <row r="12" spans="2:19" x14ac:dyDescent="0.2">
      <c r="B12" s="138"/>
      <c r="C12" s="138"/>
      <c r="D12" s="138"/>
      <c r="E12" s="138"/>
      <c r="F12" s="138"/>
      <c r="G12" s="138"/>
      <c r="H12" s="138"/>
      <c r="O12" s="118"/>
      <c r="P12" s="118"/>
      <c r="Q12" s="118"/>
      <c r="R12" s="118"/>
      <c r="S12" s="118"/>
    </row>
    <row r="13" spans="2:19" x14ac:dyDescent="0.2">
      <c r="O13" s="118"/>
      <c r="P13" s="118"/>
      <c r="Q13" s="118"/>
      <c r="R13" s="118"/>
      <c r="S13" s="118"/>
    </row>
    <row r="14" spans="2:19" x14ac:dyDescent="0.2">
      <c r="B14" s="139" t="s">
        <v>35</v>
      </c>
      <c r="C14" s="116"/>
      <c r="D14" s="116"/>
      <c r="E14" s="116"/>
      <c r="F14" s="116"/>
      <c r="G14" s="116"/>
      <c r="H14" s="116"/>
      <c r="O14" s="118"/>
      <c r="P14" s="118"/>
      <c r="Q14" s="118"/>
      <c r="R14" s="118"/>
      <c r="S14" s="118"/>
    </row>
    <row r="15" spans="2:19" x14ac:dyDescent="0.2">
      <c r="B15" s="225"/>
      <c r="C15" s="225"/>
      <c r="D15" s="225"/>
      <c r="E15" s="225"/>
      <c r="F15" s="225"/>
      <c r="G15" s="225"/>
      <c r="H15" s="225"/>
    </row>
    <row r="16" spans="2:19" ht="132.75" customHeight="1" x14ac:dyDescent="0.2">
      <c r="B16" s="227" t="s">
        <v>148</v>
      </c>
      <c r="C16" s="227"/>
      <c r="D16" s="227"/>
      <c r="E16" s="227"/>
      <c r="F16" s="227"/>
      <c r="G16" s="227"/>
      <c r="H16" s="227"/>
      <c r="I16" s="118"/>
    </row>
    <row r="17" spans="2:9" x14ac:dyDescent="0.2">
      <c r="B17" s="140"/>
      <c r="C17" s="140"/>
      <c r="D17" s="140"/>
      <c r="E17" s="140"/>
      <c r="F17" s="140"/>
      <c r="G17" s="140"/>
      <c r="H17" s="140"/>
    </row>
    <row r="18" spans="2:9" x14ac:dyDescent="0.2">
      <c r="B18" s="141"/>
      <c r="C18" s="141"/>
      <c r="D18" s="141"/>
      <c r="E18" s="141"/>
      <c r="F18" s="141"/>
      <c r="G18" s="141"/>
      <c r="H18" s="141"/>
    </row>
    <row r="19" spans="2:9" x14ac:dyDescent="0.2">
      <c r="B19" s="139" t="s">
        <v>43</v>
      </c>
      <c r="C19" s="116"/>
      <c r="D19" s="116"/>
      <c r="E19" s="116"/>
      <c r="F19" s="116"/>
      <c r="G19" s="116"/>
      <c r="H19" s="116"/>
    </row>
    <row r="20" spans="2:9" x14ac:dyDescent="0.2">
      <c r="B20" s="225"/>
      <c r="C20" s="225"/>
      <c r="D20" s="225"/>
      <c r="E20" s="225"/>
      <c r="F20" s="225"/>
      <c r="G20" s="225"/>
      <c r="H20" s="225"/>
    </row>
    <row r="21" spans="2:9" x14ac:dyDescent="0.2">
      <c r="B21" s="235" t="s">
        <v>89</v>
      </c>
      <c r="C21" s="235"/>
      <c r="D21" s="235"/>
      <c r="E21" s="235"/>
      <c r="F21" s="235"/>
      <c r="G21" s="235"/>
      <c r="H21" s="235"/>
    </row>
    <row r="22" spans="2:9" x14ac:dyDescent="0.2">
      <c r="B22" s="235" t="s">
        <v>90</v>
      </c>
      <c r="C22" s="235"/>
      <c r="D22" s="235"/>
      <c r="E22" s="235"/>
      <c r="F22" s="235"/>
      <c r="G22" s="235"/>
      <c r="H22" s="235"/>
    </row>
    <row r="23" spans="2:9" x14ac:dyDescent="0.2">
      <c r="B23" s="235"/>
      <c r="C23" s="236"/>
      <c r="D23" s="236"/>
      <c r="E23" s="236"/>
      <c r="F23" s="236"/>
      <c r="G23" s="236"/>
      <c r="H23" s="236"/>
    </row>
    <row r="24" spans="2:9" x14ac:dyDescent="0.2">
      <c r="B24" s="142"/>
      <c r="C24" s="142"/>
      <c r="D24" s="142"/>
      <c r="E24" s="142"/>
      <c r="F24" s="142"/>
      <c r="G24" s="142"/>
      <c r="H24" s="142"/>
    </row>
    <row r="25" spans="2:9" x14ac:dyDescent="0.2">
      <c r="B25" s="225"/>
      <c r="C25" s="225"/>
      <c r="D25" s="225"/>
      <c r="E25" s="225"/>
      <c r="F25" s="225"/>
      <c r="G25" s="225"/>
      <c r="H25" s="225"/>
    </row>
    <row r="26" spans="2:9" x14ac:dyDescent="0.2">
      <c r="B26" s="140"/>
      <c r="C26" s="140"/>
      <c r="D26" s="140"/>
      <c r="E26" s="140"/>
      <c r="F26" s="140"/>
      <c r="G26" s="140"/>
      <c r="H26" s="140"/>
    </row>
    <row r="27" spans="2:9" x14ac:dyDescent="0.2">
      <c r="B27" s="140"/>
      <c r="C27" s="140"/>
      <c r="D27" s="140"/>
      <c r="E27" s="140"/>
      <c r="F27" s="140"/>
      <c r="G27" s="140"/>
      <c r="H27" s="140"/>
    </row>
    <row r="28" spans="2:9" x14ac:dyDescent="0.2">
      <c r="B28" s="140"/>
      <c r="C28" s="140"/>
      <c r="D28" s="140"/>
      <c r="E28" s="140"/>
      <c r="F28" s="140"/>
      <c r="G28" s="140"/>
      <c r="H28" s="140"/>
    </row>
    <row r="29" spans="2:9" x14ac:dyDescent="0.2">
      <c r="B29" s="140"/>
      <c r="C29" s="140"/>
      <c r="D29" s="140"/>
      <c r="E29" s="140"/>
      <c r="F29" s="140"/>
      <c r="G29" s="140"/>
      <c r="H29" s="140"/>
    </row>
    <row r="30" spans="2:9" x14ac:dyDescent="0.2">
      <c r="B30" s="143"/>
      <c r="C30" s="143"/>
      <c r="D30" s="143"/>
      <c r="E30" s="143"/>
      <c r="F30" s="143"/>
      <c r="G30" s="143"/>
      <c r="H30" s="143"/>
      <c r="I30" s="118"/>
    </row>
    <row r="31" spans="2:9" x14ac:dyDescent="0.2">
      <c r="B31" s="139" t="s">
        <v>6</v>
      </c>
    </row>
    <row r="32" spans="2:9" x14ac:dyDescent="0.2">
      <c r="B32" s="144" t="s">
        <v>14</v>
      </c>
      <c r="C32" s="145" t="s">
        <v>30</v>
      </c>
      <c r="D32" s="145"/>
      <c r="E32" s="145"/>
      <c r="F32" s="145"/>
      <c r="G32" s="145"/>
      <c r="H32" s="145"/>
    </row>
    <row r="33" spans="2:8" x14ac:dyDescent="0.2">
      <c r="B33" s="146" t="s">
        <v>46</v>
      </c>
      <c r="C33" s="145" t="s">
        <v>53</v>
      </c>
      <c r="D33" s="145"/>
      <c r="E33" s="145"/>
      <c r="F33" s="145"/>
      <c r="G33" s="145"/>
      <c r="H33" s="145"/>
    </row>
    <row r="34" spans="2:8" x14ac:dyDescent="0.2">
      <c r="B34" s="146" t="s">
        <v>47</v>
      </c>
      <c r="C34" s="145" t="s">
        <v>54</v>
      </c>
      <c r="D34" s="145"/>
      <c r="E34" s="145"/>
      <c r="F34" s="145"/>
      <c r="G34" s="145"/>
      <c r="H34" s="145"/>
    </row>
    <row r="35" spans="2:8" x14ac:dyDescent="0.2">
      <c r="B35" s="146" t="s">
        <v>15</v>
      </c>
      <c r="C35" s="145" t="s">
        <v>31</v>
      </c>
      <c r="D35" s="145"/>
      <c r="E35" s="145"/>
      <c r="F35" s="145"/>
      <c r="G35" s="145"/>
      <c r="H35" s="145"/>
    </row>
    <row r="38" spans="2:8" x14ac:dyDescent="0.2">
      <c r="B38" s="139" t="s">
        <v>36</v>
      </c>
      <c r="C38" s="116"/>
      <c r="D38" s="116"/>
      <c r="E38" s="116"/>
      <c r="F38" s="116"/>
      <c r="G38" s="116"/>
      <c r="H38" s="116"/>
    </row>
    <row r="40" spans="2:8" x14ac:dyDescent="0.2">
      <c r="B40" s="147"/>
      <c r="C40" s="148" t="s">
        <v>37</v>
      </c>
      <c r="D40" s="148" t="s">
        <v>38</v>
      </c>
      <c r="E40" s="148" t="s">
        <v>39</v>
      </c>
      <c r="F40" s="148" t="s">
        <v>41</v>
      </c>
      <c r="G40" s="148" t="s">
        <v>40</v>
      </c>
      <c r="H40" s="149" t="s">
        <v>1</v>
      </c>
    </row>
    <row r="41" spans="2:8" x14ac:dyDescent="0.2">
      <c r="C41" s="150"/>
      <c r="D41" s="150"/>
      <c r="E41" s="150"/>
      <c r="F41" s="150"/>
      <c r="G41" s="150"/>
      <c r="H41" s="150"/>
    </row>
    <row r="42" spans="2:8" x14ac:dyDescent="0.2">
      <c r="B42" s="164" t="s">
        <v>107</v>
      </c>
      <c r="C42" s="151">
        <f>'Forecast Revenue - Costs'!D32</f>
        <v>12907.574702518123</v>
      </c>
      <c r="D42" s="151">
        <f>'Forecast Revenue - Costs'!E32</f>
        <v>12907.574702518123</v>
      </c>
      <c r="E42" s="151">
        <f>'Forecast Revenue - Costs'!F32</f>
        <v>13049.558024245822</v>
      </c>
      <c r="F42" s="151">
        <f>'Forecast Revenue - Costs'!G32</f>
        <v>13351.420400462674</v>
      </c>
      <c r="G42" s="151">
        <f>'Forecast Revenue - Costs'!H32</f>
        <v>13802.332217920703</v>
      </c>
      <c r="H42" s="151">
        <f>SUM(C42:G42)</f>
        <v>66018.460047665445</v>
      </c>
    </row>
    <row r="43" spans="2:8" x14ac:dyDescent="0.2">
      <c r="C43" s="152"/>
      <c r="D43" s="153"/>
      <c r="E43" s="152"/>
      <c r="F43" s="152"/>
      <c r="G43" s="152"/>
    </row>
    <row r="44" spans="2:8" x14ac:dyDescent="0.2">
      <c r="B44" s="164" t="s">
        <v>108</v>
      </c>
      <c r="C44" s="151">
        <f>SUM('Forecast Revenue - Costs'!D33:D35)</f>
        <v>9415.358197749214</v>
      </c>
      <c r="D44" s="151">
        <f>SUM('Forecast Revenue - Costs'!E33:E35)</f>
        <v>9415.358197749214</v>
      </c>
      <c r="E44" s="151">
        <f>SUM('Forecast Revenue - Costs'!F33:F35)</f>
        <v>9518.9271379244528</v>
      </c>
      <c r="F44" s="151">
        <f>SUM('Forecast Revenue - Costs'!G33:G35)</f>
        <v>9739.1189604789215</v>
      </c>
      <c r="G44" s="151">
        <f>SUM('Forecast Revenue - Costs'!H33:H35)</f>
        <v>10068.034064579553</v>
      </c>
      <c r="H44" s="151">
        <f>SUM(C44:G44)</f>
        <v>48156.79655848135</v>
      </c>
    </row>
    <row r="45" spans="2:8" x14ac:dyDescent="0.2">
      <c r="C45" s="152"/>
      <c r="D45" s="153"/>
      <c r="E45" s="152"/>
      <c r="F45" s="152"/>
      <c r="G45" s="152"/>
    </row>
    <row r="46" spans="2:8" x14ac:dyDescent="0.2">
      <c r="B46" s="164" t="s">
        <v>109</v>
      </c>
      <c r="C46" s="151">
        <f t="shared" ref="C46:H46" si="0">+C42+C44</f>
        <v>22322.932900267337</v>
      </c>
      <c r="D46" s="151">
        <f t="shared" si="0"/>
        <v>22322.932900267337</v>
      </c>
      <c r="E46" s="151">
        <f t="shared" si="0"/>
        <v>22568.485162170276</v>
      </c>
      <c r="F46" s="151">
        <f t="shared" si="0"/>
        <v>23090.539360941595</v>
      </c>
      <c r="G46" s="151">
        <f t="shared" si="0"/>
        <v>23870.366282500254</v>
      </c>
      <c r="H46" s="151">
        <f t="shared" si="0"/>
        <v>114175.2566061468</v>
      </c>
    </row>
    <row r="47" spans="2:8" x14ac:dyDescent="0.2">
      <c r="C47" s="154"/>
      <c r="D47" s="154"/>
      <c r="E47" s="154"/>
      <c r="F47" s="154"/>
      <c r="G47" s="154"/>
    </row>
    <row r="48" spans="2:8" x14ac:dyDescent="0.2">
      <c r="B48" s="155" t="s">
        <v>6</v>
      </c>
    </row>
    <row r="49" spans="2:9" ht="14.25" customHeight="1" x14ac:dyDescent="0.2">
      <c r="B49" s="234"/>
      <c r="C49" s="234"/>
      <c r="D49" s="234"/>
      <c r="E49" s="234"/>
      <c r="F49" s="234"/>
      <c r="G49" s="234"/>
      <c r="H49" s="234"/>
    </row>
    <row r="50" spans="2:9" x14ac:dyDescent="0.2">
      <c r="B50" s="225"/>
      <c r="C50" s="225"/>
      <c r="D50" s="225"/>
      <c r="E50" s="225"/>
      <c r="F50" s="225"/>
      <c r="G50" s="225"/>
      <c r="H50" s="225"/>
      <c r="I50" s="118"/>
    </row>
    <row r="51" spans="2:9" ht="27.75" customHeight="1" x14ac:dyDescent="0.2">
      <c r="B51" s="225"/>
      <c r="C51" s="225"/>
      <c r="D51" s="225"/>
      <c r="E51" s="225"/>
      <c r="F51" s="225"/>
      <c r="G51" s="225"/>
      <c r="H51" s="225"/>
    </row>
    <row r="54" spans="2:9" x14ac:dyDescent="0.2">
      <c r="B54" s="139" t="s">
        <v>82</v>
      </c>
      <c r="C54" s="116"/>
      <c r="D54" s="116"/>
      <c r="E54" s="116"/>
      <c r="F54" s="116"/>
      <c r="G54" s="116"/>
      <c r="H54" s="116"/>
    </row>
    <row r="55" spans="2:9" x14ac:dyDescent="0.2">
      <c r="B55" s="156"/>
    </row>
    <row r="56" spans="2:9" x14ac:dyDescent="0.2">
      <c r="B56" s="157"/>
      <c r="C56" s="158" t="s">
        <v>37</v>
      </c>
      <c r="D56" s="158" t="s">
        <v>38</v>
      </c>
      <c r="E56" s="158" t="s">
        <v>39</v>
      </c>
      <c r="F56" s="158" t="s">
        <v>41</v>
      </c>
      <c r="G56" s="158" t="s">
        <v>40</v>
      </c>
      <c r="H56" s="159" t="s">
        <v>1</v>
      </c>
    </row>
    <row r="57" spans="2:9" x14ac:dyDescent="0.2">
      <c r="C57" s="160"/>
      <c r="D57" s="160"/>
      <c r="E57" s="160"/>
      <c r="F57" s="160"/>
      <c r="G57" s="160"/>
      <c r="H57" s="160"/>
    </row>
    <row r="58" spans="2:9" x14ac:dyDescent="0.2">
      <c r="B58" s="157" t="s">
        <v>12</v>
      </c>
      <c r="C58" s="161">
        <f>'Forecast Revenue - Costs'!D14</f>
        <v>55</v>
      </c>
      <c r="D58" s="161">
        <f>'Forecast Revenue - Costs'!E14</f>
        <v>55</v>
      </c>
      <c r="E58" s="161">
        <f>'Forecast Revenue - Costs'!F14</f>
        <v>55</v>
      </c>
      <c r="F58" s="161">
        <f>'Forecast Revenue - Costs'!G14</f>
        <v>55</v>
      </c>
      <c r="G58" s="161">
        <f>'Forecast Revenue - Costs'!H14</f>
        <v>55</v>
      </c>
      <c r="H58" s="161">
        <f>SUM(C58:G58)</f>
        <v>275</v>
      </c>
    </row>
    <row r="59" spans="2:9" x14ac:dyDescent="0.2">
      <c r="C59" s="162"/>
      <c r="D59" s="162"/>
      <c r="E59" s="162"/>
      <c r="F59" s="162"/>
      <c r="G59" s="162"/>
      <c r="H59" s="163"/>
    </row>
  </sheetData>
  <mergeCells count="13">
    <mergeCell ref="B49:H51"/>
    <mergeCell ref="B20:H20"/>
    <mergeCell ref="B21:H21"/>
    <mergeCell ref="B22:H22"/>
    <mergeCell ref="B23:H23"/>
    <mergeCell ref="B25:H25"/>
    <mergeCell ref="C3:H3"/>
    <mergeCell ref="B15:H15"/>
    <mergeCell ref="B11:H11"/>
    <mergeCell ref="B16:H16"/>
    <mergeCell ref="C4:D4"/>
    <mergeCell ref="C9:D9"/>
    <mergeCell ref="B7:B8"/>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ColWidth="9.140625" defaultRowHeight="12.75" x14ac:dyDescent="0.2"/>
  <cols>
    <col min="1" max="1" width="2.28515625" style="1" customWidth="1"/>
    <col min="2" max="2" width="2.42578125" style="42" customWidth="1"/>
    <col min="3" max="3" width="10.140625" style="42" customWidth="1"/>
    <col min="4" max="9" width="13.140625" style="42" customWidth="1"/>
    <col min="10" max="11" width="9.140625" style="42"/>
    <col min="12" max="12" width="5.28515625" style="42" customWidth="1"/>
    <col min="13" max="13" width="2.42578125" style="1" customWidth="1"/>
    <col min="14" max="16384" width="9.140625" style="1"/>
  </cols>
  <sheetData>
    <row r="1" spans="2:14" ht="9" customHeight="1" x14ac:dyDescent="0.2"/>
    <row r="2" spans="2:14" ht="18" customHeight="1" x14ac:dyDescent="0.2">
      <c r="B2" s="39" t="s">
        <v>16</v>
      </c>
      <c r="C2" s="39"/>
      <c r="D2" s="39"/>
      <c r="E2" s="39"/>
      <c r="F2" s="39"/>
      <c r="G2" s="39"/>
      <c r="H2" s="39"/>
      <c r="I2" s="39"/>
      <c r="J2" s="39"/>
      <c r="K2" s="39"/>
    </row>
    <row r="3" spans="2:14" x14ac:dyDescent="0.2">
      <c r="B3" s="33" t="s">
        <v>0</v>
      </c>
      <c r="C3" s="40"/>
      <c r="D3" s="239" t="str">
        <f>'AER Summary'!C3</f>
        <v>Investigation, review and implementation of remedial actions associated with work performed by ASP's</v>
      </c>
      <c r="E3" s="240"/>
      <c r="F3" s="240"/>
      <c r="G3" s="240"/>
      <c r="H3" s="240"/>
      <c r="I3" s="240"/>
      <c r="J3" s="240"/>
      <c r="K3" s="240"/>
      <c r="N3" s="31"/>
    </row>
    <row r="4" spans="2:14" x14ac:dyDescent="0.2">
      <c r="N4" s="31"/>
    </row>
    <row r="5" spans="2:14" x14ac:dyDescent="0.2">
      <c r="B5" s="241" t="s">
        <v>69</v>
      </c>
      <c r="C5" s="241"/>
      <c r="D5" s="241"/>
      <c r="E5" s="241"/>
      <c r="F5" s="241"/>
      <c r="G5" s="241"/>
      <c r="H5" s="241"/>
      <c r="I5" s="241"/>
      <c r="J5" s="241"/>
      <c r="K5" s="241"/>
      <c r="N5" s="31"/>
    </row>
    <row r="6" spans="2:14" ht="72.75" customHeight="1" x14ac:dyDescent="0.2">
      <c r="B6" s="242" t="s">
        <v>70</v>
      </c>
      <c r="C6" s="243"/>
      <c r="D6" s="243"/>
      <c r="E6" s="243"/>
      <c r="F6" s="243"/>
      <c r="G6" s="243"/>
      <c r="H6" s="243"/>
      <c r="I6" s="243"/>
      <c r="J6" s="243"/>
      <c r="K6" s="243"/>
      <c r="N6" s="31"/>
    </row>
    <row r="9" spans="2:14" x14ac:dyDescent="0.2">
      <c r="B9" s="241" t="s">
        <v>44</v>
      </c>
      <c r="C9" s="241"/>
      <c r="D9" s="241"/>
      <c r="E9" s="241"/>
      <c r="F9" s="241"/>
      <c r="G9" s="241"/>
      <c r="H9" s="241"/>
      <c r="I9" s="241"/>
      <c r="J9" s="241"/>
      <c r="K9" s="241"/>
    </row>
    <row r="10" spans="2:14" ht="15" customHeight="1" x14ac:dyDescent="0.2">
      <c r="B10" s="238" t="s">
        <v>71</v>
      </c>
      <c r="C10" s="238"/>
      <c r="D10" s="238"/>
      <c r="E10" s="238"/>
      <c r="F10" s="238"/>
      <c r="G10" s="238"/>
      <c r="H10" s="238"/>
      <c r="I10" s="238"/>
      <c r="J10" s="238"/>
      <c r="K10" s="238"/>
    </row>
    <row r="11" spans="2:14" ht="24.75" customHeight="1" x14ac:dyDescent="0.2">
      <c r="B11" s="244"/>
      <c r="C11" s="244"/>
      <c r="D11" s="244"/>
      <c r="E11" s="244"/>
      <c r="F11" s="244"/>
      <c r="G11" s="244"/>
      <c r="H11" s="244"/>
      <c r="I11" s="244"/>
      <c r="J11" s="244"/>
      <c r="K11" s="244"/>
      <c r="L11" s="43"/>
      <c r="M11" s="32"/>
      <c r="N11" s="32"/>
    </row>
    <row r="12" spans="2:14" x14ac:dyDescent="0.2">
      <c r="B12" s="244"/>
      <c r="C12" s="244"/>
      <c r="D12" s="244"/>
      <c r="E12" s="244"/>
      <c r="F12" s="244"/>
      <c r="G12" s="244"/>
      <c r="H12" s="244"/>
      <c r="I12" s="244"/>
      <c r="J12" s="244"/>
      <c r="K12" s="244"/>
      <c r="L12" s="43"/>
      <c r="M12" s="32"/>
      <c r="N12" s="32"/>
    </row>
    <row r="13" spans="2:14" x14ac:dyDescent="0.2">
      <c r="B13" s="244"/>
      <c r="C13" s="244"/>
      <c r="D13" s="244"/>
      <c r="E13" s="244"/>
      <c r="F13" s="244"/>
      <c r="G13" s="244"/>
      <c r="H13" s="244"/>
      <c r="I13" s="244"/>
      <c r="J13" s="244"/>
      <c r="K13" s="244"/>
      <c r="L13" s="43"/>
      <c r="M13" s="32"/>
      <c r="N13" s="32"/>
    </row>
    <row r="14" spans="2:14" ht="48" customHeight="1" x14ac:dyDescent="0.2">
      <c r="B14" s="244"/>
      <c r="C14" s="244"/>
      <c r="D14" s="244"/>
      <c r="E14" s="244"/>
      <c r="F14" s="244"/>
      <c r="G14" s="244"/>
      <c r="H14" s="244"/>
      <c r="I14" s="244"/>
      <c r="J14" s="244"/>
      <c r="K14" s="244"/>
      <c r="L14" s="43"/>
      <c r="M14" s="32"/>
      <c r="N14" s="32"/>
    </row>
    <row r="15" spans="2:14" x14ac:dyDescent="0.2">
      <c r="B15" s="244"/>
      <c r="C15" s="244"/>
      <c r="D15" s="244"/>
      <c r="E15" s="244"/>
      <c r="F15" s="244"/>
      <c r="G15" s="244"/>
      <c r="H15" s="244"/>
      <c r="I15" s="244"/>
      <c r="J15" s="244"/>
      <c r="K15" s="244"/>
      <c r="L15" s="43"/>
      <c r="M15" s="32"/>
      <c r="N15" s="32"/>
    </row>
    <row r="16" spans="2:14" x14ac:dyDescent="0.2">
      <c r="B16" s="244"/>
      <c r="C16" s="244"/>
      <c r="D16" s="244"/>
      <c r="E16" s="244"/>
      <c r="F16" s="244"/>
      <c r="G16" s="244"/>
      <c r="H16" s="244"/>
      <c r="I16" s="244"/>
      <c r="J16" s="244"/>
      <c r="K16" s="244"/>
      <c r="L16" s="43"/>
      <c r="M16" s="32"/>
      <c r="N16" s="32"/>
    </row>
    <row r="17" spans="2:14" x14ac:dyDescent="0.2">
      <c r="L17" s="43"/>
      <c r="M17" s="32"/>
      <c r="N17" s="32"/>
    </row>
    <row r="18" spans="2:14" x14ac:dyDescent="0.2">
      <c r="L18" s="43"/>
      <c r="M18" s="32"/>
      <c r="N18" s="32"/>
    </row>
    <row r="19" spans="2:14" x14ac:dyDescent="0.2">
      <c r="B19" s="241" t="s">
        <v>45</v>
      </c>
      <c r="C19" s="241"/>
      <c r="D19" s="241"/>
      <c r="E19" s="241"/>
      <c r="F19" s="241"/>
      <c r="G19" s="241"/>
      <c r="H19" s="241"/>
      <c r="I19" s="241"/>
      <c r="J19" s="241"/>
      <c r="K19" s="241"/>
      <c r="L19" s="43"/>
      <c r="M19" s="32"/>
      <c r="N19" s="32"/>
    </row>
    <row r="20" spans="2:14" ht="78" customHeight="1" x14ac:dyDescent="0.2">
      <c r="B20" s="238" t="str">
        <f>'AER Summary'!B11:H11</f>
        <v xml:space="preserve">
Investigation, review and implementation of remedial actions associated with work performed by ASP's
The investigation, review and implementation of remedial actions associated with contestable connection works, leading to corrective and disciplinary action against an ASP due to unsafe practices, substandard workmanship or other serious circumstances.</v>
      </c>
      <c r="C20" s="238"/>
      <c r="D20" s="238"/>
      <c r="E20" s="238"/>
      <c r="F20" s="238"/>
      <c r="G20" s="238"/>
      <c r="H20" s="238"/>
      <c r="I20" s="238"/>
      <c r="J20" s="238"/>
      <c r="K20" s="238"/>
    </row>
    <row r="21" spans="2:14" x14ac:dyDescent="0.2">
      <c r="B21" s="237"/>
      <c r="C21" s="237"/>
      <c r="D21" s="237"/>
      <c r="E21" s="237"/>
      <c r="F21" s="237"/>
      <c r="G21" s="237"/>
      <c r="H21" s="237"/>
      <c r="I21" s="237"/>
      <c r="J21" s="237"/>
      <c r="K21" s="237"/>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30"/>
  <sheetViews>
    <sheetView showGridLines="0" workbookViewId="0">
      <selection activeCell="B28" sqref="B28:I29"/>
    </sheetView>
  </sheetViews>
  <sheetFormatPr defaultColWidth="9.140625" defaultRowHeight="12.75" x14ac:dyDescent="0.2"/>
  <cols>
    <col min="1" max="1" width="3.5703125" style="44" customWidth="1"/>
    <col min="2" max="2" width="58.7109375" style="44" customWidth="1"/>
    <col min="3" max="3" width="65.140625" style="44" customWidth="1"/>
    <col min="4" max="4" width="12.85546875" style="44" customWidth="1"/>
    <col min="5" max="5" width="12.28515625" style="44" customWidth="1"/>
    <col min="6" max="9" width="12.7109375" style="44" customWidth="1"/>
    <col min="10" max="16384" width="9.140625" style="44"/>
  </cols>
  <sheetData>
    <row r="2" spans="1:9" x14ac:dyDescent="0.2">
      <c r="B2" s="41" t="s">
        <v>72</v>
      </c>
      <c r="C2" s="29"/>
      <c r="D2" s="29"/>
      <c r="E2" s="29"/>
      <c r="F2" s="29"/>
      <c r="G2" s="29"/>
      <c r="H2" s="29"/>
      <c r="I2" s="29"/>
    </row>
    <row r="3" spans="1:9" x14ac:dyDescent="0.2">
      <c r="B3" s="20" t="s">
        <v>20</v>
      </c>
      <c r="C3" s="20" t="s">
        <v>3</v>
      </c>
      <c r="D3" s="55" t="s">
        <v>60</v>
      </c>
      <c r="E3" s="55" t="s">
        <v>59</v>
      </c>
      <c r="F3" s="55" t="s">
        <v>58</v>
      </c>
      <c r="G3" s="77" t="s">
        <v>93</v>
      </c>
      <c r="H3" s="77" t="s">
        <v>94</v>
      </c>
      <c r="I3" s="21" t="s">
        <v>1</v>
      </c>
    </row>
    <row r="4" spans="1:9" x14ac:dyDescent="0.2">
      <c r="B4" s="5" t="s">
        <v>21</v>
      </c>
      <c r="C4" s="5" t="s">
        <v>73</v>
      </c>
      <c r="D4" s="70">
        <v>0</v>
      </c>
      <c r="E4" s="64">
        <v>99261.32</v>
      </c>
      <c r="F4" s="64">
        <v>11518.75</v>
      </c>
      <c r="G4" s="64">
        <v>17710.759999999998</v>
      </c>
      <c r="H4" s="64">
        <f>G4*102.5%</f>
        <v>18153.528999999995</v>
      </c>
      <c r="I4" s="165">
        <f>SUM(D4:H4)</f>
        <v>146644.359</v>
      </c>
    </row>
    <row r="5" spans="1:9" x14ac:dyDescent="0.2">
      <c r="B5" s="5" t="s">
        <v>23</v>
      </c>
      <c r="C5" s="10"/>
      <c r="D5" s="70">
        <v>0</v>
      </c>
      <c r="E5" s="64">
        <v>0</v>
      </c>
      <c r="F5" s="64">
        <v>0</v>
      </c>
      <c r="G5" s="64">
        <v>0</v>
      </c>
      <c r="H5" s="64">
        <f t="shared" ref="H5:H8" si="0">G5*102.5%</f>
        <v>0</v>
      </c>
      <c r="I5" s="165">
        <f t="shared" ref="I5:I8" si="1">SUM(D5:H5)</f>
        <v>0</v>
      </c>
    </row>
    <row r="6" spans="1:9" x14ac:dyDescent="0.2">
      <c r="B6" s="5" t="s">
        <v>24</v>
      </c>
      <c r="C6" s="5"/>
      <c r="D6" s="64">
        <v>0</v>
      </c>
      <c r="E6" s="64">
        <v>1151.96</v>
      </c>
      <c r="F6" s="64">
        <v>1460.9</v>
      </c>
      <c r="G6" s="64">
        <v>3038.2</v>
      </c>
      <c r="H6" s="64">
        <f t="shared" si="0"/>
        <v>3114.1549999999997</v>
      </c>
      <c r="I6" s="165">
        <f t="shared" si="1"/>
        <v>8765.2150000000001</v>
      </c>
    </row>
    <row r="7" spans="1:9" x14ac:dyDescent="0.2">
      <c r="B7" s="5" t="s">
        <v>25</v>
      </c>
      <c r="C7" s="5"/>
      <c r="D7" s="70">
        <v>0</v>
      </c>
      <c r="E7" s="64">
        <v>0</v>
      </c>
      <c r="F7" s="64">
        <v>0</v>
      </c>
      <c r="G7" s="64">
        <v>0</v>
      </c>
      <c r="H7" s="64">
        <f t="shared" si="0"/>
        <v>0</v>
      </c>
      <c r="I7" s="165">
        <f t="shared" si="1"/>
        <v>0</v>
      </c>
    </row>
    <row r="8" spans="1:9" x14ac:dyDescent="0.2">
      <c r="B8" s="5" t="s">
        <v>22</v>
      </c>
      <c r="C8" s="5"/>
      <c r="D8" s="65">
        <v>0</v>
      </c>
      <c r="E8" s="66">
        <v>94105.65</v>
      </c>
      <c r="F8" s="66">
        <v>8371.85</v>
      </c>
      <c r="G8" s="66">
        <v>13070.8</v>
      </c>
      <c r="H8" s="64">
        <f t="shared" si="0"/>
        <v>13397.569999999998</v>
      </c>
      <c r="I8" s="165">
        <f t="shared" si="1"/>
        <v>128945.87</v>
      </c>
    </row>
    <row r="9" spans="1:9" x14ac:dyDescent="0.2">
      <c r="B9" s="50" t="s">
        <v>1</v>
      </c>
      <c r="C9" s="23"/>
      <c r="D9" s="59">
        <v>0</v>
      </c>
      <c r="E9" s="67">
        <f>SUM(E4:E8)</f>
        <v>194518.93</v>
      </c>
      <c r="F9" s="67">
        <f>SUM(F4:F8)</f>
        <v>21351.5</v>
      </c>
      <c r="G9" s="67">
        <f t="shared" ref="G9:H9" si="2">SUM(G4:G8)</f>
        <v>33819.759999999995</v>
      </c>
      <c r="H9" s="67">
        <f t="shared" si="2"/>
        <v>34665.253999999994</v>
      </c>
      <c r="I9" s="25">
        <f t="shared" ref="I9" si="3">SUM(I4:I8)</f>
        <v>284355.44400000002</v>
      </c>
    </row>
    <row r="10" spans="1:9" x14ac:dyDescent="0.2">
      <c r="B10" s="46"/>
      <c r="C10" s="47"/>
      <c r="D10" s="48"/>
      <c r="E10" s="48"/>
      <c r="F10" s="48"/>
      <c r="G10" s="48"/>
      <c r="H10" s="48"/>
      <c r="I10" s="48"/>
    </row>
    <row r="11" spans="1:9" x14ac:dyDescent="0.2">
      <c r="B11" s="49" t="s">
        <v>10</v>
      </c>
      <c r="C11" s="27"/>
      <c r="D11" s="27"/>
      <c r="E11" s="27"/>
      <c r="F11" s="27"/>
      <c r="G11" s="27"/>
      <c r="H11" s="27"/>
      <c r="I11" s="27"/>
    </row>
    <row r="12" spans="1:9" x14ac:dyDescent="0.2">
      <c r="B12" s="99" t="s">
        <v>4</v>
      </c>
      <c r="C12" s="99" t="s">
        <v>9</v>
      </c>
      <c r="D12" s="55" t="s">
        <v>60</v>
      </c>
      <c r="E12" s="55" t="s">
        <v>59</v>
      </c>
      <c r="F12" s="55" t="s">
        <v>58</v>
      </c>
      <c r="G12" s="55" t="s">
        <v>93</v>
      </c>
      <c r="H12" s="55" t="s">
        <v>94</v>
      </c>
      <c r="I12" s="100" t="s">
        <v>1</v>
      </c>
    </row>
    <row r="13" spans="1:9" x14ac:dyDescent="0.2">
      <c r="B13" s="5" t="s">
        <v>19</v>
      </c>
      <c r="C13" s="5" t="s">
        <v>51</v>
      </c>
      <c r="D13" s="58">
        <v>0</v>
      </c>
      <c r="E13" s="58">
        <v>0</v>
      </c>
      <c r="F13" s="58">
        <v>2</v>
      </c>
      <c r="G13" s="58">
        <v>2</v>
      </c>
      <c r="H13" s="58">
        <v>2</v>
      </c>
      <c r="I13" s="166">
        <f>SUM(D13:H13)</f>
        <v>6</v>
      </c>
    </row>
    <row r="14" spans="1:9" x14ac:dyDescent="0.2">
      <c r="B14" s="5"/>
      <c r="C14" s="101"/>
      <c r="D14" s="11"/>
      <c r="E14" s="11"/>
      <c r="F14" s="11"/>
      <c r="G14" s="11"/>
      <c r="H14" s="11"/>
      <c r="I14" s="166"/>
    </row>
    <row r="15" spans="1:9" x14ac:dyDescent="0.2">
      <c r="A15" s="51"/>
      <c r="B15" s="102" t="s">
        <v>55</v>
      </c>
      <c r="C15" s="20"/>
      <c r="D15" s="103">
        <f t="shared" ref="D15:I15" si="4">SUM(D13:D14)</f>
        <v>0</v>
      </c>
      <c r="E15" s="103">
        <f t="shared" si="4"/>
        <v>0</v>
      </c>
      <c r="F15" s="103">
        <f t="shared" si="4"/>
        <v>2</v>
      </c>
      <c r="G15" s="103">
        <f t="shared" si="4"/>
        <v>2</v>
      </c>
      <c r="H15" s="103">
        <f t="shared" si="4"/>
        <v>2</v>
      </c>
      <c r="I15" s="103">
        <f t="shared" si="4"/>
        <v>6</v>
      </c>
    </row>
    <row r="17" spans="1:9" x14ac:dyDescent="0.2">
      <c r="A17" s="51"/>
      <c r="B17" s="15" t="s">
        <v>6</v>
      </c>
      <c r="C17" s="1"/>
      <c r="D17" s="14"/>
      <c r="E17" s="14"/>
      <c r="F17" s="14"/>
      <c r="G17" s="14"/>
      <c r="H17" s="14"/>
      <c r="I17" s="14"/>
    </row>
    <row r="18" spans="1:9" ht="12.75" customHeight="1" x14ac:dyDescent="0.2">
      <c r="B18" s="248" t="s">
        <v>92</v>
      </c>
      <c r="C18" s="249"/>
      <c r="D18" s="249"/>
      <c r="E18" s="249"/>
      <c r="F18" s="249"/>
      <c r="G18" s="249"/>
      <c r="H18" s="78"/>
      <c r="I18" s="78"/>
    </row>
    <row r="19" spans="1:9" x14ac:dyDescent="0.2">
      <c r="B19" s="79" t="s">
        <v>95</v>
      </c>
      <c r="C19" s="80"/>
      <c r="D19" s="80"/>
      <c r="E19" s="80"/>
      <c r="F19" s="80"/>
      <c r="G19" s="80"/>
      <c r="H19" s="80"/>
      <c r="I19" s="80"/>
    </row>
    <row r="20" spans="1:9" x14ac:dyDescent="0.2">
      <c r="B20" s="75" t="s">
        <v>96</v>
      </c>
      <c r="C20" s="76"/>
      <c r="D20" s="76"/>
      <c r="E20" s="76"/>
      <c r="F20" s="76"/>
      <c r="G20" s="76"/>
      <c r="H20" s="76"/>
      <c r="I20" s="76"/>
    </row>
    <row r="21" spans="1:9" x14ac:dyDescent="0.2">
      <c r="B21" s="75" t="s">
        <v>97</v>
      </c>
      <c r="C21" s="76"/>
      <c r="D21" s="76"/>
      <c r="E21" s="76"/>
      <c r="F21" s="76"/>
      <c r="G21" s="76"/>
      <c r="H21" s="76"/>
      <c r="I21" s="76"/>
    </row>
    <row r="22" spans="1:9" x14ac:dyDescent="0.2">
      <c r="B22" s="75" t="s">
        <v>98</v>
      </c>
      <c r="C22" s="76"/>
      <c r="D22" s="76"/>
      <c r="E22" s="76"/>
      <c r="F22" s="76"/>
      <c r="G22" s="76"/>
      <c r="H22" s="76"/>
      <c r="I22" s="76"/>
    </row>
    <row r="23" spans="1:9" x14ac:dyDescent="0.2">
      <c r="B23" s="52" t="s">
        <v>99</v>
      </c>
      <c r="C23" s="30"/>
      <c r="D23" s="30"/>
      <c r="E23" s="30"/>
      <c r="F23" s="30"/>
      <c r="G23" s="76"/>
      <c r="H23" s="76"/>
      <c r="I23" s="30"/>
    </row>
    <row r="24" spans="1:9" x14ac:dyDescent="0.2">
      <c r="B24" s="1"/>
      <c r="C24" s="1"/>
      <c r="D24" s="14"/>
      <c r="E24" s="14"/>
      <c r="F24" s="14"/>
      <c r="G24" s="14"/>
      <c r="H24" s="14"/>
      <c r="I24" s="14"/>
    </row>
    <row r="25" spans="1:9" x14ac:dyDescent="0.2">
      <c r="B25" s="49" t="s">
        <v>88</v>
      </c>
      <c r="C25" s="27"/>
      <c r="D25" s="27"/>
      <c r="E25" s="27"/>
      <c r="F25" s="27"/>
      <c r="G25" s="27"/>
      <c r="H25" s="27"/>
      <c r="I25" s="27"/>
    </row>
    <row r="26" spans="1:9" x14ac:dyDescent="0.2">
      <c r="B26" s="1"/>
      <c r="C26" s="1"/>
      <c r="D26" s="1"/>
      <c r="E26" s="1"/>
      <c r="F26" s="1"/>
      <c r="G26" s="1"/>
      <c r="H26" s="1"/>
      <c r="I26" s="1"/>
    </row>
    <row r="27" spans="1:9" x14ac:dyDescent="0.2">
      <c r="B27" s="53" t="s">
        <v>11</v>
      </c>
      <c r="C27" s="17"/>
      <c r="D27" s="17"/>
      <c r="E27" s="17"/>
      <c r="F27" s="17"/>
      <c r="G27" s="17"/>
      <c r="H27" s="17"/>
      <c r="I27" s="17"/>
    </row>
    <row r="28" spans="1:9" x14ac:dyDescent="0.2">
      <c r="B28" s="264" t="s">
        <v>149</v>
      </c>
      <c r="C28" s="245"/>
      <c r="D28" s="245"/>
      <c r="E28" s="245"/>
      <c r="F28" s="245"/>
      <c r="G28" s="245"/>
      <c r="H28" s="245"/>
      <c r="I28" s="245"/>
    </row>
    <row r="29" spans="1:9" x14ac:dyDescent="0.2">
      <c r="B29" s="246"/>
      <c r="C29" s="247"/>
      <c r="D29" s="247"/>
      <c r="E29" s="247"/>
      <c r="F29" s="247"/>
      <c r="G29" s="247"/>
      <c r="H29" s="247"/>
      <c r="I29" s="247"/>
    </row>
    <row r="30" spans="1:9" x14ac:dyDescent="0.2">
      <c r="B30" s="54"/>
      <c r="C30" s="19"/>
      <c r="D30" s="19"/>
      <c r="E30" s="19"/>
      <c r="F30" s="19"/>
      <c r="G30" s="19"/>
      <c r="H30" s="19"/>
      <c r="I30" s="19"/>
    </row>
  </sheetData>
  <mergeCells count="2">
    <mergeCell ref="B28:I29"/>
    <mergeCell ref="B18:G18"/>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1"/>
  <sheetViews>
    <sheetView showGridLines="0" workbookViewId="0">
      <selection activeCell="B29" sqref="B29:I30"/>
    </sheetView>
  </sheetViews>
  <sheetFormatPr defaultColWidth="9.140625" defaultRowHeight="12.75" x14ac:dyDescent="0.2"/>
  <cols>
    <col min="1" max="1" width="3.140625" style="83" customWidth="1"/>
    <col min="2" max="2" width="80" style="83" bestFit="1" customWidth="1"/>
    <col min="3" max="3" width="65.140625" style="83" customWidth="1"/>
    <col min="4" max="4" width="12.85546875" style="83" customWidth="1"/>
    <col min="5" max="8" width="11.28515625" style="83" customWidth="1"/>
    <col min="9" max="9" width="12.7109375" style="83" customWidth="1"/>
    <col min="10" max="16384" width="9.140625" style="83"/>
  </cols>
  <sheetData>
    <row r="2" spans="2:9" x14ac:dyDescent="0.2">
      <c r="B2" s="81" t="s">
        <v>8</v>
      </c>
      <c r="C2" s="82"/>
      <c r="D2" s="82"/>
      <c r="E2" s="82"/>
      <c r="F2" s="82"/>
      <c r="G2" s="82"/>
      <c r="H2" s="82"/>
      <c r="I2" s="82"/>
    </row>
    <row r="3" spans="2:9" x14ac:dyDescent="0.2">
      <c r="B3" s="84"/>
      <c r="C3" s="84"/>
      <c r="D3" s="84"/>
      <c r="E3" s="84"/>
      <c r="F3" s="84"/>
      <c r="G3" s="84"/>
      <c r="H3" s="84"/>
      <c r="I3" s="84"/>
    </row>
    <row r="4" spans="2:9" x14ac:dyDescent="0.2">
      <c r="B4" s="81" t="s">
        <v>2</v>
      </c>
      <c r="C4" s="82"/>
      <c r="D4" s="82"/>
      <c r="E4" s="82"/>
      <c r="F4" s="82"/>
      <c r="G4" s="82"/>
      <c r="H4" s="82"/>
      <c r="I4" s="82"/>
    </row>
    <row r="5" spans="2:9" x14ac:dyDescent="0.2">
      <c r="B5" s="104" t="s">
        <v>83</v>
      </c>
      <c r="C5" s="104" t="s">
        <v>9</v>
      </c>
      <c r="D5" s="105" t="s">
        <v>60</v>
      </c>
      <c r="E5" s="105" t="s">
        <v>59</v>
      </c>
      <c r="F5" s="105" t="s">
        <v>58</v>
      </c>
      <c r="G5" s="105" t="s">
        <v>93</v>
      </c>
      <c r="H5" s="105" t="s">
        <v>94</v>
      </c>
      <c r="I5" s="106" t="s">
        <v>1</v>
      </c>
    </row>
    <row r="6" spans="2:9" ht="14.25" customHeight="1" x14ac:dyDescent="0.2">
      <c r="B6" s="85" t="s">
        <v>87</v>
      </c>
      <c r="C6" s="86" t="s">
        <v>66</v>
      </c>
      <c r="D6" s="87">
        <v>0</v>
      </c>
      <c r="E6" s="87">
        <v>0</v>
      </c>
      <c r="F6" s="87">
        <v>440.45</v>
      </c>
      <c r="G6" s="87">
        <v>0</v>
      </c>
      <c r="H6" s="87">
        <f>G6*102.5%</f>
        <v>0</v>
      </c>
      <c r="I6" s="183">
        <f>SUM(D6:H6)</f>
        <v>440.45</v>
      </c>
    </row>
    <row r="7" spans="2:9" x14ac:dyDescent="0.2">
      <c r="B7" s="107"/>
      <c r="C7" s="88"/>
      <c r="D7" s="87"/>
      <c r="E7" s="87"/>
      <c r="F7" s="87"/>
      <c r="G7" s="87"/>
      <c r="H7" s="87"/>
      <c r="I7" s="183">
        <f t="shared" ref="I7:I9" si="0">SUM(D7:H7)</f>
        <v>0</v>
      </c>
    </row>
    <row r="8" spans="2:9" x14ac:dyDescent="0.2">
      <c r="B8" s="107"/>
      <c r="C8" s="88"/>
      <c r="D8" s="87"/>
      <c r="E8" s="87"/>
      <c r="F8" s="87"/>
      <c r="G8" s="87"/>
      <c r="H8" s="87"/>
      <c r="I8" s="183">
        <f t="shared" si="0"/>
        <v>0</v>
      </c>
    </row>
    <row r="9" spans="2:9" x14ac:dyDescent="0.2">
      <c r="B9" s="107"/>
      <c r="C9" s="88"/>
      <c r="D9" s="87"/>
      <c r="E9" s="87"/>
      <c r="F9" s="87"/>
      <c r="G9" s="87"/>
      <c r="H9" s="87"/>
      <c r="I9" s="183">
        <f t="shared" si="0"/>
        <v>0</v>
      </c>
    </row>
    <row r="10" spans="2:9" x14ac:dyDescent="0.2">
      <c r="B10" s="108" t="s">
        <v>1</v>
      </c>
      <c r="C10" s="108"/>
      <c r="D10" s="109">
        <f t="shared" ref="D10:I10" si="1">SUM(D6:D9)</f>
        <v>0</v>
      </c>
      <c r="E10" s="109">
        <f t="shared" si="1"/>
        <v>0</v>
      </c>
      <c r="F10" s="109">
        <f t="shared" si="1"/>
        <v>440.45</v>
      </c>
      <c r="G10" s="109">
        <f t="shared" si="1"/>
        <v>0</v>
      </c>
      <c r="H10" s="109">
        <f t="shared" si="1"/>
        <v>0</v>
      </c>
      <c r="I10" s="110">
        <f t="shared" si="1"/>
        <v>440.45</v>
      </c>
    </row>
    <row r="11" spans="2:9" x14ac:dyDescent="0.2">
      <c r="B11" s="84"/>
      <c r="C11" s="84"/>
      <c r="D11" s="84"/>
      <c r="E11" s="84"/>
      <c r="F11" s="84"/>
      <c r="G11" s="84"/>
      <c r="H11" s="84"/>
      <c r="I11" s="84"/>
    </row>
    <row r="12" spans="2:9" x14ac:dyDescent="0.2">
      <c r="B12" s="81" t="s">
        <v>10</v>
      </c>
      <c r="C12" s="82"/>
      <c r="D12" s="82"/>
      <c r="E12" s="82"/>
      <c r="F12" s="82"/>
      <c r="G12" s="82"/>
      <c r="H12" s="82"/>
      <c r="I12" s="82"/>
    </row>
    <row r="13" spans="2:9" x14ac:dyDescent="0.2">
      <c r="B13" s="104" t="s">
        <v>4</v>
      </c>
      <c r="C13" s="104" t="s">
        <v>9</v>
      </c>
      <c r="D13" s="105" t="s">
        <v>60</v>
      </c>
      <c r="E13" s="105" t="s">
        <v>59</v>
      </c>
      <c r="F13" s="105" t="s">
        <v>58</v>
      </c>
      <c r="G13" s="105" t="s">
        <v>93</v>
      </c>
      <c r="H13" s="105" t="s">
        <v>94</v>
      </c>
      <c r="I13" s="106" t="s">
        <v>1</v>
      </c>
    </row>
    <row r="14" spans="2:9" x14ac:dyDescent="0.2">
      <c r="B14" s="107" t="s">
        <v>19</v>
      </c>
      <c r="C14" s="107" t="s">
        <v>66</v>
      </c>
      <c r="D14" s="89">
        <v>0</v>
      </c>
      <c r="E14" s="89">
        <v>0</v>
      </c>
      <c r="F14" s="89">
        <v>2</v>
      </c>
      <c r="G14" s="89">
        <v>2</v>
      </c>
      <c r="H14" s="89">
        <v>2</v>
      </c>
      <c r="I14" s="184">
        <f>SUM(D14:H14)</f>
        <v>6</v>
      </c>
    </row>
    <row r="15" spans="2:9" x14ac:dyDescent="0.2">
      <c r="B15" s="107"/>
      <c r="C15" s="111"/>
      <c r="D15" s="90"/>
      <c r="E15" s="90"/>
      <c r="F15" s="89"/>
      <c r="G15" s="89"/>
      <c r="H15" s="89"/>
      <c r="I15" s="184">
        <f>SUM(D15:F15)</f>
        <v>0</v>
      </c>
    </row>
    <row r="16" spans="2:9" x14ac:dyDescent="0.2">
      <c r="B16" s="107"/>
      <c r="C16" s="107"/>
      <c r="D16" s="90"/>
      <c r="E16" s="90"/>
      <c r="F16" s="90"/>
      <c r="G16" s="90"/>
      <c r="H16" s="90"/>
      <c r="I16" s="184">
        <f>SUM(D16:F16)</f>
        <v>0</v>
      </c>
    </row>
    <row r="17" spans="2:9" x14ac:dyDescent="0.2">
      <c r="B17" s="112" t="s">
        <v>17</v>
      </c>
      <c r="C17" s="108"/>
      <c r="D17" s="113">
        <f t="shared" ref="D17:H17" si="2">SUM(D14:D16)</f>
        <v>0</v>
      </c>
      <c r="E17" s="113">
        <f t="shared" si="2"/>
        <v>0</v>
      </c>
      <c r="F17" s="113">
        <f t="shared" si="2"/>
        <v>2</v>
      </c>
      <c r="G17" s="113">
        <f t="shared" si="2"/>
        <v>2</v>
      </c>
      <c r="H17" s="113">
        <f t="shared" si="2"/>
        <v>2</v>
      </c>
      <c r="I17" s="113">
        <f>SUM(I14:I16)</f>
        <v>6</v>
      </c>
    </row>
    <row r="18" spans="2:9" x14ac:dyDescent="0.2">
      <c r="B18" s="84"/>
      <c r="C18" s="84"/>
      <c r="D18" s="91"/>
      <c r="E18" s="91"/>
      <c r="F18" s="91"/>
      <c r="G18" s="91"/>
      <c r="H18" s="91"/>
      <c r="I18" s="91"/>
    </row>
    <row r="19" spans="2:9" x14ac:dyDescent="0.2">
      <c r="B19" s="92" t="s">
        <v>6</v>
      </c>
      <c r="C19" s="84"/>
      <c r="D19" s="91"/>
      <c r="E19" s="91"/>
      <c r="F19" s="91"/>
      <c r="G19" s="91"/>
      <c r="H19" s="91"/>
      <c r="I19" s="91"/>
    </row>
    <row r="20" spans="2:9" x14ac:dyDescent="0.2">
      <c r="B20" s="93" t="s">
        <v>91</v>
      </c>
      <c r="C20" s="93"/>
      <c r="D20" s="93"/>
      <c r="E20" s="93"/>
      <c r="F20" s="93"/>
      <c r="G20" s="93"/>
      <c r="H20" s="93"/>
      <c r="I20" s="93"/>
    </row>
    <row r="21" spans="2:9" x14ac:dyDescent="0.2">
      <c r="B21" s="94" t="s">
        <v>100</v>
      </c>
      <c r="C21" s="94"/>
      <c r="D21" s="94"/>
      <c r="E21" s="94"/>
      <c r="F21" s="94"/>
      <c r="G21" s="94"/>
      <c r="H21" s="94"/>
      <c r="I21" s="94"/>
    </row>
    <row r="22" spans="2:9" x14ac:dyDescent="0.2">
      <c r="B22" s="94" t="s">
        <v>101</v>
      </c>
      <c r="C22" s="94"/>
      <c r="D22" s="94"/>
      <c r="E22" s="94"/>
      <c r="F22" s="94"/>
      <c r="G22" s="94"/>
      <c r="H22" s="94"/>
      <c r="I22" s="94"/>
    </row>
    <row r="23" spans="2:9" x14ac:dyDescent="0.2">
      <c r="B23" s="94" t="s">
        <v>102</v>
      </c>
      <c r="C23" s="94"/>
      <c r="D23" s="94"/>
      <c r="E23" s="94"/>
      <c r="F23" s="94"/>
      <c r="G23" s="94"/>
      <c r="H23" s="94"/>
      <c r="I23" s="94"/>
    </row>
    <row r="24" spans="2:9" x14ac:dyDescent="0.2">
      <c r="B24" s="94" t="s">
        <v>103</v>
      </c>
      <c r="C24" s="94"/>
      <c r="D24" s="94"/>
      <c r="E24" s="94"/>
      <c r="F24" s="94"/>
      <c r="G24" s="94"/>
      <c r="H24" s="94"/>
      <c r="I24" s="94"/>
    </row>
    <row r="25" spans="2:9" x14ac:dyDescent="0.2">
      <c r="B25" s="94" t="s">
        <v>104</v>
      </c>
      <c r="C25" s="94"/>
      <c r="D25" s="94"/>
      <c r="E25" s="94"/>
      <c r="F25" s="94"/>
      <c r="G25" s="94"/>
      <c r="H25" s="94"/>
      <c r="I25" s="94"/>
    </row>
    <row r="26" spans="2:9" x14ac:dyDescent="0.2">
      <c r="B26" s="84"/>
      <c r="C26" s="84"/>
      <c r="D26" s="91"/>
      <c r="E26" s="91"/>
      <c r="F26" s="91"/>
      <c r="G26" s="91"/>
      <c r="H26" s="91"/>
      <c r="I26" s="91"/>
    </row>
    <row r="27" spans="2:9" x14ac:dyDescent="0.2">
      <c r="B27" s="81" t="s">
        <v>2</v>
      </c>
      <c r="C27" s="82"/>
      <c r="D27" s="82"/>
      <c r="E27" s="82"/>
      <c r="F27" s="82"/>
      <c r="G27" s="82"/>
      <c r="H27" s="82"/>
      <c r="I27" s="82"/>
    </row>
    <row r="28" spans="2:9" x14ac:dyDescent="0.2">
      <c r="B28" s="95" t="s">
        <v>11</v>
      </c>
      <c r="C28" s="96"/>
      <c r="D28" s="96"/>
      <c r="E28" s="96"/>
      <c r="F28" s="96"/>
      <c r="G28" s="96"/>
      <c r="H28" s="96"/>
      <c r="I28" s="96"/>
    </row>
    <row r="29" spans="2:9" x14ac:dyDescent="0.2">
      <c r="B29" s="265" t="s">
        <v>150</v>
      </c>
      <c r="C29" s="255"/>
      <c r="D29" s="255"/>
      <c r="E29" s="255"/>
      <c r="F29" s="255"/>
      <c r="G29" s="255"/>
      <c r="H29" s="255"/>
      <c r="I29" s="255"/>
    </row>
    <row r="30" spans="2:9" x14ac:dyDescent="0.2">
      <c r="B30" s="256"/>
      <c r="C30" s="256"/>
      <c r="D30" s="256"/>
      <c r="E30" s="256"/>
      <c r="F30" s="256"/>
      <c r="G30" s="256"/>
      <c r="H30" s="256"/>
      <c r="I30" s="256"/>
    </row>
    <row r="31" spans="2:9" x14ac:dyDescent="0.2">
      <c r="B31" s="97"/>
      <c r="C31" s="98"/>
      <c r="D31" s="98"/>
      <c r="E31" s="98"/>
      <c r="F31" s="98"/>
      <c r="G31" s="98"/>
      <c r="H31" s="98"/>
      <c r="I31" s="98"/>
    </row>
  </sheetData>
  <mergeCells count="1">
    <mergeCell ref="B29:I3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17"/>
  <sheetViews>
    <sheetView showGridLines="0" zoomScale="90" zoomScaleNormal="90" workbookViewId="0">
      <selection activeCell="L25" sqref="L25"/>
    </sheetView>
  </sheetViews>
  <sheetFormatPr defaultColWidth="9.140625" defaultRowHeight="12.75" x14ac:dyDescent="0.2"/>
  <cols>
    <col min="1" max="1" width="2.28515625" style="1" customWidth="1"/>
    <col min="2" max="2" width="76.28515625" style="1" customWidth="1"/>
    <col min="3" max="3" width="15.7109375" style="1" customWidth="1"/>
    <col min="4" max="17" width="9.140625" style="1"/>
    <col min="18" max="18" width="3.28515625" style="1" customWidth="1"/>
    <col min="19" max="16384" width="9.140625" style="1"/>
  </cols>
  <sheetData>
    <row r="2" spans="1:17" x14ac:dyDescent="0.2">
      <c r="B2" s="167" t="s">
        <v>50</v>
      </c>
      <c r="C2" s="168"/>
      <c r="D2" s="168"/>
      <c r="E2" s="168"/>
      <c r="F2" s="168"/>
      <c r="G2" s="168"/>
      <c r="H2" s="250" t="s">
        <v>121</v>
      </c>
      <c r="I2" s="250"/>
      <c r="J2" s="250"/>
      <c r="K2" s="250"/>
      <c r="L2" s="250"/>
      <c r="M2" s="250"/>
      <c r="N2" s="250"/>
      <c r="O2" s="250"/>
      <c r="P2" s="250"/>
      <c r="Q2" s="250"/>
    </row>
    <row r="3" spans="1:17" ht="30" customHeight="1" x14ac:dyDescent="0.25">
      <c r="B3" s="57" t="s">
        <v>67</v>
      </c>
      <c r="C3" s="39"/>
      <c r="D3" s="39"/>
      <c r="E3" s="39"/>
      <c r="F3" s="39"/>
      <c r="G3" s="114"/>
      <c r="H3" s="251" t="s">
        <v>122</v>
      </c>
      <c r="I3" s="251"/>
      <c r="J3" s="251"/>
      <c r="K3" s="251"/>
      <c r="L3" s="251"/>
      <c r="M3" s="251"/>
      <c r="N3" s="251"/>
      <c r="O3" s="251"/>
      <c r="P3" s="251"/>
      <c r="Q3" s="251"/>
    </row>
    <row r="4" spans="1:17" s="32" customFormat="1" ht="4.5" customHeight="1" x14ac:dyDescent="0.2">
      <c r="B4" s="34"/>
      <c r="C4" s="34"/>
      <c r="D4" s="34"/>
      <c r="E4" s="34"/>
      <c r="F4" s="34"/>
      <c r="G4" s="34"/>
      <c r="H4" s="34"/>
      <c r="I4" s="34"/>
      <c r="J4" s="34"/>
      <c r="K4" s="34"/>
      <c r="L4" s="34"/>
      <c r="M4" s="34"/>
      <c r="N4" s="34"/>
      <c r="O4" s="34"/>
      <c r="P4" s="34"/>
      <c r="Q4" s="34"/>
    </row>
    <row r="5" spans="1:17" ht="76.5" x14ac:dyDescent="0.2">
      <c r="B5" s="35" t="s">
        <v>18</v>
      </c>
      <c r="C5" s="35" t="s">
        <v>32</v>
      </c>
      <c r="D5" s="169" t="s">
        <v>65</v>
      </c>
      <c r="E5" s="169" t="s">
        <v>34</v>
      </c>
      <c r="F5" s="169" t="s">
        <v>33</v>
      </c>
      <c r="G5" s="179" t="s">
        <v>110</v>
      </c>
      <c r="H5" s="179" t="s">
        <v>111</v>
      </c>
      <c r="I5" s="179" t="s">
        <v>112</v>
      </c>
      <c r="J5" s="179" t="s">
        <v>113</v>
      </c>
      <c r="K5" s="169" t="s">
        <v>114</v>
      </c>
      <c r="L5" s="169" t="s">
        <v>115</v>
      </c>
      <c r="M5" s="179" t="s">
        <v>116</v>
      </c>
      <c r="N5" s="179" t="s">
        <v>117</v>
      </c>
      <c r="O5" s="179" t="s">
        <v>118</v>
      </c>
      <c r="P5" s="179" t="s">
        <v>119</v>
      </c>
      <c r="Q5" s="179" t="s">
        <v>120</v>
      </c>
    </row>
    <row r="6" spans="1:17" x14ac:dyDescent="0.2">
      <c r="B6" s="175" t="s">
        <v>76</v>
      </c>
      <c r="C6" s="176"/>
      <c r="D6" s="176"/>
      <c r="E6" s="176"/>
      <c r="F6" s="176"/>
      <c r="G6" s="176"/>
      <c r="H6" s="176"/>
      <c r="I6" s="176"/>
      <c r="J6" s="176"/>
      <c r="K6" s="176"/>
      <c r="L6" s="176"/>
      <c r="M6" s="176"/>
      <c r="N6" s="176"/>
      <c r="O6" s="176"/>
      <c r="P6" s="176"/>
      <c r="Q6" s="176"/>
    </row>
    <row r="7" spans="1:17" x14ac:dyDescent="0.2">
      <c r="B7" s="170" t="s">
        <v>75</v>
      </c>
      <c r="C7" s="171" t="s">
        <v>56</v>
      </c>
      <c r="D7" s="172"/>
      <c r="E7" s="173"/>
      <c r="F7" s="174">
        <v>1</v>
      </c>
      <c r="G7" s="180">
        <v>0</v>
      </c>
      <c r="H7" s="181">
        <f>IF(G7=0,VLOOKUP(C:C,[1]Inputs!$B$20:$H$25,7,FALSE)*F7,VLOOKUP(C:C,[1]Inputs!$B$20:$I$25,8,FALSE)*F7)</f>
        <v>103.26059762014499</v>
      </c>
      <c r="I7" s="182">
        <f>VLOOKUP(C:C,[1]Inputs!$C$54:$G$59,5,FALSE)*F7</f>
        <v>0</v>
      </c>
      <c r="J7" s="182"/>
      <c r="K7" s="182"/>
      <c r="L7" s="182"/>
      <c r="M7" s="182">
        <f>SUM(H7:J7)</f>
        <v>103.26059762014499</v>
      </c>
      <c r="N7" s="182">
        <f>[1]Inputs!$M$43*M7</f>
        <v>48.111860352349787</v>
      </c>
      <c r="O7" s="182">
        <f>[1]Inputs!$M$48*M7</f>
        <v>16.560685284298117</v>
      </c>
      <c r="P7" s="181">
        <f>[1]Inputs!$H$13*SUM(M7:O7)</f>
        <v>10.650319945345807</v>
      </c>
      <c r="Q7" s="182">
        <f t="shared" ref="Q7" si="0">SUM(M7:P7)</f>
        <v>178.58346320213872</v>
      </c>
    </row>
    <row r="8" spans="1:17" x14ac:dyDescent="0.2">
      <c r="B8" s="252" t="s">
        <v>1</v>
      </c>
      <c r="C8" s="253"/>
      <c r="D8" s="253"/>
      <c r="E8" s="254"/>
      <c r="F8" s="221">
        <f>F7</f>
        <v>1</v>
      </c>
      <c r="G8" s="221">
        <f t="shared" ref="G8:Q8" si="1">G7</f>
        <v>0</v>
      </c>
      <c r="H8" s="221">
        <f t="shared" si="1"/>
        <v>103.26059762014499</v>
      </c>
      <c r="I8" s="221">
        <f t="shared" si="1"/>
        <v>0</v>
      </c>
      <c r="J8" s="221">
        <f t="shared" si="1"/>
        <v>0</v>
      </c>
      <c r="K8" s="221">
        <f t="shared" si="1"/>
        <v>0</v>
      </c>
      <c r="L8" s="221">
        <f t="shared" si="1"/>
        <v>0</v>
      </c>
      <c r="M8" s="221">
        <f t="shared" si="1"/>
        <v>103.26059762014499</v>
      </c>
      <c r="N8" s="221">
        <f t="shared" si="1"/>
        <v>48.111860352349787</v>
      </c>
      <c r="O8" s="221">
        <f t="shared" si="1"/>
        <v>16.560685284298117</v>
      </c>
      <c r="P8" s="221">
        <f t="shared" si="1"/>
        <v>10.650319945345807</v>
      </c>
      <c r="Q8" s="221">
        <f t="shared" si="1"/>
        <v>178.58346320213872</v>
      </c>
    </row>
    <row r="9" spans="1:17" x14ac:dyDescent="0.2">
      <c r="A9" s="45"/>
      <c r="B9" s="36"/>
      <c r="C9" s="36"/>
      <c r="D9" s="37"/>
      <c r="E9" s="36"/>
      <c r="F9" s="37"/>
      <c r="G9" s="37"/>
      <c r="H9" s="37"/>
      <c r="I9" s="37"/>
      <c r="J9" s="37"/>
      <c r="K9" s="37"/>
      <c r="L9" s="37"/>
      <c r="M9" s="37"/>
      <c r="N9" s="37"/>
      <c r="O9" s="37"/>
      <c r="P9" s="37"/>
      <c r="Q9" s="38"/>
    </row>
    <row r="11" spans="1:17" x14ac:dyDescent="0.2">
      <c r="B11" s="167" t="s">
        <v>50</v>
      </c>
      <c r="C11" s="168"/>
      <c r="D11" s="168"/>
      <c r="E11" s="168"/>
      <c r="F11" s="168"/>
      <c r="G11" s="168"/>
      <c r="H11" s="168"/>
      <c r="I11" s="168"/>
      <c r="J11" s="168"/>
      <c r="K11" s="168"/>
      <c r="L11" s="168"/>
      <c r="M11" s="168"/>
      <c r="N11" s="168"/>
      <c r="O11" s="168"/>
      <c r="P11" s="168"/>
      <c r="Q11" s="168"/>
    </row>
    <row r="12" spans="1:17" ht="31.5" x14ac:dyDescent="0.25">
      <c r="B12" s="57" t="s">
        <v>67</v>
      </c>
      <c r="C12" s="60"/>
      <c r="D12" s="60"/>
      <c r="E12" s="60"/>
      <c r="F12" s="60"/>
      <c r="G12" s="114"/>
      <c r="H12" s="114"/>
      <c r="I12" s="114"/>
      <c r="J12" s="114"/>
      <c r="K12" s="114"/>
      <c r="L12" s="114"/>
      <c r="M12" s="114"/>
      <c r="N12" s="114"/>
      <c r="O12" s="114"/>
      <c r="P12" s="114"/>
      <c r="Q12" s="60"/>
    </row>
    <row r="13" spans="1:17" ht="3" customHeight="1" x14ac:dyDescent="0.2">
      <c r="B13" s="34"/>
      <c r="C13" s="34"/>
      <c r="D13" s="34"/>
      <c r="E13" s="34"/>
      <c r="F13" s="34"/>
      <c r="G13" s="34"/>
      <c r="H13" s="34"/>
      <c r="I13" s="34"/>
      <c r="J13" s="34"/>
      <c r="K13" s="34"/>
      <c r="L13" s="34"/>
      <c r="M13" s="34"/>
      <c r="N13" s="34"/>
      <c r="O13" s="34"/>
      <c r="P13" s="34"/>
      <c r="Q13" s="34"/>
    </row>
    <row r="14" spans="1:17" ht="76.5" x14ac:dyDescent="0.2">
      <c r="B14" s="35" t="s">
        <v>18</v>
      </c>
      <c r="C14" s="35" t="s">
        <v>32</v>
      </c>
      <c r="D14" s="169" t="s">
        <v>65</v>
      </c>
      <c r="E14" s="169" t="s">
        <v>34</v>
      </c>
      <c r="F14" s="169" t="s">
        <v>33</v>
      </c>
      <c r="G14" s="179" t="s">
        <v>110</v>
      </c>
      <c r="H14" s="179" t="s">
        <v>111</v>
      </c>
      <c r="I14" s="179" t="s">
        <v>112</v>
      </c>
      <c r="J14" s="179" t="s">
        <v>113</v>
      </c>
      <c r="K14" s="169" t="s">
        <v>114</v>
      </c>
      <c r="L14" s="169" t="s">
        <v>115</v>
      </c>
      <c r="M14" s="179" t="s">
        <v>116</v>
      </c>
      <c r="N14" s="179" t="s">
        <v>117</v>
      </c>
      <c r="O14" s="179" t="s">
        <v>118</v>
      </c>
      <c r="P14" s="179" t="s">
        <v>119</v>
      </c>
      <c r="Q14" s="179" t="s">
        <v>120</v>
      </c>
    </row>
    <row r="15" spans="1:17" x14ac:dyDescent="0.2">
      <c r="B15" s="175" t="s">
        <v>77</v>
      </c>
      <c r="C15" s="176"/>
      <c r="D15" s="176"/>
      <c r="E15" s="176"/>
      <c r="F15" s="176"/>
      <c r="G15" s="176"/>
      <c r="H15" s="176"/>
      <c r="I15" s="176"/>
      <c r="J15" s="176"/>
      <c r="K15" s="176"/>
      <c r="L15" s="176"/>
      <c r="M15" s="176"/>
      <c r="N15" s="176"/>
      <c r="O15" s="176"/>
      <c r="P15" s="176"/>
      <c r="Q15" s="176"/>
    </row>
    <row r="16" spans="1:17" x14ac:dyDescent="0.2">
      <c r="B16" s="170" t="s">
        <v>78</v>
      </c>
      <c r="C16" s="171" t="s">
        <v>56</v>
      </c>
      <c r="D16" s="177">
        <v>15</v>
      </c>
      <c r="E16" s="178">
        <v>1</v>
      </c>
      <c r="F16" s="174">
        <f>E16*D16</f>
        <v>15</v>
      </c>
      <c r="G16" s="180">
        <v>0</v>
      </c>
      <c r="H16" s="181">
        <f>IF(G16=0,VLOOKUP(C:C,[1]Inputs!$B$20:$H$25,7,FALSE)*F16,VLOOKUP(C:C,[1]Inputs!$B$20:$I$25,8,FALSE)*F16)</f>
        <v>1548.9089643021748</v>
      </c>
      <c r="I16" s="182">
        <f>VLOOKUP(C:C,[1]Inputs!$C$54:$G$59,5,FALSE)*F16</f>
        <v>0</v>
      </c>
      <c r="J16" s="182"/>
      <c r="K16" s="182"/>
      <c r="L16" s="182"/>
      <c r="M16" s="182">
        <f>SUM(H16:J16)</f>
        <v>1548.9089643021748</v>
      </c>
      <c r="N16" s="182">
        <f>[1]Inputs!$M$43*M16</f>
        <v>721.67790528524677</v>
      </c>
      <c r="O16" s="182">
        <f>[1]Inputs!$M$48*M16</f>
        <v>248.41027926447174</v>
      </c>
      <c r="P16" s="181">
        <f>[1]Inputs!$H$13*SUM(M16:O16)</f>
        <v>159.75479918018706</v>
      </c>
      <c r="Q16" s="182">
        <f t="shared" ref="Q16" si="2">SUM(M16:P16)</f>
        <v>2678.7519480320802</v>
      </c>
    </row>
    <row r="17" spans="2:17" x14ac:dyDescent="0.2">
      <c r="B17" s="252" t="s">
        <v>1</v>
      </c>
      <c r="C17" s="253"/>
      <c r="D17" s="253"/>
      <c r="E17" s="254"/>
      <c r="F17" s="221">
        <f>F16</f>
        <v>15</v>
      </c>
      <c r="G17" s="221">
        <f t="shared" ref="G17:Q17" si="3">G16</f>
        <v>0</v>
      </c>
      <c r="H17" s="221">
        <f t="shared" si="3"/>
        <v>1548.9089643021748</v>
      </c>
      <c r="I17" s="221">
        <f t="shared" si="3"/>
        <v>0</v>
      </c>
      <c r="J17" s="221">
        <f t="shared" si="3"/>
        <v>0</v>
      </c>
      <c r="K17" s="221">
        <f t="shared" si="3"/>
        <v>0</v>
      </c>
      <c r="L17" s="221">
        <f t="shared" si="3"/>
        <v>0</v>
      </c>
      <c r="M17" s="221">
        <f t="shared" si="3"/>
        <v>1548.9089643021748</v>
      </c>
      <c r="N17" s="221">
        <f t="shared" si="3"/>
        <v>721.67790528524677</v>
      </c>
      <c r="O17" s="221">
        <f t="shared" si="3"/>
        <v>248.41027926447174</v>
      </c>
      <c r="P17" s="221">
        <f t="shared" si="3"/>
        <v>159.75479918018706</v>
      </c>
      <c r="Q17" s="221">
        <f t="shared" si="3"/>
        <v>2678.7519480320802</v>
      </c>
    </row>
  </sheetData>
  <mergeCells count="4">
    <mergeCell ref="H2:Q2"/>
    <mergeCell ref="H3:Q3"/>
    <mergeCell ref="B17:E17"/>
    <mergeCell ref="B8:E8"/>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58E6F-0D93-4F81-9A83-5098D6346FB5}">
  <dimension ref="A1:O40"/>
  <sheetViews>
    <sheetView zoomScale="90" zoomScaleNormal="90" workbookViewId="0">
      <selection activeCell="D13" sqref="D13"/>
    </sheetView>
  </sheetViews>
  <sheetFormatPr defaultRowHeight="15" x14ac:dyDescent="0.25"/>
  <cols>
    <col min="2" max="2" width="75.42578125" bestFit="1" customWidth="1"/>
    <col min="3" max="3" width="14.5703125" customWidth="1"/>
    <col min="4" max="8" width="10" bestFit="1" customWidth="1"/>
  </cols>
  <sheetData>
    <row r="1" spans="1:15" x14ac:dyDescent="0.25">
      <c r="B1" t="s">
        <v>128</v>
      </c>
      <c r="D1" s="196">
        <f>[1]Inputs!H16</f>
        <v>1</v>
      </c>
      <c r="E1" s="196">
        <f>[1]Inputs!I16</f>
        <v>1</v>
      </c>
      <c r="F1" s="196">
        <f>[1]Inputs!J16</f>
        <v>1.0109999999999999</v>
      </c>
      <c r="G1" s="196">
        <f>[1]Inputs!K16</f>
        <v>1.0231319999999999</v>
      </c>
      <c r="H1" s="196">
        <f>[1]Inputs!L16</f>
        <v>1.0337725727999998</v>
      </c>
      <c r="K1" s="197">
        <f>D1</f>
        <v>1</v>
      </c>
      <c r="L1" s="197">
        <f t="shared" ref="L1:O5" si="0">E1</f>
        <v>1</v>
      </c>
      <c r="M1" s="197">
        <f t="shared" si="0"/>
        <v>1.0109999999999999</v>
      </c>
      <c r="N1" s="197">
        <f t="shared" si="0"/>
        <v>1.0231319999999999</v>
      </c>
      <c r="O1" s="197">
        <f t="shared" si="0"/>
        <v>1.0337725727999998</v>
      </c>
    </row>
    <row r="2" spans="1:15" x14ac:dyDescent="0.25">
      <c r="B2" t="s">
        <v>129</v>
      </c>
      <c r="D2" s="196">
        <f>[1]Inputs!H61</f>
        <v>0.04</v>
      </c>
      <c r="E2" s="196">
        <f>[1]Inputs!I61</f>
        <v>0.04</v>
      </c>
      <c r="F2" s="196">
        <f>[1]Inputs!J61</f>
        <v>0.04</v>
      </c>
      <c r="G2" s="196">
        <f>[1]Inputs!K61</f>
        <v>0.04</v>
      </c>
      <c r="H2" s="196">
        <f>[1]Inputs!L61</f>
        <v>0.04</v>
      </c>
      <c r="K2" s="197"/>
      <c r="L2" s="197"/>
      <c r="M2" s="197"/>
      <c r="N2" s="197"/>
      <c r="O2" s="197"/>
    </row>
    <row r="3" spans="1:15" x14ac:dyDescent="0.25">
      <c r="B3" t="s">
        <v>130</v>
      </c>
      <c r="D3" s="197">
        <f>[1]Inputs!$M$43</f>
        <v>0.46592661151676018</v>
      </c>
      <c r="E3" s="197">
        <f>[1]Inputs!$M$43</f>
        <v>0.46592661151676018</v>
      </c>
      <c r="F3" s="197">
        <f>[1]Inputs!$M$43</f>
        <v>0.46592661151676018</v>
      </c>
      <c r="G3" s="197">
        <f>[1]Inputs!$M$43</f>
        <v>0.46592661151676018</v>
      </c>
      <c r="H3" s="197">
        <f>[1]Inputs!$M$43</f>
        <v>0.46592661151676018</v>
      </c>
      <c r="K3" s="197">
        <f t="shared" ref="K3:K5" si="1">D3</f>
        <v>0.46592661151676018</v>
      </c>
      <c r="L3" s="197">
        <f t="shared" si="0"/>
        <v>0.46592661151676018</v>
      </c>
      <c r="M3" s="197">
        <f t="shared" si="0"/>
        <v>0.46592661151676018</v>
      </c>
      <c r="N3" s="197">
        <f t="shared" si="0"/>
        <v>0.46592661151676018</v>
      </c>
      <c r="O3" s="197">
        <f t="shared" si="0"/>
        <v>0.46592661151676018</v>
      </c>
    </row>
    <row r="4" spans="1:15" x14ac:dyDescent="0.25">
      <c r="B4" t="s">
        <v>131</v>
      </c>
      <c r="D4" s="197">
        <f>[1]Inputs!$M$48</f>
        <v>0.16037758511933414</v>
      </c>
      <c r="E4" s="197">
        <f>[1]Inputs!$M$48</f>
        <v>0.16037758511933414</v>
      </c>
      <c r="F4" s="197">
        <f>[1]Inputs!$M$48</f>
        <v>0.16037758511933414</v>
      </c>
      <c r="G4" s="197">
        <f>[1]Inputs!$M$48</f>
        <v>0.16037758511933414</v>
      </c>
      <c r="H4" s="197">
        <f>[1]Inputs!$M$48</f>
        <v>0.16037758511933414</v>
      </c>
      <c r="K4" s="197">
        <f t="shared" si="1"/>
        <v>0.16037758511933414</v>
      </c>
      <c r="L4" s="197">
        <f t="shared" si="0"/>
        <v>0.16037758511933414</v>
      </c>
      <c r="M4" s="197">
        <f t="shared" si="0"/>
        <v>0.16037758511933414</v>
      </c>
      <c r="N4" s="197">
        <f t="shared" si="0"/>
        <v>0.16037758511933414</v>
      </c>
      <c r="O4" s="197">
        <f t="shared" si="0"/>
        <v>0.16037758511933414</v>
      </c>
    </row>
    <row r="5" spans="1:15" x14ac:dyDescent="0.25">
      <c r="B5" t="s">
        <v>132</v>
      </c>
      <c r="D5" s="197">
        <f>[1]Inputs!$H$13</f>
        <v>6.3420000000000004E-2</v>
      </c>
      <c r="E5" s="197">
        <f>[1]Inputs!$H$13</f>
        <v>6.3420000000000004E-2</v>
      </c>
      <c r="F5" s="197">
        <f>[1]Inputs!$H$13</f>
        <v>6.3420000000000004E-2</v>
      </c>
      <c r="G5" s="197">
        <f>[1]Inputs!$H$13</f>
        <v>6.3420000000000004E-2</v>
      </c>
      <c r="H5" s="197">
        <f>[1]Inputs!$H$13</f>
        <v>6.3420000000000004E-2</v>
      </c>
      <c r="K5" s="197">
        <f t="shared" si="1"/>
        <v>6.3420000000000004E-2</v>
      </c>
      <c r="L5" s="197">
        <f t="shared" si="0"/>
        <v>6.3420000000000004E-2</v>
      </c>
      <c r="M5" s="197">
        <f t="shared" si="0"/>
        <v>6.3420000000000004E-2</v>
      </c>
      <c r="N5" s="197">
        <f t="shared" si="0"/>
        <v>6.3420000000000004E-2</v>
      </c>
      <c r="O5" s="197">
        <f t="shared" si="0"/>
        <v>6.3420000000000004E-2</v>
      </c>
    </row>
    <row r="6" spans="1:15" ht="15.75" x14ac:dyDescent="0.25">
      <c r="A6" s="198"/>
      <c r="B6" s="198"/>
      <c r="C6" s="198"/>
      <c r="D6" s="257" t="s">
        <v>133</v>
      </c>
      <c r="E6" s="257"/>
      <c r="F6" s="257"/>
      <c r="G6" s="257"/>
      <c r="H6" s="257"/>
      <c r="I6" s="198"/>
      <c r="J6" s="258" t="s">
        <v>134</v>
      </c>
      <c r="K6" s="258"/>
      <c r="L6" s="258"/>
      <c r="M6" s="258"/>
      <c r="N6" s="258"/>
      <c r="O6" s="258"/>
    </row>
    <row r="7" spans="1:15" x14ac:dyDescent="0.25">
      <c r="B7" s="199" t="s">
        <v>147</v>
      </c>
      <c r="C7" s="200"/>
      <c r="D7" s="200" t="s">
        <v>135</v>
      </c>
      <c r="E7" s="200" t="s">
        <v>136</v>
      </c>
      <c r="F7" s="200" t="s">
        <v>137</v>
      </c>
      <c r="G7" s="200" t="s">
        <v>138</v>
      </c>
      <c r="H7" s="200" t="s">
        <v>139</v>
      </c>
    </row>
    <row r="8" spans="1:15" x14ac:dyDescent="0.25">
      <c r="B8" s="201" t="s">
        <v>111</v>
      </c>
      <c r="C8" s="202"/>
      <c r="D8" s="203">
        <f>(D19*D$27)+(D31*D$39)</f>
        <v>12907.574702518123</v>
      </c>
      <c r="E8" s="203">
        <f t="shared" ref="E8:H8" si="2">(E19*E$27)+(E31*E$39)</f>
        <v>12907.574702518123</v>
      </c>
      <c r="F8" s="203">
        <f t="shared" si="2"/>
        <v>13049.558024245822</v>
      </c>
      <c r="G8" s="203">
        <f t="shared" si="2"/>
        <v>13351.420400462674</v>
      </c>
      <c r="H8" s="203">
        <f t="shared" si="2"/>
        <v>13802.332217920703</v>
      </c>
    </row>
    <row r="9" spans="1:15" x14ac:dyDescent="0.25">
      <c r="B9" s="201" t="s">
        <v>112</v>
      </c>
      <c r="C9" s="202"/>
      <c r="D9" s="203">
        <f t="shared" ref="D9:H15" si="3">(D20*D$27)+(D32*D$39)</f>
        <v>0</v>
      </c>
      <c r="E9" s="203">
        <f t="shared" si="3"/>
        <v>0</v>
      </c>
      <c r="F9" s="203">
        <f t="shared" si="3"/>
        <v>0</v>
      </c>
      <c r="G9" s="203">
        <f t="shared" si="3"/>
        <v>0</v>
      </c>
      <c r="H9" s="203">
        <f t="shared" si="3"/>
        <v>0</v>
      </c>
    </row>
    <row r="10" spans="1:15" x14ac:dyDescent="0.25">
      <c r="B10" s="201" t="s">
        <v>113</v>
      </c>
      <c r="C10" s="202"/>
      <c r="D10" s="203">
        <f t="shared" si="3"/>
        <v>0</v>
      </c>
      <c r="E10" s="203">
        <f t="shared" si="3"/>
        <v>0</v>
      </c>
      <c r="F10" s="203">
        <f t="shared" si="3"/>
        <v>0</v>
      </c>
      <c r="G10" s="203">
        <f t="shared" si="3"/>
        <v>0</v>
      </c>
      <c r="H10" s="203">
        <f t="shared" si="3"/>
        <v>0</v>
      </c>
    </row>
    <row r="11" spans="1:15" x14ac:dyDescent="0.25">
      <c r="B11" s="204" t="s">
        <v>140</v>
      </c>
      <c r="C11" s="204"/>
      <c r="D11" s="205">
        <f t="shared" si="3"/>
        <v>12907.574702518123</v>
      </c>
      <c r="E11" s="205">
        <f t="shared" si="3"/>
        <v>12907.574702518123</v>
      </c>
      <c r="F11" s="205">
        <f t="shared" si="3"/>
        <v>13049.558024245822</v>
      </c>
      <c r="G11" s="205">
        <f t="shared" si="3"/>
        <v>13351.420400462674</v>
      </c>
      <c r="H11" s="205">
        <f t="shared" si="3"/>
        <v>13802.332217920703</v>
      </c>
    </row>
    <row r="12" spans="1:15" x14ac:dyDescent="0.25">
      <c r="B12" s="202" t="s">
        <v>117</v>
      </c>
      <c r="C12" s="202"/>
      <c r="D12" s="203">
        <f t="shared" si="3"/>
        <v>6013.9825440437235</v>
      </c>
      <c r="E12" s="203">
        <f t="shared" si="3"/>
        <v>6013.9825440437235</v>
      </c>
      <c r="F12" s="203">
        <f t="shared" si="3"/>
        <v>6080.136352028203</v>
      </c>
      <c r="G12" s="203">
        <f t="shared" si="3"/>
        <v>6220.78206612332</v>
      </c>
      <c r="H12" s="203">
        <f t="shared" si="3"/>
        <v>6430.8738813244026</v>
      </c>
    </row>
    <row r="13" spans="1:15" x14ac:dyDescent="0.25">
      <c r="B13" s="202" t="s">
        <v>118</v>
      </c>
      <c r="C13" s="202"/>
      <c r="D13" s="203">
        <f t="shared" si="3"/>
        <v>2070.0856605372646</v>
      </c>
      <c r="E13" s="203">
        <f t="shared" si="3"/>
        <v>2070.0856605372646</v>
      </c>
      <c r="F13" s="203">
        <f t="shared" si="3"/>
        <v>2092.8566028031742</v>
      </c>
      <c r="G13" s="203">
        <f t="shared" si="3"/>
        <v>2141.2685617392167</v>
      </c>
      <c r="H13" s="203">
        <f t="shared" si="3"/>
        <v>2213.5847101249055</v>
      </c>
    </row>
    <row r="14" spans="1:15" x14ac:dyDescent="0.25">
      <c r="B14" s="202" t="s">
        <v>127</v>
      </c>
      <c r="C14" s="202"/>
      <c r="D14" s="203">
        <f t="shared" si="3"/>
        <v>1331.2899931682257</v>
      </c>
      <c r="E14" s="203">
        <f t="shared" si="3"/>
        <v>1331.2899931682257</v>
      </c>
      <c r="F14" s="203">
        <f t="shared" si="3"/>
        <v>1345.9341830930762</v>
      </c>
      <c r="G14" s="203">
        <f t="shared" si="3"/>
        <v>1377.0683326163849</v>
      </c>
      <c r="H14" s="203">
        <f t="shared" si="3"/>
        <v>1423.5754731302461</v>
      </c>
    </row>
    <row r="15" spans="1:15" x14ac:dyDescent="0.25">
      <c r="A15" s="206"/>
      <c r="B15" s="207" t="s">
        <v>141</v>
      </c>
      <c r="C15" s="202"/>
      <c r="D15" s="205">
        <f t="shared" si="3"/>
        <v>22322.932900267337</v>
      </c>
      <c r="E15" s="205">
        <f t="shared" si="3"/>
        <v>22322.932900267337</v>
      </c>
      <c r="F15" s="205">
        <f t="shared" si="3"/>
        <v>22568.485162170273</v>
      </c>
      <c r="G15" s="205">
        <f t="shared" si="3"/>
        <v>23090.539360941599</v>
      </c>
      <c r="H15" s="205">
        <f t="shared" si="3"/>
        <v>23870.366282500254</v>
      </c>
      <c r="I15" s="206"/>
      <c r="J15" s="206"/>
      <c r="K15" s="206"/>
      <c r="L15" s="206"/>
      <c r="M15" s="206"/>
      <c r="N15" s="206"/>
      <c r="O15" s="206"/>
    </row>
    <row r="16" spans="1:15" x14ac:dyDescent="0.25">
      <c r="A16" s="192"/>
      <c r="B16" s="208" t="s">
        <v>142</v>
      </c>
      <c r="C16" s="204"/>
      <c r="D16" s="205">
        <f>D28+D40+D52+D64+D76+D88+D100+D112-D15</f>
        <v>0</v>
      </c>
      <c r="E16" s="205">
        <f t="shared" ref="E16:H16" si="4">E28+E40+E52+E64+E76+E88+E100+E112-E15</f>
        <v>0</v>
      </c>
      <c r="F16" s="205">
        <f t="shared" si="4"/>
        <v>0</v>
      </c>
      <c r="G16" s="205">
        <f t="shared" si="4"/>
        <v>0</v>
      </c>
      <c r="H16" s="205">
        <f t="shared" si="4"/>
        <v>0</v>
      </c>
      <c r="I16" s="192"/>
      <c r="J16" s="192"/>
      <c r="K16" s="192"/>
      <c r="L16" s="192"/>
      <c r="M16" s="192"/>
      <c r="N16" s="192"/>
      <c r="O16" s="192"/>
    </row>
    <row r="17" spans="1:15" x14ac:dyDescent="0.25">
      <c r="A17" s="192"/>
      <c r="B17" s="192"/>
      <c r="C17" s="209"/>
      <c r="D17" s="192"/>
      <c r="E17" s="192"/>
      <c r="F17" s="192"/>
      <c r="G17" s="192"/>
      <c r="H17" s="192"/>
      <c r="I17" s="192"/>
      <c r="J17" s="192"/>
      <c r="K17" s="192"/>
      <c r="L17" s="192"/>
      <c r="M17" s="192"/>
      <c r="N17" s="192"/>
      <c r="O17" s="192"/>
    </row>
    <row r="18" spans="1:15" x14ac:dyDescent="0.25">
      <c r="B18" s="210" t="s">
        <v>76</v>
      </c>
      <c r="C18" s="193"/>
      <c r="D18" s="259" t="s">
        <v>143</v>
      </c>
      <c r="E18" s="260"/>
      <c r="F18" s="260"/>
      <c r="G18" s="260"/>
      <c r="H18" s="260"/>
      <c r="J18" s="193"/>
      <c r="K18" s="259" t="s">
        <v>143</v>
      </c>
      <c r="L18" s="260"/>
      <c r="M18" s="260"/>
      <c r="N18" s="260"/>
      <c r="O18" s="260"/>
    </row>
    <row r="19" spans="1:15" x14ac:dyDescent="0.25">
      <c r="B19" s="211" t="s">
        <v>111</v>
      </c>
      <c r="C19" s="212">
        <f>'Proposed price'!H8</f>
        <v>103.26059762014499</v>
      </c>
      <c r="D19" s="213">
        <f>C19*D$1</f>
        <v>103.26059762014499</v>
      </c>
      <c r="E19" s="213">
        <f>D19*E1</f>
        <v>103.26059762014499</v>
      </c>
      <c r="F19" s="213">
        <f>E19*F1</f>
        <v>104.39646419396658</v>
      </c>
      <c r="G19" s="213">
        <f>F19*G1</f>
        <v>106.8113632037014</v>
      </c>
      <c r="H19" s="213">
        <f>G19*H1</f>
        <v>110.41865774336563</v>
      </c>
      <c r="J19" s="212"/>
      <c r="K19" s="213">
        <f>J19*K$1</f>
        <v>0</v>
      </c>
      <c r="L19" s="213">
        <f>K19*L1</f>
        <v>0</v>
      </c>
      <c r="M19" s="213">
        <f>L19*M1</f>
        <v>0</v>
      </c>
      <c r="N19" s="213">
        <f>M19*N1</f>
        <v>0</v>
      </c>
      <c r="O19" s="213">
        <f>N19*O1</f>
        <v>0</v>
      </c>
    </row>
    <row r="20" spans="1:15" x14ac:dyDescent="0.25">
      <c r="B20" s="211" t="s">
        <v>112</v>
      </c>
      <c r="C20" s="212">
        <f>'Proposed price'!I8</f>
        <v>0</v>
      </c>
      <c r="D20" s="213">
        <f>C20</f>
        <v>0</v>
      </c>
      <c r="E20" s="213">
        <f t="shared" ref="E20:H21" si="5">D20</f>
        <v>0</v>
      </c>
      <c r="F20" s="213">
        <f t="shared" si="5"/>
        <v>0</v>
      </c>
      <c r="G20" s="213">
        <f t="shared" si="5"/>
        <v>0</v>
      </c>
      <c r="H20" s="213">
        <f t="shared" si="5"/>
        <v>0</v>
      </c>
      <c r="J20" s="212"/>
      <c r="K20" s="213">
        <f>J20</f>
        <v>0</v>
      </c>
      <c r="L20" s="213">
        <f t="shared" ref="L20:O21" si="6">K20</f>
        <v>0</v>
      </c>
      <c r="M20" s="213">
        <f t="shared" si="6"/>
        <v>0</v>
      </c>
      <c r="N20" s="213">
        <f t="shared" si="6"/>
        <v>0</v>
      </c>
      <c r="O20" s="213">
        <f t="shared" si="6"/>
        <v>0</v>
      </c>
    </row>
    <row r="21" spans="1:15" x14ac:dyDescent="0.25">
      <c r="B21" s="211" t="s">
        <v>113</v>
      </c>
      <c r="C21" s="212">
        <f>'Proposed price'!J8</f>
        <v>0</v>
      </c>
      <c r="D21" s="213">
        <f>C21</f>
        <v>0</v>
      </c>
      <c r="E21" s="213">
        <f t="shared" si="5"/>
        <v>0</v>
      </c>
      <c r="F21" s="213">
        <f t="shared" si="5"/>
        <v>0</v>
      </c>
      <c r="G21" s="213">
        <f t="shared" si="5"/>
        <v>0</v>
      </c>
      <c r="H21" s="213">
        <f t="shared" si="5"/>
        <v>0</v>
      </c>
      <c r="J21" s="212"/>
      <c r="K21" s="213">
        <f>J21</f>
        <v>0</v>
      </c>
      <c r="L21" s="213">
        <f t="shared" si="6"/>
        <v>0</v>
      </c>
      <c r="M21" s="213">
        <f t="shared" si="6"/>
        <v>0</v>
      </c>
      <c r="N21" s="213">
        <f t="shared" si="6"/>
        <v>0</v>
      </c>
      <c r="O21" s="213">
        <f t="shared" si="6"/>
        <v>0</v>
      </c>
    </row>
    <row r="22" spans="1:15" x14ac:dyDescent="0.25">
      <c r="A22" s="192"/>
      <c r="B22" s="214" t="s">
        <v>140</v>
      </c>
      <c r="C22" s="266">
        <f>'Proposed price'!M8</f>
        <v>103.26059762014499</v>
      </c>
      <c r="D22" s="204">
        <f>SUM(D19:D21)</f>
        <v>103.26059762014499</v>
      </c>
      <c r="E22" s="204">
        <f t="shared" ref="E22:H22" si="7">SUM(E19:E21)</f>
        <v>103.26059762014499</v>
      </c>
      <c r="F22" s="204">
        <f t="shared" si="7"/>
        <v>104.39646419396658</v>
      </c>
      <c r="G22" s="204">
        <f t="shared" si="7"/>
        <v>106.8113632037014</v>
      </c>
      <c r="H22" s="204">
        <f t="shared" si="7"/>
        <v>110.41865774336563</v>
      </c>
      <c r="I22" s="192"/>
      <c r="J22" s="215"/>
      <c r="K22" s="202">
        <f>SUM(K19:K21)</f>
        <v>0</v>
      </c>
      <c r="L22" s="202">
        <f t="shared" ref="L22:O22" si="8">SUM(L19:L21)</f>
        <v>0</v>
      </c>
      <c r="M22" s="202">
        <f t="shared" si="8"/>
        <v>0</v>
      </c>
      <c r="N22" s="202">
        <f t="shared" si="8"/>
        <v>0</v>
      </c>
      <c r="O22" s="202">
        <f t="shared" si="8"/>
        <v>0</v>
      </c>
    </row>
    <row r="23" spans="1:15" x14ac:dyDescent="0.25">
      <c r="B23" s="211" t="s">
        <v>117</v>
      </c>
      <c r="C23" s="212">
        <f>'Proposed price'!N8</f>
        <v>48.111860352349787</v>
      </c>
      <c r="D23" s="213">
        <f>D22*D$3</f>
        <v>48.111860352349787</v>
      </c>
      <c r="E23" s="213">
        <f t="shared" ref="E23:H23" si="9">E22*E$3</f>
        <v>48.111860352349787</v>
      </c>
      <c r="F23" s="213">
        <f t="shared" si="9"/>
        <v>48.641090816225628</v>
      </c>
      <c r="G23" s="213">
        <f t="shared" si="9"/>
        <v>49.76625652898656</v>
      </c>
      <c r="H23" s="213">
        <f t="shared" si="9"/>
        <v>51.446991050595223</v>
      </c>
      <c r="J23" s="212"/>
      <c r="K23" s="213">
        <f>K22*K$3</f>
        <v>0</v>
      </c>
      <c r="L23" s="213">
        <f t="shared" ref="L23:O23" si="10">L22*L$3</f>
        <v>0</v>
      </c>
      <c r="M23" s="213">
        <f t="shared" si="10"/>
        <v>0</v>
      </c>
      <c r="N23" s="213">
        <f t="shared" si="10"/>
        <v>0</v>
      </c>
      <c r="O23" s="213">
        <f t="shared" si="10"/>
        <v>0</v>
      </c>
    </row>
    <row r="24" spans="1:15" x14ac:dyDescent="0.25">
      <c r="B24" s="211" t="s">
        <v>118</v>
      </c>
      <c r="C24" s="212">
        <f>'Proposed price'!O8</f>
        <v>16.560685284298117</v>
      </c>
      <c r="D24" s="213">
        <f>D22*D$4</f>
        <v>16.560685284298117</v>
      </c>
      <c r="E24" s="213">
        <f t="shared" ref="E24:H24" si="11">E22*E$4</f>
        <v>16.560685284298117</v>
      </c>
      <c r="F24" s="213">
        <f t="shared" si="11"/>
        <v>16.742852822425395</v>
      </c>
      <c r="G24" s="213">
        <f t="shared" si="11"/>
        <v>17.130148493913737</v>
      </c>
      <c r="H24" s="213">
        <f t="shared" si="11"/>
        <v>17.708677680999244</v>
      </c>
      <c r="J24" s="212"/>
      <c r="K24" s="213">
        <f>K22*K$4</f>
        <v>0</v>
      </c>
      <c r="L24" s="213">
        <f t="shared" ref="L24:O24" si="12">L22*L$4</f>
        <v>0</v>
      </c>
      <c r="M24" s="213">
        <f t="shared" si="12"/>
        <v>0</v>
      </c>
      <c r="N24" s="213">
        <f t="shared" si="12"/>
        <v>0</v>
      </c>
      <c r="O24" s="213">
        <f t="shared" si="12"/>
        <v>0</v>
      </c>
    </row>
    <row r="25" spans="1:15" x14ac:dyDescent="0.25">
      <c r="B25" s="211" t="s">
        <v>119</v>
      </c>
      <c r="C25" s="212">
        <f>'Proposed price'!P8</f>
        <v>10.650319945345807</v>
      </c>
      <c r="D25" s="213">
        <f>SUM(D22:D24)*D$5</f>
        <v>10.650319945345807</v>
      </c>
      <c r="E25" s="213">
        <f t="shared" ref="E25:H25" si="13">SUM(E22:E24)*E$5</f>
        <v>10.650319945345807</v>
      </c>
      <c r="F25" s="213">
        <f t="shared" si="13"/>
        <v>10.767473464744608</v>
      </c>
      <c r="G25" s="213">
        <f t="shared" si="13"/>
        <v>11.01654666093108</v>
      </c>
      <c r="H25" s="213">
        <f t="shared" si="13"/>
        <v>11.388603785041969</v>
      </c>
      <c r="J25" s="212"/>
      <c r="K25" s="213">
        <f>SUM(K22:K24)*K$5</f>
        <v>0</v>
      </c>
      <c r="L25" s="213">
        <f t="shared" ref="L25:O25" si="14">SUM(L22:L24)*L$5</f>
        <v>0</v>
      </c>
      <c r="M25" s="213">
        <f t="shared" si="14"/>
        <v>0</v>
      </c>
      <c r="N25" s="213">
        <f t="shared" si="14"/>
        <v>0</v>
      </c>
      <c r="O25" s="213">
        <f t="shared" si="14"/>
        <v>0</v>
      </c>
    </row>
    <row r="26" spans="1:15" x14ac:dyDescent="0.25">
      <c r="A26" s="192"/>
      <c r="B26" s="216" t="s">
        <v>144</v>
      </c>
      <c r="C26" s="217">
        <f>'Proposed price'!Q8</f>
        <v>178.58346320213872</v>
      </c>
      <c r="D26" s="218">
        <f>SUM(D22:D25)</f>
        <v>178.58346320213872</v>
      </c>
      <c r="E26" s="218">
        <f t="shared" ref="E26:H26" si="15">SUM(E22:E25)</f>
        <v>178.58346320213872</v>
      </c>
      <c r="F26" s="218">
        <f t="shared" si="15"/>
        <v>180.54788129736218</v>
      </c>
      <c r="G26" s="218">
        <f t="shared" si="15"/>
        <v>184.72431488753278</v>
      </c>
      <c r="H26" s="218">
        <f t="shared" si="15"/>
        <v>190.96293026000205</v>
      </c>
      <c r="I26" s="192"/>
      <c r="J26" s="217"/>
      <c r="K26" s="218">
        <f>SUM(K22:K25)</f>
        <v>0</v>
      </c>
      <c r="L26" s="218">
        <f t="shared" ref="L26:O26" si="16">SUM(L22:L25)</f>
        <v>0</v>
      </c>
      <c r="M26" s="218">
        <f t="shared" si="16"/>
        <v>0</v>
      </c>
      <c r="N26" s="218">
        <f t="shared" si="16"/>
        <v>0</v>
      </c>
      <c r="O26" s="218">
        <f t="shared" si="16"/>
        <v>0</v>
      </c>
    </row>
    <row r="27" spans="1:15" x14ac:dyDescent="0.25">
      <c r="B27" s="219" t="s">
        <v>145</v>
      </c>
      <c r="C27" s="213"/>
      <c r="D27" s="220">
        <f>'Forecast Revenue - Costs'!D12</f>
        <v>50</v>
      </c>
      <c r="E27" s="220">
        <f>'Forecast Revenue - Costs'!E12</f>
        <v>50</v>
      </c>
      <c r="F27" s="220">
        <f>'Forecast Revenue - Costs'!F12</f>
        <v>50</v>
      </c>
      <c r="G27" s="220">
        <f>'Forecast Revenue - Costs'!G12</f>
        <v>50</v>
      </c>
      <c r="H27" s="220">
        <f>'Forecast Revenue - Costs'!H12</f>
        <v>50</v>
      </c>
      <c r="J27" s="213"/>
      <c r="K27" s="220"/>
      <c r="L27" s="220"/>
      <c r="M27" s="220"/>
      <c r="N27" s="220"/>
      <c r="O27" s="220"/>
    </row>
    <row r="28" spans="1:15" x14ac:dyDescent="0.25">
      <c r="A28" s="192"/>
      <c r="B28" s="207" t="s">
        <v>146</v>
      </c>
      <c r="C28" s="204"/>
      <c r="D28" s="205">
        <f>D26*D27</f>
        <v>8929.173160106935</v>
      </c>
      <c r="E28" s="205">
        <f t="shared" ref="E28:H28" si="17">E26*E27</f>
        <v>8929.173160106935</v>
      </c>
      <c r="F28" s="205">
        <f t="shared" si="17"/>
        <v>9027.3940648681091</v>
      </c>
      <c r="G28" s="205">
        <f t="shared" si="17"/>
        <v>9236.2157443766391</v>
      </c>
      <c r="H28" s="205">
        <f t="shared" si="17"/>
        <v>9548.1465130001034</v>
      </c>
      <c r="I28" s="192"/>
      <c r="J28" s="204"/>
      <c r="K28" s="205"/>
      <c r="L28" s="205"/>
      <c r="M28" s="205"/>
      <c r="N28" s="205"/>
      <c r="O28" s="205"/>
    </row>
    <row r="30" spans="1:15" x14ac:dyDescent="0.25">
      <c r="B30" s="210" t="s">
        <v>77</v>
      </c>
      <c r="C30" s="193"/>
      <c r="D30" s="259" t="s">
        <v>143</v>
      </c>
      <c r="E30" s="260"/>
      <c r="F30" s="260"/>
      <c r="G30" s="260"/>
      <c r="H30" s="260"/>
      <c r="J30" s="193"/>
      <c r="K30" s="259" t="s">
        <v>143</v>
      </c>
      <c r="L30" s="260"/>
      <c r="M30" s="260"/>
      <c r="N30" s="260"/>
      <c r="O30" s="260"/>
    </row>
    <row r="31" spans="1:15" x14ac:dyDescent="0.25">
      <c r="B31" s="211" t="s">
        <v>111</v>
      </c>
      <c r="C31" s="212">
        <f>'Proposed price'!H17</f>
        <v>1548.9089643021748</v>
      </c>
      <c r="D31" s="213">
        <f>C31*D$1</f>
        <v>1548.9089643021748</v>
      </c>
      <c r="E31" s="213">
        <f t="shared" ref="E31:H31" si="18">D31*E$1</f>
        <v>1548.9089643021748</v>
      </c>
      <c r="F31" s="213">
        <f t="shared" si="18"/>
        <v>1565.9469629094986</v>
      </c>
      <c r="G31" s="213">
        <f t="shared" si="18"/>
        <v>1602.1704480555209</v>
      </c>
      <c r="H31" s="213">
        <f t="shared" si="18"/>
        <v>1656.2798661504842</v>
      </c>
      <c r="J31" s="212"/>
      <c r="K31" s="213">
        <f>J31*K$1</f>
        <v>0</v>
      </c>
      <c r="L31" s="213">
        <f t="shared" ref="L31:O31" si="19">K31*L$1</f>
        <v>0</v>
      </c>
      <c r="M31" s="213">
        <f t="shared" si="19"/>
        <v>0</v>
      </c>
      <c r="N31" s="213">
        <f t="shared" si="19"/>
        <v>0</v>
      </c>
      <c r="O31" s="213">
        <f t="shared" si="19"/>
        <v>0</v>
      </c>
    </row>
    <row r="32" spans="1:15" x14ac:dyDescent="0.25">
      <c r="B32" s="211" t="s">
        <v>112</v>
      </c>
      <c r="C32" s="212">
        <f>'Proposed price'!I17</f>
        <v>0</v>
      </c>
      <c r="D32" s="213">
        <f>C32</f>
        <v>0</v>
      </c>
      <c r="E32" s="213">
        <v>0</v>
      </c>
      <c r="F32" s="213">
        <v>0</v>
      </c>
      <c r="G32" s="213">
        <v>0</v>
      </c>
      <c r="H32" s="213">
        <v>0</v>
      </c>
      <c r="J32" s="212"/>
      <c r="K32" s="213">
        <f>J32</f>
        <v>0</v>
      </c>
      <c r="L32" s="213">
        <f t="shared" ref="L32:O33" si="20">K32</f>
        <v>0</v>
      </c>
      <c r="M32" s="213">
        <f t="shared" si="20"/>
        <v>0</v>
      </c>
      <c r="N32" s="213">
        <f t="shared" si="20"/>
        <v>0</v>
      </c>
      <c r="O32" s="213">
        <f t="shared" si="20"/>
        <v>0</v>
      </c>
    </row>
    <row r="33" spans="1:15" x14ac:dyDescent="0.25">
      <c r="B33" s="211" t="s">
        <v>113</v>
      </c>
      <c r="C33" s="212">
        <f>'Proposed price'!J17</f>
        <v>0</v>
      </c>
      <c r="D33" s="213">
        <f>C33</f>
        <v>0</v>
      </c>
      <c r="E33" s="213">
        <f t="shared" ref="E33:H33" si="21">D33</f>
        <v>0</v>
      </c>
      <c r="F33" s="213">
        <f t="shared" si="21"/>
        <v>0</v>
      </c>
      <c r="G33" s="213">
        <f t="shared" si="21"/>
        <v>0</v>
      </c>
      <c r="H33" s="213">
        <f t="shared" si="21"/>
        <v>0</v>
      </c>
      <c r="J33" s="212"/>
      <c r="K33" s="213">
        <f>J33</f>
        <v>0</v>
      </c>
      <c r="L33" s="213">
        <f t="shared" si="20"/>
        <v>0</v>
      </c>
      <c r="M33" s="213">
        <f t="shared" si="20"/>
        <v>0</v>
      </c>
      <c r="N33" s="213">
        <f t="shared" si="20"/>
        <v>0</v>
      </c>
      <c r="O33" s="213">
        <f t="shared" si="20"/>
        <v>0</v>
      </c>
    </row>
    <row r="34" spans="1:15" x14ac:dyDescent="0.25">
      <c r="B34" s="214" t="s">
        <v>140</v>
      </c>
      <c r="C34" s="266">
        <f>'Proposed price'!M17</f>
        <v>1548.9089643021748</v>
      </c>
      <c r="D34" s="204">
        <f>SUM(D31:D33)</f>
        <v>1548.9089643021748</v>
      </c>
      <c r="E34" s="204">
        <f t="shared" ref="E34:H34" si="22">SUM(E31:E33)</f>
        <v>1548.9089643021748</v>
      </c>
      <c r="F34" s="204">
        <f t="shared" si="22"/>
        <v>1565.9469629094986</v>
      </c>
      <c r="G34" s="204">
        <f t="shared" si="22"/>
        <v>1602.1704480555209</v>
      </c>
      <c r="H34" s="204">
        <f t="shared" si="22"/>
        <v>1656.2798661504842</v>
      </c>
      <c r="J34" s="215"/>
      <c r="K34" s="202">
        <f>SUM(K31:K33)</f>
        <v>0</v>
      </c>
      <c r="L34" s="202">
        <f t="shared" ref="L34:O34" si="23">SUM(L31:L33)</f>
        <v>0</v>
      </c>
      <c r="M34" s="202">
        <f t="shared" si="23"/>
        <v>0</v>
      </c>
      <c r="N34" s="202">
        <f t="shared" si="23"/>
        <v>0</v>
      </c>
      <c r="O34" s="202">
        <f t="shared" si="23"/>
        <v>0</v>
      </c>
    </row>
    <row r="35" spans="1:15" x14ac:dyDescent="0.25">
      <c r="B35" s="211" t="s">
        <v>117</v>
      </c>
      <c r="C35" s="212">
        <f>'Proposed price'!N17</f>
        <v>721.67790528524677</v>
      </c>
      <c r="D35" s="213">
        <f>D34*D$3</f>
        <v>721.67790528524677</v>
      </c>
      <c r="E35" s="213">
        <f t="shared" ref="E35:H35" si="24">E34*E$3</f>
        <v>721.67790528524677</v>
      </c>
      <c r="F35" s="213">
        <f t="shared" si="24"/>
        <v>729.6163622433844</v>
      </c>
      <c r="G35" s="213">
        <f t="shared" si="24"/>
        <v>746.49384793479828</v>
      </c>
      <c r="H35" s="213">
        <f t="shared" si="24"/>
        <v>771.70486575892824</v>
      </c>
      <c r="J35" s="212"/>
      <c r="K35" s="213">
        <f>K34*K$3</f>
        <v>0</v>
      </c>
      <c r="L35" s="213">
        <f t="shared" ref="L35:O35" si="25">L34*L$3</f>
        <v>0</v>
      </c>
      <c r="M35" s="213">
        <f t="shared" si="25"/>
        <v>0</v>
      </c>
      <c r="N35" s="213">
        <f t="shared" si="25"/>
        <v>0</v>
      </c>
      <c r="O35" s="213">
        <f t="shared" si="25"/>
        <v>0</v>
      </c>
    </row>
    <row r="36" spans="1:15" x14ac:dyDescent="0.25">
      <c r="B36" s="211" t="s">
        <v>118</v>
      </c>
      <c r="C36" s="212">
        <f>'Proposed price'!O17</f>
        <v>248.41027926447174</v>
      </c>
      <c r="D36" s="213">
        <f>D34*D$4</f>
        <v>248.41027926447174</v>
      </c>
      <c r="E36" s="213">
        <f t="shared" ref="E36:H36" si="26">E34*E$4</f>
        <v>248.41027926447174</v>
      </c>
      <c r="F36" s="213">
        <f t="shared" si="26"/>
        <v>251.14279233638089</v>
      </c>
      <c r="G36" s="213">
        <f t="shared" si="26"/>
        <v>256.95222740870599</v>
      </c>
      <c r="H36" s="213">
        <f t="shared" si="26"/>
        <v>265.63016521498861</v>
      </c>
      <c r="J36" s="212"/>
      <c r="K36" s="213">
        <f>K34*K$4</f>
        <v>0</v>
      </c>
      <c r="L36" s="213">
        <f t="shared" ref="L36:O36" si="27">L34*L$4</f>
        <v>0</v>
      </c>
      <c r="M36" s="213">
        <f t="shared" si="27"/>
        <v>0</v>
      </c>
      <c r="N36" s="213">
        <f t="shared" si="27"/>
        <v>0</v>
      </c>
      <c r="O36" s="213">
        <f t="shared" si="27"/>
        <v>0</v>
      </c>
    </row>
    <row r="37" spans="1:15" x14ac:dyDescent="0.25">
      <c r="B37" s="211" t="s">
        <v>119</v>
      </c>
      <c r="C37" s="212">
        <f>'Proposed price'!P17</f>
        <v>159.75479918018706</v>
      </c>
      <c r="D37" s="213">
        <f>SUM(D34:D36)*D$5</f>
        <v>159.75479918018706</v>
      </c>
      <c r="E37" s="213">
        <f t="shared" ref="E37:H37" si="28">SUM(E34:E36)*E$5</f>
        <v>159.75479918018706</v>
      </c>
      <c r="F37" s="213">
        <f t="shared" si="28"/>
        <v>161.51210197116913</v>
      </c>
      <c r="G37" s="213">
        <f t="shared" si="28"/>
        <v>165.24819991396618</v>
      </c>
      <c r="H37" s="213">
        <f t="shared" si="28"/>
        <v>170.82905677562954</v>
      </c>
      <c r="J37" s="212"/>
      <c r="K37" s="213">
        <f>SUM(K34:K36)*K$5</f>
        <v>0</v>
      </c>
      <c r="L37" s="213">
        <f t="shared" ref="L37:O37" si="29">SUM(L34:L36)*L$5</f>
        <v>0</v>
      </c>
      <c r="M37" s="213">
        <f t="shared" si="29"/>
        <v>0</v>
      </c>
      <c r="N37" s="213">
        <f t="shared" si="29"/>
        <v>0</v>
      </c>
      <c r="O37" s="213">
        <f t="shared" si="29"/>
        <v>0</v>
      </c>
    </row>
    <row r="38" spans="1:15" x14ac:dyDescent="0.25">
      <c r="A38" s="192"/>
      <c r="B38" s="216" t="s">
        <v>144</v>
      </c>
      <c r="C38" s="217">
        <f>'Proposed price'!Q17</f>
        <v>2678.7519480320802</v>
      </c>
      <c r="D38" s="218">
        <f>SUM(D34:D37)</f>
        <v>2678.7519480320802</v>
      </c>
      <c r="E38" s="218">
        <f t="shared" ref="E38:H38" si="30">SUM(E34:E37)</f>
        <v>2678.7519480320802</v>
      </c>
      <c r="F38" s="218">
        <f t="shared" si="30"/>
        <v>2708.2182194604329</v>
      </c>
      <c r="G38" s="218">
        <f t="shared" si="30"/>
        <v>2770.8647233129914</v>
      </c>
      <c r="H38" s="218">
        <f t="shared" si="30"/>
        <v>2864.4439539000305</v>
      </c>
      <c r="I38" s="192"/>
      <c r="J38" s="217"/>
      <c r="K38" s="218">
        <f>SUM(K34:K37)</f>
        <v>0</v>
      </c>
      <c r="L38" s="218">
        <f t="shared" ref="L38:O38" si="31">SUM(L34:L37)</f>
        <v>0</v>
      </c>
      <c r="M38" s="218">
        <f t="shared" si="31"/>
        <v>0</v>
      </c>
      <c r="N38" s="218">
        <f t="shared" si="31"/>
        <v>0</v>
      </c>
      <c r="O38" s="218">
        <f t="shared" si="31"/>
        <v>0</v>
      </c>
    </row>
    <row r="39" spans="1:15" x14ac:dyDescent="0.25">
      <c r="B39" s="219" t="s">
        <v>145</v>
      </c>
      <c r="C39" s="213"/>
      <c r="D39" s="220">
        <f>'Forecast Revenue - Costs'!D13</f>
        <v>5</v>
      </c>
      <c r="E39" s="220">
        <f>'Forecast Revenue - Costs'!E13</f>
        <v>5</v>
      </c>
      <c r="F39" s="220">
        <f>'Forecast Revenue - Costs'!F13</f>
        <v>5</v>
      </c>
      <c r="G39" s="220">
        <f>'Forecast Revenue - Costs'!G13</f>
        <v>5</v>
      </c>
      <c r="H39" s="220">
        <f>'Forecast Revenue - Costs'!H13</f>
        <v>5</v>
      </c>
      <c r="J39" s="213"/>
      <c r="K39" s="220"/>
      <c r="L39" s="220"/>
      <c r="M39" s="220"/>
      <c r="N39" s="220"/>
      <c r="O39" s="220"/>
    </row>
    <row r="40" spans="1:15" x14ac:dyDescent="0.25">
      <c r="A40" s="192"/>
      <c r="B40" s="207" t="s">
        <v>146</v>
      </c>
      <c r="C40" s="204"/>
      <c r="D40" s="205">
        <f>D38*D39</f>
        <v>13393.759740160402</v>
      </c>
      <c r="E40" s="205">
        <f t="shared" ref="E40:H40" si="32">E38*E39</f>
        <v>13393.759740160402</v>
      </c>
      <c r="F40" s="205">
        <f t="shared" si="32"/>
        <v>13541.091097302164</v>
      </c>
      <c r="G40" s="205">
        <f t="shared" si="32"/>
        <v>13854.323616564958</v>
      </c>
      <c r="H40" s="205">
        <f t="shared" si="32"/>
        <v>14322.219769500152</v>
      </c>
      <c r="I40" s="192"/>
      <c r="J40" s="204"/>
      <c r="K40" s="205"/>
      <c r="L40" s="205"/>
      <c r="M40" s="205"/>
      <c r="N40" s="205"/>
      <c r="O40" s="205"/>
    </row>
  </sheetData>
  <mergeCells count="6">
    <mergeCell ref="D6:H6"/>
    <mergeCell ref="J6:O6"/>
    <mergeCell ref="D18:H18"/>
    <mergeCell ref="K18:O18"/>
    <mergeCell ref="D30:H30"/>
    <mergeCell ref="K30:O30"/>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6"/>
  <sheetViews>
    <sheetView showGridLines="0" zoomScale="80" zoomScaleNormal="80" workbookViewId="0">
      <selection activeCell="Q19" sqref="Q19"/>
    </sheetView>
  </sheetViews>
  <sheetFormatPr defaultRowHeight="15" x14ac:dyDescent="0.25"/>
  <cols>
    <col min="1" max="1" width="3.28515625" customWidth="1"/>
    <col min="2" max="2" width="66.42578125" customWidth="1"/>
    <col min="3" max="3" width="79.140625" customWidth="1"/>
    <col min="4" max="4" width="11.85546875" customWidth="1"/>
    <col min="5" max="8" width="11.28515625" customWidth="1"/>
    <col min="9" max="9" width="12.7109375" customWidth="1"/>
  </cols>
  <sheetData>
    <row r="2" spans="2:9" x14ac:dyDescent="0.25">
      <c r="B2" s="26" t="s">
        <v>52</v>
      </c>
      <c r="C2" s="27"/>
      <c r="D2" s="27"/>
      <c r="E2" s="27"/>
      <c r="F2" s="27"/>
      <c r="G2" s="27"/>
      <c r="H2" s="27"/>
      <c r="I2" s="27"/>
    </row>
    <row r="3" spans="2:9" x14ac:dyDescent="0.25">
      <c r="B3" s="1"/>
      <c r="C3" s="1"/>
      <c r="D3" s="1"/>
      <c r="E3" s="1"/>
      <c r="F3" s="1"/>
      <c r="G3" s="1"/>
      <c r="H3" s="1"/>
      <c r="I3" s="1"/>
    </row>
    <row r="4" spans="2:9" x14ac:dyDescent="0.25">
      <c r="B4" s="3" t="s">
        <v>83</v>
      </c>
      <c r="C4" s="3" t="s">
        <v>3</v>
      </c>
      <c r="D4" s="56" t="s">
        <v>61</v>
      </c>
      <c r="E4" s="56" t="s">
        <v>62</v>
      </c>
      <c r="F4" s="56" t="s">
        <v>63</v>
      </c>
      <c r="G4" s="56" t="s">
        <v>84</v>
      </c>
      <c r="H4" s="56" t="s">
        <v>64</v>
      </c>
      <c r="I4" s="4" t="s">
        <v>1</v>
      </c>
    </row>
    <row r="5" spans="2:9" x14ac:dyDescent="0.25">
      <c r="B5" s="61" t="s">
        <v>87</v>
      </c>
      <c r="C5" s="62" t="s">
        <v>86</v>
      </c>
      <c r="D5" s="68">
        <f>'Forecasts by year'!D28</f>
        <v>8929.173160106935</v>
      </c>
      <c r="E5" s="68">
        <f>'Forecasts by year'!E28</f>
        <v>8929.173160106935</v>
      </c>
      <c r="F5" s="68">
        <f>'Forecasts by year'!F28</f>
        <v>9027.3940648681091</v>
      </c>
      <c r="G5" s="68">
        <f>'Forecasts by year'!G28</f>
        <v>9236.2157443766391</v>
      </c>
      <c r="H5" s="68">
        <f>'Forecasts by year'!H28</f>
        <v>9548.1465130001034</v>
      </c>
      <c r="I5" s="165">
        <f>SUM(D5:H5)</f>
        <v>45670.102642458718</v>
      </c>
    </row>
    <row r="6" spans="2:9" s="73" customFormat="1" x14ac:dyDescent="0.2">
      <c r="B6" s="71"/>
      <c r="C6" s="72" t="s">
        <v>85</v>
      </c>
      <c r="D6" s="74">
        <f>'Forecasts by year'!D40</f>
        <v>13393.759740160402</v>
      </c>
      <c r="E6" s="74">
        <f>'Forecasts by year'!E40</f>
        <v>13393.759740160402</v>
      </c>
      <c r="F6" s="74">
        <f>'Forecasts by year'!F40</f>
        <v>13541.091097302164</v>
      </c>
      <c r="G6" s="74">
        <f>'Forecasts by year'!G40</f>
        <v>13854.323616564958</v>
      </c>
      <c r="H6" s="74">
        <f>'Forecasts by year'!H40</f>
        <v>14322.219769500152</v>
      </c>
      <c r="I6" s="165">
        <f t="shared" ref="I6" si="0">SUM(D6:H6)</f>
        <v>68505.153963688077</v>
      </c>
    </row>
    <row r="7" spans="2:9" x14ac:dyDescent="0.25">
      <c r="B7" s="7" t="s">
        <v>1</v>
      </c>
      <c r="C7" s="8"/>
      <c r="D7" s="9">
        <f>SUM(D5:D6)</f>
        <v>22322.932900267337</v>
      </c>
      <c r="E7" s="9">
        <f>SUM(E5:E6)</f>
        <v>22322.932900267337</v>
      </c>
      <c r="F7" s="9">
        <f>SUM(F5:F6)</f>
        <v>22568.485162170273</v>
      </c>
      <c r="G7" s="9">
        <f>SUM(G5:G6)</f>
        <v>23090.539360941599</v>
      </c>
      <c r="H7" s="9">
        <f>SUM(H5:H6)</f>
        <v>23870.366282500254</v>
      </c>
      <c r="I7" s="9">
        <f>SUM(I5:I6)</f>
        <v>114175.2566061468</v>
      </c>
    </row>
    <row r="8" spans="2:9" x14ac:dyDescent="0.25">
      <c r="B8" s="1"/>
      <c r="C8" s="1"/>
      <c r="D8" s="1"/>
      <c r="E8" s="1"/>
      <c r="F8" s="1"/>
      <c r="G8" s="1"/>
      <c r="H8" s="1"/>
      <c r="I8" s="1"/>
    </row>
    <row r="9" spans="2:9" x14ac:dyDescent="0.25">
      <c r="B9" s="26" t="s">
        <v>27</v>
      </c>
      <c r="C9" s="27"/>
      <c r="D9" s="27"/>
      <c r="E9" s="27"/>
      <c r="F9" s="27"/>
      <c r="G9" s="27"/>
      <c r="H9" s="27"/>
      <c r="I9" s="27"/>
    </row>
    <row r="10" spans="2:9" x14ac:dyDescent="0.25">
      <c r="B10" s="1"/>
      <c r="C10" s="1"/>
      <c r="D10" s="1"/>
      <c r="E10" s="1"/>
      <c r="F10" s="1"/>
      <c r="G10" s="1"/>
      <c r="H10" s="1"/>
      <c r="I10" s="1"/>
    </row>
    <row r="11" spans="2:9" x14ac:dyDescent="0.25">
      <c r="B11" s="3" t="s">
        <v>83</v>
      </c>
      <c r="C11" s="3" t="s">
        <v>3</v>
      </c>
      <c r="D11" s="56" t="s">
        <v>61</v>
      </c>
      <c r="E11" s="56" t="s">
        <v>62</v>
      </c>
      <c r="F11" s="56" t="s">
        <v>63</v>
      </c>
      <c r="G11" s="56" t="s">
        <v>84</v>
      </c>
      <c r="H11" s="56" t="s">
        <v>64</v>
      </c>
      <c r="I11" s="4" t="s">
        <v>1</v>
      </c>
    </row>
    <row r="12" spans="2:9" s="73" customFormat="1" x14ac:dyDescent="0.2">
      <c r="B12" s="61" t="s">
        <v>87</v>
      </c>
      <c r="C12" s="72" t="s">
        <v>86</v>
      </c>
      <c r="D12" s="69">
        <v>50</v>
      </c>
      <c r="E12" s="69">
        <v>50</v>
      </c>
      <c r="F12" s="69">
        <v>50</v>
      </c>
      <c r="G12" s="69">
        <v>50</v>
      </c>
      <c r="H12" s="69">
        <v>50</v>
      </c>
      <c r="I12" s="185">
        <f>SUM(D12:H12)</f>
        <v>250</v>
      </c>
    </row>
    <row r="13" spans="2:9" x14ac:dyDescent="0.25">
      <c r="B13" s="63"/>
      <c r="C13" s="12" t="s">
        <v>85</v>
      </c>
      <c r="D13" s="11">
        <v>5</v>
      </c>
      <c r="E13" s="11">
        <v>5</v>
      </c>
      <c r="F13" s="11">
        <v>5</v>
      </c>
      <c r="G13" s="11">
        <v>5</v>
      </c>
      <c r="H13" s="11">
        <v>5</v>
      </c>
      <c r="I13" s="186">
        <f t="shared" ref="I13" si="1">SUM(D13:H13)</f>
        <v>25</v>
      </c>
    </row>
    <row r="14" spans="2:9" x14ac:dyDescent="0.25">
      <c r="B14" s="7" t="s">
        <v>17</v>
      </c>
      <c r="C14" s="8"/>
      <c r="D14" s="13">
        <f>SUM(D12:D13)</f>
        <v>55</v>
      </c>
      <c r="E14" s="13">
        <f>SUM(E12:E13)</f>
        <v>55</v>
      </c>
      <c r="F14" s="13">
        <f>SUM(F12:F13)</f>
        <v>55</v>
      </c>
      <c r="G14" s="13">
        <f>SUM(G12:G13)</f>
        <v>55</v>
      </c>
      <c r="H14" s="13">
        <f>SUM(H12:H13)</f>
        <v>55</v>
      </c>
      <c r="I14" s="222">
        <f>SUM(I12:I13)</f>
        <v>275</v>
      </c>
    </row>
    <row r="15" spans="2:9" x14ac:dyDescent="0.25">
      <c r="B15" s="1"/>
      <c r="C15" s="1"/>
      <c r="D15" s="14"/>
      <c r="E15" s="14"/>
      <c r="F15" s="14"/>
      <c r="G15" s="14"/>
      <c r="H15" s="14"/>
      <c r="I15" s="14"/>
    </row>
    <row r="16" spans="2:9" x14ac:dyDescent="0.25">
      <c r="B16" s="15" t="s">
        <v>6</v>
      </c>
      <c r="C16" s="1"/>
      <c r="D16" s="14"/>
      <c r="E16" s="14"/>
      <c r="F16" s="14"/>
      <c r="G16" s="14"/>
      <c r="H16" s="14"/>
      <c r="I16" s="14"/>
    </row>
    <row r="17" spans="2:9" x14ac:dyDescent="0.25">
      <c r="B17" s="261"/>
      <c r="C17" s="261"/>
      <c r="D17" s="261"/>
      <c r="E17" s="261"/>
      <c r="F17" s="261"/>
      <c r="G17" s="261"/>
      <c r="H17" s="261"/>
      <c r="I17" s="261"/>
    </row>
    <row r="18" spans="2:9" x14ac:dyDescent="0.25">
      <c r="B18" s="262"/>
      <c r="C18" s="262"/>
      <c r="D18" s="262"/>
      <c r="E18" s="262"/>
      <c r="F18" s="262"/>
      <c r="G18" s="262"/>
      <c r="H18" s="262"/>
      <c r="I18" s="262"/>
    </row>
    <row r="19" spans="2:9" x14ac:dyDescent="0.25">
      <c r="B19" s="1"/>
      <c r="C19" s="1"/>
      <c r="D19" s="14"/>
      <c r="E19" s="14"/>
      <c r="F19" s="14"/>
      <c r="G19" s="14"/>
      <c r="H19" s="14"/>
      <c r="I19" s="14"/>
    </row>
    <row r="20" spans="2:9" x14ac:dyDescent="0.25">
      <c r="B20" s="26" t="s">
        <v>28</v>
      </c>
      <c r="C20" s="27"/>
      <c r="D20" s="27"/>
      <c r="E20" s="27"/>
      <c r="F20" s="27"/>
      <c r="G20" s="27"/>
      <c r="H20" s="27"/>
      <c r="I20" s="27"/>
    </row>
    <row r="21" spans="2:9" x14ac:dyDescent="0.25">
      <c r="B21" s="1"/>
      <c r="C21" s="1"/>
      <c r="D21" s="1"/>
      <c r="E21" s="1"/>
      <c r="F21" s="1"/>
      <c r="G21" s="1"/>
      <c r="H21" s="1"/>
      <c r="I21" s="1"/>
    </row>
    <row r="22" spans="2:9" x14ac:dyDescent="0.25">
      <c r="B22" s="16" t="s">
        <v>26</v>
      </c>
      <c r="C22" s="17"/>
      <c r="D22" s="17"/>
      <c r="E22" s="17"/>
      <c r="F22" s="17"/>
      <c r="G22" s="17"/>
      <c r="H22" s="17"/>
      <c r="I22" s="17"/>
    </row>
    <row r="23" spans="2:9" x14ac:dyDescent="0.25">
      <c r="B23" s="245" t="s">
        <v>29</v>
      </c>
      <c r="C23" s="245"/>
      <c r="D23" s="245"/>
      <c r="E23" s="245"/>
      <c r="F23" s="245"/>
      <c r="G23" s="245"/>
      <c r="H23" s="245"/>
      <c r="I23" s="245"/>
    </row>
    <row r="24" spans="2:9" x14ac:dyDescent="0.25">
      <c r="B24" s="247"/>
      <c r="C24" s="247"/>
      <c r="D24" s="247"/>
      <c r="E24" s="247"/>
      <c r="F24" s="247"/>
      <c r="G24" s="247"/>
      <c r="H24" s="247"/>
      <c r="I24" s="247"/>
    </row>
    <row r="25" spans="2:9" x14ac:dyDescent="0.25">
      <c r="B25" s="18"/>
      <c r="C25" s="19"/>
      <c r="D25" s="19"/>
      <c r="E25" s="19"/>
      <c r="F25" s="19"/>
      <c r="G25" s="19"/>
      <c r="H25" s="19"/>
      <c r="I25" s="19"/>
    </row>
    <row r="26" spans="2:9" x14ac:dyDescent="0.25">
      <c r="B26" s="1"/>
      <c r="C26" s="1"/>
      <c r="D26" s="1"/>
      <c r="E26" s="1"/>
      <c r="F26" s="1"/>
      <c r="G26" s="1"/>
      <c r="H26" s="1"/>
      <c r="I26" s="1"/>
    </row>
    <row r="27" spans="2:9" x14ac:dyDescent="0.25">
      <c r="B27" s="28" t="s">
        <v>49</v>
      </c>
      <c r="C27" s="29"/>
      <c r="D27" s="263" t="s">
        <v>123</v>
      </c>
      <c r="E27" s="263"/>
      <c r="F27" s="263"/>
      <c r="G27" s="263"/>
      <c r="H27" s="263"/>
      <c r="I27" s="29"/>
    </row>
    <row r="28" spans="2:9" ht="15.75" customHeight="1" x14ac:dyDescent="0.25">
      <c r="B28" s="2" t="s">
        <v>20</v>
      </c>
      <c r="C28" s="20" t="s">
        <v>3</v>
      </c>
      <c r="D28" s="56" t="s">
        <v>61</v>
      </c>
      <c r="E28" s="56" t="s">
        <v>62</v>
      </c>
      <c r="F28" s="56" t="s">
        <v>63</v>
      </c>
      <c r="G28" s="56" t="s">
        <v>84</v>
      </c>
      <c r="H28" s="187" t="s">
        <v>64</v>
      </c>
      <c r="I28" s="21" t="s">
        <v>1</v>
      </c>
    </row>
    <row r="29" spans="2:9" s="192" customFormat="1" x14ac:dyDescent="0.25">
      <c r="B29" s="188" t="s">
        <v>124</v>
      </c>
      <c r="C29" s="189"/>
      <c r="D29" s="190">
        <f>'Forecasts by year'!D8</f>
        <v>12907.574702518123</v>
      </c>
      <c r="E29" s="190">
        <f>'Forecasts by year'!E8</f>
        <v>12907.574702518123</v>
      </c>
      <c r="F29" s="190">
        <f>'Forecasts by year'!F8</f>
        <v>13049.558024245822</v>
      </c>
      <c r="G29" s="190">
        <f>'Forecasts by year'!G8</f>
        <v>13351.420400462674</v>
      </c>
      <c r="H29" s="190">
        <f>'Forecasts by year'!H8</f>
        <v>13802.332217920703</v>
      </c>
      <c r="I29" s="191">
        <f t="shared" ref="I29:I31" si="2">SUM(D29:H29)</f>
        <v>66018.460047665445</v>
      </c>
    </row>
    <row r="30" spans="2:9" s="192" customFormat="1" x14ac:dyDescent="0.25">
      <c r="B30" s="188" t="s">
        <v>125</v>
      </c>
      <c r="C30" s="193"/>
      <c r="D30" s="190">
        <f>'Forecasts by year'!D9</f>
        <v>0</v>
      </c>
      <c r="E30" s="190">
        <f>'Forecasts by year'!E9</f>
        <v>0</v>
      </c>
      <c r="F30" s="190">
        <f>'Forecasts by year'!F9</f>
        <v>0</v>
      </c>
      <c r="G30" s="190">
        <f>'Forecasts by year'!G9</f>
        <v>0</v>
      </c>
      <c r="H30" s="190">
        <f>'Forecasts by year'!H9</f>
        <v>0</v>
      </c>
      <c r="I30" s="191">
        <f t="shared" si="2"/>
        <v>0</v>
      </c>
    </row>
    <row r="31" spans="2:9" s="192" customFormat="1" x14ac:dyDescent="0.25">
      <c r="B31" s="188" t="s">
        <v>113</v>
      </c>
      <c r="C31" s="193"/>
      <c r="D31" s="190">
        <f>'Forecasts by year'!D10</f>
        <v>0</v>
      </c>
      <c r="E31" s="190">
        <f>'Forecasts by year'!E10</f>
        <v>0</v>
      </c>
      <c r="F31" s="190">
        <f>'Forecasts by year'!F10</f>
        <v>0</v>
      </c>
      <c r="G31" s="190">
        <f>'Forecasts by year'!G10</f>
        <v>0</v>
      </c>
      <c r="H31" s="190">
        <f>'Forecasts by year'!H10</f>
        <v>0</v>
      </c>
      <c r="I31" s="191">
        <f t="shared" si="2"/>
        <v>0</v>
      </c>
    </row>
    <row r="32" spans="2:9" s="192" customFormat="1" x14ac:dyDescent="0.25">
      <c r="B32" s="194" t="s">
        <v>126</v>
      </c>
      <c r="C32" s="193"/>
      <c r="D32" s="195">
        <f>'Forecasts by year'!D11</f>
        <v>12907.574702518123</v>
      </c>
      <c r="E32" s="195">
        <f>'Forecasts by year'!E11</f>
        <v>12907.574702518123</v>
      </c>
      <c r="F32" s="195">
        <f>'Forecasts by year'!F11</f>
        <v>13049.558024245822</v>
      </c>
      <c r="G32" s="195">
        <f>'Forecasts by year'!G11</f>
        <v>13351.420400462674</v>
      </c>
      <c r="H32" s="195">
        <f>'Forecasts by year'!H11</f>
        <v>13802.332217920703</v>
      </c>
      <c r="I32" s="191">
        <f>SUM(D32:H32)</f>
        <v>66018.460047665445</v>
      </c>
    </row>
    <row r="33" spans="2:9" x14ac:dyDescent="0.25">
      <c r="B33" s="6" t="s">
        <v>117</v>
      </c>
      <c r="C33" s="10"/>
      <c r="D33" s="190">
        <f>'Forecasts by year'!D12</f>
        <v>6013.9825440437235</v>
      </c>
      <c r="E33" s="190">
        <f>'Forecasts by year'!E12</f>
        <v>6013.9825440437235</v>
      </c>
      <c r="F33" s="190">
        <f>'Forecasts by year'!F12</f>
        <v>6080.136352028203</v>
      </c>
      <c r="G33" s="190">
        <f>'Forecasts by year'!G12</f>
        <v>6220.78206612332</v>
      </c>
      <c r="H33" s="190">
        <f>'Forecasts by year'!H12</f>
        <v>6430.8738813244026</v>
      </c>
      <c r="I33" s="191">
        <f>SUM(D33:H33)</f>
        <v>30759.757387563372</v>
      </c>
    </row>
    <row r="34" spans="2:9" x14ac:dyDescent="0.25">
      <c r="B34" s="6" t="s">
        <v>118</v>
      </c>
      <c r="C34" s="5"/>
      <c r="D34" s="190">
        <f>'Forecasts by year'!D13</f>
        <v>2070.0856605372646</v>
      </c>
      <c r="E34" s="190">
        <f>'Forecasts by year'!E13</f>
        <v>2070.0856605372646</v>
      </c>
      <c r="F34" s="190">
        <f>'Forecasts by year'!F13</f>
        <v>2092.8566028031742</v>
      </c>
      <c r="G34" s="190">
        <f>'Forecasts by year'!G13</f>
        <v>2141.2685617392167</v>
      </c>
      <c r="H34" s="190">
        <f>'Forecasts by year'!H13</f>
        <v>2213.5847101249055</v>
      </c>
      <c r="I34" s="191">
        <f>SUM(D34:H34)</f>
        <v>10587.881195741826</v>
      </c>
    </row>
    <row r="35" spans="2:9" x14ac:dyDescent="0.25">
      <c r="B35" s="6" t="s">
        <v>127</v>
      </c>
      <c r="C35" s="5"/>
      <c r="D35" s="190">
        <f>'Forecasts by year'!D14</f>
        <v>1331.2899931682257</v>
      </c>
      <c r="E35" s="190">
        <f>'Forecasts by year'!E14</f>
        <v>1331.2899931682257</v>
      </c>
      <c r="F35" s="190">
        <f>'Forecasts by year'!F14</f>
        <v>1345.9341830930762</v>
      </c>
      <c r="G35" s="190">
        <f>'Forecasts by year'!G14</f>
        <v>1377.0683326163849</v>
      </c>
      <c r="H35" s="190">
        <f>'Forecasts by year'!H14</f>
        <v>1423.5754731302461</v>
      </c>
      <c r="I35" s="191">
        <f>SUM(D35:H35)</f>
        <v>6809.1579751761583</v>
      </c>
    </row>
    <row r="36" spans="2:9" x14ac:dyDescent="0.25">
      <c r="B36" s="22" t="s">
        <v>1</v>
      </c>
      <c r="C36" s="23"/>
      <c r="D36" s="24">
        <f>SUM(D32:D35)</f>
        <v>22322.932900267337</v>
      </c>
      <c r="E36" s="24">
        <f t="shared" ref="E36:H36" si="3">SUM(E32:E35)</f>
        <v>22322.932900267337</v>
      </c>
      <c r="F36" s="24">
        <f t="shared" si="3"/>
        <v>22568.485162170276</v>
      </c>
      <c r="G36" s="24">
        <f t="shared" si="3"/>
        <v>23090.539360941595</v>
      </c>
      <c r="H36" s="24">
        <f t="shared" si="3"/>
        <v>23870.366282500258</v>
      </c>
      <c r="I36" s="25">
        <f>SUM(I32:I35)</f>
        <v>114175.2566061468</v>
      </c>
    </row>
  </sheetData>
  <mergeCells count="3">
    <mergeCell ref="B17:I18"/>
    <mergeCell ref="B23:I24"/>
    <mergeCell ref="D27:H2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2018-04-17T05:42:47Z</dcterms:modified>
</cp:coreProperties>
</file>