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5_Reconnect - Disconnect\"/>
    </mc:Choice>
  </mc:AlternateContent>
  <xr:revisionPtr revIDLastSave="0" documentId="13_ncr:1_{B60C8FD7-C1F2-422C-8E82-5DFAE6A1C5B3}"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7" i="13" l="1"/>
  <c r="I8" i="13"/>
  <c r="I9" i="13"/>
  <c r="I15" i="13"/>
  <c r="I16" i="13"/>
  <c r="I5" i="15"/>
  <c r="I6" i="15"/>
  <c r="I7" i="15"/>
  <c r="I8" i="15"/>
  <c r="E9" i="15"/>
  <c r="F9" i="15"/>
  <c r="G9" i="15"/>
  <c r="H9" i="15"/>
  <c r="B20" i="9"/>
  <c r="H5" i="17" l="1"/>
  <c r="G5" i="17"/>
  <c r="F5" i="17"/>
  <c r="E5" i="17"/>
  <c r="D5" i="17"/>
  <c r="H2" i="17"/>
  <c r="G2" i="17"/>
  <c r="F2" i="17"/>
  <c r="E2" i="17"/>
  <c r="D2" i="17"/>
  <c r="H1" i="17"/>
  <c r="G1" i="17"/>
  <c r="F1" i="17"/>
  <c r="E1" i="17"/>
  <c r="D1" i="17"/>
  <c r="E15" i="11"/>
  <c r="E7" i="11"/>
  <c r="H6" i="13" l="1"/>
  <c r="I6" i="13" s="1"/>
  <c r="D25" i="17" l="1"/>
  <c r="C29" i="17"/>
  <c r="D16" i="11" l="1"/>
  <c r="E16" i="11"/>
  <c r="C30" i="17" s="1"/>
  <c r="E12" i="16"/>
  <c r="E36" i="17"/>
  <c r="D36" i="17"/>
  <c r="C12" i="16"/>
  <c r="F12" i="16" l="1"/>
  <c r="F15" i="11"/>
  <c r="F36" i="17"/>
  <c r="G12" i="16"/>
  <c r="I14" i="13"/>
  <c r="G17" i="13"/>
  <c r="H17" i="13"/>
  <c r="F16" i="11" l="1"/>
  <c r="C31" i="17" s="1"/>
  <c r="G36" i="17"/>
  <c r="H12" i="16"/>
  <c r="G10" i="13"/>
  <c r="H10" i="13"/>
  <c r="H36" i="17" l="1"/>
  <c r="I12" i="16"/>
  <c r="O5" i="17"/>
  <c r="N5" i="17"/>
  <c r="M5" i="17"/>
  <c r="L5" i="17"/>
  <c r="K5" i="17"/>
  <c r="M2" i="17"/>
  <c r="O2" i="17"/>
  <c r="N2" i="17"/>
  <c r="L2" i="17"/>
  <c r="K2" i="17"/>
  <c r="O1" i="17"/>
  <c r="N1" i="17"/>
  <c r="M1" i="17"/>
  <c r="L1" i="17"/>
  <c r="E8" i="11"/>
  <c r="C19" i="17" s="1"/>
  <c r="K1" i="17" l="1"/>
  <c r="D29" i="17"/>
  <c r="D8" i="11"/>
  <c r="C18" i="17" s="1"/>
  <c r="D18" i="17" s="1"/>
  <c r="I28" i="16"/>
  <c r="I29" i="16"/>
  <c r="F7" i="11"/>
  <c r="E11" i="16"/>
  <c r="F11" i="16" l="1"/>
  <c r="E25" i="17"/>
  <c r="F8" i="11"/>
  <c r="C20" i="17" s="1"/>
  <c r="D8" i="17"/>
  <c r="E29" i="17"/>
  <c r="F29" i="17" s="1"/>
  <c r="G29" i="17" s="1"/>
  <c r="H29" i="17" s="1"/>
  <c r="D30" i="17"/>
  <c r="D31" i="17" s="1"/>
  <c r="K18" i="17"/>
  <c r="K29" i="17"/>
  <c r="E18" i="17"/>
  <c r="D19" i="17"/>
  <c r="D9" i="17" s="1"/>
  <c r="I14" i="15"/>
  <c r="I15" i="15"/>
  <c r="I13" i="15"/>
  <c r="G16" i="15"/>
  <c r="H16" i="15"/>
  <c r="I4" i="15"/>
  <c r="E8" i="17" l="1"/>
  <c r="G11" i="16"/>
  <c r="F25" i="17"/>
  <c r="K30" i="17"/>
  <c r="K31" i="17" s="1"/>
  <c r="L29" i="17"/>
  <c r="K19" i="17"/>
  <c r="K20" i="17" s="1"/>
  <c r="L18" i="17"/>
  <c r="F18" i="17"/>
  <c r="E19" i="17"/>
  <c r="E20" i="17" s="1"/>
  <c r="D20" i="17"/>
  <c r="D10" i="17" s="1"/>
  <c r="G13" i="16"/>
  <c r="F8" i="17" l="1"/>
  <c r="H11" i="16"/>
  <c r="G25" i="17"/>
  <c r="F19" i="17"/>
  <c r="F20" i="17" s="1"/>
  <c r="G18" i="17"/>
  <c r="L19" i="17"/>
  <c r="L20" i="17" s="1"/>
  <c r="M18" i="17"/>
  <c r="M29" i="17"/>
  <c r="L30" i="17"/>
  <c r="L31" i="17" s="1"/>
  <c r="D27" i="16"/>
  <c r="D30" i="16" s="1"/>
  <c r="C42" i="8" s="1"/>
  <c r="F62" i="8"/>
  <c r="G8" i="17" l="1"/>
  <c r="H18" i="17"/>
  <c r="H25" i="17"/>
  <c r="I11" i="16"/>
  <c r="N18" i="17"/>
  <c r="M19" i="17"/>
  <c r="M20" i="17" s="1"/>
  <c r="N29" i="17"/>
  <c r="M30" i="17"/>
  <c r="M31" i="17" s="1"/>
  <c r="G19" i="17"/>
  <c r="H19" i="17"/>
  <c r="H13" i="16"/>
  <c r="H8" i="17" l="1"/>
  <c r="N30" i="17"/>
  <c r="N31" i="17" s="1"/>
  <c r="O29" i="17"/>
  <c r="O30" i="17" s="1"/>
  <c r="O31" i="17" s="1"/>
  <c r="O18" i="17"/>
  <c r="N19" i="17"/>
  <c r="N20" i="17" s="1"/>
  <c r="G20" i="17"/>
  <c r="E30" i="17"/>
  <c r="E9" i="17" s="1"/>
  <c r="H20" i="17"/>
  <c r="G62" i="8"/>
  <c r="E31" i="17" l="1"/>
  <c r="E10" i="17" s="1"/>
  <c r="E27" i="16" s="1"/>
  <c r="E30" i="16" s="1"/>
  <c r="D42" i="8" s="1"/>
  <c r="O19" i="17"/>
  <c r="O20" i="17" s="1"/>
  <c r="F30" i="17"/>
  <c r="F16" i="15"/>
  <c r="E16" i="15"/>
  <c r="D16" i="15"/>
  <c r="F31" i="17" l="1"/>
  <c r="F10" i="17" s="1"/>
  <c r="F27" i="16" s="1"/>
  <c r="F30" i="16" s="1"/>
  <c r="E42" i="8" s="1"/>
  <c r="F9" i="17"/>
  <c r="G30" i="17"/>
  <c r="I16" i="15"/>
  <c r="D9" i="15"/>
  <c r="I9" i="15" s="1"/>
  <c r="F13" i="16"/>
  <c r="E13" i="16"/>
  <c r="D13" i="16"/>
  <c r="C11" i="16"/>
  <c r="F17" i="13"/>
  <c r="E17" i="13"/>
  <c r="D17" i="13"/>
  <c r="F10" i="13"/>
  <c r="E10" i="13"/>
  <c r="D10" i="13"/>
  <c r="G31" i="17" l="1"/>
  <c r="G10" i="17" s="1"/>
  <c r="G27" i="16" s="1"/>
  <c r="G9" i="17"/>
  <c r="H30" i="17"/>
  <c r="I13" i="16"/>
  <c r="E62" i="8"/>
  <c r="D62" i="8"/>
  <c r="C62" i="8"/>
  <c r="I10" i="13"/>
  <c r="I17" i="13"/>
  <c r="H31" i="17" l="1"/>
  <c r="H10" i="17" s="1"/>
  <c r="H9" i="17"/>
  <c r="G30" i="16"/>
  <c r="F42" i="8" l="1"/>
  <c r="H27" i="16"/>
  <c r="D3" i="9"/>
  <c r="H30" i="16" l="1"/>
  <c r="I27" i="16"/>
  <c r="G42" i="8" l="1"/>
  <c r="I30" i="16"/>
  <c r="H62" i="8"/>
  <c r="H42" i="8" l="1"/>
  <c r="E4" i="17" l="1"/>
  <c r="H4" i="17"/>
  <c r="D4" i="17"/>
  <c r="G4" i="17"/>
  <c r="F4" i="17"/>
  <c r="H15" i="11"/>
  <c r="H16" i="11" s="1"/>
  <c r="C33" i="17" s="1"/>
  <c r="H7" i="11"/>
  <c r="H8" i="11" s="1"/>
  <c r="C22" i="17" s="1"/>
  <c r="N4" i="17" l="1"/>
  <c r="G22" i="17"/>
  <c r="G33" i="17"/>
  <c r="K4" i="17"/>
  <c r="D33" i="17"/>
  <c r="D22" i="17"/>
  <c r="O4" i="17"/>
  <c r="H22" i="17"/>
  <c r="H33" i="17"/>
  <c r="M4" i="17"/>
  <c r="F22" i="17"/>
  <c r="F33" i="17"/>
  <c r="L4" i="17"/>
  <c r="E22" i="17"/>
  <c r="E33" i="17"/>
  <c r="F12" i="17" l="1"/>
  <c r="F32" i="16" s="1"/>
  <c r="D12" i="17"/>
  <c r="D32" i="16" s="1"/>
  <c r="E12" i="17"/>
  <c r="E32" i="16" s="1"/>
  <c r="O33" i="17"/>
  <c r="O22" i="17"/>
  <c r="G12" i="17"/>
  <c r="G32" i="16" s="1"/>
  <c r="K22" i="17"/>
  <c r="K33" i="17"/>
  <c r="M22" i="17"/>
  <c r="M33" i="17"/>
  <c r="L33" i="17"/>
  <c r="L22" i="17"/>
  <c r="H12" i="17"/>
  <c r="H32" i="16" s="1"/>
  <c r="N22" i="17"/>
  <c r="N33" i="17"/>
  <c r="I32" i="16" l="1"/>
  <c r="F3" i="17" l="1"/>
  <c r="E3" i="17"/>
  <c r="H3" i="17"/>
  <c r="D3" i="17"/>
  <c r="G3" i="17"/>
  <c r="G15" i="11"/>
  <c r="G7" i="11"/>
  <c r="D21" i="17" l="1"/>
  <c r="K3" i="17"/>
  <c r="D32" i="17"/>
  <c r="I7" i="11"/>
  <c r="I8" i="11" s="1"/>
  <c r="C23" i="17" s="1"/>
  <c r="D23" i="17" s="1"/>
  <c r="G8" i="11"/>
  <c r="C21" i="17" s="1"/>
  <c r="O3" i="17"/>
  <c r="H21" i="17"/>
  <c r="H32" i="17"/>
  <c r="I15" i="11"/>
  <c r="I16" i="11" s="1"/>
  <c r="C34" i="17" s="1"/>
  <c r="G16" i="11"/>
  <c r="C32" i="17" s="1"/>
  <c r="E32" i="17"/>
  <c r="E21" i="17"/>
  <c r="L3" i="17"/>
  <c r="G32" i="17"/>
  <c r="G21" i="17"/>
  <c r="N3" i="17"/>
  <c r="M3" i="17"/>
  <c r="F32" i="17"/>
  <c r="F21" i="17"/>
  <c r="J15" i="11" l="1"/>
  <c r="J16" i="11" s="1"/>
  <c r="D8" i="8" s="1"/>
  <c r="M21" i="17"/>
  <c r="M32" i="17"/>
  <c r="L32" i="17"/>
  <c r="L21" i="17"/>
  <c r="O32" i="17"/>
  <c r="O21" i="17"/>
  <c r="C35" i="17"/>
  <c r="H11" i="17"/>
  <c r="E23" i="17"/>
  <c r="E24" i="17" s="1"/>
  <c r="E26" i="17" s="1"/>
  <c r="N21" i="17"/>
  <c r="N32" i="17"/>
  <c r="E11" i="17"/>
  <c r="D34" i="17"/>
  <c r="E34" i="17" s="1"/>
  <c r="F34" i="17" s="1"/>
  <c r="G34" i="17" s="1"/>
  <c r="H34" i="17" s="1"/>
  <c r="H35" i="17" s="1"/>
  <c r="H37" i="17" s="1"/>
  <c r="H6" i="16" s="1"/>
  <c r="J7" i="11"/>
  <c r="J8" i="11" s="1"/>
  <c r="K32" i="17"/>
  <c r="K21" i="17"/>
  <c r="F11" i="17"/>
  <c r="G11" i="17"/>
  <c r="D11" i="17"/>
  <c r="D24" i="17"/>
  <c r="D26" i="17" s="1"/>
  <c r="F35" i="17" l="1"/>
  <c r="F37" i="17" s="1"/>
  <c r="F6" i="16" s="1"/>
  <c r="E35" i="17"/>
  <c r="E37" i="17" s="1"/>
  <c r="E6" i="16" s="1"/>
  <c r="D35" i="17"/>
  <c r="D37" i="17" s="1"/>
  <c r="D6" i="16" s="1"/>
  <c r="K23" i="17"/>
  <c r="L23" i="17" s="1"/>
  <c r="M23" i="17" s="1"/>
  <c r="N23" i="17" s="1"/>
  <c r="O23" i="17" s="1"/>
  <c r="O24" i="17" s="1"/>
  <c r="F31" i="16"/>
  <c r="G35" i="17"/>
  <c r="G37" i="17" s="1"/>
  <c r="G6" i="16" s="1"/>
  <c r="E5" i="16"/>
  <c r="D5" i="16"/>
  <c r="G31" i="16"/>
  <c r="K34" i="17"/>
  <c r="L34" i="17" s="1"/>
  <c r="M34" i="17" s="1"/>
  <c r="N34" i="17" s="1"/>
  <c r="O34" i="17" s="1"/>
  <c r="O35" i="17" s="1"/>
  <c r="E31" i="16"/>
  <c r="D13" i="17"/>
  <c r="D33" i="16" s="1"/>
  <c r="H31" i="16"/>
  <c r="D31" i="16"/>
  <c r="C24" i="17"/>
  <c r="D7" i="8"/>
  <c r="F23" i="17"/>
  <c r="E13" i="17"/>
  <c r="E33" i="16" s="1"/>
  <c r="I6" i="16" l="1"/>
  <c r="L24" i="17"/>
  <c r="E7" i="16"/>
  <c r="K24" i="17"/>
  <c r="M24" i="17"/>
  <c r="N24" i="17"/>
  <c r="F13" i="17"/>
  <c r="G23" i="17"/>
  <c r="F24" i="17"/>
  <c r="F26" i="17" s="1"/>
  <c r="D14" i="17"/>
  <c r="D15" i="17" s="1"/>
  <c r="M35" i="17"/>
  <c r="K35" i="17"/>
  <c r="E14" i="17"/>
  <c r="E15" i="17" s="1"/>
  <c r="L35" i="17"/>
  <c r="N35" i="17"/>
  <c r="I31" i="16"/>
  <c r="D34" i="16"/>
  <c r="C44" i="8"/>
  <c r="D7" i="16"/>
  <c r="E34" i="16"/>
  <c r="D44" i="8"/>
  <c r="D46" i="8" s="1"/>
  <c r="C46" i="8" l="1"/>
  <c r="F5" i="16"/>
  <c r="G13" i="17"/>
  <c r="H23" i="17"/>
  <c r="G24" i="17"/>
  <c r="G26" i="17" s="1"/>
  <c r="F33" i="16"/>
  <c r="F14" i="17"/>
  <c r="F15" i="17" s="1"/>
  <c r="G5" i="16" l="1"/>
  <c r="G7" i="16" s="1"/>
  <c r="F7" i="16"/>
  <c r="E44" i="8"/>
  <c r="F34" i="16"/>
  <c r="H13" i="17"/>
  <c r="H24" i="17"/>
  <c r="H26" i="17" s="1"/>
  <c r="G33" i="16"/>
  <c r="G14" i="17"/>
  <c r="G15" i="17" s="1"/>
  <c r="H33" i="16" l="1"/>
  <c r="H14" i="17"/>
  <c r="H15" i="17" s="1"/>
  <c r="F44" i="8"/>
  <c r="F46" i="8" s="1"/>
  <c r="G34" i="16"/>
  <c r="H5" i="16"/>
  <c r="E46" i="8"/>
  <c r="H7" i="16" l="1"/>
  <c r="I5" i="16"/>
  <c r="I7" i="16" s="1"/>
  <c r="G44" i="8"/>
  <c r="G46" i="8" s="1"/>
  <c r="H34" i="16"/>
  <c r="I33" i="16"/>
  <c r="I34" i="16" s="1"/>
  <c r="H44" i="8" l="1"/>
  <c r="H46" i="8" s="1"/>
</calcChain>
</file>

<file path=xl/sharedStrings.xml><?xml version="1.0" encoding="utf-8"?>
<sst xmlns="http://schemas.openxmlformats.org/spreadsheetml/2006/main" count="251" uniqueCount="150">
  <si>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</si>
  <si>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</si>
  <si>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</si>
  <si>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</si>
  <si>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</si>
  <si>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</si>
  <si>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</si>
  <si>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</si>
  <si>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</si>
  <si>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</si>
  <si>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</si>
  <si>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</si>
  <si>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</si>
  <si>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</si>
  <si>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</si>
  <si>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</si>
  <si>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</si>
  <si>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</si>
  <si>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</si>
  <si>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</si>
  <si>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</si>
  <si>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</si>
  <si>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</si>
  <si>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</si>
  <si>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</si>
  <si>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</si>
  <si>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</si>
  <si>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</si>
  <si>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</si>
  <si>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</si>
  <si>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</si>
  <si>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</si>
  <si>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</si>
  <si>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</si>
  <si>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</si>
  <si>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</si>
  <si>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</si>
  <si>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</si>
  <si>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</si>
  <si>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</si>
  <si>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</si>
  <si>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</si>
  <si>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</si>
  <si>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</si>
  <si>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</si>
  <si>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</si>
  <si>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</si>
  <si>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</si>
  <si>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</si>
  <si>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</si>
  <si>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</si>
  <si>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</si>
  <si>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</si>
  <si>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</si>
  <si>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</si>
  <si>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</si>
  <si>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</si>
  <si>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</si>
  <si>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</si>
  <si>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</si>
  <si>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 xml:space="preserve">Existing Service Description (2014 - 19) </t>
  </si>
  <si>
    <t xml:space="preserve">Reconnections/Disconnections
 - Disconnection visit (site visit only)
 - Disconnection visit (disconnection completed - technical)
 - Disconnection visit (disconnection completed)
 - Pillar box/pole top disconnection - completed
 - Reconnection/disconnection outside of business hours
 - Vacant property - site visit only
 - Vacant property disconnection (disconnection completed)
 - Shared service fuse replacement
 - Rectification of illegal connections 
 - Temporary connections
 - Remove or reposition connection
 - Single phase to three phase
</t>
  </si>
  <si>
    <t>FY2019 Fully Loaded Cost</t>
  </si>
  <si>
    <t>Disconnection / Reconnections - Vacant Premise</t>
  </si>
  <si>
    <t>Bottom Up Estimation</t>
  </si>
  <si>
    <t>Projected Volumes for FY2019-24 Regulatory Period</t>
  </si>
  <si>
    <t>Operating Costs (on IO's, work orders, cost objects, cost centres)</t>
  </si>
  <si>
    <t>Project Code</t>
  </si>
  <si>
    <t>FY22/23</t>
  </si>
  <si>
    <t>Meter Officer</t>
  </si>
  <si>
    <t xml:space="preserve">Operating Costs - </t>
  </si>
  <si>
    <t>ACSCW 30030 - Disconnect / Reconnect Vacant Premise</t>
  </si>
  <si>
    <t xml:space="preserve"> - </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</si>
  <si>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</si>
  <si>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</si>
  <si>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</si>
  <si>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</si>
  <si>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</si>
  <si>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</si>
  <si>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</si>
  <si>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</si>
  <si>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</si>
  <si>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</si>
  <si>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</si>
  <si>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</si>
  <si>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ANS P&amp;L Report</t>
  </si>
  <si>
    <t>Service Order Report</t>
  </si>
  <si>
    <t>ACSCW 30020 - Disconnect / Reconnect Vacant Premise</t>
  </si>
  <si>
    <t>Operating Costs based on FY16/17 values as form part of contract rates. Reduction each year by 4% based on meter replacement values.</t>
  </si>
  <si>
    <t>Proposed Fee ($2018/19 - Excl GST)</t>
  </si>
  <si>
    <t>Total Direct Costs $2018/19</t>
  </si>
  <si>
    <t>Total Indirect Costs $2018/19</t>
  </si>
  <si>
    <t>TOTAL COSTS $2018/19</t>
  </si>
  <si>
    <t>Real $2018-19</t>
  </si>
  <si>
    <t>Per service</t>
  </si>
  <si>
    <t>Overtime loading?
0 = No
1 = Yes</t>
  </si>
  <si>
    <t>Contractor Rate</t>
  </si>
  <si>
    <t>Contractor rate increase</t>
  </si>
  <si>
    <t>Direct cost per service</t>
  </si>
  <si>
    <t>Overheads</t>
  </si>
  <si>
    <t>Non-system charge</t>
  </si>
  <si>
    <t>Profit margin (WACC FY20) per service</t>
  </si>
  <si>
    <t>Labour</t>
  </si>
  <si>
    <t>Fleet</t>
  </si>
  <si>
    <t>Materials</t>
  </si>
  <si>
    <t>Total costs before OHDs, non-system and margin</t>
  </si>
  <si>
    <t>Profit margin</t>
  </si>
  <si>
    <t>Labour escalation</t>
  </si>
  <si>
    <t>Overhead rate</t>
  </si>
  <si>
    <t>Average non-system charge</t>
  </si>
  <si>
    <t>WACC rate</t>
  </si>
  <si>
    <t>ORDINARY LABOUR TIME</t>
  </si>
  <si>
    <t>OVERTIME</t>
  </si>
  <si>
    <t>2019-20</t>
  </si>
  <si>
    <t>2020-21</t>
  </si>
  <si>
    <t>2021-22</t>
  </si>
  <si>
    <t>2022-23</t>
  </si>
  <si>
    <t>2023-24</t>
  </si>
  <si>
    <t>Contractor rate</t>
  </si>
  <si>
    <t>Contractor increase</t>
  </si>
  <si>
    <t>Total before OHDs, non-system &amp; margin</t>
  </si>
  <si>
    <t>Fully Loaded Costs</t>
  </si>
  <si>
    <t>Forecast revenue (check)</t>
  </si>
  <si>
    <t>Real 2018-19 including escalation</t>
  </si>
  <si>
    <t>Fully Loaded Cost per service</t>
  </si>
  <si>
    <t>Forecast volumes</t>
  </si>
  <si>
    <t>Forecast revenue</t>
  </si>
  <si>
    <t>Disconnect Vacant Premise (fixed fee)</t>
  </si>
  <si>
    <t>Reconnect Vacant Premise (fixed fee)</t>
  </si>
  <si>
    <t>Disconnect - Vacant Premise</t>
  </si>
  <si>
    <t>Reconnect - Vacant Premise</t>
  </si>
  <si>
    <t>Disconnection - Vacant Premise</t>
  </si>
  <si>
    <t>Reconnections - Disconnection Completed</t>
  </si>
  <si>
    <r>
      <rPr>
        <b/>
        <sz val="10"/>
        <color theme="1"/>
        <rFont val="Arial"/>
        <family val="2"/>
      </rPr>
      <t xml:space="preserve">
Disconnection / Reconnections - Vacant Premise</t>
    </r>
    <r>
      <rPr>
        <sz val="10"/>
        <color theme="1"/>
        <rFont val="Arial"/>
        <family val="2"/>
      </rPr>
      <t xml:space="preserve">
At the request of the retailer, a site visit to a customer’s premises to disconnect or reconnect the supply of electricity due to:
&gt; a vacant premises; or
&gt; a site where the power is on.
If, following a request from a retailer, the reconnection component of this service is provided outside the hours of 7.30am and 5.00pm on a working day, the additional ‘Reconnection - outside normal business hours’ charge, will apply.
The disconnection/reconnection method will be at Essential Energy’s discretion and will involve one of the following methods:
&gt; rotate plug in meter; or
&gt; removal of the service fuses; or
&gt; removal of barge board fuses; or
&gt; turn off and sticker covering main switch; or
&gt; turn off and tag and leave card.</t>
    </r>
  </si>
  <si>
    <t xml:space="preserve">
At the request of the retailer, a site visit to a customer’s premises to disconnect or reconnect the supply of electricity due to:
&gt; a vacant premises; or
&gt; a site where the power is on.
If, following a request from a retailer, the reconnection component of this service is provided outside the hours of 7.30am and 4.00pm on a working day, the additional ‘Reconnection - outside normal business hours’ charge, will apply.
The disconnection/reconnection method will be at Essential Energy’s discretion and will involve one of the following methods:
&gt; rotate plug in meter; or
&gt; removal of the service fuses; or
&gt; removal of barge board fuses; or
&gt; turn off and sticker covering main switch; or
&gt; turn off and tag and leave card.</t>
  </si>
  <si>
    <t>Disconnection - Vacant Premise (fixed fee)</t>
  </si>
  <si>
    <t>Reconnections - Disconnection Completed (fixed fee)</t>
  </si>
  <si>
    <t>Disconnection - Vacant Premise - Contract Rate</t>
  </si>
  <si>
    <t>Reconnection - Vacant Premise - Contract Rate</t>
  </si>
  <si>
    <t>Vacant Premise - Disconnect</t>
  </si>
  <si>
    <t>Vacant Premise Disconnect + Reconnect</t>
  </si>
  <si>
    <t>Service has been separated to provide separate fees for disconnection and reconnection.</t>
  </si>
  <si>
    <t>Vacant Premise - Reconnect</t>
  </si>
  <si>
    <t xml:space="preserve">Historical Cost and Volumes are across ACSCW 30030:
- Disconnect / Reconnect - Disconnection Complete;
- Disconnect/ Reconnection - Technical Disconnection;
- Vacant Premise - Reconnect / Disconnect
</t>
  </si>
  <si>
    <t>Reported against ANS P&amp;L Report ACS 30030</t>
  </si>
  <si>
    <t xml:space="preserve">Service Order Report </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</si>
  <si>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</si>
  <si>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Service is provided by authorised contractors. Contract rates are averages across 4 operational zones.</t>
  </si>
  <si>
    <t>5.1 Disconnect / Reconnect Vacant Premise</t>
  </si>
  <si>
    <t xml:space="preserve">Estimates have been provided on the work effort that will be required to complete each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</si>
</sst>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4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sz val="10"/>
      <color theme="1"/>
      <name val="Arial"/>
      <family val="2"/>
    </font>
    <font>
      <b/>
      <sz val="10"/>
      <color theme="0"/>
      <name val="Arial"/>
      <family val="2"/>
    </font>
    <font>
      <b/>
      <sz val="10"/>
      <name val="Arial"/>
      <family val="2"/>
    </font>
    <font>
      <b/>
      <sz val="10"/>
      <color theme="1"/>
      <name val="Arial"/>
      <family val="2"/>
    </font>
    <font>
      <b/>
      <sz val="10"/>
      <color rgb="FFFF000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bgColor indexed="64"/>
      </patternFill>
    </fill>
    <fill>
      <patternFill patternType="solid">
        <fgColor theme="4" tint="-0.499984740745262"/>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80">
    <xf numFmtId="0" fontId="0" fillId="0" borderId="0" xfId="0"/>
    <xf numFmtId="0" fontId="2" fillId="0" borderId="0" xfId="0" applyFont="1"/>
    <xf numFmtId="0" fontId="7" fillId="5" borderId="3" xfId="0" applyFont="1" applyFill="1" applyBorder="1"/>
    <xf numFmtId="0" fontId="2" fillId="4" borderId="4" xfId="0" applyFont="1" applyFill="1" applyBorder="1" applyAlignment="1">
      <alignment horizontal="left"/>
    </xf>
    <xf numFmtId="0" fontId="2" fillId="4" borderId="4" xfId="0" applyFont="1" applyFill="1" applyBorder="1"/>
    <xf numFmtId="0" fontId="2" fillId="4" borderId="3" xfId="0" applyFont="1" applyFill="1" applyBorder="1"/>
    <xf numFmtId="0" fontId="2" fillId="4" borderId="5" xfId="0"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8" fontId="7" fillId="5" borderId="9"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5" fillId="8" borderId="12" xfId="0" applyFont="1" applyFill="1" applyBorder="1"/>
    <xf numFmtId="0" fontId="8" fillId="8" borderId="12" xfId="0" applyFont="1" applyFill="1" applyBorder="1"/>
    <xf numFmtId="0" fontId="2" fillId="0" borderId="0" xfId="0" applyFont="1" applyFill="1"/>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5" fillId="8" borderId="0" xfId="0" applyFont="1" applyFill="1" applyAlignment="1">
      <alignment horizontal="center"/>
    </xf>
    <xf numFmtId="0" fontId="2" fillId="0" borderId="8" xfId="0" applyFont="1" applyBorder="1"/>
    <xf numFmtId="0" fontId="10" fillId="8" borderId="8" xfId="0" applyNumberFormat="1" applyFont="1" applyFill="1" applyBorder="1" applyAlignment="1">
      <alignment horizontal="left"/>
    </xf>
    <xf numFmtId="0" fontId="7" fillId="5" borderId="7" xfId="0" applyFont="1" applyFill="1" applyBorder="1" applyAlignment="1">
      <alignment horizontal="center"/>
    </xf>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168" fontId="2" fillId="10" borderId="5" xfId="2" applyNumberFormat="1" applyFont="1" applyFill="1" applyBorder="1" applyAlignment="1">
      <alignment horizontal="center"/>
    </xf>
    <xf numFmtId="0" fontId="11" fillId="8" borderId="0" xfId="0" applyFont="1" applyFill="1"/>
    <xf numFmtId="0" fontId="12" fillId="8" borderId="0" xfId="0" applyFont="1" applyFill="1"/>
    <xf numFmtId="0" fontId="13" fillId="0" borderId="0" xfId="0" applyFont="1"/>
    <xf numFmtId="0" fontId="14" fillId="0" borderId="0" xfId="0" applyFont="1"/>
    <xf numFmtId="0" fontId="15" fillId="11" borderId="7" xfId="0" applyFont="1" applyFill="1" applyBorder="1" applyAlignment="1">
      <alignment horizontal="left"/>
    </xf>
    <xf numFmtId="0" fontId="15" fillId="11" borderId="7" xfId="0" applyFont="1" applyFill="1" applyBorder="1" applyAlignment="1">
      <alignment horizontal="center"/>
    </xf>
    <xf numFmtId="0" fontId="15" fillId="11" borderId="8" xfId="0" applyFont="1" applyFill="1" applyBorder="1" applyAlignment="1">
      <alignment horizontal="right"/>
    </xf>
    <xf numFmtId="168" fontId="14" fillId="10" borderId="4" xfId="2" applyNumberFormat="1" applyFont="1" applyFill="1" applyBorder="1"/>
    <xf numFmtId="0" fontId="14" fillId="4" borderId="3" xfId="0" applyFont="1" applyFill="1" applyBorder="1"/>
    <xf numFmtId="0" fontId="14" fillId="10" borderId="4" xfId="0" applyFont="1" applyFill="1" applyBorder="1"/>
    <xf numFmtId="0" fontId="15" fillId="5" borderId="8" xfId="0" applyFont="1" applyFill="1" applyBorder="1"/>
    <xf numFmtId="0" fontId="15" fillId="5" borderId="0" xfId="0" applyFont="1" applyFill="1" applyBorder="1"/>
    <xf numFmtId="168" fontId="15" fillId="5" borderId="8" xfId="2" applyNumberFormat="1" applyFont="1" applyFill="1" applyBorder="1"/>
    <xf numFmtId="3" fontId="14" fillId="10" borderId="4" xfId="0" applyNumberFormat="1" applyFont="1" applyFill="1" applyBorder="1"/>
    <xf numFmtId="3" fontId="14" fillId="4" borderId="4" xfId="0" applyNumberFormat="1" applyFont="1" applyFill="1" applyBorder="1"/>
    <xf numFmtId="0" fontId="15" fillId="11" borderId="8" xfId="0" applyFont="1" applyFill="1" applyBorder="1"/>
    <xf numFmtId="3" fontId="15" fillId="5" borderId="8" xfId="0" applyNumberFormat="1" applyFont="1" applyFill="1" applyBorder="1"/>
    <xf numFmtId="0" fontId="16" fillId="0" borderId="0" xfId="0" applyFont="1"/>
    <xf numFmtId="0" fontId="15" fillId="5" borderId="6" xfId="0" applyFont="1" applyFill="1" applyBorder="1" applyAlignment="1">
      <alignment horizontal="left"/>
    </xf>
    <xf numFmtId="0" fontId="15" fillId="5" borderId="12" xfId="0" applyFont="1" applyFill="1" applyBorder="1"/>
    <xf numFmtId="0" fontId="18" fillId="5" borderId="12" xfId="0" applyFont="1" applyFill="1" applyBorder="1"/>
    <xf numFmtId="0" fontId="14" fillId="4" borderId="0" xfId="0" quotePrefix="1" applyFont="1" applyFill="1" applyBorder="1" applyAlignment="1">
      <alignment vertical="top"/>
    </xf>
    <xf numFmtId="0" fontId="14" fillId="4" borderId="0" xfId="0" applyFont="1" applyFill="1" applyBorder="1" applyAlignment="1">
      <alignment vertical="top"/>
    </xf>
    <xf numFmtId="166" fontId="16" fillId="0" borderId="0" xfId="0" applyNumberFormat="1" applyFont="1"/>
    <xf numFmtId="168" fontId="2" fillId="10" borderId="4" xfId="2" applyNumberFormat="1" applyFont="1" applyFill="1" applyBorder="1"/>
    <xf numFmtId="0" fontId="19" fillId="0" borderId="0" xfId="0" applyFont="1" applyAlignment="1">
      <alignment horizontal="left"/>
    </xf>
    <xf numFmtId="0" fontId="19" fillId="0" borderId="0" xfId="0" applyFont="1"/>
    <xf numFmtId="0" fontId="20" fillId="8" borderId="0" xfId="0" applyFont="1" applyFill="1" applyAlignment="1">
      <alignment horizontal="left"/>
    </xf>
    <xf numFmtId="0" fontId="21" fillId="9" borderId="0" xfId="0" applyFont="1" applyFill="1" applyBorder="1" applyAlignment="1">
      <alignment horizontal="left"/>
    </xf>
    <xf numFmtId="0" fontId="21" fillId="9" borderId="6" xfId="0" applyFont="1" applyFill="1" applyBorder="1" applyAlignment="1">
      <alignment horizontal="left"/>
    </xf>
    <xf numFmtId="0" fontId="19" fillId="0" borderId="0" xfId="0" applyFont="1" applyAlignment="1">
      <alignment horizontal="left" indent="15"/>
    </xf>
    <xf numFmtId="0" fontId="19" fillId="0" borderId="0" xfId="0" applyFont="1" applyFill="1" applyAlignment="1">
      <alignment horizontal="left"/>
    </xf>
    <xf numFmtId="0" fontId="19" fillId="0" borderId="0" xfId="0" applyFont="1" applyFill="1"/>
    <xf numFmtId="0" fontId="24" fillId="8" borderId="11" xfId="0" applyFont="1" applyFill="1" applyBorder="1"/>
    <xf numFmtId="0" fontId="25" fillId="8" borderId="0" xfId="0" applyFont="1" applyFill="1"/>
    <xf numFmtId="0" fontId="26" fillId="0" borderId="0" xfId="0" applyFont="1"/>
    <xf numFmtId="0" fontId="26" fillId="0" borderId="0" xfId="0" applyFont="1" applyFill="1"/>
    <xf numFmtId="0" fontId="27" fillId="9" borderId="4" xfId="0" applyFont="1" applyFill="1" applyBorder="1"/>
    <xf numFmtId="0" fontId="26" fillId="6" borderId="0" xfId="0" applyFont="1" applyFill="1"/>
    <xf numFmtId="0" fontId="27" fillId="9" borderId="9" xfId="0" applyFont="1" applyFill="1" applyBorder="1"/>
    <xf numFmtId="0" fontId="29" fillId="7" borderId="0" xfId="0" applyFont="1" applyFill="1" applyBorder="1" applyAlignment="1">
      <alignment horizontal="center" vertical="center" wrapText="1"/>
    </xf>
    <xf numFmtId="0" fontId="26" fillId="2" borderId="1" xfId="0" applyFont="1" applyFill="1" applyBorder="1" applyAlignment="1">
      <alignment horizontal="center"/>
    </xf>
    <xf numFmtId="0" fontId="30" fillId="7" borderId="0" xfId="0" applyFont="1" applyFill="1" applyBorder="1" applyAlignment="1">
      <alignment horizontal="center" vertical="center"/>
    </xf>
    <xf numFmtId="0" fontId="27" fillId="9" borderId="9" xfId="0" applyFont="1" applyFill="1" applyBorder="1" applyAlignment="1">
      <alignment vertical="center"/>
    </xf>
    <xf numFmtId="170" fontId="26" fillId="7" borderId="10" xfId="0" applyNumberFormat="1" applyFont="1" applyFill="1" applyBorder="1" applyAlignment="1">
      <alignment horizontal="center"/>
    </xf>
    <xf numFmtId="0" fontId="26" fillId="7" borderId="0" xfId="0" applyFont="1" applyFill="1" applyBorder="1" applyAlignment="1">
      <alignment horizontal="center" vertical="center"/>
    </xf>
    <xf numFmtId="170" fontId="26" fillId="3" borderId="2" xfId="0" applyNumberFormat="1" applyFont="1" applyFill="1" applyBorder="1" applyAlignment="1">
      <alignment horizontal="center"/>
    </xf>
    <xf numFmtId="0" fontId="27" fillId="9" borderId="8" xfId="0" applyFont="1" applyFill="1" applyBorder="1" applyAlignment="1">
      <alignment horizontal="left" vertical="center"/>
    </xf>
    <xf numFmtId="0" fontId="28" fillId="7" borderId="8" xfId="0" applyFont="1" applyFill="1" applyBorder="1" applyAlignment="1">
      <alignment horizontal="left"/>
    </xf>
    <xf numFmtId="0" fontId="28" fillId="7" borderId="0" xfId="0" applyFont="1" applyFill="1" applyBorder="1" applyAlignment="1">
      <alignment horizontal="left"/>
    </xf>
    <xf numFmtId="0" fontId="24" fillId="8" borderId="10" xfId="0" applyFont="1" applyFill="1" applyBorder="1"/>
    <xf numFmtId="0" fontId="25" fillId="8" borderId="0" xfId="0" applyFont="1" applyFill="1" applyBorder="1"/>
    <xf numFmtId="0" fontId="25" fillId="8" borderId="2" xfId="0" applyFont="1" applyFill="1" applyBorder="1"/>
    <xf numFmtId="0" fontId="26" fillId="7" borderId="0" xfId="0" applyFont="1" applyFill="1" applyBorder="1" applyAlignment="1">
      <alignment horizontal="left" vertical="top" wrapText="1"/>
    </xf>
    <xf numFmtId="0" fontId="24" fillId="8" borderId="0" xfId="0" applyFont="1" applyFill="1"/>
    <xf numFmtId="0" fontId="26" fillId="7" borderId="0" xfId="0" applyFont="1" applyFill="1" applyBorder="1" applyAlignment="1">
      <alignment horizontal="left"/>
    </xf>
    <xf numFmtId="0" fontId="26" fillId="0" borderId="0" xfId="0" applyFont="1" applyAlignment="1">
      <alignment horizontal="left"/>
    </xf>
    <xf numFmtId="0" fontId="26" fillId="7" borderId="0" xfId="0" applyFont="1" applyFill="1" applyBorder="1" applyAlignment="1">
      <alignment horizontal="left" wrapText="1"/>
    </xf>
    <xf numFmtId="0" fontId="26" fillId="0" borderId="0" xfId="0" applyFont="1" applyFill="1" applyBorder="1" applyAlignment="1">
      <alignment horizontal="left"/>
    </xf>
    <xf numFmtId="0" fontId="27" fillId="2" borderId="3" xfId="0" applyFont="1" applyFill="1" applyBorder="1"/>
    <xf numFmtId="0" fontId="26" fillId="7" borderId="0" xfId="0" applyFont="1" applyFill="1" applyAlignment="1">
      <alignment horizontal="left"/>
    </xf>
    <xf numFmtId="0" fontId="27" fillId="2" borderId="1" xfId="0" applyFont="1" applyFill="1" applyBorder="1"/>
    <xf numFmtId="0" fontId="27" fillId="9" borderId="6" xfId="0" applyFont="1" applyFill="1" applyBorder="1" applyAlignment="1">
      <alignment horizontal="left"/>
    </xf>
    <xf numFmtId="0" fontId="27" fillId="9" borderId="7" xfId="0" applyFont="1" applyFill="1" applyBorder="1" applyAlignment="1">
      <alignment horizontal="right"/>
    </xf>
    <xf numFmtId="0" fontId="27" fillId="9" borderId="8" xfId="0" applyFont="1" applyFill="1" applyBorder="1" applyAlignment="1">
      <alignment horizontal="right"/>
    </xf>
    <xf numFmtId="168" fontId="31" fillId="0" borderId="0" xfId="2" applyNumberFormat="1" applyFont="1"/>
    <xf numFmtId="168" fontId="27" fillId="2" borderId="7" xfId="2" applyNumberFormat="1" applyFont="1" applyFill="1" applyBorder="1"/>
    <xf numFmtId="10" fontId="26" fillId="0" borderId="0" xfId="1" applyNumberFormat="1" applyFont="1"/>
    <xf numFmtId="10" fontId="26" fillId="0" borderId="0" xfId="0" applyNumberFormat="1" applyFont="1"/>
    <xf numFmtId="171" fontId="26" fillId="0" borderId="0" xfId="1" applyNumberFormat="1" applyFont="1"/>
    <xf numFmtId="0" fontId="24" fillId="8" borderId="6" xfId="0" applyFont="1" applyFill="1" applyBorder="1" applyAlignment="1">
      <alignment horizontal="left"/>
    </xf>
    <xf numFmtId="0" fontId="28" fillId="0" borderId="0" xfId="0" applyFont="1"/>
    <xf numFmtId="0" fontId="27" fillId="2" borderId="6" xfId="0" applyFont="1" applyFill="1" applyBorder="1" applyAlignment="1">
      <alignment horizontal="left"/>
    </xf>
    <xf numFmtId="0" fontId="27" fillId="2" borderId="7" xfId="0" applyFont="1" applyFill="1" applyBorder="1" applyAlignment="1">
      <alignment horizontal="right"/>
    </xf>
    <xf numFmtId="0" fontId="27" fillId="2" borderId="8" xfId="0" applyFont="1" applyFill="1" applyBorder="1" applyAlignment="1">
      <alignment horizontal="right"/>
    </xf>
    <xf numFmtId="169" fontId="31" fillId="0" borderId="0" xfId="3" applyNumberFormat="1" applyFont="1" applyAlignment="1"/>
    <xf numFmtId="172" fontId="27" fillId="2" borderId="7" xfId="2" applyNumberFormat="1" applyFont="1" applyFill="1" applyBorder="1" applyAlignment="1"/>
    <xf numFmtId="169" fontId="32" fillId="0" borderId="0" xfId="3" applyNumberFormat="1" applyFont="1" applyAlignment="1">
      <alignment horizontal="right"/>
    </xf>
    <xf numFmtId="169" fontId="32" fillId="0" borderId="0" xfId="3" applyNumberFormat="1" applyFont="1" applyAlignment="1">
      <alignment horizontal="center" vertical="center"/>
    </xf>
    <xf numFmtId="0" fontId="15" fillId="11" borderId="8" xfId="0" applyFont="1" applyFill="1" applyBorder="1" applyAlignment="1">
      <alignment horizontal="center"/>
    </xf>
    <xf numFmtId="168" fontId="14" fillId="10" borderId="5" xfId="2" applyNumberFormat="1" applyFont="1" applyFill="1" applyBorder="1"/>
    <xf numFmtId="0" fontId="17" fillId="4" borderId="0" xfId="0" applyFont="1" applyFill="1" applyBorder="1" applyAlignment="1">
      <alignment vertical="top" wrapText="1"/>
    </xf>
    <xf numFmtId="0" fontId="7" fillId="11" borderId="7" xfId="0" applyFont="1" applyFill="1" applyBorder="1" applyAlignment="1">
      <alignment horizontal="left"/>
    </xf>
    <xf numFmtId="0" fontId="2" fillId="10" borderId="4" xfId="0" applyFont="1" applyFill="1" applyBorder="1" applyAlignment="1">
      <alignment wrapText="1"/>
    </xf>
    <xf numFmtId="0" fontId="33" fillId="0" borderId="0" xfId="0" applyFont="1"/>
    <xf numFmtId="0" fontId="34" fillId="8" borderId="11" xfId="0" applyFont="1" applyFill="1" applyBorder="1"/>
    <xf numFmtId="0" fontId="35" fillId="8" borderId="12" xfId="0" applyFont="1" applyFill="1" applyBorder="1"/>
    <xf numFmtId="0" fontId="36" fillId="5" borderId="4" xfId="0" applyFont="1" applyFill="1" applyBorder="1"/>
    <xf numFmtId="0" fontId="36" fillId="5" borderId="4" xfId="0" applyFont="1" applyFill="1" applyBorder="1" applyAlignment="1">
      <alignment horizontal="center"/>
    </xf>
    <xf numFmtId="0" fontId="36" fillId="5" borderId="5" xfId="0" applyFont="1" applyFill="1" applyBorder="1" applyAlignment="1">
      <alignment horizontal="center"/>
    </xf>
    <xf numFmtId="0" fontId="36" fillId="5" borderId="5" xfId="0" applyFont="1" applyFill="1" applyBorder="1" applyAlignment="1">
      <alignment horizontal="right"/>
    </xf>
    <xf numFmtId="0" fontId="37" fillId="4" borderId="4" xfId="0" applyFont="1" applyFill="1" applyBorder="1"/>
    <xf numFmtId="168" fontId="37" fillId="10" borderId="5" xfId="2" applyNumberFormat="1" applyFont="1" applyFill="1" applyBorder="1" applyAlignment="1">
      <alignment horizontal="right"/>
    </xf>
    <xf numFmtId="168" fontId="37" fillId="10" borderId="5" xfId="2" applyNumberFormat="1" applyFont="1" applyFill="1" applyBorder="1" applyAlignment="1">
      <alignment horizontal="center"/>
    </xf>
    <xf numFmtId="0" fontId="37" fillId="4" borderId="5" xfId="0" applyFont="1" applyFill="1" applyBorder="1"/>
    <xf numFmtId="0" fontId="36" fillId="5" borderId="10" xfId="0" applyFont="1" applyFill="1" applyBorder="1"/>
    <xf numFmtId="0" fontId="39" fillId="5" borderId="1" xfId="0" applyFont="1" applyFill="1" applyBorder="1"/>
    <xf numFmtId="168" fontId="36" fillId="5" borderId="9" xfId="2" applyNumberFormat="1" applyFont="1" applyFill="1" applyBorder="1"/>
    <xf numFmtId="0" fontId="36" fillId="0" borderId="0" xfId="0" applyFont="1" applyFill="1" applyBorder="1"/>
    <xf numFmtId="0" fontId="39" fillId="0" borderId="0" xfId="0" applyFont="1" applyFill="1" applyBorder="1"/>
    <xf numFmtId="168" fontId="36" fillId="0" borderId="0" xfId="2" applyNumberFormat="1" applyFont="1" applyFill="1" applyBorder="1"/>
    <xf numFmtId="0" fontId="34" fillId="8" borderId="8" xfId="0" applyFont="1" applyFill="1" applyBorder="1"/>
    <xf numFmtId="0" fontId="35" fillId="8" borderId="0" xfId="0" applyFont="1" applyFill="1"/>
    <xf numFmtId="0" fontId="36" fillId="5" borderId="13" xfId="0" applyFont="1" applyFill="1" applyBorder="1" applyAlignment="1">
      <alignment horizontal="left"/>
    </xf>
    <xf numFmtId="0" fontId="36" fillId="5" borderId="11" xfId="0" applyFont="1" applyFill="1" applyBorder="1" applyAlignment="1">
      <alignment horizontal="left"/>
    </xf>
    <xf numFmtId="0" fontId="36" fillId="5" borderId="7" xfId="0" applyFont="1" applyFill="1" applyBorder="1" applyAlignment="1">
      <alignment horizontal="center"/>
    </xf>
    <xf numFmtId="0" fontId="36" fillId="5" borderId="8" xfId="0" applyFont="1" applyFill="1" applyBorder="1" applyAlignment="1">
      <alignment horizontal="center"/>
    </xf>
    <xf numFmtId="0" fontId="36" fillId="5" borderId="8" xfId="0" applyFont="1" applyFill="1" applyBorder="1" applyAlignment="1">
      <alignment horizontal="right"/>
    </xf>
    <xf numFmtId="3" fontId="37" fillId="10" borderId="4" xfId="0" applyNumberFormat="1" applyFont="1" applyFill="1" applyBorder="1"/>
    <xf numFmtId="3" fontId="37" fillId="10" borderId="4" xfId="0" applyNumberFormat="1" applyFont="1" applyFill="1" applyBorder="1" applyAlignment="1">
      <alignment horizontal="right"/>
    </xf>
    <xf numFmtId="0" fontId="37" fillId="4" borderId="5" xfId="0" quotePrefix="1" applyFont="1" applyFill="1" applyBorder="1"/>
    <xf numFmtId="3" fontId="37" fillId="4" borderId="4" xfId="0" applyNumberFormat="1" applyFont="1" applyFill="1" applyBorder="1"/>
    <xf numFmtId="0" fontId="33" fillId="0" borderId="6" xfId="0" applyFont="1" applyBorder="1"/>
    <xf numFmtId="0" fontId="36" fillId="11" borderId="10" xfId="0" applyFont="1" applyFill="1" applyBorder="1"/>
    <xf numFmtId="0" fontId="36" fillId="5" borderId="0" xfId="0" applyFont="1" applyFill="1" applyBorder="1"/>
    <xf numFmtId="3" fontId="36" fillId="5" borderId="8" xfId="0" applyNumberFormat="1" applyFont="1" applyFill="1" applyBorder="1"/>
    <xf numFmtId="0" fontId="36" fillId="5" borderId="6" xfId="0" applyFont="1" applyFill="1" applyBorder="1" applyAlignment="1">
      <alignment horizontal="left"/>
    </xf>
    <xf numFmtId="0" fontId="37" fillId="0" borderId="0" xfId="0" applyFont="1"/>
    <xf numFmtId="0" fontId="38" fillId="0" borderId="0" xfId="0" applyFont="1"/>
    <xf numFmtId="0" fontId="40" fillId="4" borderId="8" xfId="0" applyFont="1" applyFill="1" applyBorder="1" applyAlignment="1">
      <alignment horizontal="left" vertical="top" wrapText="1"/>
    </xf>
    <xf numFmtId="0" fontId="40" fillId="4" borderId="0" xfId="0" applyFont="1" applyFill="1" applyBorder="1" applyAlignment="1">
      <alignment horizontal="left" vertical="top" wrapText="1"/>
    </xf>
    <xf numFmtId="0" fontId="36" fillId="5" borderId="11" xfId="0" applyFont="1" applyFill="1" applyBorder="1"/>
    <xf numFmtId="0" fontId="39" fillId="5" borderId="12" xfId="0" applyFont="1" applyFill="1" applyBorder="1"/>
    <xf numFmtId="0" fontId="37" fillId="4" borderId="8" xfId="0" quotePrefix="1" applyFont="1" applyFill="1" applyBorder="1" applyAlignment="1">
      <alignment vertical="top"/>
    </xf>
    <xf numFmtId="0" fontId="37" fillId="4" borderId="0" xfId="0" applyFont="1" applyFill="1" applyBorder="1" applyAlignment="1">
      <alignment vertical="top"/>
    </xf>
    <xf numFmtId="0" fontId="42" fillId="2" borderId="5" xfId="0" applyFont="1" applyFill="1" applyBorder="1" applyAlignment="1">
      <alignment horizontal="center" vertical="center"/>
    </xf>
    <xf numFmtId="0" fontId="7" fillId="2" borderId="6" xfId="0" applyFont="1" applyFill="1" applyBorder="1"/>
    <xf numFmtId="168" fontId="38" fillId="11" borderId="5" xfId="2" applyNumberFormat="1" applyFont="1" applyFill="1" applyBorder="1"/>
    <xf numFmtId="3" fontId="38" fillId="11" borderId="10" xfId="0" applyNumberFormat="1" applyFont="1" applyFill="1" applyBorder="1"/>
    <xf numFmtId="3" fontId="38"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70" fontId="5" fillId="8" borderId="9" xfId="0" applyNumberFormat="1" applyFont="1" applyFill="1" applyBorder="1" applyAlignment="1">
      <alignment horizontal="center" vertical="center" wrapText="1"/>
    </xf>
    <xf numFmtId="170" fontId="7" fillId="9" borderId="2" xfId="0" applyNumberFormat="1" applyFont="1" applyFill="1" applyBorder="1" applyAlignment="1"/>
    <xf numFmtId="170" fontId="7" fillId="9" borderId="3" xfId="0" applyNumberFormat="1" applyFont="1" applyFill="1" applyBorder="1" applyAlignment="1"/>
    <xf numFmtId="3" fontId="4" fillId="10" borderId="13" xfId="3" applyNumberFormat="1" applyFont="1" applyFill="1" applyBorder="1" applyAlignment="1">
      <alignment horizontal="center"/>
    </xf>
    <xf numFmtId="2" fontId="4" fillId="10" borderId="13" xfId="0" applyNumberFormat="1" applyFont="1" applyFill="1" applyBorder="1" applyAlignment="1">
      <alignment horizontal="center"/>
    </xf>
    <xf numFmtId="2" fontId="4" fillId="10" borderId="13" xfId="3" applyNumberFormat="1" applyFont="1" applyFill="1" applyBorder="1" applyAlignment="1">
      <alignment horizontal="center"/>
    </xf>
    <xf numFmtId="0" fontId="4" fillId="10" borderId="11" xfId="0" applyFont="1" applyFill="1" applyBorder="1" applyAlignment="1">
      <alignment horizontal="left" vertical="center"/>
    </xf>
    <xf numFmtId="170" fontId="7" fillId="9" borderId="5" xfId="0" applyNumberFormat="1" applyFont="1" applyFill="1" applyBorder="1" applyAlignment="1"/>
    <xf numFmtId="168" fontId="16" fillId="11" borderId="5" xfId="2" applyNumberFormat="1" applyFont="1" applyFill="1" applyBorder="1"/>
    <xf numFmtId="168" fontId="6" fillId="11" borderId="5" xfId="2" applyNumberFormat="1" applyFont="1" applyFill="1" applyBorder="1"/>
    <xf numFmtId="0" fontId="3" fillId="0" borderId="0" xfId="0" applyFont="1"/>
    <xf numFmtId="0" fontId="2" fillId="4" borderId="3" xfId="0" applyFont="1" applyFill="1" applyBorder="1" applyAlignment="1">
      <alignment horizontal="left" indent="1"/>
    </xf>
    <xf numFmtId="0" fontId="6" fillId="4" borderId="3" xfId="0" applyFont="1" applyFill="1" applyBorder="1"/>
    <xf numFmtId="168" fontId="6" fillId="10" borderId="5" xfId="2" applyNumberFormat="1" applyFont="1" applyFill="1" applyBorder="1" applyAlignment="1">
      <alignment horizontal="center"/>
    </xf>
    <xf numFmtId="10" fontId="3" fillId="0" borderId="0" xfId="1" applyNumberFormat="1" applyFont="1"/>
    <xf numFmtId="10" fontId="3" fillId="0" borderId="0" xfId="0" applyNumberFormat="1" applyFont="1"/>
    <xf numFmtId="0" fontId="43"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173" fontId="2" fillId="5" borderId="4" xfId="3" applyNumberFormat="1" applyFont="1" applyFill="1" applyBorder="1" applyAlignment="1">
      <alignment horizontal="right"/>
    </xf>
    <xf numFmtId="0" fontId="6" fillId="5" borderId="5" xfId="0" applyFont="1" applyFill="1" applyBorder="1"/>
    <xf numFmtId="0" fontId="6" fillId="5" borderId="0" xfId="0" applyFont="1" applyFill="1" applyBorder="1"/>
    <xf numFmtId="0" fontId="41" fillId="0" borderId="0" xfId="0" applyFont="1"/>
    <xf numFmtId="0" fontId="7" fillId="0" borderId="8" xfId="0" applyFont="1" applyFill="1" applyBorder="1"/>
    <xf numFmtId="0" fontId="44" fillId="4" borderId="5" xfId="0" applyFont="1" applyFill="1" applyBorder="1"/>
    <xf numFmtId="0" fontId="6" fillId="4" borderId="5" xfId="0" applyFont="1" applyFill="1" applyBorder="1"/>
    <xf numFmtId="167" fontId="45"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45" fillId="5" borderId="4" xfId="3" applyFont="1" applyFill="1" applyBorder="1"/>
    <xf numFmtId="167" fontId="45" fillId="10" borderId="4" xfId="3" applyFont="1" applyFill="1" applyBorder="1" applyAlignment="1">
      <alignment horizontal="right"/>
    </xf>
    <xf numFmtId="167" fontId="2" fillId="10" borderId="4" xfId="3" applyFont="1" applyFill="1" applyBorder="1" applyAlignment="1">
      <alignment horizontal="right"/>
    </xf>
    <xf numFmtId="0" fontId="6" fillId="4" borderId="4" xfId="0" applyFont="1" applyFill="1" applyBorder="1" applyAlignment="1">
      <alignment horizontal="left"/>
    </xf>
    <xf numFmtId="167" fontId="46"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0" fontId="7" fillId="11" borderId="5" xfId="0" applyFont="1" applyFill="1" applyBorder="1" applyAlignment="1">
      <alignment vertical="center"/>
    </xf>
    <xf numFmtId="0" fontId="7" fillId="11" borderId="2" xfId="0" applyFont="1" applyFill="1" applyBorder="1" applyAlignment="1">
      <alignment vertical="center"/>
    </xf>
    <xf numFmtId="2" fontId="7" fillId="11" borderId="4" xfId="0" applyNumberFormat="1" applyFont="1" applyFill="1" applyBorder="1" applyAlignment="1">
      <alignment horizontal="center" vertical="center"/>
    </xf>
    <xf numFmtId="0" fontId="15" fillId="11" borderId="4" xfId="0" applyFont="1" applyFill="1" applyBorder="1" applyAlignment="1">
      <alignment horizontal="left"/>
    </xf>
    <xf numFmtId="0" fontId="7" fillId="11" borderId="4" xfId="0" applyFont="1" applyFill="1" applyBorder="1" applyAlignment="1">
      <alignment horizontal="left"/>
    </xf>
    <xf numFmtId="0" fontId="15" fillId="11" borderId="4" xfId="0" applyFont="1" applyFill="1" applyBorder="1" applyAlignment="1">
      <alignment horizontal="center"/>
    </xf>
    <xf numFmtId="0" fontId="15" fillId="11" borderId="4" xfId="0" applyFont="1" applyFill="1" applyBorder="1" applyAlignment="1">
      <alignment horizontal="right"/>
    </xf>
    <xf numFmtId="0" fontId="14" fillId="4" borderId="4" xfId="0" applyFont="1" applyFill="1" applyBorder="1"/>
    <xf numFmtId="3" fontId="16" fillId="11" borderId="4" xfId="0" applyNumberFormat="1" applyFont="1" applyFill="1" applyBorder="1"/>
    <xf numFmtId="0" fontId="14" fillId="4" borderId="4" xfId="0" quotePrefix="1" applyFont="1" applyFill="1" applyBorder="1"/>
    <xf numFmtId="170" fontId="2" fillId="7" borderId="5" xfId="0" applyNumberFormat="1" applyFont="1" applyFill="1" applyBorder="1" applyAlignment="1">
      <alignment horizontal="left"/>
    </xf>
    <xf numFmtId="170" fontId="2" fillId="7" borderId="3" xfId="0" applyNumberFormat="1" applyFont="1" applyFill="1" applyBorder="1" applyAlignment="1">
      <alignment horizontal="left"/>
    </xf>
    <xf numFmtId="170" fontId="2" fillId="7" borderId="2" xfId="0" applyNumberFormat="1" applyFont="1" applyFill="1" applyBorder="1" applyAlignment="1">
      <alignment horizontal="left"/>
    </xf>
    <xf numFmtId="0" fontId="9" fillId="4" borderId="8" xfId="0" applyFont="1" applyFill="1" applyBorder="1" applyAlignment="1">
      <alignment horizontal="left" vertical="top" wrapText="1"/>
    </xf>
    <xf numFmtId="168" fontId="2" fillId="10" borderId="5" xfId="2" applyNumberFormat="1" applyFont="1" applyFill="1" applyBorder="1"/>
    <xf numFmtId="3" fontId="4" fillId="10" borderId="4" xfId="0" applyNumberFormat="1" applyFont="1" applyFill="1" applyBorder="1"/>
    <xf numFmtId="3" fontId="2" fillId="10" borderId="4" xfId="0" applyNumberFormat="1" applyFont="1" applyFill="1" applyBorder="1"/>
    <xf numFmtId="3" fontId="4" fillId="10" borderId="4" xfId="0" applyNumberFormat="1" applyFont="1" applyFill="1" applyBorder="1" applyAlignment="1">
      <alignment horizontal="right"/>
    </xf>
    <xf numFmtId="170" fontId="31" fillId="7" borderId="2" xfId="0" applyNumberFormat="1" applyFont="1" applyFill="1" applyBorder="1" applyAlignment="1">
      <alignment horizontal="left"/>
    </xf>
    <xf numFmtId="170" fontId="31" fillId="7" borderId="3" xfId="0" applyNumberFormat="1" applyFont="1" applyFill="1" applyBorder="1" applyAlignment="1">
      <alignment horizontal="left"/>
    </xf>
    <xf numFmtId="0" fontId="28" fillId="7" borderId="5" xfId="0" applyNumberFormat="1" applyFont="1" applyFill="1" applyBorder="1" applyAlignment="1">
      <alignment horizontal="left" wrapText="1"/>
    </xf>
    <xf numFmtId="0" fontId="28" fillId="7" borderId="2" xfId="0" applyNumberFormat="1" applyFont="1" applyFill="1" applyBorder="1" applyAlignment="1">
      <alignment horizontal="left" wrapText="1"/>
    </xf>
    <xf numFmtId="0" fontId="28" fillId="7" borderId="1" xfId="0" applyNumberFormat="1" applyFont="1" applyFill="1" applyBorder="1" applyAlignment="1">
      <alignment horizontal="left" wrapText="1"/>
    </xf>
    <xf numFmtId="0" fontId="26" fillId="7" borderId="0" xfId="0" applyFont="1" applyFill="1" applyBorder="1" applyAlignment="1">
      <alignment horizontal="left" wrapText="1"/>
    </xf>
    <xf numFmtId="0" fontId="2" fillId="7" borderId="1" xfId="0" applyFont="1" applyFill="1" applyBorder="1" applyAlignment="1">
      <alignment horizontal="left" vertical="top" wrapText="1"/>
    </xf>
    <xf numFmtId="0" fontId="26"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6" fillId="2" borderId="5" xfId="0" applyFont="1" applyFill="1" applyBorder="1" applyAlignment="1">
      <alignment horizontal="center"/>
    </xf>
    <xf numFmtId="0" fontId="26" fillId="2" borderId="2" xfId="0" applyFont="1" applyFill="1" applyBorder="1" applyAlignment="1">
      <alignment horizontal="center"/>
    </xf>
    <xf numFmtId="0" fontId="7" fillId="9" borderId="10" xfId="0" applyFont="1" applyFill="1" applyBorder="1" applyAlignment="1">
      <alignment horizontal="left" vertical="center"/>
    </xf>
    <xf numFmtId="0" fontId="7" fillId="9" borderId="8" xfId="0" applyFont="1" applyFill="1" applyBorder="1" applyAlignment="1">
      <alignment horizontal="left" vertical="center"/>
    </xf>
    <xf numFmtId="0" fontId="9" fillId="7" borderId="1" xfId="0" applyFont="1" applyFill="1" applyBorder="1" applyAlignment="1">
      <alignment horizontal="left" vertical="top" wrapText="1"/>
    </xf>
    <xf numFmtId="0" fontId="9" fillId="7" borderId="0" xfId="0" applyFont="1" applyFill="1" applyBorder="1" applyAlignment="1">
      <alignment horizontal="left" vertical="top" wrapText="1"/>
    </xf>
    <xf numFmtId="0" fontId="26" fillId="7" borderId="0" xfId="0" quotePrefix="1" applyFont="1" applyFill="1" applyBorder="1" applyAlignment="1">
      <alignment horizontal="left" vertical="top" wrapText="1"/>
    </xf>
    <xf numFmtId="0" fontId="26" fillId="7" borderId="0" xfId="0" applyFont="1" applyFill="1" applyBorder="1" applyAlignment="1">
      <alignment horizontal="left" vertical="top" wrapText="1"/>
    </xf>
    <xf numFmtId="0" fontId="23" fillId="10" borderId="0" xfId="0" applyFont="1" applyFill="1" applyAlignment="1">
      <alignment horizontal="center"/>
    </xf>
    <xf numFmtId="0" fontId="19" fillId="4" borderId="1" xfId="0" applyFont="1" applyFill="1" applyBorder="1" applyAlignment="1">
      <alignment horizontal="left" vertical="top" wrapText="1"/>
    </xf>
    <xf numFmtId="0" fontId="22" fillId="4" borderId="8" xfId="0" applyFont="1" applyFill="1" applyBorder="1" applyAlignment="1">
      <alignment horizontal="left"/>
    </xf>
    <xf numFmtId="0" fontId="22" fillId="4" borderId="0" xfId="0" applyFont="1" applyFill="1" applyBorder="1" applyAlignment="1">
      <alignment horizontal="left"/>
    </xf>
    <xf numFmtId="0" fontId="20"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19" fillId="10" borderId="1" xfId="0" applyFont="1" applyFill="1" applyBorder="1" applyAlignment="1">
      <alignment horizontal="left" vertical="top" wrapText="1"/>
    </xf>
    <xf numFmtId="0" fontId="1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37" fillId="4" borderId="1" xfId="0" quotePrefix="1" applyFont="1" applyFill="1" applyBorder="1" applyAlignment="1">
      <alignment horizontal="left" vertical="top" wrapText="1"/>
    </xf>
    <xf numFmtId="0" fontId="37" fillId="4" borderId="8" xfId="0" quotePrefix="1" applyFont="1" applyFill="1" applyBorder="1" applyAlignment="1">
      <alignment horizontal="left" vertical="top" wrapText="1"/>
    </xf>
    <xf numFmtId="0" fontId="37" fillId="4" borderId="0" xfId="0" quotePrefix="1" applyFont="1" applyFill="1" applyBorder="1" applyAlignment="1">
      <alignment horizontal="left" vertical="top" wrapText="1"/>
    </xf>
    <xf numFmtId="0" fontId="5" fillId="13" borderId="0" xfId="0" applyFont="1" applyFill="1" applyAlignment="1">
      <alignment horizontal="center"/>
    </xf>
    <xf numFmtId="0" fontId="5" fillId="12" borderId="0" xfId="0" applyFont="1" applyFill="1" applyBorder="1" applyAlignment="1">
      <alignment horizontal="center"/>
    </xf>
    <xf numFmtId="0" fontId="4" fillId="4" borderId="1" xfId="0" quotePrefix="1" applyFont="1" applyFill="1" applyBorder="1" applyAlignment="1">
      <alignment horizontal="left" vertical="top" wrapText="1"/>
    </xf>
    <xf numFmtId="0" fontId="4" fillId="4" borderId="0" xfId="0" quotePrefix="1" applyFont="1" applyFill="1" applyBorder="1" applyAlignment="1">
      <alignment horizontal="left" vertical="top" wrapText="1"/>
    </xf>
    <xf numFmtId="10" fontId="43" fillId="14" borderId="12" xfId="0" applyNumberFormat="1" applyFont="1" applyFill="1" applyBorder="1" applyAlignment="1">
      <alignment horizontal="center"/>
    </xf>
    <xf numFmtId="10" fontId="43"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167" fontId="46" fillId="5" borderId="4" xfId="3" applyFont="1" applyFill="1" applyBorder="1"/>
    <xf numFmtId="0" fontId="7" fillId="5" borderId="4" xfId="0" applyFont="1" applyFill="1" applyBorder="1" applyAlignment="1">
      <alignment horizontal="left"/>
    </xf>
    <xf numFmtId="0" fontId="7" fillId="5" borderId="4" xfId="0" applyFont="1" applyFill="1" applyBorder="1" applyAlignment="1">
      <alignment horizontal="center"/>
    </xf>
    <xf numFmtId="0" fontId="7" fillId="5" borderId="4" xfId="0" applyFont="1" applyFill="1" applyBorder="1" applyAlignment="1">
      <alignment horizontal="right"/>
    </xf>
    <xf numFmtId="3" fontId="6" fillId="11" borderId="4" xfId="0" applyNumberFormat="1" applyFont="1" applyFill="1" applyBorder="1"/>
    <xf numFmtId="0" fontId="2" fillId="4" borderId="4" xfId="0" quotePrefix="1" applyFont="1" applyFill="1" applyBorder="1"/>
    <xf numFmtId="3" fontId="7" fillId="5" borderId="4" xfId="0" applyNumberFormat="1" applyFont="1" applyFill="1" applyBorder="1"/>
    <xf numFmtId="168" fontId="6" fillId="11" borderId="4" xfId="2" applyNumberFormat="1" applyFont="1" applyFill="1" applyBorder="1"/>
    <xf numFmtId="168" fontId="7" fillId="5" borderId="4" xfId="2" applyNumberFormat="1"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43">
          <cell r="M43">
            <v>0.46592661151676018</v>
          </cell>
        </row>
        <row r="48">
          <cell r="M48">
            <v>0.16037758511933414</v>
          </cell>
        </row>
        <row r="61">
          <cell r="G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3"/>
  <sheetViews>
    <sheetView showGridLines="0" tabSelected="1" zoomScale="90" zoomScaleNormal="90" workbookViewId="0">
      <selection activeCell="H62" sqref="H62"/>
    </sheetView>
  </sheetViews>
  <sheetFormatPr defaultRowHeight="12.75" x14ac:dyDescent="0.2"/>
  <cols>
    <col min="1" max="1" width="2.42578125" style="70" customWidth="1"/>
    <col min="2" max="2" width="41.85546875" style="70" customWidth="1"/>
    <col min="3" max="3" width="42.85546875" style="70" customWidth="1"/>
    <col min="4" max="4" width="16.7109375" style="70" customWidth="1"/>
    <col min="5" max="5" width="13.85546875" style="70" customWidth="1"/>
    <col min="6" max="6" width="14" style="70" customWidth="1"/>
    <col min="7" max="7" width="12.85546875" style="70" customWidth="1"/>
    <col min="8" max="8" width="13.28515625" style="70" customWidth="1"/>
    <col min="9" max="9" width="11.5703125" style="70" customWidth="1"/>
    <col min="10" max="16384" width="9.140625" style="70"/>
  </cols>
  <sheetData>
    <row r="2" spans="2:19" x14ac:dyDescent="0.2">
      <c r="B2" s="68" t="s">
        <v>7</v>
      </c>
      <c r="C2" s="69"/>
      <c r="D2" s="69"/>
      <c r="E2" s="69"/>
      <c r="F2" s="69"/>
      <c r="G2" s="69"/>
      <c r="H2" s="69"/>
      <c r="O2" s="71"/>
      <c r="P2" s="71"/>
      <c r="Q2" s="71"/>
      <c r="R2" s="71"/>
      <c r="S2" s="71"/>
    </row>
    <row r="3" spans="2:19" ht="75.75" customHeight="1" x14ac:dyDescent="0.2">
      <c r="B3" s="72" t="s">
        <v>52</v>
      </c>
      <c r="C3" s="231" t="s">
        <v>63</v>
      </c>
      <c r="D3" s="232"/>
      <c r="E3" s="233"/>
      <c r="F3" s="233"/>
      <c r="G3" s="233"/>
      <c r="H3" s="233"/>
      <c r="M3" s="73"/>
      <c r="N3" s="73"/>
      <c r="O3" s="71"/>
      <c r="P3" s="71"/>
      <c r="Q3" s="71"/>
      <c r="R3" s="71"/>
      <c r="S3" s="71"/>
    </row>
    <row r="4" spans="2:19" ht="55.5" customHeight="1" x14ac:dyDescent="0.2">
      <c r="B4" s="74"/>
      <c r="C4" s="238"/>
      <c r="D4" s="239"/>
      <c r="E4" s="75"/>
      <c r="F4" s="75"/>
      <c r="G4" s="75"/>
      <c r="H4" s="75"/>
      <c r="M4" s="73"/>
      <c r="N4" s="73"/>
      <c r="O4" s="71"/>
      <c r="P4" s="71"/>
      <c r="Q4" s="71"/>
      <c r="R4" s="71"/>
      <c r="S4" s="71"/>
    </row>
    <row r="5" spans="2:19" x14ac:dyDescent="0.2">
      <c r="B5" s="72" t="s">
        <v>13</v>
      </c>
      <c r="C5" s="76"/>
      <c r="D5" s="160" t="s">
        <v>44</v>
      </c>
      <c r="E5" s="77"/>
      <c r="F5" s="77"/>
      <c r="G5" s="77"/>
      <c r="H5" s="77"/>
      <c r="M5" s="73"/>
      <c r="N5" s="73"/>
      <c r="O5" s="71"/>
      <c r="P5" s="71"/>
      <c r="Q5" s="71"/>
      <c r="R5" s="71"/>
      <c r="S5" s="71"/>
    </row>
    <row r="6" spans="2:19" x14ac:dyDescent="0.2">
      <c r="B6" s="78" t="s">
        <v>38</v>
      </c>
      <c r="C6" s="221" t="s">
        <v>140</v>
      </c>
      <c r="D6" s="79">
        <v>128.38</v>
      </c>
      <c r="E6" s="80"/>
      <c r="F6" s="80"/>
      <c r="G6" s="80"/>
      <c r="H6" s="80"/>
      <c r="M6" s="73"/>
      <c r="N6" s="73"/>
      <c r="O6" s="71"/>
      <c r="P6" s="71"/>
      <c r="Q6" s="71"/>
      <c r="R6" s="71"/>
      <c r="S6" s="71"/>
    </row>
    <row r="7" spans="2:19" x14ac:dyDescent="0.2">
      <c r="B7" s="240" t="s">
        <v>89</v>
      </c>
      <c r="C7" s="222" t="s">
        <v>139</v>
      </c>
      <c r="D7" s="81">
        <f>'Proposed Fee'!J8</f>
        <v>37.598121447024063</v>
      </c>
      <c r="E7" s="80"/>
      <c r="F7" s="80"/>
      <c r="G7" s="80"/>
      <c r="H7" s="80"/>
      <c r="O7" s="71"/>
      <c r="P7" s="71"/>
      <c r="Q7" s="71"/>
      <c r="R7" s="71"/>
      <c r="S7" s="71"/>
    </row>
    <row r="8" spans="2:19" x14ac:dyDescent="0.2">
      <c r="B8" s="241"/>
      <c r="C8" s="223" t="s">
        <v>142</v>
      </c>
      <c r="D8" s="81">
        <f>'Proposed Fee'!J16</f>
        <v>45.432504618828055</v>
      </c>
      <c r="E8" s="80"/>
      <c r="F8" s="80"/>
      <c r="G8" s="80"/>
      <c r="H8" s="80"/>
      <c r="O8" s="71"/>
      <c r="P8" s="71"/>
      <c r="Q8" s="71"/>
      <c r="R8" s="71"/>
      <c r="S8" s="71"/>
    </row>
    <row r="9" spans="2:19" x14ac:dyDescent="0.2">
      <c r="B9" s="82" t="s">
        <v>45</v>
      </c>
      <c r="C9" s="229" t="s">
        <v>64</v>
      </c>
      <c r="D9" s="230"/>
      <c r="E9" s="83"/>
      <c r="F9" s="84"/>
      <c r="G9" s="84"/>
      <c r="H9" s="84"/>
      <c r="O9" s="71"/>
      <c r="P9" s="71"/>
      <c r="Q9" s="71"/>
      <c r="R9" s="71"/>
      <c r="S9" s="71"/>
    </row>
    <row r="10" spans="2:19" x14ac:dyDescent="0.2">
      <c r="B10" s="85" t="s">
        <v>5</v>
      </c>
      <c r="C10" s="86"/>
      <c r="D10" s="86"/>
      <c r="E10" s="87"/>
      <c r="F10" s="87"/>
      <c r="G10" s="87"/>
      <c r="H10" s="87"/>
      <c r="O10" s="71"/>
      <c r="P10" s="71"/>
      <c r="Q10" s="71"/>
      <c r="R10" s="71"/>
      <c r="S10" s="71"/>
    </row>
    <row r="11" spans="2:19" ht="230.25" customHeight="1" x14ac:dyDescent="0.2">
      <c r="B11" s="235" t="s">
        <v>133</v>
      </c>
      <c r="C11" s="236"/>
      <c r="D11" s="236"/>
      <c r="E11" s="236"/>
      <c r="F11" s="236"/>
      <c r="G11" s="236"/>
      <c r="H11" s="236"/>
      <c r="O11" s="71"/>
      <c r="P11" s="71"/>
      <c r="Q11" s="71"/>
      <c r="R11" s="71"/>
      <c r="S11" s="71"/>
    </row>
    <row r="12" spans="2:19" x14ac:dyDescent="0.2">
      <c r="B12" s="88"/>
      <c r="C12" s="88"/>
      <c r="D12" s="88"/>
      <c r="E12" s="88"/>
      <c r="F12" s="88"/>
      <c r="G12" s="88"/>
      <c r="H12" s="88"/>
      <c r="O12" s="71"/>
      <c r="P12" s="71"/>
      <c r="Q12" s="71"/>
      <c r="R12" s="71"/>
      <c r="S12" s="71"/>
    </row>
    <row r="13" spans="2:19" x14ac:dyDescent="0.2">
      <c r="O13" s="71"/>
      <c r="P13" s="71"/>
      <c r="Q13" s="71"/>
      <c r="R13" s="71"/>
      <c r="S13" s="71"/>
    </row>
    <row r="14" spans="2:19" x14ac:dyDescent="0.2">
      <c r="B14" s="89" t="s">
        <v>31</v>
      </c>
      <c r="C14" s="69"/>
      <c r="D14" s="69"/>
      <c r="E14" s="69"/>
      <c r="F14" s="69"/>
      <c r="G14" s="69"/>
      <c r="H14" s="69"/>
      <c r="O14" s="71"/>
      <c r="P14" s="71"/>
      <c r="Q14" s="71"/>
      <c r="R14" s="71"/>
      <c r="S14" s="71"/>
    </row>
    <row r="15" spans="2:19" x14ac:dyDescent="0.2">
      <c r="B15" s="234"/>
      <c r="C15" s="234"/>
      <c r="D15" s="234"/>
      <c r="E15" s="234"/>
      <c r="F15" s="234"/>
      <c r="G15" s="234"/>
      <c r="H15" s="234"/>
    </row>
    <row r="16" spans="2:19" ht="128.25" customHeight="1" x14ac:dyDescent="0.2">
      <c r="B16" s="237" t="s">
        <v>146</v>
      </c>
      <c r="C16" s="237"/>
      <c r="D16" s="237"/>
      <c r="E16" s="237"/>
      <c r="F16" s="237"/>
      <c r="G16" s="237"/>
      <c r="H16" s="237"/>
      <c r="I16" s="71"/>
    </row>
    <row r="17" spans="2:9" x14ac:dyDescent="0.2">
      <c r="B17" s="90"/>
      <c r="C17" s="90"/>
      <c r="D17" s="90"/>
      <c r="E17" s="90"/>
      <c r="F17" s="90"/>
      <c r="G17" s="90"/>
      <c r="H17" s="90"/>
    </row>
    <row r="18" spans="2:9" x14ac:dyDescent="0.2">
      <c r="B18" s="91"/>
      <c r="C18" s="91"/>
      <c r="D18" s="91"/>
      <c r="E18" s="91"/>
      <c r="F18" s="91"/>
      <c r="G18" s="91"/>
      <c r="H18" s="91"/>
    </row>
    <row r="19" spans="2:9" x14ac:dyDescent="0.2">
      <c r="B19" s="89" t="s">
        <v>39</v>
      </c>
      <c r="C19" s="69"/>
      <c r="D19" s="69"/>
      <c r="E19" s="69"/>
      <c r="F19" s="69"/>
      <c r="G19" s="69"/>
      <c r="H19" s="69"/>
    </row>
    <row r="20" spans="2:9" x14ac:dyDescent="0.2">
      <c r="B20" s="234"/>
      <c r="C20" s="234"/>
      <c r="D20" s="234"/>
      <c r="E20" s="234"/>
      <c r="F20" s="234"/>
      <c r="G20" s="234"/>
      <c r="H20" s="234"/>
    </row>
    <row r="21" spans="2:9" x14ac:dyDescent="0.2">
      <c r="B21" s="237" t="s">
        <v>141</v>
      </c>
      <c r="C21" s="244"/>
      <c r="D21" s="244"/>
      <c r="E21" s="244"/>
      <c r="F21" s="244"/>
      <c r="G21" s="244"/>
      <c r="H21" s="244"/>
    </row>
    <row r="22" spans="2:9" x14ac:dyDescent="0.2">
      <c r="B22" s="244"/>
      <c r="C22" s="244"/>
      <c r="D22" s="244"/>
      <c r="E22" s="244"/>
      <c r="F22" s="244"/>
      <c r="G22" s="244"/>
      <c r="H22" s="244"/>
    </row>
    <row r="23" spans="2:9" x14ac:dyDescent="0.2">
      <c r="B23" s="244"/>
      <c r="C23" s="245"/>
      <c r="D23" s="245"/>
      <c r="E23" s="245"/>
      <c r="F23" s="245"/>
      <c r="G23" s="245"/>
      <c r="H23" s="245"/>
    </row>
    <row r="24" spans="2:9" x14ac:dyDescent="0.2">
      <c r="B24" s="92"/>
      <c r="C24" s="92"/>
      <c r="D24" s="92"/>
      <c r="E24" s="92"/>
      <c r="F24" s="92"/>
      <c r="G24" s="92"/>
      <c r="H24" s="92"/>
    </row>
    <row r="25" spans="2:9" x14ac:dyDescent="0.2">
      <c r="B25" s="234"/>
      <c r="C25" s="234"/>
      <c r="D25" s="234"/>
      <c r="E25" s="234"/>
      <c r="F25" s="234"/>
      <c r="G25" s="234"/>
      <c r="H25" s="234"/>
    </row>
    <row r="26" spans="2:9" x14ac:dyDescent="0.2">
      <c r="B26" s="90"/>
      <c r="C26" s="90"/>
      <c r="D26" s="90"/>
      <c r="E26" s="90"/>
      <c r="F26" s="90"/>
      <c r="G26" s="90"/>
      <c r="H26" s="90"/>
    </row>
    <row r="27" spans="2:9" x14ac:dyDescent="0.2">
      <c r="B27" s="90"/>
      <c r="C27" s="90"/>
      <c r="D27" s="90"/>
      <c r="E27" s="90"/>
      <c r="F27" s="90"/>
      <c r="G27" s="90"/>
      <c r="H27" s="90"/>
    </row>
    <row r="28" spans="2:9" x14ac:dyDescent="0.2">
      <c r="B28" s="90"/>
      <c r="C28" s="90"/>
      <c r="D28" s="90"/>
      <c r="E28" s="90"/>
      <c r="F28" s="90"/>
      <c r="G28" s="90"/>
      <c r="H28" s="90"/>
    </row>
    <row r="29" spans="2:9" x14ac:dyDescent="0.2">
      <c r="B29" s="90"/>
      <c r="C29" s="90"/>
      <c r="D29" s="90"/>
      <c r="E29" s="90"/>
      <c r="F29" s="90"/>
      <c r="G29" s="90"/>
      <c r="H29" s="90"/>
    </row>
    <row r="30" spans="2:9" x14ac:dyDescent="0.2">
      <c r="B30" s="93"/>
      <c r="C30" s="93"/>
      <c r="D30" s="93"/>
      <c r="E30" s="93"/>
      <c r="F30" s="93"/>
      <c r="G30" s="93"/>
      <c r="H30" s="93"/>
      <c r="I30" s="71"/>
    </row>
    <row r="31" spans="2:9" x14ac:dyDescent="0.2">
      <c r="B31" s="89" t="s">
        <v>6</v>
      </c>
    </row>
    <row r="32" spans="2:9" x14ac:dyDescent="0.2">
      <c r="B32" s="94" t="s">
        <v>14</v>
      </c>
      <c r="C32" s="95" t="s">
        <v>29</v>
      </c>
      <c r="D32" s="95"/>
      <c r="E32" s="95"/>
      <c r="F32" s="95"/>
      <c r="G32" s="95"/>
      <c r="H32" s="95"/>
    </row>
    <row r="33" spans="2:8" x14ac:dyDescent="0.2">
      <c r="B33" s="96" t="s">
        <v>42</v>
      </c>
      <c r="C33" s="95" t="s">
        <v>48</v>
      </c>
      <c r="D33" s="95"/>
      <c r="E33" s="95"/>
      <c r="F33" s="95"/>
      <c r="G33" s="95"/>
      <c r="H33" s="95"/>
    </row>
    <row r="34" spans="2:8" x14ac:dyDescent="0.2">
      <c r="B34" s="96" t="s">
        <v>43</v>
      </c>
      <c r="C34" s="95" t="s">
        <v>49</v>
      </c>
      <c r="D34" s="95"/>
      <c r="E34" s="95"/>
      <c r="F34" s="95"/>
      <c r="G34" s="95"/>
      <c r="H34" s="95"/>
    </row>
    <row r="35" spans="2:8" x14ac:dyDescent="0.2">
      <c r="B35" s="96" t="s">
        <v>15</v>
      </c>
      <c r="C35" s="95" t="s">
        <v>30</v>
      </c>
      <c r="D35" s="95"/>
      <c r="E35" s="95"/>
      <c r="F35" s="95"/>
      <c r="G35" s="95"/>
      <c r="H35" s="95"/>
    </row>
    <row r="38" spans="2:8" x14ac:dyDescent="0.2">
      <c r="B38" s="89" t="s">
        <v>32</v>
      </c>
      <c r="C38" s="69"/>
      <c r="D38" s="69"/>
      <c r="E38" s="69"/>
      <c r="F38" s="69"/>
      <c r="G38" s="69"/>
      <c r="H38" s="69"/>
    </row>
    <row r="40" spans="2:8" x14ac:dyDescent="0.2">
      <c r="B40" s="97"/>
      <c r="C40" s="98" t="s">
        <v>33</v>
      </c>
      <c r="D40" s="98" t="s">
        <v>34</v>
      </c>
      <c r="E40" s="98" t="s">
        <v>35</v>
      </c>
      <c r="F40" s="98" t="s">
        <v>37</v>
      </c>
      <c r="G40" s="98" t="s">
        <v>36</v>
      </c>
      <c r="H40" s="99" t="s">
        <v>1</v>
      </c>
    </row>
    <row r="41" spans="2:8" x14ac:dyDescent="0.2">
      <c r="C41" s="100"/>
      <c r="D41" s="100"/>
      <c r="E41" s="100"/>
      <c r="F41" s="100"/>
      <c r="G41" s="100"/>
      <c r="H41" s="100"/>
    </row>
    <row r="42" spans="2:8" x14ac:dyDescent="0.2">
      <c r="B42" s="161" t="s">
        <v>90</v>
      </c>
      <c r="C42" s="101">
        <f>'Forecast Revenue - Costs'!D30</f>
        <v>349512.79999999993</v>
      </c>
      <c r="D42" s="101">
        <f>'Forecast Revenue - Costs'!E30</f>
        <v>335532.28799999994</v>
      </c>
      <c r="E42" s="101">
        <f>'Forecast Revenue - Costs'!F30</f>
        <v>325654.21744127991</v>
      </c>
      <c r="F42" s="101">
        <f>'Forecast Revenue - Costs'!G30</f>
        <v>319859.76076716639</v>
      </c>
      <c r="G42" s="101">
        <f>'Forecast Revenue - Costs'!H30</f>
        <v>317435.75791052741</v>
      </c>
      <c r="H42" s="101">
        <f>SUM(C42:G42)</f>
        <v>1647994.8241189737</v>
      </c>
    </row>
    <row r="43" spans="2:8" x14ac:dyDescent="0.2">
      <c r="C43" s="102"/>
      <c r="D43" s="103"/>
      <c r="E43" s="102"/>
      <c r="F43" s="102"/>
      <c r="G43" s="102"/>
    </row>
    <row r="44" spans="2:8" x14ac:dyDescent="0.2">
      <c r="B44" s="161" t="s">
        <v>91</v>
      </c>
      <c r="C44" s="101">
        <f>SUM('Forecast Revenue - Costs'!D31:D33)</f>
        <v>254950.15775940346</v>
      </c>
      <c r="D44" s="101">
        <f>SUM('Forecast Revenue - Costs'!E31:E33)</f>
        <v>244752.15144902733</v>
      </c>
      <c r="E44" s="101">
        <f>SUM('Forecast Revenue - Costs'!F31:F33)</f>
        <v>237546.64811036794</v>
      </c>
      <c r="F44" s="101">
        <f>SUM('Forecast Revenue - Costs'!G31:G33)</f>
        <v>233319.91408747871</v>
      </c>
      <c r="G44" s="101">
        <f>SUM('Forecast Revenue - Costs'!H31:H33)</f>
        <v>231551.73875682024</v>
      </c>
      <c r="H44" s="101">
        <f>SUM(C44:G44)</f>
        <v>1202120.6101630977</v>
      </c>
    </row>
    <row r="45" spans="2:8" x14ac:dyDescent="0.2">
      <c r="C45" s="102"/>
      <c r="D45" s="103"/>
      <c r="E45" s="102"/>
      <c r="F45" s="102"/>
      <c r="G45" s="102"/>
    </row>
    <row r="46" spans="2:8" x14ac:dyDescent="0.2">
      <c r="B46" s="161" t="s">
        <v>92</v>
      </c>
      <c r="C46" s="101">
        <f t="shared" ref="C46:H46" si="0">+C42+C44</f>
        <v>604462.95775940339</v>
      </c>
      <c r="D46" s="101">
        <f t="shared" si="0"/>
        <v>580284.4394490273</v>
      </c>
      <c r="E46" s="101">
        <f t="shared" si="0"/>
        <v>563200.86555164785</v>
      </c>
      <c r="F46" s="101">
        <f t="shared" si="0"/>
        <v>553179.67485464504</v>
      </c>
      <c r="G46" s="101">
        <f t="shared" si="0"/>
        <v>548987.49666734762</v>
      </c>
      <c r="H46" s="101">
        <f t="shared" si="0"/>
        <v>2850115.4342820714</v>
      </c>
    </row>
    <row r="47" spans="2:8" x14ac:dyDescent="0.2">
      <c r="C47" s="104"/>
      <c r="D47" s="104"/>
      <c r="E47" s="104"/>
      <c r="F47" s="104"/>
      <c r="G47" s="104"/>
    </row>
    <row r="48" spans="2:8" x14ac:dyDescent="0.2">
      <c r="B48" s="105" t="s">
        <v>6</v>
      </c>
    </row>
    <row r="49" spans="2:9" ht="14.25" customHeight="1" x14ac:dyDescent="0.2">
      <c r="B49" s="242" t="s">
        <v>143</v>
      </c>
      <c r="C49" s="242"/>
      <c r="D49" s="242"/>
      <c r="E49" s="242"/>
      <c r="F49" s="242"/>
      <c r="G49" s="242"/>
      <c r="H49" s="242"/>
    </row>
    <row r="50" spans="2:9" x14ac:dyDescent="0.2">
      <c r="B50" s="243"/>
      <c r="C50" s="243"/>
      <c r="D50" s="243"/>
      <c r="E50" s="243"/>
      <c r="F50" s="243"/>
      <c r="G50" s="243"/>
      <c r="H50" s="243"/>
      <c r="I50" s="71"/>
    </row>
    <row r="51" spans="2:9" x14ac:dyDescent="0.2">
      <c r="B51" s="243"/>
      <c r="C51" s="243"/>
      <c r="D51" s="243"/>
      <c r="E51" s="243"/>
      <c r="F51" s="243"/>
      <c r="G51" s="243"/>
      <c r="H51" s="243"/>
      <c r="I51" s="71"/>
    </row>
    <row r="52" spans="2:9" x14ac:dyDescent="0.2">
      <c r="B52" s="243"/>
      <c r="C52" s="243"/>
      <c r="D52" s="243"/>
      <c r="E52" s="243"/>
      <c r="F52" s="243"/>
      <c r="G52" s="243"/>
      <c r="H52" s="243"/>
      <c r="I52" s="71"/>
    </row>
    <row r="53" spans="2:9" x14ac:dyDescent="0.2">
      <c r="B53" s="243"/>
      <c r="C53" s="243"/>
      <c r="D53" s="243"/>
      <c r="E53" s="243"/>
      <c r="F53" s="243"/>
      <c r="G53" s="243"/>
      <c r="H53" s="243"/>
      <c r="I53" s="71"/>
    </row>
    <row r="54" spans="2:9" x14ac:dyDescent="0.2">
      <c r="B54" s="243"/>
      <c r="C54" s="243"/>
      <c r="D54" s="243"/>
      <c r="E54" s="243"/>
      <c r="F54" s="243"/>
      <c r="G54" s="243"/>
      <c r="H54" s="243"/>
      <c r="I54" s="71"/>
    </row>
    <row r="55" spans="2:9" x14ac:dyDescent="0.2">
      <c r="B55" s="243"/>
      <c r="C55" s="243"/>
      <c r="D55" s="243"/>
      <c r="E55" s="243"/>
      <c r="F55" s="243"/>
      <c r="G55" s="243"/>
      <c r="H55" s="243"/>
      <c r="I55" s="71"/>
    </row>
    <row r="58" spans="2:9" x14ac:dyDescent="0.2">
      <c r="B58" s="89" t="s">
        <v>65</v>
      </c>
      <c r="C58" s="69"/>
      <c r="D58" s="69"/>
      <c r="E58" s="69"/>
      <c r="F58" s="69"/>
      <c r="G58" s="69"/>
      <c r="H58" s="69"/>
    </row>
    <row r="59" spans="2:9" x14ac:dyDescent="0.2">
      <c r="B59" s="106"/>
    </row>
    <row r="60" spans="2:9" x14ac:dyDescent="0.2">
      <c r="B60" s="107"/>
      <c r="C60" s="108" t="s">
        <v>33</v>
      </c>
      <c r="D60" s="108" t="s">
        <v>34</v>
      </c>
      <c r="E60" s="108" t="s">
        <v>35</v>
      </c>
      <c r="F60" s="108" t="s">
        <v>37</v>
      </c>
      <c r="G60" s="108" t="s">
        <v>36</v>
      </c>
      <c r="H60" s="109" t="s">
        <v>1</v>
      </c>
    </row>
    <row r="61" spans="2:9" x14ac:dyDescent="0.2">
      <c r="C61" s="110"/>
      <c r="D61" s="110"/>
      <c r="E61" s="110"/>
      <c r="F61" s="110"/>
      <c r="G61" s="110"/>
      <c r="H61" s="110"/>
    </row>
    <row r="62" spans="2:9" x14ac:dyDescent="0.2">
      <c r="B62" s="107" t="s">
        <v>12</v>
      </c>
      <c r="C62" s="111">
        <f>'Forecast Revenue - Costs'!D13</f>
        <v>14000</v>
      </c>
      <c r="D62" s="111">
        <f>'Forecast Revenue - Costs'!E13</f>
        <v>13440</v>
      </c>
      <c r="E62" s="111">
        <f>'Forecast Revenue - Costs'!F13</f>
        <v>12902.4</v>
      </c>
      <c r="F62" s="111">
        <f>'Forecast Revenue - Costs'!G13</f>
        <v>12386.304</v>
      </c>
      <c r="G62" s="111">
        <f>'Forecast Revenue - Costs'!H13</f>
        <v>11890.851839999999</v>
      </c>
      <c r="H62" s="111">
        <f>SUM(C62:G62)</f>
        <v>64619.555840000001</v>
      </c>
    </row>
    <row r="63" spans="2:9" x14ac:dyDescent="0.2">
      <c r="C63" s="112"/>
      <c r="D63" s="112"/>
      <c r="E63" s="112"/>
      <c r="F63" s="112"/>
      <c r="G63" s="112"/>
      <c r="H63" s="113"/>
    </row>
  </sheetData>
  <mergeCells count="13">
    <mergeCell ref="B49:H55"/>
    <mergeCell ref="B20:H20"/>
    <mergeCell ref="B21:H21"/>
    <mergeCell ref="B22:H22"/>
    <mergeCell ref="B23:H23"/>
    <mergeCell ref="B25:H25"/>
    <mergeCell ref="C9:D9"/>
    <mergeCell ref="C3:H3"/>
    <mergeCell ref="B15:H15"/>
    <mergeCell ref="B11:H11"/>
    <mergeCell ref="B16:H16"/>
    <mergeCell ref="C4:D4"/>
    <mergeCell ref="B7:B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7" zoomScaleNormal="100" workbookViewId="0">
      <selection activeCell="E25" sqref="E25"/>
    </sheetView>
  </sheetViews>
  <sheetFormatPr defaultRowHeight="12.75" x14ac:dyDescent="0.2"/>
  <cols>
    <col min="1" max="1" width="2.28515625" style="61" customWidth="1"/>
    <col min="2" max="2" width="2.42578125" style="60" customWidth="1"/>
    <col min="3" max="3" width="10.140625" style="60" customWidth="1"/>
    <col min="4" max="9" width="13.140625" style="60" customWidth="1"/>
    <col min="10" max="11" width="9.140625" style="60"/>
    <col min="12" max="12" width="5.28515625" style="60" customWidth="1"/>
    <col min="13" max="13" width="2.42578125" style="61" customWidth="1"/>
    <col min="14" max="16384" width="9.140625" style="61"/>
  </cols>
  <sheetData>
    <row r="1" spans="2:14" ht="9" customHeight="1" x14ac:dyDescent="0.2"/>
    <row r="2" spans="2:14" ht="18" customHeight="1" x14ac:dyDescent="0.2">
      <c r="B2" s="62" t="s">
        <v>16</v>
      </c>
      <c r="C2" s="62"/>
      <c r="D2" s="62"/>
      <c r="E2" s="62"/>
      <c r="F2" s="62"/>
      <c r="G2" s="62"/>
      <c r="H2" s="62"/>
      <c r="I2" s="62"/>
      <c r="J2" s="62"/>
      <c r="K2" s="62"/>
    </row>
    <row r="3" spans="2:14" x14ac:dyDescent="0.2">
      <c r="B3" s="63" t="s">
        <v>0</v>
      </c>
      <c r="C3" s="64"/>
      <c r="D3" s="248" t="str">
        <f>'AER Summary'!C3</f>
        <v>Disconnection / Reconnections - Vacant Premise</v>
      </c>
      <c r="E3" s="249"/>
      <c r="F3" s="249"/>
      <c r="G3" s="249"/>
      <c r="H3" s="249"/>
      <c r="I3" s="249"/>
      <c r="J3" s="249"/>
      <c r="K3" s="249"/>
      <c r="N3" s="65"/>
    </row>
    <row r="4" spans="2:14" x14ac:dyDescent="0.2">
      <c r="N4" s="65"/>
    </row>
    <row r="5" spans="2:14" x14ac:dyDescent="0.2">
      <c r="B5" s="250" t="s">
        <v>60</v>
      </c>
      <c r="C5" s="250"/>
      <c r="D5" s="250"/>
      <c r="E5" s="250"/>
      <c r="F5" s="250"/>
      <c r="G5" s="250"/>
      <c r="H5" s="250"/>
      <c r="I5" s="250"/>
      <c r="J5" s="250"/>
      <c r="K5" s="250"/>
      <c r="N5" s="65"/>
    </row>
    <row r="6" spans="2:14" ht="209.25" customHeight="1" x14ac:dyDescent="0.2">
      <c r="B6" s="251" t="s">
        <v>134</v>
      </c>
      <c r="C6" s="252"/>
      <c r="D6" s="252"/>
      <c r="E6" s="252"/>
      <c r="F6" s="252"/>
      <c r="G6" s="252"/>
      <c r="H6" s="252"/>
      <c r="I6" s="252"/>
      <c r="J6" s="252"/>
      <c r="K6" s="252"/>
      <c r="N6" s="65"/>
    </row>
    <row r="9" spans="2:14" x14ac:dyDescent="0.2">
      <c r="B9" s="250" t="s">
        <v>40</v>
      </c>
      <c r="C9" s="250"/>
      <c r="D9" s="250"/>
      <c r="E9" s="250"/>
      <c r="F9" s="250"/>
      <c r="G9" s="250"/>
      <c r="H9" s="250"/>
      <c r="I9" s="250"/>
      <c r="J9" s="250"/>
      <c r="K9" s="250"/>
    </row>
    <row r="10" spans="2:14" ht="15" customHeight="1" x14ac:dyDescent="0.2">
      <c r="B10" s="247" t="s">
        <v>61</v>
      </c>
      <c r="C10" s="247"/>
      <c r="D10" s="247"/>
      <c r="E10" s="247"/>
      <c r="F10" s="247"/>
      <c r="G10" s="247"/>
      <c r="H10" s="247"/>
      <c r="I10" s="247"/>
      <c r="J10" s="247"/>
      <c r="K10" s="247"/>
    </row>
    <row r="11" spans="2:14" ht="24.75" customHeight="1" x14ac:dyDescent="0.2">
      <c r="B11" s="253"/>
      <c r="C11" s="253"/>
      <c r="D11" s="253"/>
      <c r="E11" s="253"/>
      <c r="F11" s="253"/>
      <c r="G11" s="253"/>
      <c r="H11" s="253"/>
      <c r="I11" s="253"/>
      <c r="J11" s="253"/>
      <c r="K11" s="253"/>
      <c r="L11" s="66"/>
      <c r="M11" s="67"/>
      <c r="N11" s="67"/>
    </row>
    <row r="12" spans="2:14" x14ac:dyDescent="0.2">
      <c r="B12" s="253"/>
      <c r="C12" s="253"/>
      <c r="D12" s="253"/>
      <c r="E12" s="253"/>
      <c r="F12" s="253"/>
      <c r="G12" s="253"/>
      <c r="H12" s="253"/>
      <c r="I12" s="253"/>
      <c r="J12" s="253"/>
      <c r="K12" s="253"/>
      <c r="L12" s="66"/>
      <c r="M12" s="67"/>
      <c r="N12" s="67"/>
    </row>
    <row r="13" spans="2:14" x14ac:dyDescent="0.2">
      <c r="B13" s="253"/>
      <c r="C13" s="253"/>
      <c r="D13" s="253"/>
      <c r="E13" s="253"/>
      <c r="F13" s="253"/>
      <c r="G13" s="253"/>
      <c r="H13" s="253"/>
      <c r="I13" s="253"/>
      <c r="J13" s="253"/>
      <c r="K13" s="253"/>
      <c r="L13" s="66"/>
      <c r="M13" s="67"/>
      <c r="N13" s="67"/>
    </row>
    <row r="14" spans="2:14" ht="48" customHeight="1" x14ac:dyDescent="0.2">
      <c r="B14" s="253"/>
      <c r="C14" s="253"/>
      <c r="D14" s="253"/>
      <c r="E14" s="253"/>
      <c r="F14" s="253"/>
      <c r="G14" s="253"/>
      <c r="H14" s="253"/>
      <c r="I14" s="253"/>
      <c r="J14" s="253"/>
      <c r="K14" s="253"/>
      <c r="L14" s="66"/>
      <c r="M14" s="67"/>
      <c r="N14" s="67"/>
    </row>
    <row r="15" spans="2:14" x14ac:dyDescent="0.2">
      <c r="B15" s="253"/>
      <c r="C15" s="253"/>
      <c r="D15" s="253"/>
      <c r="E15" s="253"/>
      <c r="F15" s="253"/>
      <c r="G15" s="253"/>
      <c r="H15" s="253"/>
      <c r="I15" s="253"/>
      <c r="J15" s="253"/>
      <c r="K15" s="253"/>
      <c r="L15" s="66"/>
      <c r="M15" s="67"/>
      <c r="N15" s="67"/>
    </row>
    <row r="16" spans="2:14" ht="78.75" customHeight="1" x14ac:dyDescent="0.2">
      <c r="B16" s="253"/>
      <c r="C16" s="253"/>
      <c r="D16" s="253"/>
      <c r="E16" s="253"/>
      <c r="F16" s="253"/>
      <c r="G16" s="253"/>
      <c r="H16" s="253"/>
      <c r="I16" s="253"/>
      <c r="J16" s="253"/>
      <c r="K16" s="253"/>
      <c r="L16" s="66"/>
      <c r="M16" s="67"/>
      <c r="N16" s="67"/>
    </row>
    <row r="17" spans="2:14" x14ac:dyDescent="0.2">
      <c r="L17" s="66"/>
      <c r="M17" s="67"/>
      <c r="N17" s="67"/>
    </row>
    <row r="18" spans="2:14" x14ac:dyDescent="0.2">
      <c r="L18" s="66"/>
      <c r="M18" s="67"/>
      <c r="N18" s="67"/>
    </row>
    <row r="19" spans="2:14" x14ac:dyDescent="0.2">
      <c r="B19" s="250" t="s">
        <v>41</v>
      </c>
      <c r="C19" s="250"/>
      <c r="D19" s="250"/>
      <c r="E19" s="250"/>
      <c r="F19" s="250"/>
      <c r="G19" s="250"/>
      <c r="H19" s="250"/>
      <c r="I19" s="250"/>
      <c r="J19" s="250"/>
      <c r="K19" s="250"/>
      <c r="L19" s="66"/>
      <c r="M19" s="67"/>
      <c r="N19" s="67"/>
    </row>
    <row r="20" spans="2:14" ht="218.25" customHeight="1" x14ac:dyDescent="0.2">
      <c r="B20" s="247" t="str">
        <f>'AER Summary'!B11:H11</f>
        <v xml:space="preserve">
Disconnection / Reconnections - Vacant Premise
At the request of the retailer, a site visit to a customer’s premises to disconnect or reconnect the supply of electricity due to:
&gt; a vacant premises; or
&gt; a site where the power is on.
If, following a request from a retailer, the reconnection component of this service is provided outside the hours of 7.30am and 5.00pm on a working day, the additional ‘Reconnection - outside normal business hours’ charge, will apply.
The disconnection/reconnection method will be at Essential Energy’s discretion and will involve one of the following methods:
&gt; rotate plug in meter; or
&gt; removal of the service fuses; or
&gt; removal of barge board fuses; or
&gt; turn off and sticker covering main switch; or
&gt; turn off and tag and leave card.</v>
      </c>
      <c r="C20" s="247"/>
      <c r="D20" s="247"/>
      <c r="E20" s="247"/>
      <c r="F20" s="247"/>
      <c r="G20" s="247"/>
      <c r="H20" s="247"/>
      <c r="I20" s="247"/>
      <c r="J20" s="247"/>
      <c r="K20" s="247"/>
    </row>
    <row r="21" spans="2:14" x14ac:dyDescent="0.2">
      <c r="B21" s="246"/>
      <c r="C21" s="246"/>
      <c r="D21" s="246"/>
      <c r="E21" s="246"/>
      <c r="F21" s="246"/>
      <c r="G21" s="246"/>
      <c r="H21" s="246"/>
      <c r="I21" s="246"/>
      <c r="J21" s="246"/>
      <c r="K21" s="246"/>
    </row>
    <row r="34" spans="2:12" x14ac:dyDescent="0.2">
      <c r="B34" s="61"/>
      <c r="C34" s="61"/>
      <c r="D34" s="61"/>
      <c r="E34" s="61"/>
      <c r="F34" s="61"/>
      <c r="G34" s="61"/>
      <c r="H34" s="61"/>
      <c r="I34" s="61"/>
      <c r="J34" s="61"/>
      <c r="K34" s="61"/>
      <c r="L34" s="6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B36" sqref="B36"/>
    </sheetView>
  </sheetViews>
  <sheetFormatPr defaultRowHeight="12.75" x14ac:dyDescent="0.2"/>
  <cols>
    <col min="1" max="1" width="3.5703125" style="119" customWidth="1"/>
    <col min="2" max="2" width="58.7109375" style="119" customWidth="1"/>
    <col min="3" max="3" width="65.140625" style="119" customWidth="1"/>
    <col min="4" max="4" width="12.85546875" style="119" customWidth="1"/>
    <col min="5" max="8" width="11.28515625" style="119" customWidth="1"/>
    <col min="9" max="9" width="12.7109375" style="119" customWidth="1"/>
    <col min="10" max="16384" width="9.140625" style="119"/>
  </cols>
  <sheetData>
    <row r="2" spans="1:9" x14ac:dyDescent="0.2">
      <c r="B2" s="120" t="s">
        <v>66</v>
      </c>
      <c r="C2" s="121"/>
      <c r="D2" s="121"/>
      <c r="E2" s="121"/>
      <c r="F2" s="121"/>
      <c r="G2" s="121"/>
      <c r="H2" s="121"/>
      <c r="I2" s="121"/>
    </row>
    <row r="3" spans="1:9" x14ac:dyDescent="0.2">
      <c r="B3" s="122" t="s">
        <v>20</v>
      </c>
      <c r="C3" s="122" t="s">
        <v>3</v>
      </c>
      <c r="D3" s="123" t="s">
        <v>55</v>
      </c>
      <c r="E3" s="123" t="s">
        <v>54</v>
      </c>
      <c r="F3" s="123" t="s">
        <v>53</v>
      </c>
      <c r="G3" s="124" t="s">
        <v>73</v>
      </c>
      <c r="H3" s="124" t="s">
        <v>74</v>
      </c>
      <c r="I3" s="125" t="s">
        <v>1</v>
      </c>
    </row>
    <row r="4" spans="1:9" x14ac:dyDescent="0.2">
      <c r="B4" s="126" t="s">
        <v>21</v>
      </c>
      <c r="C4" s="126" t="s">
        <v>69</v>
      </c>
      <c r="D4" s="127" t="s">
        <v>72</v>
      </c>
      <c r="E4" s="128">
        <v>1003138.87</v>
      </c>
      <c r="F4" s="128">
        <v>56143.69</v>
      </c>
      <c r="G4" s="128">
        <v>60436.24</v>
      </c>
      <c r="H4" s="128">
        <v>61947.146000000001</v>
      </c>
      <c r="I4" s="162">
        <f>SUM(D4:H4)</f>
        <v>1181665.946</v>
      </c>
    </row>
    <row r="5" spans="1:9" x14ac:dyDescent="0.2">
      <c r="B5" s="126" t="s">
        <v>23</v>
      </c>
      <c r="C5" s="129"/>
      <c r="D5" s="128"/>
      <c r="E5" s="128">
        <v>1429.84</v>
      </c>
      <c r="F5" s="128">
        <v>72.53</v>
      </c>
      <c r="G5" s="128">
        <v>7.78</v>
      </c>
      <c r="H5" s="128">
        <v>7.9744999999999999</v>
      </c>
      <c r="I5" s="162">
        <f t="shared" ref="I5:I9" si="0">SUM(D5:H5)</f>
        <v>1518.1244999999999</v>
      </c>
    </row>
    <row r="6" spans="1:9" x14ac:dyDescent="0.2">
      <c r="B6" s="126" t="s">
        <v>24</v>
      </c>
      <c r="C6" s="126"/>
      <c r="D6" s="128">
        <v>0</v>
      </c>
      <c r="E6" s="128">
        <v>289384.33</v>
      </c>
      <c r="F6" s="128">
        <v>16906.3</v>
      </c>
      <c r="G6" s="128">
        <v>16079.2</v>
      </c>
      <c r="H6" s="128">
        <v>16481.18</v>
      </c>
      <c r="I6" s="162">
        <f t="shared" si="0"/>
        <v>338851.01</v>
      </c>
    </row>
    <row r="7" spans="1:9" x14ac:dyDescent="0.2">
      <c r="B7" s="126" t="s">
        <v>25</v>
      </c>
      <c r="C7" s="126"/>
      <c r="D7" s="128"/>
      <c r="E7" s="128">
        <v>147806.15</v>
      </c>
      <c r="F7" s="128">
        <v>436574.19</v>
      </c>
      <c r="G7" s="128">
        <v>643332.56000000006</v>
      </c>
      <c r="H7" s="128">
        <v>659415.87400000007</v>
      </c>
      <c r="I7" s="162">
        <f t="shared" si="0"/>
        <v>1887128.774</v>
      </c>
    </row>
    <row r="8" spans="1:9" x14ac:dyDescent="0.2">
      <c r="B8" s="126" t="s">
        <v>22</v>
      </c>
      <c r="C8" s="126"/>
      <c r="D8" s="128"/>
      <c r="E8" s="128">
        <v>1170526.43</v>
      </c>
      <c r="F8" s="128">
        <v>49082.29</v>
      </c>
      <c r="G8" s="128">
        <v>355988</v>
      </c>
      <c r="H8" s="128">
        <v>364887.7</v>
      </c>
      <c r="I8" s="162">
        <f t="shared" si="0"/>
        <v>1940484.42</v>
      </c>
    </row>
    <row r="9" spans="1:9" x14ac:dyDescent="0.2">
      <c r="B9" s="130" t="s">
        <v>1</v>
      </c>
      <c r="C9" s="131"/>
      <c r="D9" s="132">
        <f t="shared" ref="D9:H9" si="1">SUM(D4:D8)</f>
        <v>0</v>
      </c>
      <c r="E9" s="132">
        <f t="shared" si="1"/>
        <v>2612285.62</v>
      </c>
      <c r="F9" s="132">
        <f t="shared" si="1"/>
        <v>558779</v>
      </c>
      <c r="G9" s="132">
        <f t="shared" si="1"/>
        <v>1075843.78</v>
      </c>
      <c r="H9" s="132">
        <f t="shared" si="1"/>
        <v>1102739.8745000002</v>
      </c>
      <c r="I9" s="162">
        <f t="shared" si="0"/>
        <v>5349648.2745000003</v>
      </c>
    </row>
    <row r="10" spans="1:9" x14ac:dyDescent="0.2">
      <c r="B10" s="133"/>
      <c r="C10" s="134"/>
      <c r="D10" s="135"/>
      <c r="E10" s="135"/>
      <c r="F10" s="135"/>
      <c r="G10" s="135"/>
      <c r="H10" s="135"/>
      <c r="I10" s="135"/>
    </row>
    <row r="11" spans="1:9" x14ac:dyDescent="0.2">
      <c r="B11" s="136" t="s">
        <v>10</v>
      </c>
      <c r="C11" s="137"/>
      <c r="D11" s="137"/>
      <c r="E11" s="137"/>
      <c r="F11" s="137"/>
      <c r="G11" s="137"/>
      <c r="H11" s="137"/>
      <c r="I11" s="137"/>
    </row>
    <row r="12" spans="1:9" x14ac:dyDescent="0.2">
      <c r="B12" s="138" t="s">
        <v>4</v>
      </c>
      <c r="C12" s="139" t="s">
        <v>3</v>
      </c>
      <c r="D12" s="140" t="s">
        <v>55</v>
      </c>
      <c r="E12" s="140" t="s">
        <v>54</v>
      </c>
      <c r="F12" s="140" t="s">
        <v>53</v>
      </c>
      <c r="G12" s="141" t="s">
        <v>73</v>
      </c>
      <c r="H12" s="141" t="s">
        <v>74</v>
      </c>
      <c r="I12" s="142" t="s">
        <v>1</v>
      </c>
    </row>
    <row r="13" spans="1:9" x14ac:dyDescent="0.2">
      <c r="B13" s="126" t="s">
        <v>19</v>
      </c>
      <c r="C13" s="6" t="s">
        <v>145</v>
      </c>
      <c r="D13" s="143">
        <v>0</v>
      </c>
      <c r="E13" s="228">
        <v>0</v>
      </c>
      <c r="F13" s="228">
        <v>0</v>
      </c>
      <c r="G13" s="226">
        <v>0</v>
      </c>
      <c r="H13" s="228">
        <v>0</v>
      </c>
      <c r="I13" s="163">
        <f>SUM(D13:H13)</f>
        <v>0</v>
      </c>
    </row>
    <row r="14" spans="1:9" x14ac:dyDescent="0.2">
      <c r="B14" s="129"/>
      <c r="C14" s="129"/>
      <c r="D14" s="143"/>
      <c r="E14" s="144"/>
      <c r="F14" s="144"/>
      <c r="G14" s="143"/>
      <c r="H14" s="144"/>
      <c r="I14" s="163">
        <f t="shared" ref="I14:I15" si="2">SUM(D14:H14)</f>
        <v>0</v>
      </c>
    </row>
    <row r="15" spans="1:9" x14ac:dyDescent="0.2">
      <c r="B15" s="129"/>
      <c r="C15" s="145"/>
      <c r="D15" s="146"/>
      <c r="E15" s="146"/>
      <c r="F15" s="146"/>
      <c r="G15" s="146"/>
      <c r="H15" s="146"/>
      <c r="I15" s="164">
        <f t="shared" si="2"/>
        <v>0</v>
      </c>
    </row>
    <row r="16" spans="1:9" x14ac:dyDescent="0.2">
      <c r="A16" s="147"/>
      <c r="B16" s="148" t="s">
        <v>50</v>
      </c>
      <c r="C16" s="149"/>
      <c r="D16" s="150">
        <f t="shared" ref="D16:I16" si="3">SUM(D13:D15)</f>
        <v>0</v>
      </c>
      <c r="E16" s="150">
        <f t="shared" si="3"/>
        <v>0</v>
      </c>
      <c r="F16" s="150">
        <f t="shared" si="3"/>
        <v>0</v>
      </c>
      <c r="G16" s="150">
        <f t="shared" ref="G16:H16" si="4">SUM(G13:G15)</f>
        <v>0</v>
      </c>
      <c r="H16" s="150">
        <f t="shared" si="4"/>
        <v>0</v>
      </c>
      <c r="I16" s="150">
        <f t="shared" si="3"/>
        <v>0</v>
      </c>
    </row>
    <row r="18" spans="1:9" x14ac:dyDescent="0.2">
      <c r="A18" s="147"/>
      <c r="B18" s="151" t="s">
        <v>6</v>
      </c>
      <c r="C18" s="152"/>
      <c r="D18" s="153"/>
      <c r="E18" s="153"/>
      <c r="F18" s="153"/>
      <c r="G18" s="153"/>
      <c r="H18" s="153"/>
      <c r="I18" s="153"/>
    </row>
    <row r="19" spans="1:9" x14ac:dyDescent="0.2">
      <c r="B19" s="154" t="s">
        <v>75</v>
      </c>
      <c r="C19" s="155"/>
      <c r="D19" s="155"/>
      <c r="E19" s="155"/>
      <c r="F19" s="155"/>
      <c r="G19" s="155"/>
      <c r="H19" s="155"/>
      <c r="I19" s="155"/>
    </row>
    <row r="20" spans="1:9" x14ac:dyDescent="0.2">
      <c r="B20" s="154" t="s">
        <v>76</v>
      </c>
      <c r="C20" s="155"/>
      <c r="D20" s="155"/>
      <c r="E20" s="155"/>
      <c r="F20" s="155"/>
      <c r="G20" s="155"/>
      <c r="H20" s="155"/>
      <c r="I20" s="155"/>
    </row>
    <row r="21" spans="1:9" x14ac:dyDescent="0.2">
      <c r="B21" s="154" t="s">
        <v>77</v>
      </c>
      <c r="C21" s="155"/>
      <c r="D21" s="155"/>
      <c r="E21" s="155"/>
      <c r="F21" s="155"/>
      <c r="G21" s="155"/>
      <c r="H21" s="155"/>
      <c r="I21" s="155"/>
    </row>
    <row r="22" spans="1:9" x14ac:dyDescent="0.2">
      <c r="B22" s="154" t="s">
        <v>78</v>
      </c>
      <c r="C22" s="155"/>
      <c r="D22" s="155"/>
      <c r="E22" s="155"/>
      <c r="F22" s="155"/>
      <c r="G22" s="155"/>
      <c r="H22" s="155"/>
      <c r="I22" s="155"/>
    </row>
    <row r="23" spans="1:9" x14ac:dyDescent="0.2">
      <c r="B23" s="224" t="s">
        <v>79</v>
      </c>
      <c r="C23" s="155"/>
      <c r="D23" s="155"/>
      <c r="E23" s="155"/>
      <c r="F23" s="155"/>
      <c r="G23" s="155"/>
      <c r="H23" s="155"/>
      <c r="I23" s="155"/>
    </row>
    <row r="24" spans="1:9" x14ac:dyDescent="0.2">
      <c r="B24" s="152"/>
      <c r="C24" s="152"/>
      <c r="D24" s="153"/>
      <c r="E24" s="153"/>
      <c r="F24" s="153"/>
      <c r="G24" s="153"/>
      <c r="H24" s="153"/>
      <c r="I24" s="153"/>
    </row>
    <row r="25" spans="1:9" x14ac:dyDescent="0.2">
      <c r="B25" s="136" t="s">
        <v>70</v>
      </c>
      <c r="C25" s="137"/>
      <c r="D25" s="137"/>
      <c r="E25" s="137"/>
      <c r="F25" s="137"/>
      <c r="G25" s="137"/>
      <c r="H25" s="137"/>
      <c r="I25" s="137"/>
    </row>
    <row r="26" spans="1:9" x14ac:dyDescent="0.2">
      <c r="B26" s="156" t="s">
        <v>11</v>
      </c>
      <c r="C26" s="157"/>
      <c r="D26" s="157"/>
      <c r="E26" s="157"/>
      <c r="F26" s="157"/>
      <c r="G26" s="157"/>
      <c r="H26" s="157"/>
      <c r="I26" s="157"/>
    </row>
    <row r="27" spans="1:9" x14ac:dyDescent="0.2">
      <c r="B27" s="254" t="s">
        <v>144</v>
      </c>
      <c r="C27" s="255"/>
      <c r="D27" s="255"/>
      <c r="E27" s="255"/>
      <c r="F27" s="255"/>
      <c r="G27" s="255"/>
      <c r="H27" s="255"/>
      <c r="I27" s="255"/>
    </row>
    <row r="28" spans="1:9" x14ac:dyDescent="0.2">
      <c r="B28" s="256"/>
      <c r="C28" s="257"/>
      <c r="D28" s="257"/>
      <c r="E28" s="257"/>
      <c r="F28" s="257"/>
      <c r="G28" s="257"/>
      <c r="H28" s="257"/>
      <c r="I28" s="257"/>
    </row>
    <row r="29" spans="1:9" x14ac:dyDescent="0.2">
      <c r="B29" s="158"/>
      <c r="C29" s="159"/>
      <c r="D29" s="159"/>
      <c r="E29" s="159"/>
      <c r="F29" s="159"/>
      <c r="G29" s="159"/>
      <c r="H29" s="159"/>
      <c r="I29" s="159"/>
    </row>
  </sheetData>
  <mergeCells count="1">
    <mergeCell ref="B27:I28"/>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C34" sqref="C34"/>
    </sheetView>
  </sheetViews>
  <sheetFormatPr defaultRowHeight="12.75" x14ac:dyDescent="0.2"/>
  <cols>
    <col min="1" max="1" width="3.140625" style="37" customWidth="1"/>
    <col min="2" max="2" width="70" style="37" customWidth="1"/>
    <col min="3" max="3" width="65.140625" style="37" customWidth="1"/>
    <col min="4" max="4" width="12.85546875" style="37" customWidth="1"/>
    <col min="5" max="5" width="11.28515625" style="37" customWidth="1"/>
    <col min="6" max="8" width="11.7109375" style="37" customWidth="1"/>
    <col min="9" max="9" width="12.7109375" style="37" customWidth="1"/>
    <col min="10" max="16384" width="9.140625" style="37"/>
  </cols>
  <sheetData>
    <row r="2" spans="2:9" x14ac:dyDescent="0.2">
      <c r="B2" s="35" t="s">
        <v>8</v>
      </c>
      <c r="C2" s="36"/>
      <c r="D2" s="36"/>
      <c r="E2" s="36"/>
      <c r="F2" s="36"/>
      <c r="G2" s="36"/>
      <c r="H2" s="36"/>
      <c r="I2" s="36"/>
    </row>
    <row r="3" spans="2:9" x14ac:dyDescent="0.2">
      <c r="B3" s="38"/>
      <c r="C3" s="38"/>
      <c r="D3" s="38"/>
      <c r="E3" s="38"/>
      <c r="F3" s="38"/>
      <c r="G3" s="38"/>
      <c r="H3" s="38"/>
      <c r="I3" s="38"/>
    </row>
    <row r="4" spans="2:9" x14ac:dyDescent="0.2">
      <c r="B4" s="35" t="s">
        <v>2</v>
      </c>
      <c r="C4" s="36"/>
      <c r="D4" s="36"/>
      <c r="E4" s="36"/>
      <c r="F4" s="36"/>
      <c r="G4" s="36"/>
      <c r="H4" s="36"/>
      <c r="I4" s="36"/>
    </row>
    <row r="5" spans="2:9" x14ac:dyDescent="0.2">
      <c r="B5" s="39" t="s">
        <v>67</v>
      </c>
      <c r="C5" s="117" t="s">
        <v>9</v>
      </c>
      <c r="D5" s="40" t="s">
        <v>55</v>
      </c>
      <c r="E5" s="40" t="s">
        <v>54</v>
      </c>
      <c r="F5" s="40" t="s">
        <v>53</v>
      </c>
      <c r="G5" s="114" t="s">
        <v>73</v>
      </c>
      <c r="H5" s="114" t="s">
        <v>74</v>
      </c>
      <c r="I5" s="41" t="s">
        <v>1</v>
      </c>
    </row>
    <row r="6" spans="2:9" ht="12.75" customHeight="1" x14ac:dyDescent="0.2">
      <c r="B6" s="3" t="s">
        <v>87</v>
      </c>
      <c r="C6" s="118" t="s">
        <v>85</v>
      </c>
      <c r="D6" s="42">
        <v>0</v>
      </c>
      <c r="E6" s="59">
        <v>3365495.4</v>
      </c>
      <c r="F6" s="59">
        <v>2973812.01</v>
      </c>
      <c r="G6" s="225">
        <v>3302984.72</v>
      </c>
      <c r="H6" s="225">
        <f>G6+G6*2.5%</f>
        <v>3385559.3380000005</v>
      </c>
      <c r="I6" s="177">
        <f>SUM(D6:H6)</f>
        <v>13027851.468000002</v>
      </c>
    </row>
    <row r="7" spans="2:9" x14ac:dyDescent="0.2">
      <c r="B7" s="43"/>
      <c r="C7" s="44"/>
      <c r="D7" s="42"/>
      <c r="E7" s="42"/>
      <c r="F7" s="42"/>
      <c r="G7" s="115"/>
      <c r="H7" s="115"/>
      <c r="I7" s="177">
        <f t="shared" ref="I7:I9" si="0">SUM(D7:H7)</f>
        <v>0</v>
      </c>
    </row>
    <row r="8" spans="2:9" x14ac:dyDescent="0.2">
      <c r="B8" s="43"/>
      <c r="C8" s="44"/>
      <c r="D8" s="42"/>
      <c r="E8" s="42"/>
      <c r="F8" s="42"/>
      <c r="G8" s="115"/>
      <c r="H8" s="115"/>
      <c r="I8" s="177">
        <f t="shared" si="0"/>
        <v>0</v>
      </c>
    </row>
    <row r="9" spans="2:9" x14ac:dyDescent="0.2">
      <c r="B9" s="43"/>
      <c r="C9" s="44"/>
      <c r="D9" s="42"/>
      <c r="E9" s="42"/>
      <c r="F9" s="42"/>
      <c r="G9" s="115"/>
      <c r="H9" s="115"/>
      <c r="I9" s="177">
        <f t="shared" si="0"/>
        <v>0</v>
      </c>
    </row>
    <row r="10" spans="2:9" x14ac:dyDescent="0.2">
      <c r="B10" s="45" t="s">
        <v>1</v>
      </c>
      <c r="C10" s="46"/>
      <c r="D10" s="47">
        <f t="shared" ref="D10:I10" si="1">SUM(D6:D9)</f>
        <v>0</v>
      </c>
      <c r="E10" s="47">
        <f t="shared" si="1"/>
        <v>3365495.4</v>
      </c>
      <c r="F10" s="47">
        <f t="shared" si="1"/>
        <v>2973812.01</v>
      </c>
      <c r="G10" s="47">
        <f t="shared" si="1"/>
        <v>3302984.72</v>
      </c>
      <c r="H10" s="47">
        <f t="shared" si="1"/>
        <v>3385559.3380000005</v>
      </c>
      <c r="I10" s="47">
        <f t="shared" si="1"/>
        <v>13027851.468000002</v>
      </c>
    </row>
    <row r="11" spans="2:9" x14ac:dyDescent="0.2">
      <c r="B11" s="38"/>
      <c r="C11" s="38"/>
      <c r="D11" s="38"/>
      <c r="E11" s="38"/>
      <c r="F11" s="38"/>
      <c r="G11" s="38"/>
      <c r="H11" s="38"/>
      <c r="I11" s="38"/>
    </row>
    <row r="12" spans="2:9" x14ac:dyDescent="0.2">
      <c r="B12" s="35" t="s">
        <v>10</v>
      </c>
      <c r="C12" s="36"/>
      <c r="D12" s="36"/>
      <c r="E12" s="36"/>
      <c r="F12" s="36"/>
      <c r="G12" s="36"/>
      <c r="H12" s="36"/>
      <c r="I12" s="36"/>
    </row>
    <row r="13" spans="2:9" x14ac:dyDescent="0.2">
      <c r="B13" s="214" t="s">
        <v>4</v>
      </c>
      <c r="C13" s="215" t="s">
        <v>3</v>
      </c>
      <c r="D13" s="216" t="s">
        <v>55</v>
      </c>
      <c r="E13" s="216" t="s">
        <v>54</v>
      </c>
      <c r="F13" s="216" t="s">
        <v>53</v>
      </c>
      <c r="G13" s="216" t="s">
        <v>73</v>
      </c>
      <c r="H13" s="216" t="s">
        <v>74</v>
      </c>
      <c r="I13" s="217" t="s">
        <v>1</v>
      </c>
    </row>
    <row r="14" spans="2:9" x14ac:dyDescent="0.2">
      <c r="B14" s="218" t="s">
        <v>19</v>
      </c>
      <c r="C14" s="218" t="s">
        <v>86</v>
      </c>
      <c r="D14" s="48"/>
      <c r="E14" s="48">
        <v>0</v>
      </c>
      <c r="F14" s="227">
        <v>14109</v>
      </c>
      <c r="G14" s="227">
        <v>14000</v>
      </c>
      <c r="H14" s="227">
        <v>14000</v>
      </c>
      <c r="I14" s="219">
        <f>SUM(D14:H14)</f>
        <v>42109</v>
      </c>
    </row>
    <row r="15" spans="2:9" x14ac:dyDescent="0.2">
      <c r="B15" s="218"/>
      <c r="C15" s="220"/>
      <c r="D15" s="48"/>
      <c r="E15" s="48"/>
      <c r="F15" s="48"/>
      <c r="G15" s="48"/>
      <c r="H15" s="48"/>
      <c r="I15" s="219">
        <f t="shared" ref="I15:I16" si="2">SUM(D15:H15)</f>
        <v>0</v>
      </c>
    </row>
    <row r="16" spans="2:9" x14ac:dyDescent="0.2">
      <c r="B16" s="218"/>
      <c r="C16" s="218"/>
      <c r="D16" s="49"/>
      <c r="E16" s="49"/>
      <c r="F16" s="49"/>
      <c r="G16" s="49"/>
      <c r="H16" s="49"/>
      <c r="I16" s="219">
        <f t="shared" si="2"/>
        <v>0</v>
      </c>
    </row>
    <row r="17" spans="2:9" x14ac:dyDescent="0.2">
      <c r="B17" s="50" t="s">
        <v>17</v>
      </c>
      <c r="C17" s="46"/>
      <c r="D17" s="51">
        <f t="shared" ref="D17:H17" si="3">SUM(D14:D16)</f>
        <v>0</v>
      </c>
      <c r="E17" s="51">
        <f t="shared" si="3"/>
        <v>0</v>
      </c>
      <c r="F17" s="51">
        <f t="shared" si="3"/>
        <v>14109</v>
      </c>
      <c r="G17" s="51">
        <f t="shared" si="3"/>
        <v>14000</v>
      </c>
      <c r="H17" s="51">
        <f t="shared" si="3"/>
        <v>14000</v>
      </c>
      <c r="I17" s="51">
        <f>SUM(I14:I16)</f>
        <v>42109</v>
      </c>
    </row>
    <row r="18" spans="2:9" x14ac:dyDescent="0.2">
      <c r="B18" s="38"/>
      <c r="C18" s="38"/>
      <c r="D18" s="52"/>
      <c r="E18" s="58"/>
      <c r="F18" s="52"/>
      <c r="G18" s="52"/>
      <c r="H18" s="52"/>
      <c r="I18" s="52"/>
    </row>
    <row r="19" spans="2:9" x14ac:dyDescent="0.2">
      <c r="B19" s="53" t="s">
        <v>6</v>
      </c>
      <c r="C19" s="38"/>
      <c r="D19" s="52"/>
      <c r="E19" s="52"/>
      <c r="F19" s="52"/>
      <c r="G19" s="52"/>
      <c r="H19" s="52"/>
      <c r="I19" s="52"/>
    </row>
    <row r="20" spans="2:9" x14ac:dyDescent="0.2">
      <c r="B20" s="116" t="s">
        <v>80</v>
      </c>
      <c r="C20" s="116"/>
      <c r="D20" s="116"/>
      <c r="E20" s="116"/>
      <c r="F20" s="116"/>
      <c r="G20" s="116"/>
      <c r="H20" s="116"/>
      <c r="I20" s="116"/>
    </row>
    <row r="21" spans="2:9" x14ac:dyDescent="0.2">
      <c r="B21" s="116" t="s">
        <v>81</v>
      </c>
      <c r="C21" s="116"/>
      <c r="D21" s="116"/>
      <c r="E21" s="116"/>
      <c r="F21" s="116"/>
      <c r="G21" s="116"/>
      <c r="H21" s="116"/>
      <c r="I21" s="116"/>
    </row>
    <row r="22" spans="2:9" x14ac:dyDescent="0.2">
      <c r="B22" s="116" t="s">
        <v>82</v>
      </c>
      <c r="C22" s="116"/>
      <c r="D22" s="116"/>
      <c r="E22" s="116"/>
      <c r="F22" s="116"/>
      <c r="G22" s="116"/>
      <c r="H22" s="116"/>
      <c r="I22" s="116"/>
    </row>
    <row r="23" spans="2:9" x14ac:dyDescent="0.2">
      <c r="B23" s="116" t="s">
        <v>83</v>
      </c>
      <c r="C23" s="116"/>
      <c r="D23" s="116"/>
      <c r="E23" s="116"/>
      <c r="F23" s="116"/>
      <c r="G23" s="116"/>
      <c r="H23" s="116"/>
      <c r="I23" s="116"/>
    </row>
    <row r="24" spans="2:9" x14ac:dyDescent="0.2">
      <c r="B24" s="116" t="s">
        <v>84</v>
      </c>
      <c r="C24" s="116"/>
      <c r="D24" s="116"/>
      <c r="E24" s="116"/>
      <c r="F24" s="116"/>
      <c r="G24" s="116"/>
      <c r="H24" s="116"/>
      <c r="I24" s="116"/>
    </row>
    <row r="25" spans="2:9" x14ac:dyDescent="0.2">
      <c r="B25" s="38"/>
      <c r="C25" s="38"/>
      <c r="D25" s="52"/>
      <c r="E25" s="52"/>
      <c r="F25" s="52"/>
      <c r="G25" s="52"/>
      <c r="H25" s="52"/>
      <c r="I25" s="52"/>
    </row>
    <row r="26" spans="2:9" x14ac:dyDescent="0.2">
      <c r="B26" s="35" t="s">
        <v>2</v>
      </c>
      <c r="C26" s="36"/>
      <c r="D26" s="36"/>
      <c r="E26" s="36"/>
      <c r="F26" s="36"/>
      <c r="G26" s="36"/>
      <c r="H26" s="36"/>
      <c r="I26" s="36"/>
    </row>
    <row r="27" spans="2:9" x14ac:dyDescent="0.2">
      <c r="B27" s="54" t="s">
        <v>11</v>
      </c>
      <c r="C27" s="55"/>
      <c r="D27" s="55"/>
      <c r="E27" s="55"/>
      <c r="F27" s="55"/>
      <c r="G27" s="55"/>
      <c r="H27" s="55"/>
      <c r="I27" s="55"/>
    </row>
    <row r="28" spans="2:9" x14ac:dyDescent="0.2">
      <c r="B28" s="260" t="s">
        <v>144</v>
      </c>
      <c r="C28" s="260"/>
      <c r="D28" s="260"/>
      <c r="E28" s="260"/>
      <c r="F28" s="260"/>
      <c r="G28" s="260"/>
      <c r="H28" s="260"/>
      <c r="I28" s="260"/>
    </row>
    <row r="29" spans="2:9" x14ac:dyDescent="0.2">
      <c r="B29" s="261"/>
      <c r="C29" s="261"/>
      <c r="D29" s="261"/>
      <c r="E29" s="261"/>
      <c r="F29" s="261"/>
      <c r="G29" s="261"/>
      <c r="H29" s="261"/>
      <c r="I29" s="261"/>
    </row>
    <row r="30" spans="2:9" x14ac:dyDescent="0.2">
      <c r="B30" s="56"/>
      <c r="C30" s="57"/>
      <c r="D30" s="57"/>
      <c r="E30" s="57"/>
      <c r="F30" s="57"/>
      <c r="G30" s="57"/>
      <c r="H30" s="57"/>
      <c r="I30" s="57"/>
    </row>
  </sheetData>
  <mergeCells count="1">
    <mergeCell ref="B28:I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K40"/>
  <sheetViews>
    <sheetView showGridLines="0" workbookViewId="0">
      <selection activeCell="F28" sqref="F28"/>
    </sheetView>
  </sheetViews>
  <sheetFormatPr defaultRowHeight="12.75" x14ac:dyDescent="0.2"/>
  <cols>
    <col min="1" max="1" width="2.28515625" style="1" customWidth="1"/>
    <col min="2" max="2" width="87.42578125" style="1" bestFit="1" customWidth="1"/>
    <col min="3" max="3" width="11.7109375" style="1" customWidth="1"/>
    <col min="4" max="4" width="10.7109375" style="1" customWidth="1"/>
    <col min="5" max="5" width="12.28515625" style="1" customWidth="1"/>
    <col min="6" max="6" width="13.42578125" style="1" customWidth="1"/>
    <col min="7" max="7" width="15.140625" style="33" bestFit="1" customWidth="1"/>
    <col min="8" max="10" width="15.140625" style="33" customWidth="1"/>
    <col min="11" max="11" width="2.85546875" style="1" customWidth="1"/>
    <col min="12" max="16384" width="9.140625" style="1"/>
  </cols>
  <sheetData>
    <row r="2" spans="2:11" x14ac:dyDescent="0.2">
      <c r="B2" s="165" t="s">
        <v>51</v>
      </c>
      <c r="C2" s="166"/>
      <c r="D2" s="166"/>
      <c r="E2" s="166"/>
      <c r="F2" s="259" t="s">
        <v>93</v>
      </c>
      <c r="G2" s="259"/>
      <c r="H2" s="259"/>
      <c r="I2" s="259"/>
      <c r="J2" s="259"/>
    </row>
    <row r="3" spans="2:11" ht="15.75" x14ac:dyDescent="0.25">
      <c r="B3" s="29" t="s">
        <v>131</v>
      </c>
      <c r="C3" s="27"/>
      <c r="D3" s="27"/>
      <c r="E3" s="27"/>
      <c r="F3" s="258" t="s">
        <v>94</v>
      </c>
      <c r="G3" s="258"/>
      <c r="H3" s="258"/>
      <c r="I3" s="258"/>
      <c r="J3" s="258"/>
    </row>
    <row r="4" spans="2:11" s="23" customFormat="1" ht="3" customHeight="1" x14ac:dyDescent="0.2">
      <c r="B4" s="24"/>
      <c r="C4" s="31"/>
      <c r="D4" s="31"/>
      <c r="E4" s="31"/>
      <c r="F4" s="31"/>
      <c r="G4" s="31"/>
      <c r="H4" s="31"/>
      <c r="I4" s="31"/>
      <c r="J4" s="24"/>
    </row>
    <row r="5" spans="2:11" ht="51" x14ac:dyDescent="0.2">
      <c r="B5" s="25" t="s">
        <v>18</v>
      </c>
      <c r="C5" s="167" t="s">
        <v>95</v>
      </c>
      <c r="D5" s="168" t="s">
        <v>96</v>
      </c>
      <c r="E5" s="168" t="s">
        <v>97</v>
      </c>
      <c r="F5" s="168" t="s">
        <v>98</v>
      </c>
      <c r="G5" s="167" t="s">
        <v>99</v>
      </c>
      <c r="H5" s="167" t="s">
        <v>100</v>
      </c>
      <c r="I5" s="167" t="s">
        <v>101</v>
      </c>
      <c r="J5" s="169" t="s">
        <v>62</v>
      </c>
      <c r="K5" s="28"/>
    </row>
    <row r="6" spans="2:11" x14ac:dyDescent="0.2">
      <c r="B6" s="176" t="s">
        <v>135</v>
      </c>
      <c r="C6" s="170"/>
      <c r="D6" s="170"/>
      <c r="E6" s="170"/>
      <c r="F6" s="170"/>
      <c r="G6" s="170"/>
      <c r="H6" s="170"/>
      <c r="I6" s="170"/>
      <c r="J6" s="171"/>
      <c r="K6" s="18"/>
    </row>
    <row r="7" spans="2:11" x14ac:dyDescent="0.2">
      <c r="B7" s="175" t="s">
        <v>137</v>
      </c>
      <c r="C7" s="172">
        <v>0</v>
      </c>
      <c r="D7" s="173">
        <v>21.74</v>
      </c>
      <c r="E7" s="173">
        <f>[1]Inputs!$G$61</f>
        <v>0</v>
      </c>
      <c r="F7" s="173">
        <f>SUM(D7:E7)</f>
        <v>21.74</v>
      </c>
      <c r="G7" s="173">
        <f>[1]Inputs!$M$43*F7</f>
        <v>10.129244534374365</v>
      </c>
      <c r="H7" s="173">
        <f>[1]Inputs!$M$48*F7</f>
        <v>3.4866087004943238</v>
      </c>
      <c r="I7" s="174">
        <f>[1]Inputs!$H$13*SUM(F7:H7)</f>
        <v>2.2422682121553725</v>
      </c>
      <c r="J7" s="173">
        <f>SUM(F7:I7)</f>
        <v>37.598121447024063</v>
      </c>
      <c r="K7" s="28"/>
    </row>
    <row r="8" spans="2:11" x14ac:dyDescent="0.2">
      <c r="B8" s="211" t="s">
        <v>1</v>
      </c>
      <c r="C8" s="212"/>
      <c r="D8" s="213">
        <f>D7</f>
        <v>21.74</v>
      </c>
      <c r="E8" s="213">
        <f t="shared" ref="E8:J8" si="0">E7</f>
        <v>0</v>
      </c>
      <c r="F8" s="213">
        <f t="shared" si="0"/>
        <v>21.74</v>
      </c>
      <c r="G8" s="213">
        <f t="shared" si="0"/>
        <v>10.129244534374365</v>
      </c>
      <c r="H8" s="213">
        <f t="shared" si="0"/>
        <v>3.4866087004943238</v>
      </c>
      <c r="I8" s="213">
        <f t="shared" si="0"/>
        <v>2.2422682121553725</v>
      </c>
      <c r="J8" s="213">
        <f t="shared" si="0"/>
        <v>37.598121447024063</v>
      </c>
      <c r="K8" s="28"/>
    </row>
    <row r="9" spans="2:11" x14ac:dyDescent="0.2">
      <c r="B9" s="26"/>
      <c r="C9" s="26"/>
      <c r="D9" s="26"/>
      <c r="E9" s="26"/>
      <c r="F9" s="26"/>
      <c r="G9" s="32"/>
      <c r="H9" s="32"/>
      <c r="I9" s="32"/>
      <c r="J9" s="32"/>
    </row>
    <row r="10" spans="2:11" x14ac:dyDescent="0.2">
      <c r="B10" s="165" t="s">
        <v>51</v>
      </c>
      <c r="C10" s="166"/>
      <c r="D10" s="166"/>
      <c r="E10" s="166"/>
      <c r="F10" s="259" t="s">
        <v>93</v>
      </c>
      <c r="G10" s="259"/>
      <c r="H10" s="259"/>
      <c r="I10" s="259"/>
      <c r="J10" s="259"/>
    </row>
    <row r="11" spans="2:11" ht="15.75" x14ac:dyDescent="0.25">
      <c r="B11" s="29" t="s">
        <v>132</v>
      </c>
      <c r="C11" s="27"/>
      <c r="D11" s="27"/>
      <c r="E11" s="27"/>
      <c r="F11" s="258" t="s">
        <v>94</v>
      </c>
      <c r="G11" s="258"/>
      <c r="H11" s="258"/>
      <c r="I11" s="258"/>
      <c r="J11" s="258"/>
    </row>
    <row r="12" spans="2:11" x14ac:dyDescent="0.2">
      <c r="B12" s="24"/>
      <c r="C12" s="31"/>
      <c r="D12" s="31"/>
      <c r="E12" s="31"/>
      <c r="F12" s="31"/>
      <c r="G12" s="31"/>
      <c r="H12" s="31"/>
      <c r="I12" s="31"/>
      <c r="J12" s="24"/>
    </row>
    <row r="13" spans="2:11" ht="51" x14ac:dyDescent="0.2">
      <c r="B13" s="25" t="s">
        <v>18</v>
      </c>
      <c r="C13" s="167" t="s">
        <v>95</v>
      </c>
      <c r="D13" s="168" t="s">
        <v>96</v>
      </c>
      <c r="E13" s="168" t="s">
        <v>97</v>
      </c>
      <c r="F13" s="168" t="s">
        <v>98</v>
      </c>
      <c r="G13" s="167" t="s">
        <v>99</v>
      </c>
      <c r="H13" s="167" t="s">
        <v>100</v>
      </c>
      <c r="I13" s="167" t="s">
        <v>101</v>
      </c>
      <c r="J13" s="169" t="s">
        <v>62</v>
      </c>
    </row>
    <row r="14" spans="2:11" x14ac:dyDescent="0.2">
      <c r="B14" s="176" t="s">
        <v>136</v>
      </c>
      <c r="C14" s="170"/>
      <c r="D14" s="170"/>
      <c r="E14" s="170"/>
      <c r="F14" s="170"/>
      <c r="G14" s="170"/>
      <c r="H14" s="170"/>
      <c r="I14" s="170"/>
      <c r="J14" s="171"/>
      <c r="K14" s="28"/>
    </row>
    <row r="15" spans="2:11" x14ac:dyDescent="0.2">
      <c r="B15" s="175" t="s">
        <v>138</v>
      </c>
      <c r="C15" s="172">
        <v>0</v>
      </c>
      <c r="D15" s="173">
        <v>26.27</v>
      </c>
      <c r="E15" s="173">
        <f>[1]Inputs!$G$61</f>
        <v>0</v>
      </c>
      <c r="F15" s="173">
        <f>SUM(D15:E15)</f>
        <v>26.27</v>
      </c>
      <c r="G15" s="173">
        <f>[1]Inputs!$M$43*F15</f>
        <v>12.239892084545289</v>
      </c>
      <c r="H15" s="173">
        <f>[1]Inputs!$M$48*F15</f>
        <v>4.2131191610849079</v>
      </c>
      <c r="I15" s="174">
        <f>[1]Inputs!$H$13*SUM(F15:H15)</f>
        <v>2.709493373197867</v>
      </c>
      <c r="J15" s="173">
        <f>SUM(F15:I15)</f>
        <v>45.432504618828055</v>
      </c>
    </row>
    <row r="16" spans="2:11" x14ac:dyDescent="0.2">
      <c r="B16" s="211" t="s">
        <v>1</v>
      </c>
      <c r="C16" s="212"/>
      <c r="D16" s="213">
        <f>D15</f>
        <v>26.27</v>
      </c>
      <c r="E16" s="213">
        <f t="shared" ref="E16:I16" si="1">E15</f>
        <v>0</v>
      </c>
      <c r="F16" s="213">
        <f t="shared" si="1"/>
        <v>26.27</v>
      </c>
      <c r="G16" s="213">
        <f t="shared" si="1"/>
        <v>12.239892084545289</v>
      </c>
      <c r="H16" s="213">
        <f t="shared" si="1"/>
        <v>4.2131191610849079</v>
      </c>
      <c r="I16" s="213">
        <f t="shared" si="1"/>
        <v>2.709493373197867</v>
      </c>
      <c r="J16" s="213">
        <f t="shared" ref="J16" si="2">J15</f>
        <v>45.432504618828055</v>
      </c>
    </row>
    <row r="17" spans="2:11" x14ac:dyDescent="0.2">
      <c r="B17" s="26"/>
      <c r="C17" s="26"/>
      <c r="D17" s="26"/>
      <c r="E17" s="26"/>
      <c r="F17" s="26"/>
      <c r="G17" s="32"/>
      <c r="H17" s="32"/>
      <c r="I17" s="32"/>
      <c r="J17" s="32"/>
    </row>
    <row r="18" spans="2:11" x14ac:dyDescent="0.2">
      <c r="B18" s="1" t="s">
        <v>147</v>
      </c>
    </row>
    <row r="27" spans="2:11" x14ac:dyDescent="0.2">
      <c r="K27" s="28"/>
    </row>
    <row r="40" spans="11:11" x14ac:dyDescent="0.2">
      <c r="K40" s="28"/>
    </row>
  </sheetData>
  <mergeCells count="4">
    <mergeCell ref="F11:J11"/>
    <mergeCell ref="F10:J10"/>
    <mergeCell ref="F2:J2"/>
    <mergeCell ref="F3:J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6FAFF-0319-488E-B2E9-EB17D7745C44}">
  <dimension ref="B1:O37"/>
  <sheetViews>
    <sheetView workbookViewId="0">
      <selection activeCell="D11" sqref="D11"/>
    </sheetView>
  </sheetViews>
  <sheetFormatPr defaultRowHeight="15" x14ac:dyDescent="0.25"/>
  <cols>
    <col min="1" max="1" width="4.42578125" style="179" customWidth="1"/>
    <col min="2" max="2" width="46.7109375" style="179" customWidth="1"/>
    <col min="3" max="3" width="13.28515625" style="179" customWidth="1"/>
    <col min="4" max="5" width="12.7109375" style="179" bestFit="1" customWidth="1"/>
    <col min="6" max="6" width="15.7109375" style="179" customWidth="1"/>
    <col min="7" max="8" width="12.7109375" style="179" bestFit="1" customWidth="1"/>
    <col min="9" max="9" width="9.140625" style="179"/>
    <col min="10" max="15" width="10" style="179" bestFit="1" customWidth="1"/>
    <col min="16" max="16384" width="9.140625" style="179"/>
  </cols>
  <sheetData>
    <row r="1" spans="2:15" x14ac:dyDescent="0.25">
      <c r="B1" s="179" t="s">
        <v>107</v>
      </c>
      <c r="D1" s="183">
        <f>[1]Inputs!H16</f>
        <v>1</v>
      </c>
      <c r="E1" s="183">
        <f>[1]Inputs!I16</f>
        <v>1</v>
      </c>
      <c r="F1" s="183">
        <f>[1]Inputs!J16</f>
        <v>1.0109999999999999</v>
      </c>
      <c r="G1" s="183">
        <f>[1]Inputs!K16</f>
        <v>1.0231319999999999</v>
      </c>
      <c r="H1" s="183">
        <f>[1]Inputs!L16</f>
        <v>1.0337725727999998</v>
      </c>
      <c r="K1" s="184">
        <f>D1</f>
        <v>1</v>
      </c>
      <c r="L1" s="184">
        <f t="shared" ref="L1:O5" si="0">E1</f>
        <v>1</v>
      </c>
      <c r="M1" s="184">
        <f t="shared" si="0"/>
        <v>1.0109999999999999</v>
      </c>
      <c r="N1" s="184">
        <f t="shared" si="0"/>
        <v>1.0231319999999999</v>
      </c>
      <c r="O1" s="184">
        <f t="shared" si="0"/>
        <v>1.0337725727999998</v>
      </c>
    </row>
    <row r="2" spans="2:15" x14ac:dyDescent="0.25">
      <c r="B2" s="179" t="s">
        <v>97</v>
      </c>
      <c r="D2" s="183">
        <f>[1]Inputs!H61</f>
        <v>0.04</v>
      </c>
      <c r="E2" s="183">
        <f>[1]Inputs!I61</f>
        <v>0.04</v>
      </c>
      <c r="F2" s="183">
        <f>[1]Inputs!J61</f>
        <v>0.04</v>
      </c>
      <c r="G2" s="183">
        <f>[1]Inputs!K61</f>
        <v>0.04</v>
      </c>
      <c r="H2" s="183">
        <f>[1]Inputs!L61</f>
        <v>0.04</v>
      </c>
      <c r="K2" s="184">
        <f>D2</f>
        <v>0.04</v>
      </c>
      <c r="L2" s="184">
        <f t="shared" si="0"/>
        <v>0.04</v>
      </c>
      <c r="M2" s="184">
        <f t="shared" si="0"/>
        <v>0.04</v>
      </c>
      <c r="N2" s="184">
        <f t="shared" si="0"/>
        <v>0.04</v>
      </c>
      <c r="O2" s="184">
        <f t="shared" si="0"/>
        <v>0.04</v>
      </c>
    </row>
    <row r="3" spans="2:15" x14ac:dyDescent="0.25">
      <c r="B3" s="179" t="s">
        <v>108</v>
      </c>
      <c r="D3" s="184">
        <f>[1]Inputs!$M$43</f>
        <v>0.46592661151676018</v>
      </c>
      <c r="E3" s="184">
        <f>[1]Inputs!$M$43</f>
        <v>0.46592661151676018</v>
      </c>
      <c r="F3" s="184">
        <f>[1]Inputs!$M$43</f>
        <v>0.46592661151676018</v>
      </c>
      <c r="G3" s="184">
        <f>[1]Inputs!$M$43</f>
        <v>0.46592661151676018</v>
      </c>
      <c r="H3" s="184">
        <f>[1]Inputs!$M$43</f>
        <v>0.46592661151676018</v>
      </c>
      <c r="K3" s="184">
        <f t="shared" ref="K3:K5" si="1">D3</f>
        <v>0.46592661151676018</v>
      </c>
      <c r="L3" s="184">
        <f t="shared" si="0"/>
        <v>0.46592661151676018</v>
      </c>
      <c r="M3" s="184">
        <f t="shared" si="0"/>
        <v>0.46592661151676018</v>
      </c>
      <c r="N3" s="184">
        <f t="shared" si="0"/>
        <v>0.46592661151676018</v>
      </c>
      <c r="O3" s="184">
        <f t="shared" si="0"/>
        <v>0.46592661151676018</v>
      </c>
    </row>
    <row r="4" spans="2:15" x14ac:dyDescent="0.25">
      <c r="B4" s="179" t="s">
        <v>109</v>
      </c>
      <c r="D4" s="184">
        <f>[1]Inputs!$M$48</f>
        <v>0.16037758511933414</v>
      </c>
      <c r="E4" s="184">
        <f>[1]Inputs!$M$48</f>
        <v>0.16037758511933414</v>
      </c>
      <c r="F4" s="184">
        <f>[1]Inputs!$M$48</f>
        <v>0.16037758511933414</v>
      </c>
      <c r="G4" s="184">
        <f>[1]Inputs!$M$48</f>
        <v>0.16037758511933414</v>
      </c>
      <c r="H4" s="184">
        <f>[1]Inputs!$M$48</f>
        <v>0.16037758511933414</v>
      </c>
      <c r="K4" s="184">
        <f t="shared" si="1"/>
        <v>0.16037758511933414</v>
      </c>
      <c r="L4" s="184">
        <f t="shared" si="0"/>
        <v>0.16037758511933414</v>
      </c>
      <c r="M4" s="184">
        <f t="shared" si="0"/>
        <v>0.16037758511933414</v>
      </c>
      <c r="N4" s="184">
        <f t="shared" si="0"/>
        <v>0.16037758511933414</v>
      </c>
      <c r="O4" s="184">
        <f t="shared" si="0"/>
        <v>0.16037758511933414</v>
      </c>
    </row>
    <row r="5" spans="2:15" x14ac:dyDescent="0.25">
      <c r="B5" s="179" t="s">
        <v>110</v>
      </c>
      <c r="D5" s="184">
        <f>[1]Inputs!$H$13</f>
        <v>6.3420000000000004E-2</v>
      </c>
      <c r="E5" s="184">
        <f>[1]Inputs!$H$13</f>
        <v>6.3420000000000004E-2</v>
      </c>
      <c r="F5" s="184">
        <f>[1]Inputs!$H$13</f>
        <v>6.3420000000000004E-2</v>
      </c>
      <c r="G5" s="184">
        <f>[1]Inputs!$H$13</f>
        <v>6.3420000000000004E-2</v>
      </c>
      <c r="H5" s="184">
        <f>[1]Inputs!$H$13</f>
        <v>6.3420000000000004E-2</v>
      </c>
      <c r="K5" s="184">
        <f t="shared" si="1"/>
        <v>6.3420000000000004E-2</v>
      </c>
      <c r="L5" s="184">
        <f t="shared" si="0"/>
        <v>6.3420000000000004E-2</v>
      </c>
      <c r="M5" s="184">
        <f t="shared" si="0"/>
        <v>6.3420000000000004E-2</v>
      </c>
      <c r="N5" s="184">
        <f t="shared" si="0"/>
        <v>6.3420000000000004E-2</v>
      </c>
      <c r="O5" s="184">
        <f t="shared" si="0"/>
        <v>6.3420000000000004E-2</v>
      </c>
    </row>
    <row r="6" spans="2:15" s="185" customFormat="1" ht="15.75" x14ac:dyDescent="0.25">
      <c r="D6" s="262" t="s">
        <v>111</v>
      </c>
      <c r="E6" s="262"/>
      <c r="F6" s="262"/>
      <c r="G6" s="262"/>
      <c r="H6" s="262"/>
      <c r="J6" s="263" t="s">
        <v>112</v>
      </c>
      <c r="K6" s="263"/>
      <c r="L6" s="263"/>
      <c r="M6" s="263"/>
      <c r="N6" s="263"/>
      <c r="O6" s="263"/>
    </row>
    <row r="7" spans="2:15" x14ac:dyDescent="0.25">
      <c r="B7" s="186" t="s">
        <v>148</v>
      </c>
      <c r="C7" s="187"/>
      <c r="D7" s="187" t="s">
        <v>113</v>
      </c>
      <c r="E7" s="187" t="s">
        <v>114</v>
      </c>
      <c r="F7" s="187" t="s">
        <v>115</v>
      </c>
      <c r="G7" s="187" t="s">
        <v>116</v>
      </c>
      <c r="H7" s="187" t="s">
        <v>117</v>
      </c>
    </row>
    <row r="8" spans="2:15" x14ac:dyDescent="0.25">
      <c r="B8" s="188" t="s">
        <v>118</v>
      </c>
      <c r="C8" s="189"/>
      <c r="D8" s="190">
        <f>(D18*D$25)+(D29*D36)</f>
        <v>336070</v>
      </c>
      <c r="E8" s="190">
        <f t="shared" ref="E8:H8" si="2">(E18*E$25)+(E29*E36)</f>
        <v>322627.19999999995</v>
      </c>
      <c r="F8" s="190">
        <f t="shared" si="2"/>
        <v>313129.05523199996</v>
      </c>
      <c r="G8" s="190">
        <f t="shared" si="2"/>
        <v>307557.46227612149</v>
      </c>
      <c r="H8" s="190">
        <f t="shared" si="2"/>
        <v>305226.69029858394</v>
      </c>
    </row>
    <row r="9" spans="2:15" x14ac:dyDescent="0.25">
      <c r="B9" s="188" t="s">
        <v>119</v>
      </c>
      <c r="C9" s="189"/>
      <c r="D9" s="190">
        <f>(D19*D$25)+(D30*D36)</f>
        <v>13442.8</v>
      </c>
      <c r="E9" s="190">
        <f t="shared" ref="E9:H9" si="3">(E19*E$25)+(E30*E36)</f>
        <v>12905.088</v>
      </c>
      <c r="F9" s="190">
        <f t="shared" si="3"/>
        <v>12525.162209279999</v>
      </c>
      <c r="G9" s="190">
        <f t="shared" si="3"/>
        <v>12302.298491044861</v>
      </c>
      <c r="H9" s="190">
        <f t="shared" si="3"/>
        <v>12209.067611943359</v>
      </c>
    </row>
    <row r="10" spans="2:15" x14ac:dyDescent="0.25">
      <c r="B10" s="191" t="s">
        <v>120</v>
      </c>
      <c r="C10" s="191"/>
      <c r="D10" s="192">
        <f>(D20*D$25)+(D31*D36)</f>
        <v>349512.79999999993</v>
      </c>
      <c r="E10" s="192">
        <f t="shared" ref="E10:H10" si="4">(E20*E$25)+(E31*E36)</f>
        <v>335532.28799999994</v>
      </c>
      <c r="F10" s="192">
        <f t="shared" si="4"/>
        <v>325654.21744127991</v>
      </c>
      <c r="G10" s="192">
        <f t="shared" si="4"/>
        <v>319859.76076716639</v>
      </c>
      <c r="H10" s="192">
        <f t="shared" si="4"/>
        <v>317435.75791052741</v>
      </c>
    </row>
    <row r="11" spans="2:15" x14ac:dyDescent="0.25">
      <c r="B11" s="189" t="s">
        <v>99</v>
      </c>
      <c r="C11" s="189"/>
      <c r="D11" s="190">
        <f>(D21*D$25)+(D32*D36)</f>
        <v>162847.31458573509</v>
      </c>
      <c r="E11" s="190">
        <f t="shared" ref="E11:H11" si="5">(E21*E$25)+(E32*E36)</f>
        <v>156333.42200230568</v>
      </c>
      <c r="F11" s="190">
        <f t="shared" si="5"/>
        <v>151730.96605855779</v>
      </c>
      <c r="G11" s="190">
        <f t="shared" si="5"/>
        <v>149031.17449480738</v>
      </c>
      <c r="H11" s="190">
        <f t="shared" si="5"/>
        <v>147901.7670575066</v>
      </c>
    </row>
    <row r="12" spans="2:15" x14ac:dyDescent="0.25">
      <c r="B12" s="189" t="s">
        <v>100</v>
      </c>
      <c r="C12" s="189"/>
      <c r="D12" s="190">
        <f>(D22*D$25)+(D33*D36)</f>
        <v>56054.018832296802</v>
      </c>
      <c r="E12" s="190">
        <f t="shared" ref="E12:H12" si="6">(E22*E$25)+(E33*E36)</f>
        <v>53811.858079004931</v>
      </c>
      <c r="F12" s="190">
        <f t="shared" si="6"/>
        <v>52227.636977159025</v>
      </c>
      <c r="G12" s="190">
        <f t="shared" si="6"/>
        <v>51298.336008686078</v>
      </c>
      <c r="H12" s="190">
        <f t="shared" si="6"/>
        <v>50909.580284215946</v>
      </c>
    </row>
    <row r="13" spans="2:15" x14ac:dyDescent="0.25">
      <c r="B13" s="189" t="s">
        <v>106</v>
      </c>
      <c r="C13" s="189"/>
      <c r="D13" s="193">
        <f>IF(D23="n/a","n/a",D23*D$25)+IF(D34="n/a","n/a",D34*D$36)</f>
        <v>36048.824341371583</v>
      </c>
      <c r="E13" s="193">
        <f t="shared" ref="E13:H13" si="7">IF(E23="n/a","n/a",E23*E$25)+IF(E34="n/a","n/a",E34*E$36)</f>
        <v>34606.871367716718</v>
      </c>
      <c r="F13" s="193">
        <f t="shared" si="7"/>
        <v>33588.045074651134</v>
      </c>
      <c r="G13" s="193">
        <f t="shared" si="7"/>
        <v>32990.403583985244</v>
      </c>
      <c r="H13" s="193">
        <f t="shared" si="7"/>
        <v>32740.391415097693</v>
      </c>
    </row>
    <row r="14" spans="2:15" x14ac:dyDescent="0.25">
      <c r="B14" s="194" t="s">
        <v>121</v>
      </c>
      <c r="C14" s="189"/>
      <c r="D14" s="192">
        <f>SUM(D10:D13)</f>
        <v>604462.95775940339</v>
      </c>
      <c r="E14" s="192">
        <f t="shared" ref="E14:H14" si="8">SUM(E10:E13)</f>
        <v>580284.4394490273</v>
      </c>
      <c r="F14" s="192">
        <f t="shared" si="8"/>
        <v>563200.86555164785</v>
      </c>
      <c r="G14" s="192">
        <f t="shared" si="8"/>
        <v>553179.67485464516</v>
      </c>
      <c r="H14" s="192">
        <f t="shared" si="8"/>
        <v>548987.49666734762</v>
      </c>
    </row>
    <row r="15" spans="2:15" s="196" customFormat="1" x14ac:dyDescent="0.25">
      <c r="B15" s="195" t="s">
        <v>122</v>
      </c>
      <c r="C15" s="191"/>
      <c r="D15" s="192">
        <f>D26+D37-D14</f>
        <v>0</v>
      </c>
      <c r="E15" s="192">
        <f t="shared" ref="E15:H15" si="9">E26+E37-E14</f>
        <v>0</v>
      </c>
      <c r="F15" s="192">
        <f t="shared" si="9"/>
        <v>0</v>
      </c>
      <c r="G15" s="192">
        <f t="shared" si="9"/>
        <v>0</v>
      </c>
      <c r="H15" s="192">
        <f t="shared" si="9"/>
        <v>0</v>
      </c>
    </row>
    <row r="16" spans="2:15" s="196" customFormat="1" x14ac:dyDescent="0.25">
      <c r="C16" s="197"/>
    </row>
    <row r="17" spans="2:15" x14ac:dyDescent="0.25">
      <c r="B17" s="198" t="s">
        <v>127</v>
      </c>
      <c r="C17" s="199"/>
      <c r="D17" s="264" t="s">
        <v>123</v>
      </c>
      <c r="E17" s="265"/>
      <c r="F17" s="265"/>
      <c r="G17" s="265"/>
      <c r="H17" s="265"/>
      <c r="J17" s="199"/>
      <c r="K17" s="264" t="s">
        <v>123</v>
      </c>
      <c r="L17" s="265"/>
      <c r="M17" s="265"/>
      <c r="N17" s="265"/>
      <c r="O17" s="265"/>
    </row>
    <row r="18" spans="2:15" x14ac:dyDescent="0.25">
      <c r="B18" s="3" t="s">
        <v>118</v>
      </c>
      <c r="C18" s="200">
        <f>'Proposed Fee'!D8</f>
        <v>21.74</v>
      </c>
      <c r="D18" s="201">
        <f>C18*D$1</f>
        <v>21.74</v>
      </c>
      <c r="E18" s="201">
        <f>D18*E1</f>
        <v>21.74</v>
      </c>
      <c r="F18" s="201">
        <f>E18*F1</f>
        <v>21.979139999999997</v>
      </c>
      <c r="G18" s="201">
        <f>F18*G1</f>
        <v>22.487561466479995</v>
      </c>
      <c r="H18" s="201">
        <f>G18*H1</f>
        <v>23.247024273201163</v>
      </c>
      <c r="J18" s="200"/>
      <c r="K18" s="201">
        <f>J18*K$1</f>
        <v>0</v>
      </c>
      <c r="L18" s="201">
        <f>K18*L1</f>
        <v>0</v>
      </c>
      <c r="M18" s="201">
        <f>L18*M1</f>
        <v>0</v>
      </c>
      <c r="N18" s="201">
        <f>M18*N1</f>
        <v>0</v>
      </c>
      <c r="O18" s="201">
        <f>N18*O1</f>
        <v>0</v>
      </c>
    </row>
    <row r="19" spans="2:15" x14ac:dyDescent="0.25">
      <c r="B19" s="3" t="s">
        <v>119</v>
      </c>
      <c r="C19" s="200">
        <f>'Proposed Fee'!E8</f>
        <v>0</v>
      </c>
      <c r="D19" s="201">
        <f>D18*D$2</f>
        <v>0.86959999999999993</v>
      </c>
      <c r="E19" s="201">
        <f t="shared" ref="E19:H19" si="10">E18*E$2</f>
        <v>0.86959999999999993</v>
      </c>
      <c r="F19" s="201">
        <f t="shared" si="10"/>
        <v>0.87916559999999988</v>
      </c>
      <c r="G19" s="201">
        <f t="shared" si="10"/>
        <v>0.89950245865919987</v>
      </c>
      <c r="H19" s="201">
        <f t="shared" si="10"/>
        <v>0.92988097092804656</v>
      </c>
      <c r="J19" s="200"/>
      <c r="K19" s="201">
        <f>K18*K$2</f>
        <v>0</v>
      </c>
      <c r="L19" s="201">
        <f t="shared" ref="L19:O19" si="11">L18*L$2</f>
        <v>0</v>
      </c>
      <c r="M19" s="201">
        <f t="shared" si="11"/>
        <v>0</v>
      </c>
      <c r="N19" s="201">
        <f t="shared" si="11"/>
        <v>0</v>
      </c>
      <c r="O19" s="201">
        <f t="shared" si="11"/>
        <v>0</v>
      </c>
    </row>
    <row r="20" spans="2:15" s="196" customFormat="1" x14ac:dyDescent="0.25">
      <c r="B20" s="202" t="s">
        <v>120</v>
      </c>
      <c r="C20" s="270">
        <f>'Proposed Fee'!F8</f>
        <v>21.74</v>
      </c>
      <c r="D20" s="191">
        <f>SUM(D18:D19)</f>
        <v>22.609599999999997</v>
      </c>
      <c r="E20" s="191">
        <f>SUM(E18:E19)</f>
        <v>22.609599999999997</v>
      </c>
      <c r="F20" s="191">
        <f>SUM(F18:F19)</f>
        <v>22.858305599999998</v>
      </c>
      <c r="G20" s="191">
        <f>SUM(G18:G19)</f>
        <v>23.387063925139195</v>
      </c>
      <c r="H20" s="191">
        <f>SUM(H18:H19)</f>
        <v>24.176905244129209</v>
      </c>
      <c r="J20" s="203"/>
      <c r="K20" s="189">
        <f>SUM(K18:K19)</f>
        <v>0</v>
      </c>
      <c r="L20" s="189">
        <f>SUM(L18:L19)</f>
        <v>0</v>
      </c>
      <c r="M20" s="189">
        <f>SUM(M18:M19)</f>
        <v>0</v>
      </c>
      <c r="N20" s="189">
        <f>SUM(N18:N19)</f>
        <v>0</v>
      </c>
      <c r="O20" s="189">
        <f>SUM(O18:O19)</f>
        <v>0</v>
      </c>
    </row>
    <row r="21" spans="2:15" x14ac:dyDescent="0.25">
      <c r="B21" s="3" t="s">
        <v>99</v>
      </c>
      <c r="C21" s="200">
        <f>'Proposed Fee'!G8</f>
        <v>10.129244534374365</v>
      </c>
      <c r="D21" s="201">
        <f>D20*D$3</f>
        <v>10.53441431574934</v>
      </c>
      <c r="E21" s="201">
        <f t="shared" ref="E21:H21" si="12">E20*E$3</f>
        <v>10.53441431574934</v>
      </c>
      <c r="F21" s="201">
        <f t="shared" si="12"/>
        <v>10.650292873222583</v>
      </c>
      <c r="G21" s="201">
        <f t="shared" si="12"/>
        <v>10.896655447965966</v>
      </c>
      <c r="H21" s="201">
        <f t="shared" si="12"/>
        <v>11.264663537358912</v>
      </c>
      <c r="J21" s="200"/>
      <c r="K21" s="201">
        <f>K20*K$3</f>
        <v>0</v>
      </c>
      <c r="L21" s="201">
        <f t="shared" ref="L21:O21" si="13">L20*L$3</f>
        <v>0</v>
      </c>
      <c r="M21" s="201">
        <f t="shared" si="13"/>
        <v>0</v>
      </c>
      <c r="N21" s="201">
        <f t="shared" si="13"/>
        <v>0</v>
      </c>
      <c r="O21" s="201">
        <f t="shared" si="13"/>
        <v>0</v>
      </c>
    </row>
    <row r="22" spans="2:15" x14ac:dyDescent="0.25">
      <c r="B22" s="3" t="s">
        <v>100</v>
      </c>
      <c r="C22" s="200">
        <f>'Proposed Fee'!H8</f>
        <v>3.4866087004943238</v>
      </c>
      <c r="D22" s="201">
        <f>D20*D$4</f>
        <v>3.6260730485140966</v>
      </c>
      <c r="E22" s="201">
        <f t="shared" ref="E22:H22" si="14">E20*E$4</f>
        <v>3.6260730485140966</v>
      </c>
      <c r="F22" s="201">
        <f t="shared" si="14"/>
        <v>3.6659598520477519</v>
      </c>
      <c r="G22" s="201">
        <f t="shared" si="14"/>
        <v>3.7507608353453201</v>
      </c>
      <c r="H22" s="201">
        <f t="shared" si="14"/>
        <v>3.8774336787124084</v>
      </c>
      <c r="J22" s="200"/>
      <c r="K22" s="201">
        <f>K20*K$4</f>
        <v>0</v>
      </c>
      <c r="L22" s="201">
        <f t="shared" ref="L22:O22" si="15">L20*L$4</f>
        <v>0</v>
      </c>
      <c r="M22" s="201">
        <f t="shared" si="15"/>
        <v>0</v>
      </c>
      <c r="N22" s="201">
        <f t="shared" si="15"/>
        <v>0</v>
      </c>
      <c r="O22" s="201">
        <f t="shared" si="15"/>
        <v>0</v>
      </c>
    </row>
    <row r="23" spans="2:15" x14ac:dyDescent="0.25">
      <c r="B23" s="3" t="s">
        <v>101</v>
      </c>
      <c r="C23" s="204">
        <f>'Proposed Fee'!I8</f>
        <v>2.2422682121553725</v>
      </c>
      <c r="D23" s="205">
        <f>IF(C23="n/a","n/a",SUM(D20:D22)*D$5)</f>
        <v>2.331958940641587</v>
      </c>
      <c r="E23" s="205">
        <f t="shared" ref="E23:H23" si="16">IF(D23="n/a","n/a",SUM(E20:E22)*E$5)</f>
        <v>2.331958940641587</v>
      </c>
      <c r="F23" s="205">
        <f t="shared" si="16"/>
        <v>2.357610488988644</v>
      </c>
      <c r="G23" s="205">
        <f t="shared" si="16"/>
        <v>2.4121467348199293</v>
      </c>
      <c r="H23" s="205">
        <f t="shared" si="16"/>
        <v>2.4936111360259177</v>
      </c>
      <c r="J23" s="204"/>
      <c r="K23" s="205">
        <f>IF(J23="n/a","n/a",SUM(K20:K22)*K$5)</f>
        <v>0</v>
      </c>
      <c r="L23" s="205">
        <f t="shared" ref="L23" si="17">IF(K23="n/a","n/a",SUM(L20:L22)*L$5)</f>
        <v>0</v>
      </c>
      <c r="M23" s="205">
        <f t="shared" ref="M23:O23" si="18">IF(L23="n/a","n/a",SUM(M20:M22)*M$5)</f>
        <v>0</v>
      </c>
      <c r="N23" s="205">
        <f t="shared" si="18"/>
        <v>0</v>
      </c>
      <c r="O23" s="205">
        <f t="shared" si="18"/>
        <v>0</v>
      </c>
    </row>
    <row r="24" spans="2:15" s="196" customFormat="1" x14ac:dyDescent="0.25">
      <c r="B24" s="206" t="s">
        <v>124</v>
      </c>
      <c r="C24" s="207">
        <f>'Proposed Fee'!J8</f>
        <v>37.598121447024063</v>
      </c>
      <c r="D24" s="208">
        <f>SUM(D20:D23)</f>
        <v>39.102046304905016</v>
      </c>
      <c r="E24" s="208">
        <f t="shared" ref="E24:H24" si="19">SUM(E20:E23)</f>
        <v>39.102046304905016</v>
      </c>
      <c r="F24" s="208">
        <f t="shared" si="19"/>
        <v>39.532168814258966</v>
      </c>
      <c r="G24" s="208">
        <f t="shared" si="19"/>
        <v>40.446626943270402</v>
      </c>
      <c r="H24" s="208">
        <f t="shared" si="19"/>
        <v>41.812613596226448</v>
      </c>
      <c r="J24" s="207"/>
      <c r="K24" s="208">
        <f>SUM(K20:K23)</f>
        <v>0</v>
      </c>
      <c r="L24" s="208">
        <f t="shared" ref="L24:O24" si="20">SUM(L20:L23)</f>
        <v>0</v>
      </c>
      <c r="M24" s="208">
        <f t="shared" si="20"/>
        <v>0</v>
      </c>
      <c r="N24" s="208">
        <f t="shared" si="20"/>
        <v>0</v>
      </c>
      <c r="O24" s="208">
        <f t="shared" si="20"/>
        <v>0</v>
      </c>
    </row>
    <row r="25" spans="2:15" x14ac:dyDescent="0.25">
      <c r="B25" s="209" t="s">
        <v>125</v>
      </c>
      <c r="C25" s="201"/>
      <c r="D25" s="210">
        <f>'Forecast Revenue - Costs'!D11</f>
        <v>7000</v>
      </c>
      <c r="E25" s="210">
        <f>'Forecast Revenue - Costs'!E11</f>
        <v>6720</v>
      </c>
      <c r="F25" s="210">
        <f>'Forecast Revenue - Costs'!F11</f>
        <v>6451.2</v>
      </c>
      <c r="G25" s="210">
        <f>'Forecast Revenue - Costs'!G11</f>
        <v>6193.152</v>
      </c>
      <c r="H25" s="210">
        <f>'Forecast Revenue - Costs'!H11</f>
        <v>5945.4259199999997</v>
      </c>
      <c r="J25" s="201"/>
      <c r="K25" s="210"/>
      <c r="L25" s="210"/>
      <c r="M25" s="210"/>
      <c r="N25" s="210"/>
      <c r="O25" s="210"/>
    </row>
    <row r="26" spans="2:15" s="196" customFormat="1" x14ac:dyDescent="0.25">
      <c r="B26" s="194" t="s">
        <v>126</v>
      </c>
      <c r="C26" s="191"/>
      <c r="D26" s="192">
        <f>D24*D25</f>
        <v>273714.3241343351</v>
      </c>
      <c r="E26" s="192">
        <f t="shared" ref="E26:H26" si="21">E24*E25</f>
        <v>262765.75116896169</v>
      </c>
      <c r="F26" s="192">
        <f t="shared" si="21"/>
        <v>255029.92745454743</v>
      </c>
      <c r="G26" s="192">
        <f t="shared" si="21"/>
        <v>250492.10854696899</v>
      </c>
      <c r="H26" s="192">
        <f t="shared" si="21"/>
        <v>248593.79665794913</v>
      </c>
      <c r="J26" s="191"/>
      <c r="K26" s="192"/>
      <c r="L26" s="192"/>
      <c r="M26" s="192"/>
      <c r="N26" s="192"/>
      <c r="O26" s="192"/>
    </row>
    <row r="28" spans="2:15" x14ac:dyDescent="0.25">
      <c r="B28" s="198" t="s">
        <v>128</v>
      </c>
      <c r="C28" s="199"/>
      <c r="D28" s="264" t="s">
        <v>123</v>
      </c>
      <c r="E28" s="265"/>
      <c r="F28" s="265"/>
      <c r="G28" s="265"/>
      <c r="H28" s="265"/>
      <c r="J28" s="199"/>
      <c r="K28" s="264" t="s">
        <v>123</v>
      </c>
      <c r="L28" s="265"/>
      <c r="M28" s="265"/>
      <c r="N28" s="265"/>
      <c r="O28" s="265"/>
    </row>
    <row r="29" spans="2:15" x14ac:dyDescent="0.25">
      <c r="B29" s="3" t="s">
        <v>118</v>
      </c>
      <c r="C29" s="200">
        <f>'Proposed Fee'!D16</f>
        <v>26.27</v>
      </c>
      <c r="D29" s="201">
        <f>C29*D$1</f>
        <v>26.27</v>
      </c>
      <c r="E29" s="201">
        <f>D29*E1</f>
        <v>26.27</v>
      </c>
      <c r="F29" s="201">
        <f>E29*F1</f>
        <v>26.558969999999999</v>
      </c>
      <c r="G29" s="201">
        <f>F29*G1</f>
        <v>27.173332094039996</v>
      </c>
      <c r="H29" s="201">
        <f>G29*H1</f>
        <v>28.091045430404531</v>
      </c>
      <c r="J29" s="200"/>
      <c r="K29" s="201">
        <f>J29*K$1</f>
        <v>0</v>
      </c>
      <c r="L29" s="201">
        <f>K29*L12</f>
        <v>0</v>
      </c>
      <c r="M29" s="201">
        <f>L29*M12</f>
        <v>0</v>
      </c>
      <c r="N29" s="201">
        <f>M29*N12</f>
        <v>0</v>
      </c>
      <c r="O29" s="201">
        <f>N29*O12</f>
        <v>0</v>
      </c>
    </row>
    <row r="30" spans="2:15" x14ac:dyDescent="0.25">
      <c r="B30" s="3" t="s">
        <v>119</v>
      </c>
      <c r="C30" s="200">
        <f>'Proposed Fee'!E16</f>
        <v>0</v>
      </c>
      <c r="D30" s="201">
        <f>D29*D$2</f>
        <v>1.0508</v>
      </c>
      <c r="E30" s="201">
        <f t="shared" ref="E30:H30" si="22">E29*E$2</f>
        <v>1.0508</v>
      </c>
      <c r="F30" s="201">
        <f t="shared" si="22"/>
        <v>1.0623587999999999</v>
      </c>
      <c r="G30" s="201">
        <f t="shared" si="22"/>
        <v>1.0869332837615999</v>
      </c>
      <c r="H30" s="201">
        <f t="shared" si="22"/>
        <v>1.1236418172161813</v>
      </c>
      <c r="J30" s="200"/>
      <c r="K30" s="201">
        <f>K29*K$2</f>
        <v>0</v>
      </c>
      <c r="L30" s="201">
        <f t="shared" ref="L30:O30" si="23">L29*L$2</f>
        <v>0</v>
      </c>
      <c r="M30" s="201">
        <f t="shared" si="23"/>
        <v>0</v>
      </c>
      <c r="N30" s="201">
        <f t="shared" si="23"/>
        <v>0</v>
      </c>
      <c r="O30" s="201">
        <f t="shared" si="23"/>
        <v>0</v>
      </c>
    </row>
    <row r="31" spans="2:15" s="196" customFormat="1" x14ac:dyDescent="0.25">
      <c r="B31" s="202" t="s">
        <v>120</v>
      </c>
      <c r="C31" s="270">
        <f>'Proposed Fee'!F16</f>
        <v>26.27</v>
      </c>
      <c r="D31" s="191">
        <f>SUM(D29:D30)</f>
        <v>27.320799999999998</v>
      </c>
      <c r="E31" s="191">
        <f>SUM(E29:E30)</f>
        <v>27.320799999999998</v>
      </c>
      <c r="F31" s="191">
        <f>SUM(F29:F30)</f>
        <v>27.621328799999997</v>
      </c>
      <c r="G31" s="191">
        <f>SUM(G29:G30)</f>
        <v>28.260265377801595</v>
      </c>
      <c r="H31" s="191">
        <f>SUM(H29:H30)</f>
        <v>29.214687247620713</v>
      </c>
      <c r="J31" s="203"/>
      <c r="K31" s="189">
        <f>SUM(K29:K30)</f>
        <v>0</v>
      </c>
      <c r="L31" s="189">
        <f>SUM(L29:L30)</f>
        <v>0</v>
      </c>
      <c r="M31" s="189">
        <f>SUM(M29:M30)</f>
        <v>0</v>
      </c>
      <c r="N31" s="189">
        <f>SUM(N29:N30)</f>
        <v>0</v>
      </c>
      <c r="O31" s="189">
        <f>SUM(O29:O30)</f>
        <v>0</v>
      </c>
    </row>
    <row r="32" spans="2:15" x14ac:dyDescent="0.25">
      <c r="B32" s="3" t="s">
        <v>99</v>
      </c>
      <c r="C32" s="200">
        <f>'Proposed Fee'!G16</f>
        <v>12.239892084545289</v>
      </c>
      <c r="D32" s="201">
        <f>D31*D$3</f>
        <v>12.7294877679271</v>
      </c>
      <c r="E32" s="201">
        <f t="shared" ref="E32:H32" si="24">E31*E$3</f>
        <v>12.7294877679271</v>
      </c>
      <c r="F32" s="201">
        <f t="shared" si="24"/>
        <v>12.869512133374299</v>
      </c>
      <c r="G32" s="201">
        <f t="shared" si="24"/>
        <v>13.167209688043512</v>
      </c>
      <c r="H32" s="201">
        <f t="shared" si="24"/>
        <v>13.611900235805823</v>
      </c>
      <c r="J32" s="200"/>
      <c r="K32" s="201">
        <f>K31*K$3</f>
        <v>0</v>
      </c>
      <c r="L32" s="201">
        <f t="shared" ref="L32:O32" si="25">L31*L$3</f>
        <v>0</v>
      </c>
      <c r="M32" s="201">
        <f t="shared" si="25"/>
        <v>0</v>
      </c>
      <c r="N32" s="201">
        <f t="shared" si="25"/>
        <v>0</v>
      </c>
      <c r="O32" s="201">
        <f t="shared" si="25"/>
        <v>0</v>
      </c>
    </row>
    <row r="33" spans="2:15" x14ac:dyDescent="0.25">
      <c r="B33" s="3" t="s">
        <v>100</v>
      </c>
      <c r="C33" s="200">
        <f>'Proposed Fee'!H16</f>
        <v>4.2131191610849079</v>
      </c>
      <c r="D33" s="201">
        <f>D31*D$4</f>
        <v>4.3816439275283043</v>
      </c>
      <c r="E33" s="201">
        <f t="shared" ref="E33:H33" si="26">E31*E$4</f>
        <v>4.3816439275283043</v>
      </c>
      <c r="F33" s="201">
        <f t="shared" si="26"/>
        <v>4.4298420107311154</v>
      </c>
      <c r="G33" s="201">
        <f t="shared" si="26"/>
        <v>4.5323131161233468</v>
      </c>
      <c r="H33" s="201">
        <f t="shared" si="26"/>
        <v>4.6853809907900166</v>
      </c>
      <c r="J33" s="200"/>
      <c r="K33" s="201">
        <f>K31*K$4</f>
        <v>0</v>
      </c>
      <c r="L33" s="201">
        <f t="shared" ref="L33:O33" si="27">L31*L$4</f>
        <v>0</v>
      </c>
      <c r="M33" s="201">
        <f t="shared" si="27"/>
        <v>0</v>
      </c>
      <c r="N33" s="201">
        <f t="shared" si="27"/>
        <v>0</v>
      </c>
      <c r="O33" s="201">
        <f t="shared" si="27"/>
        <v>0</v>
      </c>
    </row>
    <row r="34" spans="2:15" x14ac:dyDescent="0.25">
      <c r="B34" s="3" t="s">
        <v>101</v>
      </c>
      <c r="C34" s="204">
        <f>'Proposed Fee'!I16</f>
        <v>2.709493373197867</v>
      </c>
      <c r="D34" s="205">
        <f>IF(C34="n/a","n/a",SUM(D31:D33)*D$5)</f>
        <v>2.8178731081257817</v>
      </c>
      <c r="E34" s="205">
        <f t="shared" ref="E34" si="28">IF(D34="n/a","n/a",SUM(E31:E33)*E$5)</f>
        <v>2.8178731081257817</v>
      </c>
      <c r="F34" s="205">
        <f t="shared" ref="F34" si="29">IF(E34="n/a","n/a",SUM(F31:F33)*F$5)</f>
        <v>2.8488697123151652</v>
      </c>
      <c r="G34" s="205">
        <f t="shared" ref="G34" si="30">IF(F34="n/a","n/a",SUM(G31:G33)*G$5)</f>
        <v>2.9147697665004397</v>
      </c>
      <c r="H34" s="205">
        <f t="shared" ref="H34" si="31">IF(G34="n/a","n/a",SUM(H31:H33)*H$5)</f>
        <v>3.013209040634814</v>
      </c>
      <c r="J34" s="204"/>
      <c r="K34" s="205">
        <f>IF(J34="n/a","n/a",SUM(K31:K33)*K$5)</f>
        <v>0</v>
      </c>
      <c r="L34" s="205">
        <f t="shared" ref="L34" si="32">IF(K34="n/a","n/a",SUM(L31:L33)*L$5)</f>
        <v>0</v>
      </c>
      <c r="M34" s="205">
        <f t="shared" ref="M34" si="33">IF(L34="n/a","n/a",SUM(M31:M33)*M$5)</f>
        <v>0</v>
      </c>
      <c r="N34" s="205">
        <f t="shared" ref="N34" si="34">IF(M34="n/a","n/a",SUM(N31:N33)*N$5)</f>
        <v>0</v>
      </c>
      <c r="O34" s="205">
        <f t="shared" ref="O34" si="35">IF(N34="n/a","n/a",SUM(O31:O33)*O$5)</f>
        <v>0</v>
      </c>
    </row>
    <row r="35" spans="2:15" s="196" customFormat="1" x14ac:dyDescent="0.25">
      <c r="B35" s="206" t="s">
        <v>124</v>
      </c>
      <c r="C35" s="207">
        <f>'Proposed Fee'!J16</f>
        <v>45.432504618828055</v>
      </c>
      <c r="D35" s="208">
        <f>SUM(D31:D34)</f>
        <v>47.249804803581185</v>
      </c>
      <c r="E35" s="208">
        <f t="shared" ref="E35:H35" si="36">SUM(E31:E34)</f>
        <v>47.249804803581185</v>
      </c>
      <c r="F35" s="208">
        <f t="shared" si="36"/>
        <v>47.769552656420572</v>
      </c>
      <c r="G35" s="208">
        <f t="shared" si="36"/>
        <v>48.874557948468897</v>
      </c>
      <c r="H35" s="208">
        <f t="shared" si="36"/>
        <v>50.525177514851364</v>
      </c>
      <c r="J35" s="207"/>
      <c r="K35" s="208">
        <f>SUM(K31:K34)</f>
        <v>0</v>
      </c>
      <c r="L35" s="208">
        <f t="shared" ref="L35:O35" si="37">SUM(L31:L34)</f>
        <v>0</v>
      </c>
      <c r="M35" s="208">
        <f t="shared" si="37"/>
        <v>0</v>
      </c>
      <c r="N35" s="208">
        <f t="shared" si="37"/>
        <v>0</v>
      </c>
      <c r="O35" s="208">
        <f t="shared" si="37"/>
        <v>0</v>
      </c>
    </row>
    <row r="36" spans="2:15" x14ac:dyDescent="0.25">
      <c r="B36" s="209" t="s">
        <v>125</v>
      </c>
      <c r="C36" s="201"/>
      <c r="D36" s="210">
        <f>'Forecast Revenue - Costs'!D12</f>
        <v>7000</v>
      </c>
      <c r="E36" s="210">
        <f>'Forecast Revenue - Costs'!E12</f>
        <v>6720</v>
      </c>
      <c r="F36" s="210">
        <f>'Forecast Revenue - Costs'!F12</f>
        <v>6451.2</v>
      </c>
      <c r="G36" s="210">
        <f>'Forecast Revenue - Costs'!G12</f>
        <v>6193.152</v>
      </c>
      <c r="H36" s="210">
        <f>'Forecast Revenue - Costs'!H12</f>
        <v>5945.4259199999997</v>
      </c>
      <c r="J36" s="201"/>
      <c r="K36" s="210"/>
      <c r="L36" s="210"/>
      <c r="M36" s="210"/>
      <c r="N36" s="210"/>
      <c r="O36" s="210"/>
    </row>
    <row r="37" spans="2:15" s="196" customFormat="1" x14ac:dyDescent="0.25">
      <c r="B37" s="194" t="s">
        <v>126</v>
      </c>
      <c r="C37" s="191"/>
      <c r="D37" s="192">
        <f>D35*D36</f>
        <v>330748.63362506829</v>
      </c>
      <c r="E37" s="192">
        <f t="shared" ref="E37:H37" si="38">E35*E36</f>
        <v>317518.68828006554</v>
      </c>
      <c r="F37" s="192">
        <f t="shared" si="38"/>
        <v>308170.93809710041</v>
      </c>
      <c r="G37" s="192">
        <f t="shared" si="38"/>
        <v>302687.56630767602</v>
      </c>
      <c r="H37" s="192">
        <f t="shared" si="38"/>
        <v>300393.70000939845</v>
      </c>
      <c r="J37" s="191"/>
      <c r="K37" s="192"/>
      <c r="L37" s="192"/>
      <c r="M37" s="192"/>
      <c r="N37" s="192"/>
      <c r="O37" s="192"/>
    </row>
  </sheetData>
  <mergeCells count="6">
    <mergeCell ref="D6:H6"/>
    <mergeCell ref="J6:O6"/>
    <mergeCell ref="D17:H17"/>
    <mergeCell ref="K17:O17"/>
    <mergeCell ref="D28:H28"/>
    <mergeCell ref="K28:O2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C36" sqref="C36"/>
    </sheetView>
  </sheetViews>
  <sheetFormatPr defaultRowHeight="15" x14ac:dyDescent="0.25"/>
  <cols>
    <col min="1" max="1" width="3.28515625" customWidth="1"/>
    <col min="2" max="2" width="66.42578125" customWidth="1"/>
    <col min="3" max="3" width="65.140625" customWidth="1"/>
    <col min="4" max="4" width="11.85546875" customWidth="1"/>
    <col min="5" max="5" width="13.140625" customWidth="1"/>
    <col min="6" max="6" width="12.85546875" customWidth="1"/>
    <col min="7" max="8" width="13.42578125" customWidth="1"/>
    <col min="9" max="9" width="14.140625" customWidth="1"/>
  </cols>
  <sheetData>
    <row r="2" spans="2:9" x14ac:dyDescent="0.25">
      <c r="B2" s="19" t="s">
        <v>47</v>
      </c>
      <c r="C2" s="20"/>
      <c r="D2" s="20"/>
      <c r="E2" s="20"/>
      <c r="F2" s="20"/>
      <c r="G2" s="20"/>
      <c r="H2" s="20"/>
      <c r="I2" s="20"/>
    </row>
    <row r="3" spans="2:9" x14ac:dyDescent="0.25">
      <c r="B3" s="1"/>
      <c r="C3" s="1"/>
      <c r="D3" s="1"/>
      <c r="E3" s="1"/>
      <c r="F3" s="1"/>
      <c r="G3" s="1"/>
      <c r="H3" s="1"/>
      <c r="I3" s="1"/>
    </row>
    <row r="4" spans="2:9" x14ac:dyDescent="0.25">
      <c r="B4" s="271" t="s">
        <v>67</v>
      </c>
      <c r="C4" s="271" t="s">
        <v>3</v>
      </c>
      <c r="D4" s="272" t="s">
        <v>56</v>
      </c>
      <c r="E4" s="272" t="s">
        <v>57</v>
      </c>
      <c r="F4" s="272" t="s">
        <v>58</v>
      </c>
      <c r="G4" s="272" t="s">
        <v>68</v>
      </c>
      <c r="H4" s="272" t="s">
        <v>59</v>
      </c>
      <c r="I4" s="273" t="s">
        <v>1</v>
      </c>
    </row>
    <row r="5" spans="2:9" x14ac:dyDescent="0.25">
      <c r="B5" s="3" t="s">
        <v>71</v>
      </c>
      <c r="C5" s="4" t="s">
        <v>129</v>
      </c>
      <c r="D5" s="59">
        <f>'Forecast by year'!D26</f>
        <v>273714.3241343351</v>
      </c>
      <c r="E5" s="59">
        <f>'Forecast by year'!E26</f>
        <v>262765.75116896169</v>
      </c>
      <c r="F5" s="59">
        <f>'Forecast by year'!F26</f>
        <v>255029.92745454743</v>
      </c>
      <c r="G5" s="59">
        <f>'Forecast by year'!G26</f>
        <v>250492.10854696899</v>
      </c>
      <c r="H5" s="59">
        <f>'Forecast by year'!H26</f>
        <v>248593.79665794913</v>
      </c>
      <c r="I5" s="277">
        <f>SUM(D5:H5)</f>
        <v>1290595.9079627625</v>
      </c>
    </row>
    <row r="6" spans="2:9" x14ac:dyDescent="0.25">
      <c r="B6" s="4"/>
      <c r="C6" s="4" t="s">
        <v>130</v>
      </c>
      <c r="D6" s="59">
        <f>'Forecast by year'!D37</f>
        <v>330748.63362506829</v>
      </c>
      <c r="E6" s="59">
        <f>'Forecast by year'!E37</f>
        <v>317518.68828006554</v>
      </c>
      <c r="F6" s="59">
        <f>'Forecast by year'!F37</f>
        <v>308170.93809710041</v>
      </c>
      <c r="G6" s="59">
        <f>'Forecast by year'!G37</f>
        <v>302687.56630767602</v>
      </c>
      <c r="H6" s="59">
        <f>'Forecast by year'!H37</f>
        <v>300393.70000939845</v>
      </c>
      <c r="I6" s="277">
        <f>SUM(D6:H6)</f>
        <v>1559519.5263193087</v>
      </c>
    </row>
    <row r="7" spans="2:9" x14ac:dyDescent="0.25">
      <c r="B7" s="13" t="s">
        <v>1</v>
      </c>
      <c r="C7" s="13"/>
      <c r="D7" s="278">
        <f>SUM(D5:D6)</f>
        <v>604462.95775940339</v>
      </c>
      <c r="E7" s="278">
        <f>SUM(E5:E6)</f>
        <v>580284.43944902718</v>
      </c>
      <c r="F7" s="278">
        <f>SUM(F5:F6)</f>
        <v>563200.86555164785</v>
      </c>
      <c r="G7" s="278">
        <f>SUM(G5:G6)</f>
        <v>553179.67485464504</v>
      </c>
      <c r="H7" s="278">
        <f>SUM(H5:H6)</f>
        <v>548987.49666734762</v>
      </c>
      <c r="I7" s="278">
        <f>SUM(I5:I6)</f>
        <v>2850115.434282071</v>
      </c>
    </row>
    <row r="8" spans="2:9" x14ac:dyDescent="0.25">
      <c r="B8" s="1"/>
      <c r="C8" s="1"/>
      <c r="D8" s="1"/>
      <c r="E8" s="1"/>
      <c r="F8" s="1"/>
      <c r="G8" s="1"/>
      <c r="H8" s="1"/>
      <c r="I8" s="1"/>
    </row>
    <row r="9" spans="2:9" x14ac:dyDescent="0.25">
      <c r="B9" s="19" t="s">
        <v>27</v>
      </c>
      <c r="C9" s="20"/>
      <c r="D9" s="20"/>
      <c r="E9" s="20"/>
      <c r="F9" s="20"/>
      <c r="G9" s="20"/>
      <c r="H9" s="20"/>
      <c r="I9" s="20"/>
    </row>
    <row r="10" spans="2:9" x14ac:dyDescent="0.25">
      <c r="B10" s="271" t="s">
        <v>67</v>
      </c>
      <c r="C10" s="271" t="s">
        <v>3</v>
      </c>
      <c r="D10" s="272" t="s">
        <v>56</v>
      </c>
      <c r="E10" s="272" t="s">
        <v>57</v>
      </c>
      <c r="F10" s="272" t="s">
        <v>58</v>
      </c>
      <c r="G10" s="272" t="s">
        <v>68</v>
      </c>
      <c r="H10" s="272" t="s">
        <v>59</v>
      </c>
      <c r="I10" s="273" t="s">
        <v>1</v>
      </c>
    </row>
    <row r="11" spans="2:9" x14ac:dyDescent="0.25">
      <c r="B11" s="3" t="s">
        <v>71</v>
      </c>
      <c r="C11" s="4" t="str">
        <f>C5</f>
        <v>Disconnect - Vacant Premise</v>
      </c>
      <c r="D11" s="226">
        <v>7000</v>
      </c>
      <c r="E11" s="226">
        <f>D11-D11*4%</f>
        <v>6720</v>
      </c>
      <c r="F11" s="226">
        <f t="shared" ref="F11:H11" si="0">E11-E11*4%</f>
        <v>6451.2</v>
      </c>
      <c r="G11" s="226">
        <f t="shared" si="0"/>
        <v>6193.152</v>
      </c>
      <c r="H11" s="226">
        <f t="shared" si="0"/>
        <v>5945.4259199999997</v>
      </c>
      <c r="I11" s="274">
        <f>SUM(D11:H11)</f>
        <v>32309.77792</v>
      </c>
    </row>
    <row r="12" spans="2:9" x14ac:dyDescent="0.25">
      <c r="B12" s="4"/>
      <c r="C12" s="275" t="str">
        <f>C6</f>
        <v>Reconnect - Vacant Premise</v>
      </c>
      <c r="D12" s="226">
        <v>7000</v>
      </c>
      <c r="E12" s="226">
        <f>D12-D12*4%</f>
        <v>6720</v>
      </c>
      <c r="F12" s="226">
        <f t="shared" ref="F12" si="1">E12-E12*4%</f>
        <v>6451.2</v>
      </c>
      <c r="G12" s="226">
        <f t="shared" ref="G12" si="2">F12-F12*4%</f>
        <v>6193.152</v>
      </c>
      <c r="H12" s="226">
        <f t="shared" ref="H12" si="3">G12-G12*4%</f>
        <v>5945.4259199999997</v>
      </c>
      <c r="I12" s="274">
        <f>SUM(D12:H12)</f>
        <v>32309.77792</v>
      </c>
    </row>
    <row r="13" spans="2:9" x14ac:dyDescent="0.25">
      <c r="B13" s="13" t="s">
        <v>17</v>
      </c>
      <c r="C13" s="13"/>
      <c r="D13" s="276">
        <f>SUM(D11:D12)</f>
        <v>14000</v>
      </c>
      <c r="E13" s="276">
        <f>SUM(E11:E12)</f>
        <v>13440</v>
      </c>
      <c r="F13" s="276">
        <f>SUM(F11:F12)</f>
        <v>12902.4</v>
      </c>
      <c r="G13" s="276">
        <f>SUM(G11:G12)</f>
        <v>12386.304</v>
      </c>
      <c r="H13" s="276">
        <f>SUM(H11:H12)</f>
        <v>11890.851839999999</v>
      </c>
      <c r="I13" s="276">
        <f>SUM(I11:I12)</f>
        <v>64619.555840000001</v>
      </c>
    </row>
    <row r="14" spans="2:9" x14ac:dyDescent="0.25">
      <c r="B14" s="1"/>
      <c r="C14" s="1"/>
      <c r="D14" s="7"/>
      <c r="E14" s="7"/>
      <c r="F14" s="7"/>
      <c r="G14" s="7"/>
      <c r="H14" s="7"/>
      <c r="I14" s="7"/>
    </row>
    <row r="15" spans="2:9" x14ac:dyDescent="0.25">
      <c r="B15" s="8" t="s">
        <v>6</v>
      </c>
      <c r="C15" s="1"/>
      <c r="D15" s="7"/>
      <c r="E15" s="7"/>
      <c r="F15" s="7"/>
      <c r="G15" s="7"/>
      <c r="H15" s="7"/>
      <c r="I15" s="7"/>
    </row>
    <row r="16" spans="2:9" x14ac:dyDescent="0.25">
      <c r="B16" s="266" t="s">
        <v>88</v>
      </c>
      <c r="C16" s="266"/>
      <c r="D16" s="266"/>
      <c r="E16" s="266"/>
      <c r="F16" s="266"/>
      <c r="G16" s="266"/>
      <c r="H16" s="266"/>
      <c r="I16" s="266"/>
    </row>
    <row r="17" spans="2:9" x14ac:dyDescent="0.25">
      <c r="B17" s="267"/>
      <c r="C17" s="267"/>
      <c r="D17" s="267"/>
      <c r="E17" s="267"/>
      <c r="F17" s="267"/>
      <c r="G17" s="267"/>
      <c r="H17" s="267"/>
      <c r="I17" s="267"/>
    </row>
    <row r="18" spans="2:9" x14ac:dyDescent="0.25">
      <c r="B18" s="1"/>
      <c r="C18" s="1"/>
      <c r="D18" s="7"/>
      <c r="E18" s="7"/>
      <c r="F18" s="7"/>
      <c r="G18" s="7"/>
      <c r="H18" s="7"/>
      <c r="I18" s="7"/>
    </row>
    <row r="19" spans="2:9" x14ac:dyDescent="0.25">
      <c r="B19" s="19" t="s">
        <v>28</v>
      </c>
      <c r="C19" s="20"/>
      <c r="D19" s="20"/>
      <c r="E19" s="20"/>
      <c r="F19" s="20"/>
      <c r="G19" s="20"/>
      <c r="H19" s="20"/>
      <c r="I19" s="20"/>
    </row>
    <row r="20" spans="2:9" x14ac:dyDescent="0.25">
      <c r="B20" s="9" t="s">
        <v>26</v>
      </c>
      <c r="C20" s="10"/>
      <c r="D20" s="10"/>
      <c r="E20" s="10"/>
      <c r="F20" s="10"/>
      <c r="G20" s="10"/>
      <c r="H20" s="10"/>
      <c r="I20" s="10"/>
    </row>
    <row r="21" spans="2:9" ht="15" customHeight="1" x14ac:dyDescent="0.25">
      <c r="B21" s="279" t="s">
        <v>149</v>
      </c>
      <c r="C21" s="268"/>
      <c r="D21" s="268"/>
      <c r="E21" s="268"/>
      <c r="F21" s="268"/>
      <c r="G21" s="268"/>
      <c r="H21" s="268"/>
      <c r="I21" s="268"/>
    </row>
    <row r="22" spans="2:9" x14ac:dyDescent="0.25">
      <c r="B22" s="269"/>
      <c r="C22" s="269"/>
      <c r="D22" s="269"/>
      <c r="E22" s="269"/>
      <c r="F22" s="269"/>
      <c r="G22" s="269"/>
      <c r="H22" s="269"/>
      <c r="I22" s="269"/>
    </row>
    <row r="23" spans="2:9" x14ac:dyDescent="0.25">
      <c r="B23" s="11"/>
      <c r="C23" s="12"/>
      <c r="D23" s="12"/>
      <c r="E23" s="12"/>
      <c r="F23" s="12"/>
      <c r="G23" s="12"/>
      <c r="H23" s="12"/>
      <c r="I23" s="12"/>
    </row>
    <row r="24" spans="2:9" x14ac:dyDescent="0.25">
      <c r="B24" s="1"/>
      <c r="C24" s="1"/>
      <c r="D24" s="1"/>
      <c r="E24" s="1"/>
      <c r="F24" s="1"/>
      <c r="G24" s="1"/>
      <c r="H24" s="1"/>
      <c r="I24" s="1"/>
    </row>
    <row r="25" spans="2:9" s="179" customFormat="1" x14ac:dyDescent="0.25">
      <c r="B25" s="21" t="s">
        <v>46</v>
      </c>
      <c r="C25" s="22"/>
      <c r="D25" s="22"/>
      <c r="E25" s="22"/>
      <c r="F25" s="22"/>
      <c r="G25" s="22"/>
      <c r="H25" s="22"/>
      <c r="I25" s="22"/>
    </row>
    <row r="26" spans="2:9" s="179" customFormat="1" x14ac:dyDescent="0.25">
      <c r="B26" s="2" t="s">
        <v>20</v>
      </c>
      <c r="C26" s="13" t="s">
        <v>3</v>
      </c>
      <c r="D26" s="30" t="s">
        <v>56</v>
      </c>
      <c r="E26" s="30" t="s">
        <v>57</v>
      </c>
      <c r="F26" s="30" t="s">
        <v>58</v>
      </c>
      <c r="G26" s="30" t="s">
        <v>68</v>
      </c>
      <c r="H26" s="30" t="s">
        <v>59</v>
      </c>
      <c r="I26" s="14" t="s">
        <v>1</v>
      </c>
    </row>
    <row r="27" spans="2:9" s="179" customFormat="1" x14ac:dyDescent="0.25">
      <c r="B27" s="180" t="s">
        <v>102</v>
      </c>
      <c r="C27" s="4" t="s">
        <v>69</v>
      </c>
      <c r="D27" s="34">
        <f>'Forecast by year'!D10</f>
        <v>349512.79999999993</v>
      </c>
      <c r="E27" s="34">
        <f>'Forecast by year'!E10</f>
        <v>335532.28799999994</v>
      </c>
      <c r="F27" s="34">
        <f>'Forecast by year'!F10</f>
        <v>325654.21744127991</v>
      </c>
      <c r="G27" s="34">
        <f>'Forecast by year'!G10</f>
        <v>319859.76076716639</v>
      </c>
      <c r="H27" s="34">
        <f>'Forecast by year'!H10</f>
        <v>317435.75791052741</v>
      </c>
      <c r="I27" s="178">
        <f>SUM(D27:H27)</f>
        <v>1647994.8241189737</v>
      </c>
    </row>
    <row r="28" spans="2:9" s="179" customFormat="1" x14ac:dyDescent="0.25">
      <c r="B28" s="180" t="s">
        <v>103</v>
      </c>
      <c r="C28" s="6"/>
      <c r="D28" s="34"/>
      <c r="E28" s="34"/>
      <c r="F28" s="34"/>
      <c r="G28" s="34"/>
      <c r="H28" s="34"/>
      <c r="I28" s="178">
        <f t="shared" ref="I28:I33" si="4">SUM(D28:H28)</f>
        <v>0</v>
      </c>
    </row>
    <row r="29" spans="2:9" s="179" customFormat="1" x14ac:dyDescent="0.25">
      <c r="B29" s="180" t="s">
        <v>104</v>
      </c>
      <c r="C29" s="4"/>
      <c r="D29" s="34"/>
      <c r="E29" s="34"/>
      <c r="F29" s="34"/>
      <c r="G29" s="34"/>
      <c r="H29" s="34"/>
      <c r="I29" s="178">
        <f t="shared" si="4"/>
        <v>0</v>
      </c>
    </row>
    <row r="30" spans="2:9" s="179" customFormat="1" x14ac:dyDescent="0.25">
      <c r="B30" s="181" t="s">
        <v>105</v>
      </c>
      <c r="C30" s="4"/>
      <c r="D30" s="182">
        <f>SUM(D27:D29)</f>
        <v>349512.79999999993</v>
      </c>
      <c r="E30" s="182">
        <f t="shared" ref="E30:H30" si="5">SUM(E27:E29)</f>
        <v>335532.28799999994</v>
      </c>
      <c r="F30" s="182">
        <f t="shared" si="5"/>
        <v>325654.21744127991</v>
      </c>
      <c r="G30" s="182">
        <f t="shared" si="5"/>
        <v>319859.76076716639</v>
      </c>
      <c r="H30" s="182">
        <f t="shared" si="5"/>
        <v>317435.75791052741</v>
      </c>
      <c r="I30" s="178">
        <f t="shared" si="4"/>
        <v>1647994.8241189737</v>
      </c>
    </row>
    <row r="31" spans="2:9" s="179" customFormat="1" x14ac:dyDescent="0.25">
      <c r="B31" s="5" t="s">
        <v>99</v>
      </c>
      <c r="C31" s="4"/>
      <c r="D31" s="34">
        <f>'Forecast by year'!D11</f>
        <v>162847.31458573509</v>
      </c>
      <c r="E31" s="34">
        <f>'Forecast by year'!E11</f>
        <v>156333.42200230568</v>
      </c>
      <c r="F31" s="34">
        <f>'Forecast by year'!F11</f>
        <v>151730.96605855779</v>
      </c>
      <c r="G31" s="34">
        <f>'Forecast by year'!G11</f>
        <v>149031.17449480738</v>
      </c>
      <c r="H31" s="34">
        <f>'Forecast by year'!H11</f>
        <v>147901.7670575066</v>
      </c>
      <c r="I31" s="178">
        <f t="shared" si="4"/>
        <v>767844.64419891255</v>
      </c>
    </row>
    <row r="32" spans="2:9" s="179" customFormat="1" x14ac:dyDescent="0.25">
      <c r="B32" s="5" t="s">
        <v>100</v>
      </c>
      <c r="C32" s="4"/>
      <c r="D32" s="34">
        <f>'Forecast by year'!D12</f>
        <v>56054.018832296802</v>
      </c>
      <c r="E32" s="34">
        <f>'Forecast by year'!E12</f>
        <v>53811.858079004931</v>
      </c>
      <c r="F32" s="34">
        <f>'Forecast by year'!F12</f>
        <v>52227.636977159025</v>
      </c>
      <c r="G32" s="34">
        <f>'Forecast by year'!G12</f>
        <v>51298.336008686078</v>
      </c>
      <c r="H32" s="34">
        <f>'Forecast by year'!H12</f>
        <v>50909.580284215946</v>
      </c>
      <c r="I32" s="178">
        <f t="shared" si="4"/>
        <v>264301.43018136278</v>
      </c>
    </row>
    <row r="33" spans="2:9" s="179" customFormat="1" x14ac:dyDescent="0.25">
      <c r="B33" s="5" t="s">
        <v>106</v>
      </c>
      <c r="C33" s="4"/>
      <c r="D33" s="34">
        <f>'Forecast by year'!D13</f>
        <v>36048.824341371583</v>
      </c>
      <c r="E33" s="34">
        <f>'Forecast by year'!E13</f>
        <v>34606.871367716718</v>
      </c>
      <c r="F33" s="34">
        <f>'Forecast by year'!F13</f>
        <v>33588.045074651134</v>
      </c>
      <c r="G33" s="34">
        <f>'Forecast by year'!G13</f>
        <v>32990.403583985244</v>
      </c>
      <c r="H33" s="34">
        <f>'Forecast by year'!H13</f>
        <v>32740.391415097693</v>
      </c>
      <c r="I33" s="178">
        <f t="shared" si="4"/>
        <v>169974.53578282235</v>
      </c>
    </row>
    <row r="34" spans="2:9" s="179" customFormat="1" x14ac:dyDescent="0.25">
      <c r="B34" s="15" t="s">
        <v>1</v>
      </c>
      <c r="C34" s="16"/>
      <c r="D34" s="17">
        <f>SUM(D30:D33)</f>
        <v>604462.95775940339</v>
      </c>
      <c r="E34" s="17">
        <f t="shared" ref="E34:I34" si="6">SUM(E30:E33)</f>
        <v>580284.4394490273</v>
      </c>
      <c r="F34" s="17">
        <f t="shared" si="6"/>
        <v>563200.86555164785</v>
      </c>
      <c r="G34" s="17">
        <f t="shared" si="6"/>
        <v>553179.67485464516</v>
      </c>
      <c r="H34" s="17">
        <f t="shared" si="6"/>
        <v>548987.49666734762</v>
      </c>
      <c r="I34" s="17">
        <f t="shared" si="6"/>
        <v>2850115.4342820714</v>
      </c>
    </row>
  </sheetData>
  <mergeCells count="2">
    <mergeCell ref="B16:I17"/>
    <mergeCell ref="B21:I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2018-04-18T01:40:42Z</dcterms:modified>
</cp:coreProperties>
</file>