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8_Network Safety Services\"/>
    </mc:Choice>
  </mc:AlternateContent>
  <xr:revisionPtr revIDLastSave="0" documentId="13_ncr:1_{EC6A274D-95BF-4C8E-AEB9-60517FB0D16E}"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Bottom Up Estimation" sheetId="11" r:id="rId5"/>
    <sheet name="Forecasts by year" sheetId="17" r:id="rId6"/>
    <sheet name="Forecast Revenue - Costs" sheetId="16" r:id="rId7"/>
  </sheets>
  <externalReferences>
    <externalReference r:id="rId8"/>
  </externalReferences>
  <calcPr calcId="171027" calcMode="autoNoTable"/>
  <fileRecoveryPr autoRecover="0"/>
</workbook>
</file>

<file path=xl/calcChain.xml><?xml version="1.0" encoding="utf-8"?>
<calcChain xmlns="http://schemas.openxmlformats.org/spreadsheetml/2006/main">
  <c r="I15" i="13" l="1"/>
  <c r="I16" i="13"/>
  <c r="I7" i="13"/>
  <c r="I8" i="13"/>
  <c r="I9" i="13"/>
  <c r="B20" i="9"/>
  <c r="E27" i="17" l="1"/>
  <c r="F27" i="17"/>
  <c r="G27" i="17"/>
  <c r="H27" i="17"/>
  <c r="D27" i="17"/>
  <c r="H5" i="17" l="1"/>
  <c r="G5" i="17"/>
  <c r="F5" i="17"/>
  <c r="E5" i="17"/>
  <c r="D5" i="17"/>
  <c r="H2" i="17"/>
  <c r="G2" i="17"/>
  <c r="F2" i="17"/>
  <c r="E2" i="17"/>
  <c r="D2" i="17"/>
  <c r="H1" i="17"/>
  <c r="G1" i="17"/>
  <c r="F1" i="17"/>
  <c r="E1" i="17"/>
  <c r="D1" i="17"/>
  <c r="I28" i="11"/>
  <c r="H28" i="11"/>
  <c r="I27" i="11"/>
  <c r="H27" i="11"/>
  <c r="I26" i="11"/>
  <c r="H26" i="11"/>
  <c r="I25" i="11"/>
  <c r="H25" i="11"/>
  <c r="I24" i="11"/>
  <c r="H24" i="11"/>
  <c r="I23" i="11"/>
  <c r="H23" i="11"/>
  <c r="I22" i="11"/>
  <c r="H22" i="11"/>
  <c r="I13" i="11"/>
  <c r="H13" i="11"/>
  <c r="I12" i="11"/>
  <c r="H12" i="11"/>
  <c r="I11" i="11"/>
  <c r="H11" i="11"/>
  <c r="I10" i="11"/>
  <c r="H10" i="11"/>
  <c r="I9" i="11"/>
  <c r="H9" i="11"/>
  <c r="I8" i="11"/>
  <c r="H8" i="11"/>
  <c r="I7" i="11"/>
  <c r="H7" i="11"/>
  <c r="J21" i="17" l="1"/>
  <c r="C21" i="17"/>
  <c r="D21" i="17" s="1"/>
  <c r="D10" i="17" s="1"/>
  <c r="D29" i="16" s="1"/>
  <c r="G30" i="11"/>
  <c r="J30" i="11"/>
  <c r="K30" i="11"/>
  <c r="L30" i="11"/>
  <c r="G15" i="11"/>
  <c r="J15" i="11"/>
  <c r="K15" i="11"/>
  <c r="L15" i="11"/>
  <c r="K21" i="17"/>
  <c r="L21" i="17" s="1"/>
  <c r="M21" i="17" s="1"/>
  <c r="N21" i="17" s="1"/>
  <c r="O21" i="17" s="1"/>
  <c r="O10" i="17" s="1"/>
  <c r="L5" i="17"/>
  <c r="O1" i="17"/>
  <c r="N1" i="17"/>
  <c r="M1" i="17"/>
  <c r="L1" i="17"/>
  <c r="K1" i="17"/>
  <c r="M24" i="11"/>
  <c r="M26" i="11"/>
  <c r="M27" i="11"/>
  <c r="M28" i="11"/>
  <c r="H15" i="11"/>
  <c r="C19" i="17" s="1"/>
  <c r="D19" i="17" s="1"/>
  <c r="D8" i="17" s="1"/>
  <c r="M8" i="11"/>
  <c r="M9" i="11"/>
  <c r="M10" i="11"/>
  <c r="M11" i="11"/>
  <c r="M12" i="11"/>
  <c r="M13" i="11"/>
  <c r="I30" i="11"/>
  <c r="J20" i="17" s="1"/>
  <c r="K20" i="17" s="1"/>
  <c r="L20" i="17" s="1"/>
  <c r="M20" i="17" s="1"/>
  <c r="N20" i="17" s="1"/>
  <c r="O20" i="17" s="1"/>
  <c r="O9" i="17" s="1"/>
  <c r="I15" i="11"/>
  <c r="C20" i="17" s="1"/>
  <c r="D20" i="17" s="1"/>
  <c r="D9" i="17" s="1"/>
  <c r="M7" i="11" l="1"/>
  <c r="M22" i="11"/>
  <c r="M23" i="11"/>
  <c r="H30" i="11"/>
  <c r="J19" i="17" s="1"/>
  <c r="K19" i="17" s="1"/>
  <c r="K8" i="17" s="1"/>
  <c r="D27" i="16" s="1"/>
  <c r="L9" i="17"/>
  <c r="K9" i="17"/>
  <c r="D28" i="16" s="1"/>
  <c r="N10" i="17"/>
  <c r="K10" i="17"/>
  <c r="M9" i="17"/>
  <c r="L10" i="17"/>
  <c r="N9" i="17"/>
  <c r="M10" i="17"/>
  <c r="E19" i="17"/>
  <c r="E8" i="17" s="1"/>
  <c r="D22" i="17"/>
  <c r="D11" i="17" s="1"/>
  <c r="E20" i="17"/>
  <c r="E9" i="17" s="1"/>
  <c r="E21" i="17"/>
  <c r="E10" i="17" s="1"/>
  <c r="E29" i="16" s="1"/>
  <c r="M5" i="17"/>
  <c r="N5" i="17"/>
  <c r="K5" i="17"/>
  <c r="O5" i="17"/>
  <c r="M25" i="11"/>
  <c r="I14" i="13"/>
  <c r="I6" i="13"/>
  <c r="G17" i="13"/>
  <c r="H17" i="13"/>
  <c r="G10" i="13"/>
  <c r="H10" i="13"/>
  <c r="I14" i="15"/>
  <c r="I13" i="15"/>
  <c r="G15" i="15"/>
  <c r="H15" i="15"/>
  <c r="I5" i="15"/>
  <c r="I6" i="15"/>
  <c r="I7" i="15"/>
  <c r="I8" i="15"/>
  <c r="I4" i="15"/>
  <c r="G9" i="15"/>
  <c r="H9" i="15"/>
  <c r="M15" i="11" l="1"/>
  <c r="C22" i="17" s="1"/>
  <c r="M30" i="11"/>
  <c r="J22" i="17" s="1"/>
  <c r="E28" i="16"/>
  <c r="F20" i="17"/>
  <c r="F9" i="17" s="1"/>
  <c r="F28" i="16" s="1"/>
  <c r="L19" i="17"/>
  <c r="L8" i="17" s="1"/>
  <c r="E27" i="16" s="1"/>
  <c r="K22" i="17"/>
  <c r="K11" i="17" s="1"/>
  <c r="D30" i="16" s="1"/>
  <c r="F21" i="17"/>
  <c r="F10" i="17" s="1"/>
  <c r="F29" i="16" s="1"/>
  <c r="E22" i="17"/>
  <c r="E11" i="17" s="1"/>
  <c r="F19" i="17"/>
  <c r="F8" i="17" s="1"/>
  <c r="C11" i="16"/>
  <c r="C42" i="8" l="1"/>
  <c r="G19" i="17"/>
  <c r="G8" i="17" s="1"/>
  <c r="F22" i="17"/>
  <c r="F11" i="17" s="1"/>
  <c r="G21" i="17"/>
  <c r="G10" i="17" s="1"/>
  <c r="G29" i="16" s="1"/>
  <c r="G20" i="17"/>
  <c r="G9" i="17" s="1"/>
  <c r="G28" i="16" s="1"/>
  <c r="L22" i="17"/>
  <c r="L11" i="17" s="1"/>
  <c r="E30" i="16" s="1"/>
  <c r="M19" i="17"/>
  <c r="M8" i="17" s="1"/>
  <c r="F27" i="16" s="1"/>
  <c r="G12" i="16"/>
  <c r="F58" i="8" s="1"/>
  <c r="I11" i="16"/>
  <c r="F28" i="11"/>
  <c r="F27" i="11"/>
  <c r="F26" i="11"/>
  <c r="F25" i="11"/>
  <c r="F24" i="11"/>
  <c r="F23" i="11"/>
  <c r="F22" i="11"/>
  <c r="F30" i="11" s="1"/>
  <c r="D42" i="8" l="1"/>
  <c r="N19" i="17"/>
  <c r="N8" i="17" s="1"/>
  <c r="G27" i="16" s="1"/>
  <c r="M22" i="17"/>
  <c r="M11" i="17" s="1"/>
  <c r="F30" i="16" s="1"/>
  <c r="G22" i="17"/>
  <c r="G11" i="17" s="1"/>
  <c r="H19" i="17"/>
  <c r="H8" i="17" s="1"/>
  <c r="H20" i="17"/>
  <c r="H9" i="17" s="1"/>
  <c r="H28" i="16" s="1"/>
  <c r="I28" i="16" s="1"/>
  <c r="H21" i="17"/>
  <c r="H10" i="17" s="1"/>
  <c r="H29" i="16" s="1"/>
  <c r="I29" i="16" s="1"/>
  <c r="E42" i="8" l="1"/>
  <c r="N22" i="17"/>
  <c r="N11" i="17" s="1"/>
  <c r="G30" i="16" s="1"/>
  <c r="O19" i="17"/>
  <c r="H22" i="17"/>
  <c r="H11" i="17" s="1"/>
  <c r="F42" i="8" l="1"/>
  <c r="O22" i="17"/>
  <c r="O11" i="17" s="1"/>
  <c r="H30" i="16" s="1"/>
  <c r="I30" i="16" s="1"/>
  <c r="O8" i="17"/>
  <c r="H27" i="16" s="1"/>
  <c r="I27" i="16" s="1"/>
  <c r="F13" i="11"/>
  <c r="F12" i="11"/>
  <c r="F11" i="11"/>
  <c r="F10" i="11"/>
  <c r="F9" i="11"/>
  <c r="F8" i="11"/>
  <c r="F7" i="11"/>
  <c r="G42" i="8" l="1"/>
  <c r="F15" i="11" l="1"/>
  <c r="H12" i="16" l="1"/>
  <c r="G58" i="8" s="1"/>
  <c r="F15" i="15" l="1"/>
  <c r="E15" i="15"/>
  <c r="D15" i="15"/>
  <c r="I15" i="15" l="1"/>
  <c r="E9" i="15"/>
  <c r="D9" i="15"/>
  <c r="F12" i="16"/>
  <c r="E58" i="8" s="1"/>
  <c r="E12" i="16"/>
  <c r="D58" i="8" s="1"/>
  <c r="D12" i="16"/>
  <c r="C58" i="8" s="1"/>
  <c r="I12" i="16"/>
  <c r="C5" i="16"/>
  <c r="F17" i="13"/>
  <c r="E17" i="13"/>
  <c r="D17" i="13"/>
  <c r="F10" i="13"/>
  <c r="E10" i="13"/>
  <c r="D10" i="13"/>
  <c r="I10" i="13" l="1"/>
  <c r="I17" i="13"/>
  <c r="F9" i="15"/>
  <c r="I9" i="15" l="1"/>
  <c r="H42" i="8" l="1"/>
  <c r="D3" i="9"/>
  <c r="H58" i="8" l="1"/>
  <c r="H4" i="17" l="1"/>
  <c r="D4" i="17"/>
  <c r="O27" i="11"/>
  <c r="O23" i="11"/>
  <c r="O13" i="11"/>
  <c r="O9" i="11"/>
  <c r="G4" i="17"/>
  <c r="O28" i="11"/>
  <c r="O24" i="11"/>
  <c r="O10" i="11"/>
  <c r="F4" i="17"/>
  <c r="O25" i="11"/>
  <c r="O11" i="11"/>
  <c r="O7" i="11"/>
  <c r="E4" i="17"/>
  <c r="O26" i="11"/>
  <c r="O22" i="11"/>
  <c r="O12" i="11"/>
  <c r="O8" i="11"/>
  <c r="L4" i="17" l="1"/>
  <c r="L24" i="17" s="1"/>
  <c r="L13" i="17" s="1"/>
  <c r="E24" i="17"/>
  <c r="E13" i="17" s="1"/>
  <c r="N4" i="17"/>
  <c r="N24" i="17" s="1"/>
  <c r="N13" i="17" s="1"/>
  <c r="G24" i="17"/>
  <c r="G13" i="17" s="1"/>
  <c r="G32" i="16" s="1"/>
  <c r="O15" i="11"/>
  <c r="C24" i="17" s="1"/>
  <c r="K4" i="17"/>
  <c r="K24" i="17" s="1"/>
  <c r="K13" i="17" s="1"/>
  <c r="D24" i="17"/>
  <c r="D13" i="17" s="1"/>
  <c r="M4" i="17"/>
  <c r="M24" i="17" s="1"/>
  <c r="M13" i="17" s="1"/>
  <c r="F24" i="17"/>
  <c r="F13" i="17" s="1"/>
  <c r="O30" i="11"/>
  <c r="J24" i="17" s="1"/>
  <c r="O4" i="17"/>
  <c r="O24" i="17" s="1"/>
  <c r="O13" i="17" s="1"/>
  <c r="H24" i="17"/>
  <c r="H13" i="17" s="1"/>
  <c r="H32" i="16" s="1"/>
  <c r="F32" i="16" l="1"/>
  <c r="E32" i="16"/>
  <c r="D32" i="16"/>
  <c r="I32" i="16" l="1"/>
  <c r="E3" i="17"/>
  <c r="N26" i="11"/>
  <c r="N22" i="11"/>
  <c r="N12" i="11"/>
  <c r="N8" i="11"/>
  <c r="H3" i="17"/>
  <c r="D3" i="17"/>
  <c r="N27" i="11"/>
  <c r="N23" i="11"/>
  <c r="N13" i="11"/>
  <c r="N9" i="11"/>
  <c r="G3" i="17"/>
  <c r="N28" i="11"/>
  <c r="N24" i="11"/>
  <c r="N10" i="11"/>
  <c r="F3" i="17"/>
  <c r="N25" i="11"/>
  <c r="N11" i="11"/>
  <c r="N7" i="11"/>
  <c r="M3" i="17" l="1"/>
  <c r="M23" i="17" s="1"/>
  <c r="F23" i="17"/>
  <c r="P27" i="11"/>
  <c r="Q27" i="11" s="1"/>
  <c r="P7" i="11"/>
  <c r="Q7" i="11" s="1"/>
  <c r="N15" i="11"/>
  <c r="C23" i="17" s="1"/>
  <c r="P10" i="11"/>
  <c r="Q10" i="11" s="1"/>
  <c r="P22" i="11"/>
  <c r="Q22" i="11" s="1"/>
  <c r="N30" i="11"/>
  <c r="J23" i="17" s="1"/>
  <c r="P11" i="11"/>
  <c r="Q11" i="11" s="1"/>
  <c r="P24" i="11"/>
  <c r="Q24" i="11" s="1"/>
  <c r="P13" i="11"/>
  <c r="Q13" i="11" s="1"/>
  <c r="O3" i="17"/>
  <c r="O23" i="17" s="1"/>
  <c r="H23" i="17"/>
  <c r="P26" i="11"/>
  <c r="Q26" i="11" s="1"/>
  <c r="N3" i="17"/>
  <c r="N23" i="17" s="1"/>
  <c r="G23" i="17"/>
  <c r="P12" i="11"/>
  <c r="Q12" i="11" s="1"/>
  <c r="P9" i="11"/>
  <c r="Q9" i="11" s="1"/>
  <c r="D23" i="17"/>
  <c r="K3" i="17"/>
  <c r="K23" i="17" s="1"/>
  <c r="P25" i="11"/>
  <c r="Q25" i="11" s="1"/>
  <c r="P28" i="11"/>
  <c r="Q28" i="11" s="1"/>
  <c r="P23" i="11"/>
  <c r="Q23" i="11" s="1"/>
  <c r="P8" i="11"/>
  <c r="Q8" i="11" s="1"/>
  <c r="L3" i="17"/>
  <c r="L23" i="17" s="1"/>
  <c r="E23" i="17"/>
  <c r="Q30" i="11" l="1"/>
  <c r="L12" i="17"/>
  <c r="L25" i="17"/>
  <c r="L14" i="17" s="1"/>
  <c r="O12" i="17"/>
  <c r="O25" i="17"/>
  <c r="O14" i="17" s="1"/>
  <c r="Q15" i="11"/>
  <c r="K12" i="17"/>
  <c r="K25" i="17"/>
  <c r="K14" i="17" s="1"/>
  <c r="P30" i="11"/>
  <c r="J25" i="17" s="1"/>
  <c r="F25" i="17"/>
  <c r="F14" i="17" s="1"/>
  <c r="F12" i="17"/>
  <c r="E12" i="17"/>
  <c r="E25" i="17"/>
  <c r="E14" i="17" s="1"/>
  <c r="G25" i="17"/>
  <c r="G14" i="17" s="1"/>
  <c r="G12" i="17"/>
  <c r="H12" i="17"/>
  <c r="H25" i="17"/>
  <c r="H14" i="17" s="1"/>
  <c r="N25" i="17"/>
  <c r="N14" i="17" s="1"/>
  <c r="N12" i="17"/>
  <c r="D12" i="17"/>
  <c r="D25" i="17"/>
  <c r="D14" i="17" s="1"/>
  <c r="P15" i="11"/>
  <c r="C25" i="17" s="1"/>
  <c r="M25" i="17"/>
  <c r="M14" i="17" s="1"/>
  <c r="M12" i="17"/>
  <c r="F33" i="16" l="1"/>
  <c r="F26" i="17"/>
  <c r="F15" i="17" s="1"/>
  <c r="H33" i="16"/>
  <c r="E26" i="17"/>
  <c r="E28" i="17" s="1"/>
  <c r="D31" i="16"/>
  <c r="N26" i="17"/>
  <c r="N15" i="17" s="1"/>
  <c r="H31" i="16"/>
  <c r="H34" i="16" s="1"/>
  <c r="D33" i="16"/>
  <c r="G31" i="16"/>
  <c r="E31" i="16"/>
  <c r="L26" i="17"/>
  <c r="L15" i="17" s="1"/>
  <c r="H26" i="17"/>
  <c r="H15" i="17" s="1"/>
  <c r="G33" i="16"/>
  <c r="K26" i="17"/>
  <c r="K28" i="17" s="1"/>
  <c r="O26" i="17"/>
  <c r="O15" i="17" s="1"/>
  <c r="D26" i="17"/>
  <c r="D15" i="17" s="1"/>
  <c r="C26" i="17"/>
  <c r="D7" i="8"/>
  <c r="F28" i="17"/>
  <c r="M26" i="17"/>
  <c r="F31" i="16"/>
  <c r="G26" i="17"/>
  <c r="E33" i="16"/>
  <c r="J26" i="17"/>
  <c r="D8" i="8"/>
  <c r="G34" i="16" l="1"/>
  <c r="E15" i="17"/>
  <c r="E16" i="17" s="1"/>
  <c r="L28" i="17"/>
  <c r="E5" i="16" s="1"/>
  <c r="E6" i="16" s="1"/>
  <c r="D28" i="17"/>
  <c r="D16" i="17" s="1"/>
  <c r="D44" i="8"/>
  <c r="D46" i="8" s="1"/>
  <c r="K15" i="17"/>
  <c r="K16" i="17" s="1"/>
  <c r="N28" i="17"/>
  <c r="N16" i="17" s="1"/>
  <c r="C44" i="8"/>
  <c r="C46" i="8" s="1"/>
  <c r="H28" i="17"/>
  <c r="H16" i="17" s="1"/>
  <c r="G44" i="8"/>
  <c r="G46" i="8" s="1"/>
  <c r="D34" i="16"/>
  <c r="F44" i="8"/>
  <c r="F46" i="8" s="1"/>
  <c r="E34" i="16"/>
  <c r="O28" i="17"/>
  <c r="O16" i="17" s="1"/>
  <c r="L16" i="17"/>
  <c r="M15" i="17"/>
  <c r="M28" i="17"/>
  <c r="F5" i="16" s="1"/>
  <c r="F6" i="16" s="1"/>
  <c r="F16" i="17"/>
  <c r="G28" i="17"/>
  <c r="G15" i="17"/>
  <c r="E44" i="8"/>
  <c r="E46" i="8" s="1"/>
  <c r="F34" i="16"/>
  <c r="I31" i="16"/>
  <c r="I33" i="16"/>
  <c r="D5" i="16" l="1"/>
  <c r="I34" i="16"/>
  <c r="H5" i="16"/>
  <c r="H6" i="16" s="1"/>
  <c r="H44" i="8"/>
  <c r="H46" i="8" s="1"/>
  <c r="D6" i="16"/>
  <c r="G16" i="17"/>
  <c r="G5" i="16"/>
  <c r="G6" i="16" s="1"/>
  <c r="M16" i="17"/>
  <c r="I5" i="16" l="1"/>
  <c r="I6" i="16" s="1"/>
</calcChain>
</file>

<file path=xl/sharedStrings.xml><?xml version="1.0" encoding="utf-8"?>
<sst xmlns="http://schemas.openxmlformats.org/spreadsheetml/2006/main" count="265" uniqueCount="143">
  <si>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</si>
  <si>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</si>
  <si>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</si>
  <si>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</si>
  <si>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</si>
  <si>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</si>
  <si>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</si>
  <si>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</si>
  <si>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</si>
  <si>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</si>
  <si>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</si>
  <si>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</si>
  <si>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</si>
  <si>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</si>
  <si>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</si>
  <si>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</si>
  <si>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</si>
  <si>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</si>
  <si>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</si>
  <si>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</si>
  <si>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</si>
  <si>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</si>
  <si>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</si>
  <si>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</si>
  <si>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</si>
  <si>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</si>
  <si>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</si>
  <si>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</si>
  <si>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</si>
  <si>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</si>
  <si>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</si>
  <si>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</si>
  <si>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</si>
  <si>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</si>
  <si>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</si>
  <si>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</si>
  <si>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</si>
  <si>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</si>
  <si>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</si>
  <si>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</si>
  <si>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</si>
  <si>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</si>
  <si>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</si>
  <si>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</si>
  <si>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</si>
  <si>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</si>
  <si>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</si>
  <si>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</si>
  <si>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</si>
  <si>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</si>
  <si>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</si>
  <si>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</si>
  <si>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</si>
  <si>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</si>
  <si>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</si>
  <si>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Alternative Control Service - Bottom Up Estimation</t>
  </si>
  <si>
    <t>Network Service:</t>
  </si>
  <si>
    <t>FY16/17</t>
  </si>
  <si>
    <t>FY15/16</t>
  </si>
  <si>
    <t>FY14/15</t>
  </si>
  <si>
    <t>FY19/20</t>
  </si>
  <si>
    <t>FY20/21</t>
  </si>
  <si>
    <t>FY21/22</t>
  </si>
  <si>
    <t>FY23/24</t>
  </si>
  <si>
    <t>Time on Task (Hours)</t>
  </si>
  <si>
    <t>Safe approach clearances - Disable Auto Reclose (DAR)</t>
  </si>
  <si>
    <t>Network safety services
Examples include:
· provision of traffic control services by the distributor where required
· fitting of tiger tails, high load escort 
· de-energising wires for safe approach (e.g. for tree pruning)
· work undertaken to determine the cause of a customer fault where there may be a safety impact on the network or related component
· Neutral integrity test – where customers request the distributor to investigate the occurrence of mild electric shocks within a customer’s premises to determine whether the fault exists within the customer’s installation or on the network. A fee would be levied where the fault is within the customer’s installation.</t>
  </si>
  <si>
    <t>New Service</t>
  </si>
  <si>
    <t>Review outage request, research network configuration and submit NAR</t>
  </si>
  <si>
    <t>R4</t>
  </si>
  <si>
    <t xml:space="preserve">Review protection setting and process NAR request </t>
  </si>
  <si>
    <t>Write switching sheet (pre and approved)</t>
  </si>
  <si>
    <t>Complete site assesment in field to verify switching sheet and NECF compliance</t>
  </si>
  <si>
    <t>Travel to / from site</t>
  </si>
  <si>
    <t>Network Operator - run switching sheet</t>
  </si>
  <si>
    <t>Complete network switching Disable Auto Reclose</t>
  </si>
  <si>
    <t>Existing Service Description (2014 - 19)</t>
  </si>
  <si>
    <t>Field Officer</t>
  </si>
  <si>
    <t xml:space="preserve"> - </t>
  </si>
  <si>
    <t>Bottom Up Estimation</t>
  </si>
  <si>
    <t xml:space="preserve">
New Sevice</t>
  </si>
  <si>
    <t>Safe approach clearances - Disable Auto Reclose (DAR) (fixed fee) NT</t>
  </si>
  <si>
    <t>Safe approach clearances - Disable Auto Reclose (DAR) (fixed fee) OT</t>
  </si>
  <si>
    <t>NT</t>
  </si>
  <si>
    <t>OT</t>
  </si>
  <si>
    <t>FY22/23</t>
  </si>
  <si>
    <t>Projected Volumes for FY2019-24 Regulatory Period</t>
  </si>
  <si>
    <t>Operating Costs (on IO's, work orders, cost objects, cost centres)</t>
  </si>
  <si>
    <t>Project Code</t>
  </si>
  <si>
    <t xml:space="preserve">Operating Costs - </t>
  </si>
  <si>
    <t>New Service - Safe Approach Clearances - DAR</t>
  </si>
  <si>
    <t>New Service. No historical operating costs available.</t>
  </si>
  <si>
    <t>New Service. No historical revenue available.</t>
  </si>
  <si>
    <t>Volumes are estaimated based on feedback from teams. Safe Approach Clearances - DAR service is currently not provided by Essential Energy, however is expected to become a service to facilitate private Vegetation Clearance works which could be completed utilising Live Line techniques.</t>
  </si>
  <si>
    <t>FY17/18</t>
  </si>
  <si>
    <t>FY18/19</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</si>
  <si>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</si>
  <si>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</si>
  <si>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</si>
  <si>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</si>
  <si>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</si>
  <si>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</si>
  <si>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</si>
  <si>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</si>
  <si>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</si>
  <si>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</si>
  <si>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</si>
  <si>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</si>
  <si>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</si>
  <si>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</si>
  <si>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</si>
  <si>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</si>
  <si>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</si>
  <si>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</si>
  <si>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</si>
  <si>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</si>
  <si>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</si>
  <si>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</si>
  <si>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</si>
  <si>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</si>
  <si>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</si>
  <si>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</si>
  <si>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</si>
  <si>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</si>
  <si>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</si>
  <si>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</si>
  <si>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</si>
  <si>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</si>
  <si>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</si>
  <si>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</si>
  <si>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</si>
  <si>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</si>
  <si>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</si>
  <si>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</si>
  <si>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</si>
  <si>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</si>
  <si>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8.2 Safe ApproachClearances - DAR</t>
  </si>
  <si>
    <t>Safe ApproachClearances - DAR</t>
  </si>
  <si>
    <t>OVERTIME LABOUR TIME</t>
  </si>
  <si>
    <t>Work near electrical assets - Disable Auto Reclose (DAR) - (NEW)</t>
  </si>
  <si>
    <t xml:space="preserve">
Work near electrical assets - Disable Auto Reclose (DAR)
Disablement of Auto Reclose (DAR) protection settings associated with Vegetation works near High Voltage Mains.
This service can include but not limited to:
&gt; Disabling of Auto Reclose Protection setting to allow works to be safety completed by authorised personnel to approved safety clearances as set within Essential Energy's safety rules;
&gt; Researching, documenting and completion of a Network Access Request (NAR) including a site visit as required;
&gt; Documenting the actual switching process (for field operations);
&gt; Programming the work;
&gt; Control room activities;
&gt; The actual switching of the High network;
&gt; Notification of affected customers and NECF compliance (EE notified);
&gt; Travel costs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</si>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</sst>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b/>
      <sz val="8"/>
      <color theme="1"/>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6">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90">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7" fontId="2" fillId="4" borderId="5" xfId="2" applyNumberFormat="1" applyFont="1" applyFill="1" applyBorder="1" applyAlignment="1">
      <alignment horizontal="center"/>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8" fillId="0" borderId="0" xfId="0" applyFont="1"/>
    <xf numFmtId="169" fontId="8" fillId="0" borderId="1" xfId="0" applyNumberFormat="1" applyFont="1" applyBorder="1" applyAlignment="1">
      <alignment horizontal="center"/>
    </xf>
    <xf numFmtId="169"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4" xfId="0" applyFont="1" applyFill="1" applyBorder="1" applyAlignment="1">
      <alignment horizontal="left" vertical="center" wrapText="1"/>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4" xfId="0" applyNumberFormat="1" applyFont="1" applyFill="1" applyBorder="1" applyAlignment="1">
      <alignment horizontal="center"/>
    </xf>
    <xf numFmtId="2" fontId="4" fillId="10" borderId="10"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0" fontId="9" fillId="4" borderId="4" xfId="0" applyFont="1" applyFill="1" applyBorder="1" applyAlignment="1">
      <alignment horizontal="left"/>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13" fillId="8" borderId="0" xfId="0" applyFont="1" applyFill="1"/>
    <xf numFmtId="0" fontId="14" fillId="8" borderId="0" xfId="0" applyFont="1" applyFill="1"/>
    <xf numFmtId="0" fontId="15" fillId="0" borderId="0" xfId="0" applyFont="1"/>
    <xf numFmtId="0" fontId="16" fillId="0" borderId="0" xfId="0" applyFont="1"/>
    <xf numFmtId="0" fontId="18" fillId="10" borderId="4" xfId="0" applyFont="1" applyFill="1" applyBorder="1" applyAlignment="1">
      <alignment horizontal="left"/>
    </xf>
    <xf numFmtId="0" fontId="16" fillId="10" borderId="4" xfId="0" applyFont="1" applyFill="1" applyBorder="1" applyAlignment="1">
      <alignment wrapText="1"/>
    </xf>
    <xf numFmtId="167" fontId="16" fillId="10" borderId="4" xfId="2" applyNumberFormat="1" applyFont="1" applyFill="1" applyBorder="1"/>
    <xf numFmtId="0" fontId="16" fillId="4" borderId="3" xfId="0" applyFont="1" applyFill="1" applyBorder="1"/>
    <xf numFmtId="0" fontId="16" fillId="10" borderId="4" xfId="0" applyFont="1" applyFill="1" applyBorder="1"/>
    <xf numFmtId="0" fontId="17" fillId="5" borderId="8" xfId="0" applyFont="1" applyFill="1" applyBorder="1"/>
    <xf numFmtId="0" fontId="17" fillId="5" borderId="0" xfId="0" applyFont="1" applyFill="1" applyBorder="1"/>
    <xf numFmtId="167" fontId="17" fillId="5" borderId="8" xfId="2" applyNumberFormat="1" applyFont="1" applyFill="1" applyBorder="1"/>
    <xf numFmtId="0" fontId="16" fillId="4" borderId="5" xfId="0" applyFont="1" applyFill="1" applyBorder="1"/>
    <xf numFmtId="3" fontId="16" fillId="10" borderId="4" xfId="0" applyNumberFormat="1" applyFont="1" applyFill="1" applyBorder="1"/>
    <xf numFmtId="0" fontId="16" fillId="4" borderId="5" xfId="0" quotePrefix="1" applyFont="1" applyFill="1" applyBorder="1"/>
    <xf numFmtId="0" fontId="17" fillId="11" borderId="8" xfId="0" applyFont="1" applyFill="1" applyBorder="1"/>
    <xf numFmtId="3" fontId="17" fillId="5" borderId="8" xfId="0" applyNumberFormat="1" applyFont="1" applyFill="1" applyBorder="1"/>
    <xf numFmtId="0" fontId="19" fillId="0" borderId="0" xfId="0" applyFont="1"/>
    <xf numFmtId="0" fontId="17" fillId="5" borderId="6" xfId="0" applyFont="1" applyFill="1" applyBorder="1" applyAlignment="1">
      <alignment horizontal="left"/>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17" fillId="11" borderId="7" xfId="0" applyFont="1" applyFill="1" applyBorder="1" applyAlignment="1">
      <alignment horizontal="left"/>
    </xf>
    <xf numFmtId="0" fontId="17" fillId="11" borderId="11" xfId="0" applyFont="1" applyFill="1" applyBorder="1" applyAlignment="1">
      <alignment horizontal="left"/>
    </xf>
    <xf numFmtId="0" fontId="17" fillId="11" borderId="7" xfId="0" applyFont="1" applyFill="1" applyBorder="1" applyAlignment="1">
      <alignment horizontal="center"/>
    </xf>
    <xf numFmtId="0" fontId="17" fillId="11" borderId="8" xfId="0" applyFont="1" applyFill="1" applyBorder="1" applyAlignment="1">
      <alignment horizontal="center"/>
    </xf>
    <xf numFmtId="0" fontId="17" fillId="11" borderId="8" xfId="0" applyFont="1" applyFill="1" applyBorder="1" applyAlignment="1">
      <alignment horizontal="right"/>
    </xf>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10" xfId="0" applyFont="1" applyFill="1" applyBorder="1"/>
    <xf numFmtId="0" fontId="26" fillId="7" borderId="0" xfId="0" applyFont="1" applyFill="1" applyBorder="1" applyAlignment="1">
      <alignment horizontal="center" vertical="center" wrapText="1"/>
    </xf>
    <xf numFmtId="0" fontId="24" fillId="9" borderId="5" xfId="0" applyFont="1" applyFill="1" applyBorder="1"/>
    <xf numFmtId="0" fontId="26" fillId="2" borderId="4" xfId="0" applyFont="1" applyFill="1" applyBorder="1" applyAlignment="1">
      <alignment vertical="center"/>
    </xf>
    <xf numFmtId="0" fontId="27" fillId="7" borderId="0" xfId="0" applyFont="1" applyFill="1" applyBorder="1" applyAlignment="1">
      <alignment horizontal="center" vertical="center"/>
    </xf>
    <xf numFmtId="0" fontId="24" fillId="9" borderId="10" xfId="0" applyFont="1" applyFill="1" applyBorder="1" applyAlignment="1">
      <alignment horizontal="left" vertical="center"/>
    </xf>
    <xf numFmtId="169" fontId="23" fillId="7" borderId="4" xfId="0" applyNumberFormat="1" applyFont="1" applyFill="1" applyBorder="1" applyAlignment="1">
      <alignment horizontal="center"/>
    </xf>
    <xf numFmtId="0" fontId="23" fillId="7" borderId="0" xfId="0" applyFont="1" applyFill="1" applyBorder="1" applyAlignment="1">
      <alignment horizontal="center" vertical="center"/>
    </xf>
    <xf numFmtId="169" fontId="23" fillId="3" borderId="4" xfId="0" applyNumberFormat="1" applyFont="1" applyFill="1" applyBorder="1" applyAlignment="1">
      <alignment horizontal="center"/>
    </xf>
    <xf numFmtId="169" fontId="23" fillId="7" borderId="9" xfId="0" applyNumberFormat="1" applyFont="1" applyFill="1" applyBorder="1" applyAlignment="1">
      <alignment horizontal="center"/>
    </xf>
    <xf numFmtId="169" fontId="23" fillId="3" borderId="9" xfId="0" applyNumberFormat="1" applyFont="1" applyFill="1" applyBorder="1" applyAlignment="1">
      <alignment horizontal="center"/>
    </xf>
    <xf numFmtId="0" fontId="24" fillId="9" borderId="8" xfId="0" applyFont="1" applyFill="1" applyBorder="1" applyAlignment="1">
      <alignment horizontal="left" vertical="center"/>
    </xf>
    <xf numFmtId="169" fontId="28" fillId="7" borderId="9" xfId="0" applyNumberFormat="1" applyFont="1" applyFill="1" applyBorder="1" applyAlignment="1"/>
    <xf numFmtId="0" fontId="25" fillId="7" borderId="0" xfId="0" applyFont="1" applyFill="1" applyBorder="1" applyAlignment="1">
      <alignment horizontal="left"/>
    </xf>
    <xf numFmtId="0" fontId="21" fillId="8" borderId="5" xfId="0" applyFont="1" applyFill="1" applyBorder="1"/>
    <xf numFmtId="0" fontId="22" fillId="8" borderId="2" xfId="0" applyFont="1" applyFill="1" applyBorder="1"/>
    <xf numFmtId="0" fontId="22" fillId="8" borderId="3"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xf>
    <xf numFmtId="0" fontId="23" fillId="0" borderId="0" xfId="0" applyFont="1" applyAlignment="1">
      <alignment horizontal="left"/>
    </xf>
    <xf numFmtId="0" fontId="23" fillId="7" borderId="0" xfId="0" applyFont="1" applyFill="1" applyBorder="1" applyAlignment="1">
      <alignment horizontal="left" wrapText="1"/>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7" fontId="28" fillId="0" borderId="0" xfId="2" applyNumberFormat="1" applyFont="1"/>
    <xf numFmtId="167" fontId="24" fillId="2" borderId="7" xfId="2" applyNumberFormat="1" applyFont="1" applyFill="1" applyBorder="1"/>
    <xf numFmtId="10" fontId="23" fillId="0" borderId="0" xfId="1" applyNumberFormat="1" applyFont="1"/>
    <xf numFmtId="10" fontId="23" fillId="0" borderId="0" xfId="0" applyNumberFormat="1" applyFont="1"/>
    <xf numFmtId="170" fontId="23" fillId="0" borderId="0" xfId="1"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8" fontId="28" fillId="0" borderId="0" xfId="3" applyNumberFormat="1" applyFont="1" applyAlignment="1"/>
    <xf numFmtId="171" fontId="24" fillId="2" borderId="7" xfId="2" applyNumberFormat="1" applyFont="1" applyFill="1" applyBorder="1" applyAlignment="1"/>
    <xf numFmtId="168" fontId="30" fillId="0" borderId="0" xfId="3" applyNumberFormat="1" applyFont="1" applyAlignment="1">
      <alignment horizontal="right"/>
    </xf>
    <xf numFmtId="168" fontId="30" fillId="0" borderId="0" xfId="3" applyNumberFormat="1" applyFont="1" applyAlignment="1">
      <alignment horizontal="center" vertical="center"/>
    </xf>
    <xf numFmtId="0" fontId="7" fillId="2" borderId="6" xfId="0" applyFont="1" applyFill="1" applyBorder="1"/>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69" fontId="7" fillId="9" borderId="2" xfId="0" applyNumberFormat="1" applyFont="1" applyFill="1" applyBorder="1" applyAlignment="1"/>
    <xf numFmtId="1" fontId="5" fillId="8" borderId="9" xfId="0" applyNumberFormat="1"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13"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13" xfId="3" applyNumberFormat="1" applyFont="1" applyFill="1" applyBorder="1" applyAlignment="1">
      <alignment horizontal="center"/>
    </xf>
    <xf numFmtId="169" fontId="7" fillId="9" borderId="5" xfId="0" applyNumberFormat="1" applyFont="1" applyFill="1" applyBorder="1" applyAlignment="1"/>
    <xf numFmtId="169" fontId="7" fillId="9" borderId="3" xfId="0" applyNumberFormat="1" applyFont="1" applyFill="1" applyBorder="1" applyAlignment="1"/>
    <xf numFmtId="0" fontId="2" fillId="0" borderId="12" xfId="0" applyFont="1" applyBorder="1"/>
    <xf numFmtId="1" fontId="4" fillId="10" borderId="4" xfId="3" applyNumberFormat="1" applyFont="1" applyFill="1" applyBorder="1" applyAlignment="1">
      <alignment horizontal="center"/>
    </xf>
    <xf numFmtId="167" fontId="19" fillId="11" borderId="5" xfId="2" applyNumberFormat="1" applyFont="1" applyFill="1" applyBorder="1"/>
    <xf numFmtId="3" fontId="19" fillId="11" borderId="4" xfId="0" applyNumberFormat="1" applyFont="1" applyFill="1" applyBorder="1"/>
    <xf numFmtId="167" fontId="6" fillId="11" borderId="4" xfId="2" applyNumberFormat="1" applyFont="1" applyFill="1" applyBorder="1"/>
    <xf numFmtId="3" fontId="6" fillId="11" borderId="4"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31"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2"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3" fillId="4" borderId="5" xfId="0" applyFont="1" applyFill="1" applyBorder="1"/>
    <xf numFmtId="0" fontId="2" fillId="4" borderId="4" xfId="0" applyFont="1" applyFill="1" applyBorder="1" applyAlignment="1">
      <alignment horizontal="left"/>
    </xf>
    <xf numFmtId="166" fontId="34"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0" fontId="6" fillId="4" borderId="4" xfId="0" applyFont="1" applyFill="1" applyBorder="1" applyAlignment="1">
      <alignment horizontal="left"/>
    </xf>
    <xf numFmtId="166" fontId="35"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36" fillId="2" borderId="4" xfId="0" applyFont="1" applyFill="1" applyBorder="1" applyAlignment="1">
      <alignment horizontal="center" vertical="center"/>
    </xf>
    <xf numFmtId="0" fontId="5" fillId="8" borderId="12" xfId="0" applyFont="1" applyFill="1" applyBorder="1" applyAlignment="1">
      <alignment horizontal="left"/>
    </xf>
    <xf numFmtId="0" fontId="5" fillId="8" borderId="12" xfId="0" applyFont="1" applyFill="1" applyBorder="1" applyAlignment="1">
      <alignment horizontal="center"/>
    </xf>
    <xf numFmtId="0" fontId="6" fillId="7" borderId="10"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3" fillId="7" borderId="0" xfId="0" applyFont="1" applyFill="1" applyBorder="1" applyAlignment="1">
      <alignment horizontal="left" wrapText="1"/>
    </xf>
    <xf numFmtId="0" fontId="2" fillId="7" borderId="1" xfId="0" applyFont="1" applyFill="1" applyBorder="1" applyAlignment="1">
      <alignment horizontal="left" vertical="top" wrapText="1"/>
    </xf>
    <xf numFmtId="0" fontId="23"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3" fillId="2" borderId="5" xfId="0" applyFont="1" applyFill="1" applyBorder="1" applyAlignment="1">
      <alignment horizontal="center"/>
    </xf>
    <xf numFmtId="0" fontId="23" fillId="2" borderId="3" xfId="0" applyFont="1" applyFill="1" applyBorder="1" applyAlignment="1">
      <alignment horizontal="center"/>
    </xf>
    <xf numFmtId="0" fontId="7" fillId="9" borderId="9" xfId="0" applyFont="1" applyFill="1" applyBorder="1" applyAlignment="1">
      <alignment horizontal="left" vertical="center"/>
    </xf>
    <xf numFmtId="0" fontId="24" fillId="9" borderId="13" xfId="0" applyFont="1" applyFill="1" applyBorder="1" applyAlignment="1">
      <alignment horizontal="left" vertical="center"/>
    </xf>
    <xf numFmtId="0" fontId="23" fillId="7" borderId="1" xfId="0" applyFont="1" applyFill="1" applyBorder="1" applyAlignment="1">
      <alignment horizontal="left" wrapText="1"/>
    </xf>
    <xf numFmtId="0" fontId="29" fillId="7" borderId="0" xfId="0" quotePrefix="1" applyFont="1" applyFill="1" applyBorder="1" applyAlignment="1">
      <alignment horizontal="left" vertical="top" wrapText="1"/>
    </xf>
    <xf numFmtId="0" fontId="23" fillId="7" borderId="0" xfId="0" quotePrefix="1" applyFont="1" applyFill="1" applyBorder="1" applyAlignment="1">
      <alignment horizontal="left" vertical="top" wrapText="1"/>
    </xf>
    <xf numFmtId="0" fontId="23"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18" fillId="4" borderId="1" xfId="0" applyFont="1" applyFill="1" applyBorder="1" applyAlignment="1">
      <alignment horizontal="left" vertical="top" wrapText="1"/>
    </xf>
    <xf numFmtId="0" fontId="18" fillId="4" borderId="0" xfId="0" applyFont="1" applyFill="1" applyBorder="1" applyAlignment="1">
      <alignment horizontal="left" vertical="top" wrapText="1"/>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wrapText="1"/>
    </xf>
    <xf numFmtId="0" fontId="4" fillId="4" borderId="0" xfId="0" applyFont="1" applyFill="1" applyBorder="1" applyAlignment="1">
      <alignment horizontal="left" vertical="top" wrapText="1"/>
    </xf>
    <xf numFmtId="0" fontId="5" fillId="8" borderId="12" xfId="0" applyFont="1" applyFill="1" applyBorder="1" applyAlignment="1">
      <alignment horizontal="center"/>
    </xf>
    <xf numFmtId="0" fontId="7" fillId="5" borderId="5" xfId="0" applyFont="1" applyFill="1" applyBorder="1"/>
    <xf numFmtId="0" fontId="4" fillId="5" borderId="2" xfId="0" applyFont="1" applyFill="1" applyBorder="1"/>
    <xf numFmtId="0" fontId="4" fillId="5" borderId="3" xfId="0" applyFont="1" applyFill="1" applyBorder="1"/>
    <xf numFmtId="0" fontId="8" fillId="0" borderId="1" xfId="0" applyFont="1" applyBorder="1"/>
    <xf numFmtId="0" fontId="5" fillId="8" borderId="10" xfId="0" applyFont="1" applyFill="1" applyBorder="1" applyAlignment="1"/>
    <xf numFmtId="0" fontId="5" fillId="8" borderId="1" xfId="0" applyFont="1" applyFill="1" applyBorder="1" applyAlignment="1"/>
    <xf numFmtId="0" fontId="5" fillId="8" borderId="14" xfId="0" applyFont="1" applyFill="1" applyBorder="1" applyAlignment="1">
      <alignment horizontal="left"/>
    </xf>
    <xf numFmtId="0" fontId="12" fillId="8" borderId="11" xfId="0" applyNumberFormat="1" applyFont="1" applyFill="1" applyBorder="1" applyAlignment="1">
      <alignment horizontal="left"/>
    </xf>
    <xf numFmtId="2" fontId="5" fillId="8" borderId="12" xfId="0" applyNumberFormat="1" applyFont="1" applyFill="1" applyBorder="1" applyAlignment="1">
      <alignment horizontal="center"/>
    </xf>
    <xf numFmtId="1" fontId="5" fillId="8" borderId="12" xfId="0" applyNumberFormat="1" applyFont="1" applyFill="1" applyBorder="1" applyAlignment="1">
      <alignment horizontal="left"/>
    </xf>
    <xf numFmtId="2" fontId="5" fillId="8" borderId="12" xfId="0" applyNumberFormat="1" applyFont="1" applyFill="1" applyBorder="1" applyAlignment="1">
      <alignment horizontal="left"/>
    </xf>
    <xf numFmtId="0" fontId="5" fillId="8" borderId="15" xfId="0" applyFont="1" applyFill="1" applyBorder="1" applyAlignment="1">
      <alignment horizontal="left"/>
    </xf>
    <xf numFmtId="166" fontId="35"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BFBFBF"/>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9"/>
  <sheetViews>
    <sheetView showGridLines="0" tabSelected="1" zoomScale="90" zoomScaleNormal="90" workbookViewId="0">
      <selection activeCell="H58" sqref="H58"/>
    </sheetView>
  </sheetViews>
  <sheetFormatPr defaultColWidth="9.140625" defaultRowHeight="12.75" x14ac:dyDescent="0.2"/>
  <cols>
    <col min="1" max="1" width="2.42578125" style="126" customWidth="1"/>
    <col min="2" max="2" width="41.85546875" style="126" customWidth="1"/>
    <col min="3" max="3" width="17.5703125" style="126" customWidth="1"/>
    <col min="4" max="4" width="15.5703125" style="126" customWidth="1"/>
    <col min="5" max="5" width="13.85546875" style="126" customWidth="1"/>
    <col min="6" max="6" width="14" style="126" customWidth="1"/>
    <col min="7" max="7" width="12.85546875" style="126" customWidth="1"/>
    <col min="8" max="8" width="13.28515625" style="126" customWidth="1"/>
    <col min="9" max="9" width="11.5703125" style="126" customWidth="1"/>
    <col min="10" max="16384" width="9.140625" style="126"/>
  </cols>
  <sheetData>
    <row r="2" spans="2:19" x14ac:dyDescent="0.2">
      <c r="B2" s="124" t="s">
        <v>7</v>
      </c>
      <c r="C2" s="125"/>
      <c r="D2" s="125"/>
      <c r="E2" s="125"/>
      <c r="F2" s="125"/>
      <c r="G2" s="125"/>
      <c r="H2" s="125"/>
      <c r="O2" s="127"/>
      <c r="P2" s="127"/>
      <c r="Q2" s="127"/>
      <c r="R2" s="127"/>
      <c r="S2" s="127"/>
    </row>
    <row r="3" spans="2:19" ht="75.75" customHeight="1" x14ac:dyDescent="0.2">
      <c r="B3" s="128" t="s">
        <v>56</v>
      </c>
      <c r="C3" s="230" t="s">
        <v>139</v>
      </c>
      <c r="D3" s="231"/>
      <c r="E3" s="231"/>
      <c r="F3" s="231"/>
      <c r="G3" s="231"/>
      <c r="H3" s="231"/>
      <c r="M3" s="129"/>
      <c r="N3" s="129"/>
      <c r="O3" s="127"/>
      <c r="P3" s="127"/>
      <c r="Q3" s="127"/>
      <c r="R3" s="127"/>
      <c r="S3" s="127"/>
    </row>
    <row r="4" spans="2:19" ht="55.5" customHeight="1" x14ac:dyDescent="0.2">
      <c r="B4" s="130"/>
      <c r="C4" s="236"/>
      <c r="D4" s="237"/>
      <c r="E4" s="131"/>
      <c r="F4" s="131"/>
      <c r="G4" s="131"/>
      <c r="H4" s="131"/>
      <c r="M4" s="129"/>
      <c r="N4" s="129"/>
      <c r="O4" s="127"/>
      <c r="P4" s="127"/>
      <c r="Q4" s="127"/>
      <c r="R4" s="127"/>
      <c r="S4" s="127"/>
    </row>
    <row r="5" spans="2:19" x14ac:dyDescent="0.2">
      <c r="B5" s="132" t="s">
        <v>13</v>
      </c>
      <c r="C5" s="133"/>
      <c r="D5" s="227" t="s">
        <v>47</v>
      </c>
      <c r="E5" s="134"/>
      <c r="F5" s="134"/>
      <c r="G5" s="134"/>
      <c r="H5" s="134"/>
      <c r="M5" s="129"/>
      <c r="N5" s="129"/>
      <c r="O5" s="127"/>
      <c r="P5" s="127"/>
      <c r="Q5" s="127"/>
      <c r="R5" s="127"/>
      <c r="S5" s="127"/>
    </row>
    <row r="6" spans="2:19" x14ac:dyDescent="0.2">
      <c r="B6" s="135" t="s">
        <v>41</v>
      </c>
      <c r="C6" s="136"/>
      <c r="D6" s="136" t="s">
        <v>78</v>
      </c>
      <c r="E6" s="137"/>
      <c r="F6" s="137"/>
      <c r="G6" s="137"/>
      <c r="H6" s="137"/>
      <c r="M6" s="129"/>
      <c r="N6" s="129"/>
      <c r="O6" s="127"/>
      <c r="P6" s="127"/>
      <c r="Q6" s="127"/>
      <c r="R6" s="127"/>
      <c r="S6" s="127"/>
    </row>
    <row r="7" spans="2:19" x14ac:dyDescent="0.2">
      <c r="B7" s="238" t="s">
        <v>96</v>
      </c>
      <c r="C7" s="136" t="s">
        <v>83</v>
      </c>
      <c r="D7" s="138">
        <f>'Bottom Up Estimation'!Q15</f>
        <v>765.34698310452904</v>
      </c>
      <c r="E7" s="137"/>
      <c r="F7" s="137"/>
      <c r="G7" s="137"/>
      <c r="H7" s="137"/>
      <c r="O7" s="127"/>
      <c r="P7" s="127"/>
      <c r="Q7" s="127"/>
      <c r="R7" s="127"/>
      <c r="S7" s="127"/>
    </row>
    <row r="8" spans="2:19" x14ac:dyDescent="0.2">
      <c r="B8" s="239"/>
      <c r="C8" s="139" t="s">
        <v>84</v>
      </c>
      <c r="D8" s="140">
        <f>'Bottom Up Estimation'!Q30</f>
        <v>929.58124611162168</v>
      </c>
      <c r="E8" s="137"/>
      <c r="F8" s="137"/>
      <c r="G8" s="137"/>
      <c r="H8" s="137"/>
      <c r="O8" s="127"/>
      <c r="P8" s="127"/>
      <c r="Q8" s="127"/>
      <c r="R8" s="127"/>
      <c r="S8" s="127"/>
    </row>
    <row r="9" spans="2:19" x14ac:dyDescent="0.2">
      <c r="B9" s="141" t="s">
        <v>48</v>
      </c>
      <c r="C9" s="142" t="s">
        <v>79</v>
      </c>
      <c r="D9" s="142"/>
      <c r="E9" s="143"/>
      <c r="F9" s="143"/>
      <c r="G9" s="143"/>
      <c r="H9" s="143"/>
      <c r="O9" s="127"/>
      <c r="P9" s="127"/>
      <c r="Q9" s="127"/>
      <c r="R9" s="127"/>
      <c r="S9" s="127"/>
    </row>
    <row r="10" spans="2:19" x14ac:dyDescent="0.2">
      <c r="B10" s="144" t="s">
        <v>5</v>
      </c>
      <c r="C10" s="145"/>
      <c r="D10" s="145"/>
      <c r="E10" s="145"/>
      <c r="F10" s="145"/>
      <c r="G10" s="145"/>
      <c r="H10" s="146"/>
      <c r="O10" s="127"/>
      <c r="P10" s="127"/>
      <c r="Q10" s="127"/>
      <c r="R10" s="127"/>
      <c r="S10" s="127"/>
    </row>
    <row r="11" spans="2:19" ht="214.5" customHeight="1" x14ac:dyDescent="0.2">
      <c r="B11" s="233" t="s">
        <v>140</v>
      </c>
      <c r="C11" s="234"/>
      <c r="D11" s="234"/>
      <c r="E11" s="234"/>
      <c r="F11" s="234"/>
      <c r="G11" s="234"/>
      <c r="H11" s="234"/>
      <c r="O11" s="127"/>
      <c r="P11" s="127"/>
      <c r="Q11" s="127"/>
      <c r="R11" s="127"/>
      <c r="S11" s="127"/>
    </row>
    <row r="12" spans="2:19" x14ac:dyDescent="0.2">
      <c r="B12" s="147"/>
      <c r="C12" s="147"/>
      <c r="D12" s="147"/>
      <c r="E12" s="147"/>
      <c r="F12" s="147"/>
      <c r="G12" s="147"/>
      <c r="H12" s="147"/>
      <c r="O12" s="127"/>
      <c r="P12" s="127"/>
      <c r="Q12" s="127"/>
      <c r="R12" s="127"/>
      <c r="S12" s="127"/>
    </row>
    <row r="13" spans="2:19" x14ac:dyDescent="0.2">
      <c r="O13" s="127"/>
      <c r="P13" s="127"/>
      <c r="Q13" s="127"/>
      <c r="R13" s="127"/>
      <c r="S13" s="127"/>
    </row>
    <row r="14" spans="2:19" x14ac:dyDescent="0.2">
      <c r="B14" s="148" t="s">
        <v>34</v>
      </c>
      <c r="C14" s="125"/>
      <c r="D14" s="125"/>
      <c r="E14" s="125"/>
      <c r="F14" s="125"/>
      <c r="G14" s="125"/>
      <c r="H14" s="125"/>
      <c r="O14" s="127"/>
      <c r="P14" s="127"/>
      <c r="Q14" s="127"/>
      <c r="R14" s="127"/>
      <c r="S14" s="127"/>
    </row>
    <row r="15" spans="2:19" x14ac:dyDescent="0.2">
      <c r="B15" s="232"/>
      <c r="C15" s="232"/>
      <c r="D15" s="232"/>
      <c r="E15" s="232"/>
      <c r="F15" s="232"/>
      <c r="G15" s="232"/>
      <c r="H15" s="232"/>
    </row>
    <row r="16" spans="2:19" ht="128.25" customHeight="1" x14ac:dyDescent="0.2">
      <c r="B16" s="235" t="s">
        <v>141</v>
      </c>
      <c r="C16" s="235"/>
      <c r="D16" s="235"/>
      <c r="E16" s="235"/>
      <c r="F16" s="235"/>
      <c r="G16" s="235"/>
      <c r="H16" s="235"/>
      <c r="I16" s="127"/>
    </row>
    <row r="17" spans="2:9" x14ac:dyDescent="0.2">
      <c r="B17" s="149"/>
      <c r="C17" s="149"/>
      <c r="D17" s="149"/>
      <c r="E17" s="149"/>
      <c r="F17" s="149"/>
      <c r="G17" s="149"/>
      <c r="H17" s="149"/>
    </row>
    <row r="18" spans="2:9" x14ac:dyDescent="0.2">
      <c r="B18" s="150"/>
      <c r="C18" s="150"/>
      <c r="D18" s="150"/>
      <c r="E18" s="150"/>
      <c r="F18" s="150"/>
      <c r="G18" s="150"/>
      <c r="H18" s="150"/>
    </row>
    <row r="19" spans="2:9" x14ac:dyDescent="0.2">
      <c r="B19" s="148" t="s">
        <v>42</v>
      </c>
      <c r="C19" s="125"/>
      <c r="D19" s="125"/>
      <c r="E19" s="125"/>
      <c r="F19" s="125"/>
      <c r="G19" s="125"/>
      <c r="H19" s="125"/>
    </row>
    <row r="20" spans="2:9" x14ac:dyDescent="0.2">
      <c r="B20" s="232"/>
      <c r="C20" s="232"/>
      <c r="D20" s="232"/>
      <c r="E20" s="232"/>
      <c r="F20" s="232"/>
      <c r="G20" s="232"/>
      <c r="H20" s="232"/>
    </row>
    <row r="21" spans="2:9" x14ac:dyDescent="0.2">
      <c r="B21" s="241" t="s">
        <v>67</v>
      </c>
      <c r="C21" s="242"/>
      <c r="D21" s="242"/>
      <c r="E21" s="242"/>
      <c r="F21" s="242"/>
      <c r="G21" s="242"/>
      <c r="H21" s="242"/>
    </row>
    <row r="22" spans="2:9" x14ac:dyDescent="0.2">
      <c r="B22" s="242"/>
      <c r="C22" s="242"/>
      <c r="D22" s="242"/>
      <c r="E22" s="242"/>
      <c r="F22" s="242"/>
      <c r="G22" s="242"/>
      <c r="H22" s="242"/>
    </row>
    <row r="23" spans="2:9" x14ac:dyDescent="0.2">
      <c r="B23" s="242"/>
      <c r="C23" s="243"/>
      <c r="D23" s="243"/>
      <c r="E23" s="243"/>
      <c r="F23" s="243"/>
      <c r="G23" s="243"/>
      <c r="H23" s="243"/>
    </row>
    <row r="24" spans="2:9" x14ac:dyDescent="0.2">
      <c r="B24" s="151"/>
      <c r="C24" s="151"/>
      <c r="D24" s="151"/>
      <c r="E24" s="151"/>
      <c r="F24" s="151"/>
      <c r="G24" s="151"/>
      <c r="H24" s="151"/>
    </row>
    <row r="25" spans="2:9" x14ac:dyDescent="0.2">
      <c r="B25" s="232"/>
      <c r="C25" s="232"/>
      <c r="D25" s="232"/>
      <c r="E25" s="232"/>
      <c r="F25" s="232"/>
      <c r="G25" s="232"/>
      <c r="H25" s="232"/>
    </row>
    <row r="26" spans="2:9" x14ac:dyDescent="0.2">
      <c r="B26" s="149"/>
      <c r="C26" s="149"/>
      <c r="D26" s="149"/>
      <c r="E26" s="149"/>
      <c r="F26" s="149"/>
      <c r="G26" s="149"/>
      <c r="H26" s="149"/>
    </row>
    <row r="27" spans="2:9" x14ac:dyDescent="0.2">
      <c r="B27" s="149"/>
      <c r="C27" s="149"/>
      <c r="D27" s="149"/>
      <c r="E27" s="149"/>
      <c r="F27" s="149"/>
      <c r="G27" s="149"/>
      <c r="H27" s="149"/>
    </row>
    <row r="28" spans="2:9" x14ac:dyDescent="0.2">
      <c r="B28" s="149"/>
      <c r="C28" s="149"/>
      <c r="D28" s="149"/>
      <c r="E28" s="149"/>
      <c r="F28" s="149"/>
      <c r="G28" s="149"/>
      <c r="H28" s="149"/>
    </row>
    <row r="29" spans="2:9" x14ac:dyDescent="0.2">
      <c r="B29" s="149"/>
      <c r="C29" s="149"/>
      <c r="D29" s="149"/>
      <c r="E29" s="149"/>
      <c r="F29" s="149"/>
      <c r="G29" s="149"/>
      <c r="H29" s="149"/>
    </row>
    <row r="30" spans="2:9" x14ac:dyDescent="0.2">
      <c r="B30" s="152"/>
      <c r="C30" s="152"/>
      <c r="D30" s="152"/>
      <c r="E30" s="152"/>
      <c r="F30" s="152"/>
      <c r="G30" s="152"/>
      <c r="H30" s="152"/>
      <c r="I30" s="127"/>
    </row>
    <row r="31" spans="2:9" x14ac:dyDescent="0.2">
      <c r="B31" s="148" t="s">
        <v>6</v>
      </c>
    </row>
    <row r="32" spans="2:9" x14ac:dyDescent="0.2">
      <c r="B32" s="153" t="s">
        <v>14</v>
      </c>
      <c r="C32" s="154" t="s">
        <v>29</v>
      </c>
      <c r="D32" s="154"/>
      <c r="E32" s="154"/>
      <c r="F32" s="154"/>
      <c r="G32" s="154"/>
      <c r="H32" s="154"/>
    </row>
    <row r="33" spans="2:8" x14ac:dyDescent="0.2">
      <c r="B33" s="155" t="s">
        <v>45</v>
      </c>
      <c r="C33" s="154" t="s">
        <v>51</v>
      </c>
      <c r="D33" s="154"/>
      <c r="E33" s="154"/>
      <c r="F33" s="154"/>
      <c r="G33" s="154"/>
      <c r="H33" s="154"/>
    </row>
    <row r="34" spans="2:8" x14ac:dyDescent="0.2">
      <c r="B34" s="155" t="s">
        <v>46</v>
      </c>
      <c r="C34" s="154" t="s">
        <v>52</v>
      </c>
      <c r="D34" s="154"/>
      <c r="E34" s="154"/>
      <c r="F34" s="154"/>
      <c r="G34" s="154"/>
      <c r="H34" s="154"/>
    </row>
    <row r="35" spans="2:8" x14ac:dyDescent="0.2">
      <c r="B35" s="155" t="s">
        <v>15</v>
      </c>
      <c r="C35" s="154" t="s">
        <v>30</v>
      </c>
      <c r="D35" s="154"/>
      <c r="E35" s="154"/>
      <c r="F35" s="154"/>
      <c r="G35" s="154"/>
      <c r="H35" s="154"/>
    </row>
    <row r="38" spans="2:8" x14ac:dyDescent="0.2">
      <c r="B38" s="148" t="s">
        <v>35</v>
      </c>
      <c r="C38" s="125"/>
      <c r="D38" s="125"/>
      <c r="E38" s="125"/>
      <c r="F38" s="125"/>
      <c r="G38" s="125"/>
      <c r="H38" s="125"/>
    </row>
    <row r="40" spans="2:8" x14ac:dyDescent="0.2">
      <c r="B40" s="156"/>
      <c r="C40" s="157" t="s">
        <v>36</v>
      </c>
      <c r="D40" s="157" t="s">
        <v>37</v>
      </c>
      <c r="E40" s="157" t="s">
        <v>38</v>
      </c>
      <c r="F40" s="157" t="s">
        <v>40</v>
      </c>
      <c r="G40" s="157" t="s">
        <v>39</v>
      </c>
      <c r="H40" s="158" t="s">
        <v>1</v>
      </c>
    </row>
    <row r="41" spans="2:8" x14ac:dyDescent="0.2">
      <c r="C41" s="159"/>
      <c r="D41" s="159"/>
      <c r="E41" s="159"/>
      <c r="F41" s="159"/>
      <c r="G41" s="159"/>
      <c r="H41" s="159"/>
    </row>
    <row r="42" spans="2:8" x14ac:dyDescent="0.2">
      <c r="B42" s="173" t="s">
        <v>97</v>
      </c>
      <c r="C42" s="160">
        <f>'Forecast Revenue - Costs'!D30</f>
        <v>2212.696109849051</v>
      </c>
      <c r="D42" s="160">
        <f>'Forecast Revenue - Costs'!E30</f>
        <v>11063.480549245256</v>
      </c>
      <c r="E42" s="160">
        <f>'Forecast Revenue - Costs'!F30</f>
        <v>33503.442874059619</v>
      </c>
      <c r="F42" s="160">
        <f>'Forecast Revenue - Costs'!G30</f>
        <v>15945.484959940239</v>
      </c>
      <c r="G42" s="160">
        <f>'Forecast Revenue - Costs'!H30</f>
        <v>16409.366515781334</v>
      </c>
      <c r="H42" s="160">
        <f>SUM(C42:G42)</f>
        <v>79134.471008875495</v>
      </c>
    </row>
    <row r="43" spans="2:8" x14ac:dyDescent="0.2">
      <c r="C43" s="161"/>
      <c r="D43" s="162"/>
      <c r="E43" s="161"/>
      <c r="F43" s="161"/>
      <c r="G43" s="161"/>
    </row>
    <row r="44" spans="2:8" x14ac:dyDescent="0.2">
      <c r="B44" s="173" t="s">
        <v>98</v>
      </c>
      <c r="C44" s="160">
        <f>SUM('Forecast Revenue - Costs'!D31:D33)</f>
        <v>1614.0388056735947</v>
      </c>
      <c r="D44" s="160">
        <f>SUM('Forecast Revenue - Costs'!E31:E33)</f>
        <v>8070.1940283679733</v>
      </c>
      <c r="E44" s="160">
        <f>SUM('Forecast Revenue - Costs'!F31:F33)</f>
        <v>24438.899079589257</v>
      </c>
      <c r="F44" s="160">
        <f>SUM('Forecast Revenue - Costs'!G31:G33)</f>
        <v>11631.344849421708</v>
      </c>
      <c r="G44" s="160">
        <f>SUM('Forecast Revenue - Costs'!H31:H33)</f>
        <v>11969.720656669295</v>
      </c>
      <c r="H44" s="160">
        <f>SUM(C44:G44)</f>
        <v>57724.197419721822</v>
      </c>
    </row>
    <row r="45" spans="2:8" x14ac:dyDescent="0.2">
      <c r="C45" s="161"/>
      <c r="D45" s="162"/>
      <c r="E45" s="161"/>
      <c r="F45" s="161"/>
      <c r="G45" s="161"/>
    </row>
    <row r="46" spans="2:8" x14ac:dyDescent="0.2">
      <c r="B46" s="173" t="s">
        <v>99</v>
      </c>
      <c r="C46" s="160">
        <f t="shared" ref="C46:H46" si="0">+C42+C44</f>
        <v>3826.7349155226457</v>
      </c>
      <c r="D46" s="160">
        <f t="shared" si="0"/>
        <v>19133.67457761323</v>
      </c>
      <c r="E46" s="160">
        <f t="shared" si="0"/>
        <v>57942.34195364888</v>
      </c>
      <c r="F46" s="160">
        <f t="shared" si="0"/>
        <v>27576.829809361945</v>
      </c>
      <c r="G46" s="160">
        <f t="shared" si="0"/>
        <v>28379.087172450629</v>
      </c>
      <c r="H46" s="160">
        <f t="shared" si="0"/>
        <v>136858.66842859733</v>
      </c>
    </row>
    <row r="47" spans="2:8" x14ac:dyDescent="0.2">
      <c r="C47" s="163"/>
      <c r="D47" s="163"/>
      <c r="E47" s="163"/>
      <c r="F47" s="163"/>
      <c r="G47" s="163"/>
    </row>
    <row r="48" spans="2:8" x14ac:dyDescent="0.2">
      <c r="B48" s="164" t="s">
        <v>6</v>
      </c>
    </row>
    <row r="49" spans="2:9" ht="14.25" customHeight="1" x14ac:dyDescent="0.2">
      <c r="B49" s="240"/>
      <c r="C49" s="240"/>
      <c r="D49" s="240"/>
      <c r="E49" s="240"/>
      <c r="F49" s="240"/>
      <c r="G49" s="240"/>
      <c r="H49" s="240"/>
    </row>
    <row r="50" spans="2:9" x14ac:dyDescent="0.2">
      <c r="B50" s="232"/>
      <c r="C50" s="232"/>
      <c r="D50" s="232"/>
      <c r="E50" s="232"/>
      <c r="F50" s="232"/>
      <c r="G50" s="232"/>
      <c r="H50" s="232"/>
      <c r="I50" s="127"/>
    </row>
    <row r="51" spans="2:9" ht="27.75" customHeight="1" x14ac:dyDescent="0.2">
      <c r="B51" s="232"/>
      <c r="C51" s="232"/>
      <c r="D51" s="232"/>
      <c r="E51" s="232"/>
      <c r="F51" s="232"/>
      <c r="G51" s="232"/>
      <c r="H51" s="232"/>
    </row>
    <row r="54" spans="2:9" x14ac:dyDescent="0.2">
      <c r="B54" s="148" t="s">
        <v>86</v>
      </c>
      <c r="C54" s="125"/>
      <c r="D54" s="125"/>
      <c r="E54" s="125"/>
      <c r="F54" s="125"/>
      <c r="G54" s="125"/>
      <c r="H54" s="125"/>
    </row>
    <row r="55" spans="2:9" x14ac:dyDescent="0.2">
      <c r="B55" s="165"/>
    </row>
    <row r="56" spans="2:9" x14ac:dyDescent="0.2">
      <c r="B56" s="166"/>
      <c r="C56" s="167" t="s">
        <v>36</v>
      </c>
      <c r="D56" s="167" t="s">
        <v>37</v>
      </c>
      <c r="E56" s="167" t="s">
        <v>38</v>
      </c>
      <c r="F56" s="167" t="s">
        <v>40</v>
      </c>
      <c r="G56" s="167" t="s">
        <v>39</v>
      </c>
      <c r="H56" s="168" t="s">
        <v>1</v>
      </c>
    </row>
    <row r="57" spans="2:9" x14ac:dyDescent="0.2">
      <c r="C57" s="169"/>
      <c r="D57" s="169"/>
      <c r="E57" s="169"/>
      <c r="F57" s="169"/>
      <c r="G57" s="169"/>
      <c r="H57" s="169"/>
    </row>
    <row r="58" spans="2:9" x14ac:dyDescent="0.2">
      <c r="B58" s="166" t="s">
        <v>12</v>
      </c>
      <c r="C58" s="170">
        <f>'Forecast Revenue - Costs'!D12</f>
        <v>5</v>
      </c>
      <c r="D58" s="170">
        <f>'Forecast Revenue - Costs'!E12</f>
        <v>25</v>
      </c>
      <c r="E58" s="170">
        <f>'Forecast Revenue - Costs'!F12</f>
        <v>75</v>
      </c>
      <c r="F58" s="170">
        <f>'Forecast Revenue - Costs'!G12</f>
        <v>35</v>
      </c>
      <c r="G58" s="170">
        <f>'Forecast Revenue - Costs'!H12</f>
        <v>35</v>
      </c>
      <c r="H58" s="170">
        <f>SUM(C58:G58)</f>
        <v>175</v>
      </c>
    </row>
    <row r="59" spans="2:9" x14ac:dyDescent="0.2">
      <c r="C59" s="171"/>
      <c r="D59" s="171"/>
      <c r="E59" s="171"/>
      <c r="F59" s="171"/>
      <c r="G59" s="171"/>
      <c r="H59" s="172"/>
    </row>
  </sheetData>
  <mergeCells count="12">
    <mergeCell ref="B49:H51"/>
    <mergeCell ref="B20:H20"/>
    <mergeCell ref="B21:H21"/>
    <mergeCell ref="B22:H22"/>
    <mergeCell ref="B23:H23"/>
    <mergeCell ref="B25:H25"/>
    <mergeCell ref="C3:H3"/>
    <mergeCell ref="B15:H15"/>
    <mergeCell ref="B11:H11"/>
    <mergeCell ref="B16:H16"/>
    <mergeCell ref="C4:D4"/>
    <mergeCell ref="B7:B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48" customWidth="1"/>
    <col min="3" max="3" width="10.140625" style="48" customWidth="1"/>
    <col min="4" max="9" width="13.140625" style="48" customWidth="1"/>
    <col min="10" max="11" width="9.140625" style="48"/>
    <col min="12" max="12" width="5.28515625" style="48" customWidth="1"/>
    <col min="13" max="13" width="2.42578125" style="1" customWidth="1"/>
    <col min="14" max="16384" width="9.140625" style="1"/>
  </cols>
  <sheetData>
    <row r="1" spans="2:14" ht="9" customHeight="1" x14ac:dyDescent="0.2"/>
    <row r="2" spans="2:14" ht="18" customHeight="1" x14ac:dyDescent="0.2">
      <c r="B2" s="45" t="s">
        <v>16</v>
      </c>
      <c r="C2" s="45"/>
      <c r="D2" s="45"/>
      <c r="E2" s="45"/>
      <c r="F2" s="45"/>
      <c r="G2" s="45"/>
      <c r="H2" s="45"/>
      <c r="I2" s="45"/>
      <c r="J2" s="45"/>
      <c r="K2" s="45"/>
    </row>
    <row r="3" spans="2:14" x14ac:dyDescent="0.2">
      <c r="B3" s="37" t="s">
        <v>0</v>
      </c>
      <c r="C3" s="46"/>
      <c r="D3" s="246" t="str">
        <f>'AER Summary'!C3</f>
        <v>Work near electrical assets - Disable Auto Reclose (DAR) - (NEW)</v>
      </c>
      <c r="E3" s="247"/>
      <c r="F3" s="247"/>
      <c r="G3" s="247"/>
      <c r="H3" s="247"/>
      <c r="I3" s="247"/>
      <c r="J3" s="247"/>
      <c r="K3" s="247"/>
      <c r="N3" s="35"/>
    </row>
    <row r="4" spans="2:14" x14ac:dyDescent="0.2">
      <c r="N4" s="35"/>
    </row>
    <row r="5" spans="2:14" x14ac:dyDescent="0.2">
      <c r="B5" s="248" t="s">
        <v>76</v>
      </c>
      <c r="C5" s="248"/>
      <c r="D5" s="248"/>
      <c r="E5" s="248"/>
      <c r="F5" s="248"/>
      <c r="G5" s="248"/>
      <c r="H5" s="248"/>
      <c r="I5" s="248"/>
      <c r="J5" s="248"/>
      <c r="K5" s="248"/>
      <c r="N5" s="35"/>
    </row>
    <row r="6" spans="2:14" ht="51.75" customHeight="1" x14ac:dyDescent="0.2">
      <c r="B6" s="249" t="s">
        <v>80</v>
      </c>
      <c r="C6" s="250"/>
      <c r="D6" s="250"/>
      <c r="E6" s="250"/>
      <c r="F6" s="250"/>
      <c r="G6" s="250"/>
      <c r="H6" s="250"/>
      <c r="I6" s="250"/>
      <c r="J6" s="250"/>
      <c r="K6" s="250"/>
      <c r="N6" s="35"/>
    </row>
    <row r="9" spans="2:14" x14ac:dyDescent="0.2">
      <c r="B9" s="248" t="s">
        <v>43</v>
      </c>
      <c r="C9" s="248"/>
      <c r="D9" s="248"/>
      <c r="E9" s="248"/>
      <c r="F9" s="248"/>
      <c r="G9" s="248"/>
      <c r="H9" s="248"/>
      <c r="I9" s="248"/>
      <c r="J9" s="248"/>
      <c r="K9" s="248"/>
    </row>
    <row r="10" spans="2:14" ht="15" customHeight="1" x14ac:dyDescent="0.2">
      <c r="B10" s="245" t="s">
        <v>66</v>
      </c>
      <c r="C10" s="245"/>
      <c r="D10" s="245"/>
      <c r="E10" s="245"/>
      <c r="F10" s="245"/>
      <c r="G10" s="245"/>
      <c r="H10" s="245"/>
      <c r="I10" s="245"/>
      <c r="J10" s="245"/>
      <c r="K10" s="245"/>
    </row>
    <row r="11" spans="2:14" ht="24.75" customHeight="1" x14ac:dyDescent="0.2">
      <c r="B11" s="251"/>
      <c r="C11" s="251"/>
      <c r="D11" s="251"/>
      <c r="E11" s="251"/>
      <c r="F11" s="251"/>
      <c r="G11" s="251"/>
      <c r="H11" s="251"/>
      <c r="I11" s="251"/>
      <c r="J11" s="251"/>
      <c r="K11" s="251"/>
      <c r="L11" s="50"/>
      <c r="M11" s="36"/>
      <c r="N11" s="36"/>
    </row>
    <row r="12" spans="2:14" x14ac:dyDescent="0.2">
      <c r="B12" s="251"/>
      <c r="C12" s="251"/>
      <c r="D12" s="251"/>
      <c r="E12" s="251"/>
      <c r="F12" s="251"/>
      <c r="G12" s="251"/>
      <c r="H12" s="251"/>
      <c r="I12" s="251"/>
      <c r="J12" s="251"/>
      <c r="K12" s="251"/>
      <c r="L12" s="50"/>
      <c r="M12" s="36"/>
      <c r="N12" s="36"/>
    </row>
    <row r="13" spans="2:14" x14ac:dyDescent="0.2">
      <c r="B13" s="251"/>
      <c r="C13" s="251"/>
      <c r="D13" s="251"/>
      <c r="E13" s="251"/>
      <c r="F13" s="251"/>
      <c r="G13" s="251"/>
      <c r="H13" s="251"/>
      <c r="I13" s="251"/>
      <c r="J13" s="251"/>
      <c r="K13" s="251"/>
      <c r="L13" s="50"/>
      <c r="M13" s="36"/>
      <c r="N13" s="36"/>
    </row>
    <row r="14" spans="2:14" ht="48" customHeight="1" x14ac:dyDescent="0.2">
      <c r="B14" s="251"/>
      <c r="C14" s="251"/>
      <c r="D14" s="251"/>
      <c r="E14" s="251"/>
      <c r="F14" s="251"/>
      <c r="G14" s="251"/>
      <c r="H14" s="251"/>
      <c r="I14" s="251"/>
      <c r="J14" s="251"/>
      <c r="K14" s="251"/>
      <c r="L14" s="50"/>
      <c r="M14" s="36"/>
      <c r="N14" s="36"/>
    </row>
    <row r="15" spans="2:14" x14ac:dyDescent="0.2">
      <c r="B15" s="251"/>
      <c r="C15" s="251"/>
      <c r="D15" s="251"/>
      <c r="E15" s="251"/>
      <c r="F15" s="251"/>
      <c r="G15" s="251"/>
      <c r="H15" s="251"/>
      <c r="I15" s="251"/>
      <c r="J15" s="251"/>
      <c r="K15" s="251"/>
      <c r="L15" s="50"/>
      <c r="M15" s="36"/>
      <c r="N15" s="36"/>
    </row>
    <row r="16" spans="2:14" x14ac:dyDescent="0.2">
      <c r="B16" s="251"/>
      <c r="C16" s="251"/>
      <c r="D16" s="251"/>
      <c r="E16" s="251"/>
      <c r="F16" s="251"/>
      <c r="G16" s="251"/>
      <c r="H16" s="251"/>
      <c r="I16" s="251"/>
      <c r="J16" s="251"/>
      <c r="K16" s="251"/>
      <c r="L16" s="50"/>
      <c r="M16" s="36"/>
      <c r="N16" s="36"/>
    </row>
    <row r="17" spans="2:14" x14ac:dyDescent="0.2">
      <c r="L17" s="50"/>
      <c r="M17" s="36"/>
      <c r="N17" s="36"/>
    </row>
    <row r="18" spans="2:14" x14ac:dyDescent="0.2">
      <c r="L18" s="50"/>
      <c r="M18" s="36"/>
      <c r="N18" s="36"/>
    </row>
    <row r="19" spans="2:14" x14ac:dyDescent="0.2">
      <c r="B19" s="248" t="s">
        <v>44</v>
      </c>
      <c r="C19" s="248"/>
      <c r="D19" s="248"/>
      <c r="E19" s="248"/>
      <c r="F19" s="248"/>
      <c r="G19" s="248"/>
      <c r="H19" s="248"/>
      <c r="I19" s="248"/>
      <c r="J19" s="248"/>
      <c r="K19" s="248"/>
      <c r="L19" s="50"/>
      <c r="M19" s="36"/>
      <c r="N19" s="36"/>
    </row>
    <row r="20" spans="2:14" ht="204" customHeight="1" x14ac:dyDescent="0.2">
      <c r="B20" s="245" t="str">
        <f>'AER Summary'!B11:H11</f>
        <v xml:space="preserve">
Work near electrical assets - Disable Auto Reclose (DAR)
Disablement of Auto Reclose (DAR) protection settings associated with Vegetation works near High Voltage Mains.
This service can include but not limited to:
&gt; Disabling of Auto Reclose Protection setting to allow works to be safety completed by authorised personnel to approved safety clearances as set within Essential Energy's safety rules;
&gt; Researching, documenting and completion of a Network Access Request (NAR) including a site visit as required;
&gt; Documenting the actual switching process (for field operations);
&gt; Programming the work;
&gt; Control room activities;
&gt; The actual switching of the High network;
&gt; Notification of affected customers and NECF compliance (EE notified);
&gt; Travel costs</v>
      </c>
      <c r="C20" s="245"/>
      <c r="D20" s="245"/>
      <c r="E20" s="245"/>
      <c r="F20" s="245"/>
      <c r="G20" s="245"/>
      <c r="H20" s="245"/>
      <c r="I20" s="245"/>
      <c r="J20" s="245"/>
      <c r="K20" s="245"/>
    </row>
    <row r="21" spans="2:14" x14ac:dyDescent="0.2">
      <c r="B21" s="244"/>
      <c r="C21" s="244"/>
      <c r="D21" s="244"/>
      <c r="E21" s="244"/>
      <c r="F21" s="244"/>
      <c r="G21" s="244"/>
      <c r="H21" s="244"/>
      <c r="I21" s="244"/>
      <c r="J21" s="244"/>
      <c r="K21" s="244"/>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1" sqref="B31"/>
    </sheetView>
  </sheetViews>
  <sheetFormatPr defaultColWidth="9.140625" defaultRowHeight="12.75" x14ac:dyDescent="0.2"/>
  <cols>
    <col min="1" max="1" width="3.5703125" style="51" customWidth="1"/>
    <col min="2" max="2" width="58.7109375" style="51" customWidth="1"/>
    <col min="3" max="3" width="65.140625" style="51" customWidth="1"/>
    <col min="4" max="4" width="12.85546875" style="51" customWidth="1"/>
    <col min="5" max="8" width="11.28515625" style="51" customWidth="1"/>
    <col min="9" max="9" width="12.7109375" style="51" customWidth="1"/>
    <col min="10" max="16384" width="9.140625" style="51"/>
  </cols>
  <sheetData>
    <row r="2" spans="1:9" x14ac:dyDescent="0.2">
      <c r="B2" s="47" t="s">
        <v>87</v>
      </c>
      <c r="C2" s="33"/>
      <c r="D2" s="33"/>
      <c r="E2" s="33"/>
      <c r="F2" s="33"/>
      <c r="G2" s="33"/>
      <c r="H2" s="33"/>
      <c r="I2" s="33"/>
    </row>
    <row r="3" spans="1:9" x14ac:dyDescent="0.2">
      <c r="B3" s="21" t="s">
        <v>20</v>
      </c>
      <c r="C3" s="21" t="s">
        <v>3</v>
      </c>
      <c r="D3" s="64" t="s">
        <v>59</v>
      </c>
      <c r="E3" s="64" t="s">
        <v>58</v>
      </c>
      <c r="F3" s="64" t="s">
        <v>57</v>
      </c>
      <c r="G3" s="94" t="s">
        <v>94</v>
      </c>
      <c r="H3" s="94" t="s">
        <v>95</v>
      </c>
      <c r="I3" s="22" t="s">
        <v>1</v>
      </c>
    </row>
    <row r="4" spans="1:9" x14ac:dyDescent="0.2">
      <c r="B4" s="5" t="s">
        <v>21</v>
      </c>
      <c r="C4" s="5" t="s">
        <v>77</v>
      </c>
      <c r="D4" s="90"/>
      <c r="E4" s="90"/>
      <c r="F4" s="90"/>
      <c r="G4" s="90"/>
      <c r="H4" s="90"/>
      <c r="I4" s="174">
        <f>SUM(D4:H4)</f>
        <v>0</v>
      </c>
    </row>
    <row r="5" spans="1:9" x14ac:dyDescent="0.2">
      <c r="B5" s="5" t="s">
        <v>23</v>
      </c>
      <c r="C5" s="11"/>
      <c r="D5" s="90"/>
      <c r="E5" s="90"/>
      <c r="F5" s="90"/>
      <c r="G5" s="90"/>
      <c r="H5" s="90"/>
      <c r="I5" s="174">
        <f t="shared" ref="I5:I8" si="0">SUM(D5:H5)</f>
        <v>0</v>
      </c>
    </row>
    <row r="6" spans="1:9" x14ac:dyDescent="0.2">
      <c r="B6" s="5" t="s">
        <v>24</v>
      </c>
      <c r="C6" s="5"/>
      <c r="D6" s="90">
        <v>0</v>
      </c>
      <c r="E6" s="90">
        <v>0</v>
      </c>
      <c r="F6" s="90">
        <v>0</v>
      </c>
      <c r="G6" s="90">
        <v>0</v>
      </c>
      <c r="H6" s="90">
        <v>0</v>
      </c>
      <c r="I6" s="174">
        <f t="shared" si="0"/>
        <v>0</v>
      </c>
    </row>
    <row r="7" spans="1:9" x14ac:dyDescent="0.2">
      <c r="B7" s="5" t="s">
        <v>25</v>
      </c>
      <c r="C7" s="5"/>
      <c r="D7" s="90"/>
      <c r="E7" s="90"/>
      <c r="F7" s="90"/>
      <c r="G7" s="90"/>
      <c r="H7" s="90"/>
      <c r="I7" s="174">
        <f t="shared" si="0"/>
        <v>0</v>
      </c>
    </row>
    <row r="8" spans="1:9" x14ac:dyDescent="0.2">
      <c r="B8" s="5" t="s">
        <v>22</v>
      </c>
      <c r="C8" s="5"/>
      <c r="D8" s="23"/>
      <c r="E8" s="23"/>
      <c r="F8" s="23"/>
      <c r="G8" s="23"/>
      <c r="H8" s="23"/>
      <c r="I8" s="174">
        <f t="shared" si="0"/>
        <v>0</v>
      </c>
    </row>
    <row r="9" spans="1:9" x14ac:dyDescent="0.2">
      <c r="B9" s="57" t="s">
        <v>1</v>
      </c>
      <c r="C9" s="25"/>
      <c r="D9" s="26">
        <f t="shared" ref="D9:I9" si="1">SUM(D4:D8)</f>
        <v>0</v>
      </c>
      <c r="E9" s="26">
        <f t="shared" si="1"/>
        <v>0</v>
      </c>
      <c r="F9" s="26">
        <f t="shared" si="1"/>
        <v>0</v>
      </c>
      <c r="G9" s="26">
        <f t="shared" ref="G9:H9" si="2">SUM(G4:G8)</f>
        <v>0</v>
      </c>
      <c r="H9" s="26">
        <f t="shared" si="2"/>
        <v>0</v>
      </c>
      <c r="I9" s="27">
        <f t="shared" si="1"/>
        <v>0</v>
      </c>
    </row>
    <row r="10" spans="1:9" x14ac:dyDescent="0.2">
      <c r="B10" s="53"/>
      <c r="C10" s="54"/>
      <c r="D10" s="55"/>
      <c r="E10" s="55"/>
      <c r="F10" s="55"/>
      <c r="G10" s="55"/>
      <c r="H10" s="55"/>
      <c r="I10" s="55"/>
    </row>
    <row r="11" spans="1:9" x14ac:dyDescent="0.2">
      <c r="B11" s="56" t="s">
        <v>10</v>
      </c>
      <c r="C11" s="30"/>
      <c r="D11" s="30"/>
      <c r="E11" s="30"/>
      <c r="F11" s="30"/>
      <c r="G11" s="30"/>
      <c r="H11" s="30"/>
      <c r="I11" s="30"/>
    </row>
    <row r="12" spans="1:9" x14ac:dyDescent="0.2">
      <c r="B12" s="58" t="s">
        <v>4</v>
      </c>
      <c r="C12" s="10" t="s">
        <v>9</v>
      </c>
      <c r="D12" s="65" t="s">
        <v>59</v>
      </c>
      <c r="E12" s="65" t="s">
        <v>58</v>
      </c>
      <c r="F12" s="65" t="s">
        <v>57</v>
      </c>
      <c r="G12" s="95" t="s">
        <v>94</v>
      </c>
      <c r="H12" s="95" t="s">
        <v>95</v>
      </c>
      <c r="I12" s="4" t="s">
        <v>1</v>
      </c>
    </row>
    <row r="13" spans="1:9" x14ac:dyDescent="0.2">
      <c r="B13" s="5" t="s">
        <v>19</v>
      </c>
      <c r="C13" s="11"/>
      <c r="D13" s="91"/>
      <c r="E13" s="91"/>
      <c r="F13" s="91"/>
      <c r="G13" s="91"/>
      <c r="H13" s="91"/>
      <c r="I13" s="175">
        <f>SUM(D13:H13)</f>
        <v>0</v>
      </c>
    </row>
    <row r="14" spans="1:9" x14ac:dyDescent="0.2">
      <c r="B14" s="11"/>
      <c r="C14" s="13"/>
      <c r="D14" s="12"/>
      <c r="E14" s="12"/>
      <c r="F14" s="12"/>
      <c r="G14" s="12"/>
      <c r="H14" s="12"/>
      <c r="I14" s="176">
        <f>SUM(D14:H14)</f>
        <v>0</v>
      </c>
    </row>
    <row r="15" spans="1:9" x14ac:dyDescent="0.2">
      <c r="A15" s="59"/>
      <c r="B15" s="60" t="s">
        <v>53</v>
      </c>
      <c r="C15" s="8"/>
      <c r="D15" s="14">
        <f t="shared" ref="D15:I15" si="3">SUM(D13:D14)</f>
        <v>0</v>
      </c>
      <c r="E15" s="14">
        <f t="shared" si="3"/>
        <v>0</v>
      </c>
      <c r="F15" s="14">
        <f t="shared" si="3"/>
        <v>0</v>
      </c>
      <c r="G15" s="14">
        <f t="shared" ref="G15:H15" si="4">SUM(G13:G14)</f>
        <v>0</v>
      </c>
      <c r="H15" s="14">
        <f t="shared" si="4"/>
        <v>0</v>
      </c>
      <c r="I15" s="14">
        <f t="shared" si="3"/>
        <v>0</v>
      </c>
    </row>
    <row r="17" spans="1:9" x14ac:dyDescent="0.2">
      <c r="A17" s="59"/>
      <c r="B17" s="16" t="s">
        <v>6</v>
      </c>
      <c r="C17" s="1"/>
      <c r="D17" s="15"/>
      <c r="E17" s="15"/>
      <c r="F17" s="15"/>
      <c r="G17" s="15"/>
      <c r="H17" s="15"/>
      <c r="I17" s="15"/>
    </row>
    <row r="18" spans="1:9" x14ac:dyDescent="0.2">
      <c r="B18" s="252" t="s">
        <v>91</v>
      </c>
      <c r="C18" s="253"/>
      <c r="D18" s="253"/>
      <c r="E18" s="253"/>
      <c r="F18" s="253"/>
      <c r="G18" s="253"/>
      <c r="H18" s="253"/>
      <c r="I18" s="253"/>
    </row>
    <row r="19" spans="1:9" x14ac:dyDescent="0.2">
      <c r="B19" s="254"/>
      <c r="C19" s="255"/>
      <c r="D19" s="255"/>
      <c r="E19" s="255"/>
      <c r="F19" s="255"/>
      <c r="G19" s="255"/>
      <c r="H19" s="255"/>
      <c r="I19" s="255"/>
    </row>
    <row r="20" spans="1:9" x14ac:dyDescent="0.2">
      <c r="B20" s="61"/>
      <c r="C20" s="34"/>
      <c r="D20" s="34"/>
      <c r="E20" s="34"/>
      <c r="F20" s="34"/>
      <c r="G20" s="93"/>
      <c r="H20" s="93"/>
      <c r="I20" s="34"/>
    </row>
    <row r="21" spans="1:9" x14ac:dyDescent="0.2">
      <c r="B21" s="1"/>
      <c r="C21" s="1"/>
      <c r="D21" s="15"/>
      <c r="E21" s="15"/>
      <c r="F21" s="15"/>
      <c r="G21" s="15"/>
      <c r="H21" s="15"/>
      <c r="I21" s="15"/>
    </row>
    <row r="22" spans="1:9" x14ac:dyDescent="0.2">
      <c r="B22" s="56" t="s">
        <v>89</v>
      </c>
      <c r="C22" s="30"/>
      <c r="D22" s="30"/>
      <c r="E22" s="30"/>
      <c r="F22" s="30"/>
      <c r="G22" s="30"/>
      <c r="H22" s="30"/>
      <c r="I22" s="30"/>
    </row>
    <row r="23" spans="1:9" x14ac:dyDescent="0.2">
      <c r="B23" s="276" t="s">
        <v>11</v>
      </c>
      <c r="C23" s="277"/>
      <c r="D23" s="277"/>
      <c r="E23" s="277"/>
      <c r="F23" s="277"/>
      <c r="G23" s="277"/>
      <c r="H23" s="277"/>
      <c r="I23" s="278"/>
    </row>
    <row r="24" spans="1:9" x14ac:dyDescent="0.2">
      <c r="B24" s="256"/>
      <c r="C24" s="257"/>
      <c r="D24" s="257"/>
      <c r="E24" s="257"/>
      <c r="F24" s="257"/>
      <c r="G24" s="257"/>
      <c r="H24" s="257"/>
      <c r="I24" s="257"/>
    </row>
    <row r="25" spans="1:9" x14ac:dyDescent="0.2">
      <c r="B25" s="258"/>
      <c r="C25" s="259"/>
      <c r="D25" s="259"/>
      <c r="E25" s="259"/>
      <c r="F25" s="259"/>
      <c r="G25" s="259"/>
      <c r="H25" s="259"/>
      <c r="I25" s="259"/>
    </row>
    <row r="26" spans="1:9" x14ac:dyDescent="0.2">
      <c r="B26" s="62"/>
      <c r="C26" s="20"/>
      <c r="D26" s="20"/>
      <c r="E26" s="20"/>
      <c r="F26" s="20"/>
      <c r="G26" s="20"/>
      <c r="H26" s="20"/>
      <c r="I26" s="20"/>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38" sqref="B38"/>
    </sheetView>
  </sheetViews>
  <sheetFormatPr defaultColWidth="9.140625" defaultRowHeight="12.75" x14ac:dyDescent="0.2"/>
  <cols>
    <col min="1" max="1" width="3.140625" style="98" customWidth="1"/>
    <col min="2" max="2" width="80" style="98" bestFit="1" customWidth="1"/>
    <col min="3" max="3" width="65.140625" style="98" customWidth="1"/>
    <col min="4" max="4" width="12.85546875" style="98" customWidth="1"/>
    <col min="5" max="8" width="11.28515625" style="98" customWidth="1"/>
    <col min="9" max="9" width="12.7109375" style="98" customWidth="1"/>
    <col min="10" max="16384" width="9.140625" style="98"/>
  </cols>
  <sheetData>
    <row r="2" spans="2:9" x14ac:dyDescent="0.2">
      <c r="B2" s="96" t="s">
        <v>8</v>
      </c>
      <c r="C2" s="97"/>
      <c r="D2" s="97"/>
      <c r="E2" s="97"/>
      <c r="F2" s="97"/>
      <c r="G2" s="97"/>
      <c r="H2" s="97"/>
      <c r="I2" s="97"/>
    </row>
    <row r="3" spans="2:9" x14ac:dyDescent="0.2">
      <c r="B3" s="99"/>
      <c r="C3" s="99"/>
      <c r="D3" s="99"/>
      <c r="E3" s="99"/>
      <c r="F3" s="99"/>
      <c r="G3" s="99"/>
      <c r="H3" s="99"/>
      <c r="I3" s="99"/>
    </row>
    <row r="4" spans="2:9" x14ac:dyDescent="0.2">
      <c r="B4" s="96" t="s">
        <v>2</v>
      </c>
      <c r="C4" s="97"/>
      <c r="D4" s="97"/>
      <c r="E4" s="97"/>
      <c r="F4" s="97"/>
      <c r="G4" s="97"/>
      <c r="H4" s="97"/>
      <c r="I4" s="97"/>
    </row>
    <row r="5" spans="2:9" x14ac:dyDescent="0.2">
      <c r="B5" s="119" t="s">
        <v>88</v>
      </c>
      <c r="C5" s="119" t="s">
        <v>9</v>
      </c>
      <c r="D5" s="121" t="s">
        <v>59</v>
      </c>
      <c r="E5" s="121" t="s">
        <v>58</v>
      </c>
      <c r="F5" s="121" t="s">
        <v>57</v>
      </c>
      <c r="G5" s="122" t="s">
        <v>94</v>
      </c>
      <c r="H5" s="122" t="s">
        <v>95</v>
      </c>
      <c r="I5" s="123" t="s">
        <v>1</v>
      </c>
    </row>
    <row r="6" spans="2:9" ht="13.5" customHeight="1" x14ac:dyDescent="0.2">
      <c r="B6" s="100" t="s">
        <v>67</v>
      </c>
      <c r="C6" s="101"/>
      <c r="D6" s="102"/>
      <c r="E6" s="102"/>
      <c r="F6" s="102"/>
      <c r="G6" s="102"/>
      <c r="H6" s="102"/>
      <c r="I6" s="192">
        <f>SUM(D6:H6)</f>
        <v>0</v>
      </c>
    </row>
    <row r="7" spans="2:9" x14ac:dyDescent="0.2">
      <c r="B7" s="103"/>
      <c r="C7" s="104"/>
      <c r="D7" s="102"/>
      <c r="E7" s="102"/>
      <c r="F7" s="102"/>
      <c r="G7" s="102"/>
      <c r="H7" s="102"/>
      <c r="I7" s="192">
        <f t="shared" ref="I7:I9" si="0">SUM(D7:H7)</f>
        <v>0</v>
      </c>
    </row>
    <row r="8" spans="2:9" x14ac:dyDescent="0.2">
      <c r="B8" s="103"/>
      <c r="C8" s="104"/>
      <c r="D8" s="102"/>
      <c r="E8" s="102"/>
      <c r="F8" s="102"/>
      <c r="G8" s="102"/>
      <c r="H8" s="102"/>
      <c r="I8" s="192">
        <f t="shared" si="0"/>
        <v>0</v>
      </c>
    </row>
    <row r="9" spans="2:9" x14ac:dyDescent="0.2">
      <c r="B9" s="103"/>
      <c r="C9" s="104"/>
      <c r="D9" s="102"/>
      <c r="E9" s="102"/>
      <c r="F9" s="102"/>
      <c r="G9" s="102"/>
      <c r="H9" s="102"/>
      <c r="I9" s="192">
        <f t="shared" si="0"/>
        <v>0</v>
      </c>
    </row>
    <row r="10" spans="2:9" x14ac:dyDescent="0.2">
      <c r="B10" s="105" t="s">
        <v>1</v>
      </c>
      <c r="C10" s="106"/>
      <c r="D10" s="107">
        <f t="shared" ref="D10:I10" si="1">SUM(D6:D9)</f>
        <v>0</v>
      </c>
      <c r="E10" s="107">
        <f t="shared" si="1"/>
        <v>0</v>
      </c>
      <c r="F10" s="107">
        <f t="shared" si="1"/>
        <v>0</v>
      </c>
      <c r="G10" s="107">
        <f t="shared" ref="G10:H10" si="2">SUM(G6:G9)</f>
        <v>0</v>
      </c>
      <c r="H10" s="107">
        <f t="shared" si="2"/>
        <v>0</v>
      </c>
      <c r="I10" s="107">
        <f t="shared" si="1"/>
        <v>0</v>
      </c>
    </row>
    <row r="11" spans="2:9" x14ac:dyDescent="0.2">
      <c r="B11" s="99"/>
      <c r="C11" s="99"/>
      <c r="D11" s="99"/>
      <c r="E11" s="99"/>
      <c r="F11" s="99"/>
      <c r="G11" s="99"/>
      <c r="H11" s="99"/>
      <c r="I11" s="99"/>
    </row>
    <row r="12" spans="2:9" x14ac:dyDescent="0.2">
      <c r="B12" s="96" t="s">
        <v>10</v>
      </c>
      <c r="C12" s="97"/>
      <c r="D12" s="97"/>
      <c r="E12" s="97"/>
      <c r="F12" s="97"/>
      <c r="G12" s="97"/>
      <c r="H12" s="97"/>
      <c r="I12" s="97"/>
    </row>
    <row r="13" spans="2:9" x14ac:dyDescent="0.2">
      <c r="B13" s="119" t="s">
        <v>4</v>
      </c>
      <c r="C13" s="120" t="s">
        <v>9</v>
      </c>
      <c r="D13" s="121" t="s">
        <v>59</v>
      </c>
      <c r="E13" s="121" t="s">
        <v>58</v>
      </c>
      <c r="F13" s="121" t="s">
        <v>57</v>
      </c>
      <c r="G13" s="122" t="s">
        <v>94</v>
      </c>
      <c r="H13" s="122" t="s">
        <v>95</v>
      </c>
      <c r="I13" s="123" t="s">
        <v>1</v>
      </c>
    </row>
    <row r="14" spans="2:9" x14ac:dyDescent="0.2">
      <c r="B14" s="108"/>
      <c r="C14" s="108"/>
      <c r="D14" s="109"/>
      <c r="E14" s="109"/>
      <c r="F14" s="109"/>
      <c r="G14" s="109"/>
      <c r="H14" s="109"/>
      <c r="I14" s="193">
        <f>SUM(D14:H14)</f>
        <v>0</v>
      </c>
    </row>
    <row r="15" spans="2:9" x14ac:dyDescent="0.2">
      <c r="B15" s="108"/>
      <c r="C15" s="110"/>
      <c r="D15" s="109"/>
      <c r="E15" s="109"/>
      <c r="F15" s="109"/>
      <c r="G15" s="109"/>
      <c r="H15" s="109"/>
      <c r="I15" s="193">
        <f t="shared" ref="I15:I16" si="3">SUM(D15:H15)</f>
        <v>0</v>
      </c>
    </row>
    <row r="16" spans="2:9" x14ac:dyDescent="0.2">
      <c r="B16" s="108"/>
      <c r="C16" s="108"/>
      <c r="D16" s="109"/>
      <c r="E16" s="109"/>
      <c r="F16" s="109"/>
      <c r="G16" s="109"/>
      <c r="H16" s="109"/>
      <c r="I16" s="193">
        <f t="shared" si="3"/>
        <v>0</v>
      </c>
    </row>
    <row r="17" spans="2:9" x14ac:dyDescent="0.2">
      <c r="B17" s="111" t="s">
        <v>17</v>
      </c>
      <c r="C17" s="106"/>
      <c r="D17" s="112">
        <f t="shared" ref="D17:F17" si="4">SUM(D14:D16)</f>
        <v>0</v>
      </c>
      <c r="E17" s="112">
        <f t="shared" si="4"/>
        <v>0</v>
      </c>
      <c r="F17" s="112">
        <f t="shared" si="4"/>
        <v>0</v>
      </c>
      <c r="G17" s="112">
        <f t="shared" ref="G17:H17" si="5">SUM(G14:G16)</f>
        <v>0</v>
      </c>
      <c r="H17" s="112">
        <f t="shared" si="5"/>
        <v>0</v>
      </c>
      <c r="I17" s="112">
        <f>SUM(I14:I16)</f>
        <v>0</v>
      </c>
    </row>
    <row r="18" spans="2:9" x14ac:dyDescent="0.2">
      <c r="B18" s="99"/>
      <c r="C18" s="99"/>
      <c r="D18" s="113"/>
      <c r="E18" s="113"/>
      <c r="F18" s="113"/>
      <c r="G18" s="113"/>
      <c r="H18" s="113"/>
      <c r="I18" s="113"/>
    </row>
    <row r="19" spans="2:9" x14ac:dyDescent="0.2">
      <c r="B19" s="114" t="s">
        <v>6</v>
      </c>
      <c r="C19" s="99"/>
      <c r="D19" s="113"/>
      <c r="E19" s="113"/>
      <c r="F19" s="113"/>
      <c r="G19" s="113"/>
      <c r="H19" s="113"/>
      <c r="I19" s="113"/>
    </row>
    <row r="20" spans="2:9" x14ac:dyDescent="0.2">
      <c r="B20" s="265" t="s">
        <v>92</v>
      </c>
      <c r="C20" s="265"/>
      <c r="D20" s="265"/>
      <c r="E20" s="265"/>
      <c r="F20" s="265"/>
      <c r="G20" s="265"/>
      <c r="H20" s="265"/>
      <c r="I20" s="265"/>
    </row>
    <row r="21" spans="2:9" x14ac:dyDescent="0.2">
      <c r="B21" s="266"/>
      <c r="C21" s="266"/>
      <c r="D21" s="266"/>
      <c r="E21" s="266"/>
      <c r="F21" s="266"/>
      <c r="G21" s="266"/>
      <c r="H21" s="266"/>
      <c r="I21" s="266"/>
    </row>
    <row r="22" spans="2:9" x14ac:dyDescent="0.2">
      <c r="B22" s="99"/>
      <c r="C22" s="99"/>
      <c r="D22" s="113"/>
      <c r="E22" s="113"/>
      <c r="F22" s="113"/>
      <c r="G22" s="113"/>
      <c r="H22" s="113"/>
      <c r="I22" s="113"/>
    </row>
    <row r="23" spans="2:9" x14ac:dyDescent="0.2">
      <c r="B23" s="96" t="s">
        <v>2</v>
      </c>
      <c r="C23" s="97"/>
      <c r="D23" s="97"/>
      <c r="E23" s="97"/>
      <c r="F23" s="97"/>
      <c r="G23" s="97"/>
      <c r="H23" s="97"/>
      <c r="I23" s="97"/>
    </row>
    <row r="24" spans="2:9" x14ac:dyDescent="0.2">
      <c r="B24" s="115" t="s">
        <v>11</v>
      </c>
      <c r="C24" s="116"/>
      <c r="D24" s="116"/>
      <c r="E24" s="116"/>
      <c r="F24" s="116"/>
      <c r="G24" s="116"/>
      <c r="H24" s="116"/>
      <c r="I24" s="116"/>
    </row>
    <row r="25" spans="2:9" x14ac:dyDescent="0.2">
      <c r="B25" s="267"/>
      <c r="C25" s="267"/>
      <c r="D25" s="267"/>
      <c r="E25" s="267"/>
      <c r="F25" s="267"/>
      <c r="G25" s="267"/>
      <c r="H25" s="267"/>
      <c r="I25" s="267"/>
    </row>
    <row r="26" spans="2:9" x14ac:dyDescent="0.2">
      <c r="B26" s="268"/>
      <c r="C26" s="268"/>
      <c r="D26" s="268"/>
      <c r="E26" s="268"/>
      <c r="F26" s="268"/>
      <c r="G26" s="268"/>
      <c r="H26" s="268"/>
      <c r="I26" s="268"/>
    </row>
    <row r="27" spans="2:9" x14ac:dyDescent="0.2">
      <c r="B27" s="117"/>
      <c r="C27" s="118"/>
      <c r="D27" s="118"/>
      <c r="E27" s="118"/>
      <c r="F27" s="118"/>
      <c r="G27" s="118"/>
      <c r="H27" s="118"/>
      <c r="I27" s="118"/>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R46"/>
  <sheetViews>
    <sheetView showGridLines="0" zoomScale="80" zoomScaleNormal="80" workbookViewId="0">
      <selection activeCell="H7" sqref="H7"/>
    </sheetView>
  </sheetViews>
  <sheetFormatPr defaultColWidth="9.140625" defaultRowHeight="12.75" x14ac:dyDescent="0.2"/>
  <cols>
    <col min="1" max="1" width="2.28515625" style="1" customWidth="1"/>
    <col min="2" max="2" width="87.42578125" style="1" bestFit="1" customWidth="1"/>
    <col min="3" max="3" width="15.140625" style="76" bestFit="1" customWidth="1"/>
    <col min="4" max="4" width="9.140625" style="86"/>
    <col min="5" max="5" width="9.140625" style="73"/>
    <col min="6" max="14" width="9.140625" style="82"/>
    <col min="15" max="15" width="9.140625" style="1"/>
    <col min="16" max="16" width="9.140625" style="44"/>
    <col min="17" max="17" width="10.140625" style="44" customWidth="1"/>
    <col min="18" max="18" width="2.8554687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2" spans="2:18" x14ac:dyDescent="0.2">
      <c r="B2" s="177" t="s">
        <v>55</v>
      </c>
      <c r="C2" s="178"/>
      <c r="D2" s="178"/>
      <c r="E2" s="178"/>
      <c r="F2" s="178"/>
      <c r="G2" s="178"/>
      <c r="H2" s="263" t="s">
        <v>100</v>
      </c>
      <c r="I2" s="263"/>
      <c r="J2" s="263"/>
      <c r="K2" s="263"/>
      <c r="L2" s="263"/>
      <c r="M2" s="263"/>
      <c r="N2" s="263"/>
      <c r="O2" s="263"/>
      <c r="P2" s="263"/>
      <c r="Q2" s="263"/>
    </row>
    <row r="3" spans="2:18" ht="15.75" x14ac:dyDescent="0.25">
      <c r="B3" s="63" t="s">
        <v>65</v>
      </c>
      <c r="C3" s="49"/>
      <c r="D3" s="83"/>
      <c r="E3" s="69"/>
      <c r="F3" s="77"/>
      <c r="G3" s="77"/>
      <c r="H3" s="264" t="s">
        <v>101</v>
      </c>
      <c r="I3" s="264"/>
      <c r="J3" s="264"/>
      <c r="K3" s="264"/>
      <c r="L3" s="264"/>
      <c r="M3" s="264"/>
      <c r="N3" s="264"/>
      <c r="O3" s="264"/>
      <c r="P3" s="264"/>
      <c r="Q3" s="264"/>
    </row>
    <row r="4" spans="2:18" s="36" customFormat="1" ht="3" customHeight="1" x14ac:dyDescent="0.2">
      <c r="B4" s="38"/>
      <c r="C4" s="74"/>
      <c r="D4" s="84"/>
      <c r="E4" s="70"/>
      <c r="F4" s="78"/>
      <c r="G4" s="78"/>
      <c r="H4" s="78"/>
      <c r="I4" s="78"/>
      <c r="J4" s="78"/>
      <c r="K4" s="78"/>
      <c r="L4" s="78"/>
      <c r="M4" s="78"/>
      <c r="N4" s="78"/>
      <c r="O4" s="78"/>
      <c r="P4" s="78"/>
      <c r="Q4" s="78"/>
    </row>
    <row r="5" spans="2:18" ht="76.5" x14ac:dyDescent="0.2">
      <c r="B5" s="39" t="s">
        <v>18</v>
      </c>
      <c r="C5" s="39" t="s">
        <v>31</v>
      </c>
      <c r="D5" s="179" t="s">
        <v>64</v>
      </c>
      <c r="E5" s="182" t="s">
        <v>33</v>
      </c>
      <c r="F5" s="179" t="s">
        <v>32</v>
      </c>
      <c r="G5" s="179" t="s">
        <v>102</v>
      </c>
      <c r="H5" s="179" t="s">
        <v>103</v>
      </c>
      <c r="I5" s="179" t="s">
        <v>104</v>
      </c>
      <c r="J5" s="179" t="s">
        <v>105</v>
      </c>
      <c r="K5" s="180" t="s">
        <v>106</v>
      </c>
      <c r="L5" s="180" t="s">
        <v>107</v>
      </c>
      <c r="M5" s="179" t="s">
        <v>108</v>
      </c>
      <c r="N5" s="179" t="s">
        <v>109</v>
      </c>
      <c r="O5" s="179" t="s">
        <v>110</v>
      </c>
      <c r="P5" s="179" t="s">
        <v>111</v>
      </c>
      <c r="Q5" s="179" t="s">
        <v>112</v>
      </c>
      <c r="R5" s="52"/>
    </row>
    <row r="6" spans="2:18" x14ac:dyDescent="0.2">
      <c r="B6" s="188" t="s">
        <v>81</v>
      </c>
      <c r="C6" s="181"/>
      <c r="D6" s="181"/>
      <c r="E6" s="181"/>
      <c r="F6" s="181"/>
      <c r="G6" s="181"/>
      <c r="H6" s="181"/>
      <c r="I6" s="181"/>
      <c r="J6" s="181"/>
      <c r="K6" s="181"/>
      <c r="L6" s="181"/>
      <c r="M6" s="181"/>
      <c r="N6" s="181"/>
      <c r="O6" s="181"/>
      <c r="P6" s="181"/>
      <c r="Q6" s="189"/>
      <c r="R6" s="28"/>
    </row>
    <row r="7" spans="2:18" x14ac:dyDescent="0.2">
      <c r="B7" s="183" t="s">
        <v>68</v>
      </c>
      <c r="C7" s="184" t="s">
        <v>69</v>
      </c>
      <c r="D7" s="185">
        <v>1</v>
      </c>
      <c r="E7" s="186">
        <v>1</v>
      </c>
      <c r="F7" s="187">
        <f>E7*D7</f>
        <v>1</v>
      </c>
      <c r="G7" s="191">
        <v>0</v>
      </c>
      <c r="H7" s="88">
        <f>IF(G7=0,VLOOKUP(C:C,[1]Inputs!$B$20:$H$25,7,FALSE)*F7,VLOOKUP(C:C,[1]Inputs!$B$20:$I$25,8,FALSE)*F7)</f>
        <v>79.838346469665012</v>
      </c>
      <c r="I7" s="88">
        <f>VLOOKUP(C:C,[1]Inputs!$C$54:$G$59,5,FALSE)*F7</f>
        <v>19.732436288346317</v>
      </c>
      <c r="J7" s="88"/>
      <c r="K7" s="88"/>
      <c r="L7" s="88"/>
      <c r="M7" s="88">
        <f>SUM(H7:J7)</f>
        <v>99.570782758011333</v>
      </c>
      <c r="N7" s="88">
        <f>[1]Inputs!$M$43*M7</f>
        <v>46.392677416511667</v>
      </c>
      <c r="O7" s="88">
        <f>[1]Inputs!$M$48*M7</f>
        <v>15.968921687171692</v>
      </c>
      <c r="P7" s="88">
        <f>[1]Inputs!$H$13*SUM(M7:O7)</f>
        <v>10.269751657668678</v>
      </c>
      <c r="Q7" s="88">
        <f t="shared" ref="Q7" si="0">SUM(M7:P7)</f>
        <v>172.20213351936337</v>
      </c>
    </row>
    <row r="8" spans="2:18" x14ac:dyDescent="0.2">
      <c r="B8" s="68" t="s">
        <v>70</v>
      </c>
      <c r="C8" s="66" t="s">
        <v>54</v>
      </c>
      <c r="D8" s="79">
        <v>0.5</v>
      </c>
      <c r="E8" s="71">
        <v>1</v>
      </c>
      <c r="F8" s="88">
        <f t="shared" ref="F8:F13" si="1">E8*D8</f>
        <v>0.5</v>
      </c>
      <c r="G8" s="191">
        <v>0</v>
      </c>
      <c r="H8" s="88">
        <f>IF(G8=0,VLOOKUP(C:C,[1]Inputs!$B$20:$H$25,7,FALSE)*F8,VLOOKUP(C:C,[1]Inputs!$B$20:$I$25,8,FALSE)*F8)</f>
        <v>51.630298810072496</v>
      </c>
      <c r="I8" s="88">
        <f>VLOOKUP(C:C,[1]Inputs!$C$54:$G$59,5,FALSE)*F8</f>
        <v>0</v>
      </c>
      <c r="J8" s="88"/>
      <c r="K8" s="88"/>
      <c r="L8" s="88"/>
      <c r="M8" s="88">
        <f t="shared" ref="M8:M13" si="2">SUM(H8:J8)</f>
        <v>51.630298810072496</v>
      </c>
      <c r="N8" s="88">
        <f>[1]Inputs!$M$43*M8</f>
        <v>24.055930176174893</v>
      </c>
      <c r="O8" s="88">
        <f>[1]Inputs!$M$48*M8</f>
        <v>8.2803426421490585</v>
      </c>
      <c r="P8" s="88">
        <f>[1]Inputs!$H$13*SUM(M8:O8)</f>
        <v>5.3251599726729033</v>
      </c>
      <c r="Q8" s="88">
        <f t="shared" ref="Q8:Q13" si="3">SUM(M8:P8)</f>
        <v>89.291731601069358</v>
      </c>
    </row>
    <row r="9" spans="2:18" x14ac:dyDescent="0.2">
      <c r="B9" s="67" t="s">
        <v>71</v>
      </c>
      <c r="C9" s="66" t="s">
        <v>54</v>
      </c>
      <c r="D9" s="80">
        <v>0.5</v>
      </c>
      <c r="E9" s="71">
        <v>1</v>
      </c>
      <c r="F9" s="88">
        <f t="shared" si="1"/>
        <v>0.5</v>
      </c>
      <c r="G9" s="191">
        <v>0</v>
      </c>
      <c r="H9" s="88">
        <f>IF(G9=0,VLOOKUP(C:C,[1]Inputs!$B$20:$H$25,7,FALSE)*F9,VLOOKUP(C:C,[1]Inputs!$B$20:$I$25,8,FALSE)*F9)</f>
        <v>51.630298810072496</v>
      </c>
      <c r="I9" s="88">
        <f>VLOOKUP(C:C,[1]Inputs!$C$54:$G$59,5,FALSE)*F9</f>
        <v>0</v>
      </c>
      <c r="J9" s="88"/>
      <c r="K9" s="88"/>
      <c r="L9" s="88"/>
      <c r="M9" s="88">
        <f t="shared" si="2"/>
        <v>51.630298810072496</v>
      </c>
      <c r="N9" s="88">
        <f>[1]Inputs!$M$43*M9</f>
        <v>24.055930176174893</v>
      </c>
      <c r="O9" s="88">
        <f>[1]Inputs!$M$48*M9</f>
        <v>8.2803426421490585</v>
      </c>
      <c r="P9" s="88">
        <f>[1]Inputs!$H$13*SUM(M9:O9)</f>
        <v>5.3251599726729033</v>
      </c>
      <c r="Q9" s="88">
        <f t="shared" si="3"/>
        <v>89.291731601069358</v>
      </c>
    </row>
    <row r="10" spans="2:18" x14ac:dyDescent="0.2">
      <c r="B10" s="67" t="s">
        <v>72</v>
      </c>
      <c r="C10" s="66" t="s">
        <v>69</v>
      </c>
      <c r="D10" s="80">
        <v>1</v>
      </c>
      <c r="E10" s="71">
        <v>1</v>
      </c>
      <c r="F10" s="88">
        <f t="shared" si="1"/>
        <v>1</v>
      </c>
      <c r="G10" s="191">
        <v>0</v>
      </c>
      <c r="H10" s="88">
        <f>IF(G10=0,VLOOKUP(C:C,[1]Inputs!$B$20:$H$25,7,FALSE)*F10,VLOOKUP(C:C,[1]Inputs!$B$20:$I$25,8,FALSE)*F10)</f>
        <v>79.838346469665012</v>
      </c>
      <c r="I10" s="88">
        <f>VLOOKUP(C:C,[1]Inputs!$C$54:$G$59,5,FALSE)*F10</f>
        <v>19.732436288346317</v>
      </c>
      <c r="J10" s="88"/>
      <c r="K10" s="88"/>
      <c r="L10" s="88"/>
      <c r="M10" s="88">
        <f t="shared" si="2"/>
        <v>99.570782758011333</v>
      </c>
      <c r="N10" s="88">
        <f>[1]Inputs!$M$43*M10</f>
        <v>46.392677416511667</v>
      </c>
      <c r="O10" s="88">
        <f>[1]Inputs!$M$48*M10</f>
        <v>15.968921687171692</v>
      </c>
      <c r="P10" s="88">
        <f>[1]Inputs!$H$13*SUM(M10:O10)</f>
        <v>10.269751657668678</v>
      </c>
      <c r="Q10" s="88">
        <f t="shared" si="3"/>
        <v>172.20213351936337</v>
      </c>
      <c r="R10" s="190"/>
    </row>
    <row r="11" spans="2:18" x14ac:dyDescent="0.2">
      <c r="B11" s="67" t="s">
        <v>73</v>
      </c>
      <c r="C11" s="66" t="s">
        <v>69</v>
      </c>
      <c r="D11" s="80">
        <v>1</v>
      </c>
      <c r="E11" s="71">
        <v>1</v>
      </c>
      <c r="F11" s="88">
        <f t="shared" si="1"/>
        <v>1</v>
      </c>
      <c r="G11" s="191">
        <v>0</v>
      </c>
      <c r="H11" s="88">
        <f>IF(G11=0,VLOOKUP(C:C,[1]Inputs!$B$20:$H$25,7,FALSE)*F11,VLOOKUP(C:C,[1]Inputs!$B$20:$I$25,8,FALSE)*F11)</f>
        <v>79.838346469665012</v>
      </c>
      <c r="I11" s="88">
        <f>VLOOKUP(C:C,[1]Inputs!$C$54:$G$59,5,FALSE)*F11</f>
        <v>19.732436288346317</v>
      </c>
      <c r="J11" s="88"/>
      <c r="K11" s="88"/>
      <c r="L11" s="88"/>
      <c r="M11" s="88">
        <f t="shared" si="2"/>
        <v>99.570782758011333</v>
      </c>
      <c r="N11" s="88">
        <f>[1]Inputs!$M$43*M11</f>
        <v>46.392677416511667</v>
      </c>
      <c r="O11" s="88">
        <f>[1]Inputs!$M$48*M11</f>
        <v>15.968921687171692</v>
      </c>
      <c r="P11" s="88">
        <f>[1]Inputs!$H$13*SUM(M11:O11)</f>
        <v>10.269751657668678</v>
      </c>
      <c r="Q11" s="88">
        <f t="shared" si="3"/>
        <v>172.20213351936337</v>
      </c>
      <c r="R11" s="28"/>
    </row>
    <row r="12" spans="2:18" x14ac:dyDescent="0.2">
      <c r="B12" s="67" t="s">
        <v>74</v>
      </c>
      <c r="C12" s="66" t="s">
        <v>54</v>
      </c>
      <c r="D12" s="80">
        <v>0.2</v>
      </c>
      <c r="E12" s="71">
        <v>1</v>
      </c>
      <c r="F12" s="88">
        <f t="shared" si="1"/>
        <v>0.2</v>
      </c>
      <c r="G12" s="191">
        <v>0</v>
      </c>
      <c r="H12" s="88">
        <f>IF(G12=0,VLOOKUP(C:C,[1]Inputs!$B$20:$H$25,7,FALSE)*F12,VLOOKUP(C:C,[1]Inputs!$B$20:$I$25,8,FALSE)*F12)</f>
        <v>20.652119524029001</v>
      </c>
      <c r="I12" s="88">
        <f>VLOOKUP(C:C,[1]Inputs!$C$54:$G$59,5,FALSE)*F12</f>
        <v>0</v>
      </c>
      <c r="J12" s="88"/>
      <c r="K12" s="88"/>
      <c r="L12" s="88"/>
      <c r="M12" s="88">
        <f t="shared" si="2"/>
        <v>20.652119524029001</v>
      </c>
      <c r="N12" s="88">
        <f>[1]Inputs!$M$43*M12</f>
        <v>9.6223720704699591</v>
      </c>
      <c r="O12" s="88">
        <f>[1]Inputs!$M$48*M12</f>
        <v>3.3121370568596236</v>
      </c>
      <c r="P12" s="88">
        <f>[1]Inputs!$H$13*SUM(M12:O12)</f>
        <v>2.1300639890691619</v>
      </c>
      <c r="Q12" s="88">
        <f t="shared" si="3"/>
        <v>35.716692640427752</v>
      </c>
      <c r="R12" s="28"/>
    </row>
    <row r="13" spans="2:18" x14ac:dyDescent="0.2">
      <c r="B13" s="67" t="s">
        <v>75</v>
      </c>
      <c r="C13" s="66" t="s">
        <v>69</v>
      </c>
      <c r="D13" s="80">
        <v>0.2</v>
      </c>
      <c r="E13" s="71">
        <v>1</v>
      </c>
      <c r="F13" s="88">
        <f t="shared" si="1"/>
        <v>0.2</v>
      </c>
      <c r="G13" s="191">
        <v>0</v>
      </c>
      <c r="H13" s="88">
        <f>IF(G13=0,VLOOKUP(C:C,[1]Inputs!$B$20:$H$25,7,FALSE)*F13,VLOOKUP(C:C,[1]Inputs!$B$20:$I$25,8,FALSE)*F13)</f>
        <v>15.967669293933003</v>
      </c>
      <c r="I13" s="88">
        <f>VLOOKUP(C:C,[1]Inputs!$C$54:$G$59,5,FALSE)*F13</f>
        <v>3.9464872576692636</v>
      </c>
      <c r="J13" s="88"/>
      <c r="K13" s="88"/>
      <c r="L13" s="88"/>
      <c r="M13" s="88">
        <f t="shared" si="2"/>
        <v>19.914156551602268</v>
      </c>
      <c r="N13" s="88">
        <f>[1]Inputs!$M$43*M13</f>
        <v>9.2785354833023348</v>
      </c>
      <c r="O13" s="88">
        <f>[1]Inputs!$M$48*M13</f>
        <v>3.1937843374343386</v>
      </c>
      <c r="P13" s="88">
        <f>[1]Inputs!$H$13*SUM(M13:O13)</f>
        <v>2.0539503315337355</v>
      </c>
      <c r="Q13" s="88">
        <f t="shared" si="3"/>
        <v>34.440426703872674</v>
      </c>
      <c r="R13" s="28"/>
    </row>
    <row r="14" spans="2:18" x14ac:dyDescent="0.2">
      <c r="B14" s="67"/>
      <c r="C14" s="66"/>
      <c r="D14" s="79"/>
      <c r="E14" s="71"/>
      <c r="F14" s="87"/>
      <c r="G14" s="87"/>
      <c r="H14" s="87"/>
      <c r="I14" s="87"/>
      <c r="J14" s="87"/>
      <c r="K14" s="87"/>
      <c r="L14" s="87"/>
      <c r="M14" s="87"/>
      <c r="N14" s="87"/>
      <c r="O14" s="40"/>
      <c r="P14" s="41"/>
      <c r="Q14" s="41"/>
    </row>
    <row r="15" spans="2:18" x14ac:dyDescent="0.2">
      <c r="B15" s="260" t="s">
        <v>1</v>
      </c>
      <c r="C15" s="261"/>
      <c r="D15" s="261"/>
      <c r="E15" s="262"/>
      <c r="F15" s="89">
        <f>SUM(F7:F14)</f>
        <v>4.4000000000000004</v>
      </c>
      <c r="G15" s="89">
        <f t="shared" ref="G15:Q15" si="4">SUM(G7:G14)</f>
        <v>0</v>
      </c>
      <c r="H15" s="89">
        <f t="shared" si="4"/>
        <v>379.39542584710199</v>
      </c>
      <c r="I15" s="89">
        <f t="shared" si="4"/>
        <v>63.14379612270821</v>
      </c>
      <c r="J15" s="89">
        <f t="shared" si="4"/>
        <v>0</v>
      </c>
      <c r="K15" s="89">
        <f t="shared" si="4"/>
        <v>0</v>
      </c>
      <c r="L15" s="89">
        <f t="shared" si="4"/>
        <v>0</v>
      </c>
      <c r="M15" s="89">
        <f t="shared" si="4"/>
        <v>442.53922196981023</v>
      </c>
      <c r="N15" s="89">
        <f t="shared" si="4"/>
        <v>206.19080015565709</v>
      </c>
      <c r="O15" s="89">
        <f t="shared" si="4"/>
        <v>70.973371740107154</v>
      </c>
      <c r="P15" s="89">
        <f t="shared" si="4"/>
        <v>45.643589238954739</v>
      </c>
      <c r="Q15" s="89">
        <f t="shared" si="4"/>
        <v>765.34698310452904</v>
      </c>
      <c r="R15" s="52"/>
    </row>
    <row r="16" spans="2:18" x14ac:dyDescent="0.2">
      <c r="B16" s="42"/>
      <c r="C16" s="75"/>
      <c r="D16" s="85"/>
      <c r="E16" s="72"/>
      <c r="F16" s="81"/>
      <c r="G16" s="81"/>
      <c r="H16" s="81"/>
      <c r="I16" s="81"/>
      <c r="J16" s="81"/>
      <c r="K16" s="81"/>
      <c r="L16" s="81"/>
      <c r="M16" s="81"/>
      <c r="N16" s="81"/>
      <c r="O16" s="279"/>
      <c r="P16" s="43"/>
      <c r="Q16" s="43"/>
    </row>
    <row r="17" spans="2:18" x14ac:dyDescent="0.2">
      <c r="B17" s="280" t="s">
        <v>55</v>
      </c>
      <c r="C17" s="281"/>
      <c r="D17" s="281"/>
      <c r="E17" s="281"/>
      <c r="F17" s="281"/>
      <c r="G17" s="281"/>
      <c r="H17" s="281"/>
      <c r="I17" s="281"/>
      <c r="J17" s="281"/>
      <c r="K17" s="281"/>
      <c r="L17" s="281"/>
      <c r="M17" s="281"/>
      <c r="N17" s="281"/>
      <c r="O17" s="281"/>
      <c r="P17" s="281"/>
      <c r="Q17" s="282"/>
    </row>
    <row r="18" spans="2:18" ht="15.75" x14ac:dyDescent="0.25">
      <c r="B18" s="283" t="s">
        <v>65</v>
      </c>
      <c r="C18" s="229"/>
      <c r="D18" s="284"/>
      <c r="E18" s="285"/>
      <c r="F18" s="286"/>
      <c r="G18" s="286"/>
      <c r="H18" s="286"/>
      <c r="I18" s="286"/>
      <c r="J18" s="286"/>
      <c r="K18" s="286"/>
      <c r="L18" s="286"/>
      <c r="M18" s="286"/>
      <c r="N18" s="286"/>
      <c r="O18" s="228"/>
      <c r="P18" s="228"/>
      <c r="Q18" s="287"/>
    </row>
    <row r="19" spans="2:18" x14ac:dyDescent="0.2">
      <c r="B19" s="38"/>
      <c r="C19" s="74"/>
      <c r="D19" s="84"/>
      <c r="E19" s="70"/>
      <c r="F19" s="78"/>
      <c r="G19" s="78"/>
      <c r="H19" s="78"/>
      <c r="I19" s="78"/>
      <c r="J19" s="78"/>
      <c r="K19" s="78"/>
      <c r="L19" s="78"/>
      <c r="M19" s="78"/>
      <c r="N19" s="78"/>
      <c r="O19" s="38"/>
      <c r="P19" s="38"/>
      <c r="Q19" s="38"/>
    </row>
    <row r="20" spans="2:18" ht="76.5" x14ac:dyDescent="0.2">
      <c r="B20" s="39" t="s">
        <v>18</v>
      </c>
      <c r="C20" s="39" t="s">
        <v>31</v>
      </c>
      <c r="D20" s="179" t="s">
        <v>64</v>
      </c>
      <c r="E20" s="182" t="s">
        <v>33</v>
      </c>
      <c r="F20" s="179" t="s">
        <v>32</v>
      </c>
      <c r="G20" s="179" t="s">
        <v>102</v>
      </c>
      <c r="H20" s="179" t="s">
        <v>103</v>
      </c>
      <c r="I20" s="179" t="s">
        <v>104</v>
      </c>
      <c r="J20" s="179" t="s">
        <v>105</v>
      </c>
      <c r="K20" s="180" t="s">
        <v>106</v>
      </c>
      <c r="L20" s="180" t="s">
        <v>107</v>
      </c>
      <c r="M20" s="179" t="s">
        <v>108</v>
      </c>
      <c r="N20" s="179" t="s">
        <v>109</v>
      </c>
      <c r="O20" s="179" t="s">
        <v>110</v>
      </c>
      <c r="P20" s="179" t="s">
        <v>111</v>
      </c>
      <c r="Q20" s="179" t="s">
        <v>112</v>
      </c>
      <c r="R20" s="52"/>
    </row>
    <row r="21" spans="2:18" x14ac:dyDescent="0.2">
      <c r="B21" s="188" t="s">
        <v>82</v>
      </c>
      <c r="C21" s="181"/>
      <c r="D21" s="181"/>
      <c r="E21" s="181"/>
      <c r="F21" s="181"/>
      <c r="G21" s="181"/>
      <c r="H21" s="181"/>
      <c r="I21" s="181"/>
      <c r="J21" s="181"/>
      <c r="K21" s="181"/>
      <c r="L21" s="181"/>
      <c r="M21" s="181"/>
      <c r="N21" s="181"/>
      <c r="O21" s="181"/>
      <c r="P21" s="181"/>
      <c r="Q21" s="189"/>
    </row>
    <row r="22" spans="2:18" x14ac:dyDescent="0.2">
      <c r="B22" s="183" t="s">
        <v>68</v>
      </c>
      <c r="C22" s="184" t="s">
        <v>69</v>
      </c>
      <c r="D22" s="185">
        <v>1</v>
      </c>
      <c r="E22" s="186">
        <v>1</v>
      </c>
      <c r="F22" s="187">
        <f>E22*D22</f>
        <v>1</v>
      </c>
      <c r="G22" s="191">
        <v>0</v>
      </c>
      <c r="H22" s="88">
        <f>IF(G22=0,VLOOKUP(C:C,[1]Inputs!$B$20:$H$25,7,FALSE)*F22,VLOOKUP(C:C,[1]Inputs!$B$20:$I$25,8,FALSE)*F22)</f>
        <v>79.838346469665012</v>
      </c>
      <c r="I22" s="88">
        <f>VLOOKUP(C:C,[1]Inputs!$C$54:$G$59,5,FALSE)*F22</f>
        <v>19.732436288346317</v>
      </c>
      <c r="J22" s="88"/>
      <c r="K22" s="88"/>
      <c r="L22" s="88"/>
      <c r="M22" s="88">
        <f>SUM(H22:J22)</f>
        <v>99.570782758011333</v>
      </c>
      <c r="N22" s="88">
        <f>[1]Inputs!$M$43*M22</f>
        <v>46.392677416511667</v>
      </c>
      <c r="O22" s="88">
        <f>[1]Inputs!$M$48*M22</f>
        <v>15.968921687171692</v>
      </c>
      <c r="P22" s="88">
        <f>[1]Inputs!$H$13*SUM(M22:O22)</f>
        <v>10.269751657668678</v>
      </c>
      <c r="Q22" s="88">
        <f t="shared" ref="Q22" si="5">SUM(M22:P22)</f>
        <v>172.20213351936337</v>
      </c>
    </row>
    <row r="23" spans="2:18" x14ac:dyDescent="0.2">
      <c r="B23" s="68" t="s">
        <v>70</v>
      </c>
      <c r="C23" s="66" t="s">
        <v>54</v>
      </c>
      <c r="D23" s="79">
        <v>0.5</v>
      </c>
      <c r="E23" s="71">
        <v>1</v>
      </c>
      <c r="F23" s="88">
        <f t="shared" ref="F23:F28" si="6">E23*D23</f>
        <v>0.5</v>
      </c>
      <c r="G23" s="191">
        <v>0</v>
      </c>
      <c r="H23" s="88">
        <f>IF(G23=0,VLOOKUP(C:C,[1]Inputs!$B$20:$H$25,7,FALSE)*F23,VLOOKUP(C:C,[1]Inputs!$B$20:$I$25,8,FALSE)*F23)</f>
        <v>51.630298810072496</v>
      </c>
      <c r="I23" s="88">
        <f>VLOOKUP(C:C,[1]Inputs!$C$54:$G$59,5,FALSE)*F23</f>
        <v>0</v>
      </c>
      <c r="J23" s="88"/>
      <c r="K23" s="88"/>
      <c r="L23" s="88"/>
      <c r="M23" s="88">
        <f t="shared" ref="M23:M28" si="7">SUM(H23:J23)</f>
        <v>51.630298810072496</v>
      </c>
      <c r="N23" s="88">
        <f>[1]Inputs!$M$43*M23</f>
        <v>24.055930176174893</v>
      </c>
      <c r="O23" s="88">
        <f>[1]Inputs!$M$48*M23</f>
        <v>8.2803426421490585</v>
      </c>
      <c r="P23" s="88">
        <f>[1]Inputs!$H$13*SUM(M23:O23)</f>
        <v>5.3251599726729033</v>
      </c>
      <c r="Q23" s="88">
        <f t="shared" ref="Q23:Q28" si="8">SUM(M23:P23)</f>
        <v>89.291731601069358</v>
      </c>
    </row>
    <row r="24" spans="2:18" x14ac:dyDescent="0.2">
      <c r="B24" s="67" t="s">
        <v>71</v>
      </c>
      <c r="C24" s="66" t="s">
        <v>54</v>
      </c>
      <c r="D24" s="80">
        <v>0.5</v>
      </c>
      <c r="E24" s="71">
        <v>1</v>
      </c>
      <c r="F24" s="88">
        <f t="shared" si="6"/>
        <v>0.5</v>
      </c>
      <c r="G24" s="191">
        <v>0</v>
      </c>
      <c r="H24" s="88">
        <f>IF(G24=0,VLOOKUP(C:C,[1]Inputs!$B$20:$H$25,7,FALSE)*F24,VLOOKUP(C:C,[1]Inputs!$B$20:$I$25,8,FALSE)*F24)</f>
        <v>51.630298810072496</v>
      </c>
      <c r="I24" s="88">
        <f>VLOOKUP(C:C,[1]Inputs!$C$54:$G$59,5,FALSE)*F24</f>
        <v>0</v>
      </c>
      <c r="J24" s="88"/>
      <c r="K24" s="88"/>
      <c r="L24" s="88"/>
      <c r="M24" s="88">
        <f t="shared" si="7"/>
        <v>51.630298810072496</v>
      </c>
      <c r="N24" s="88">
        <f>[1]Inputs!$M$43*M24</f>
        <v>24.055930176174893</v>
      </c>
      <c r="O24" s="88">
        <f>[1]Inputs!$M$48*M24</f>
        <v>8.2803426421490585</v>
      </c>
      <c r="P24" s="88">
        <f>[1]Inputs!$H$13*SUM(M24:O24)</f>
        <v>5.3251599726729033</v>
      </c>
      <c r="Q24" s="88">
        <f t="shared" si="8"/>
        <v>89.291731601069358</v>
      </c>
    </row>
    <row r="25" spans="2:18" x14ac:dyDescent="0.2">
      <c r="B25" s="67" t="s">
        <v>72</v>
      </c>
      <c r="C25" s="66" t="s">
        <v>69</v>
      </c>
      <c r="D25" s="80">
        <v>1</v>
      </c>
      <c r="E25" s="71">
        <v>1</v>
      </c>
      <c r="F25" s="88">
        <f t="shared" si="6"/>
        <v>1</v>
      </c>
      <c r="G25" s="191">
        <v>0</v>
      </c>
      <c r="H25" s="88">
        <f>IF(G25=0,VLOOKUP(C:C,[1]Inputs!$B$20:$H$25,7,FALSE)*F25,VLOOKUP(C:C,[1]Inputs!$B$20:$I$25,8,FALSE)*F25)</f>
        <v>79.838346469665012</v>
      </c>
      <c r="I25" s="88">
        <f>VLOOKUP(C:C,[1]Inputs!$C$54:$G$59,5,FALSE)*F25</f>
        <v>19.732436288346317</v>
      </c>
      <c r="J25" s="88"/>
      <c r="K25" s="88"/>
      <c r="L25" s="88"/>
      <c r="M25" s="88">
        <f t="shared" si="7"/>
        <v>99.570782758011333</v>
      </c>
      <c r="N25" s="88">
        <f>[1]Inputs!$M$43*M25</f>
        <v>46.392677416511667</v>
      </c>
      <c r="O25" s="88">
        <f>[1]Inputs!$M$48*M25</f>
        <v>15.968921687171692</v>
      </c>
      <c r="P25" s="88">
        <f>[1]Inputs!$H$13*SUM(M25:O25)</f>
        <v>10.269751657668678</v>
      </c>
      <c r="Q25" s="88">
        <f t="shared" si="8"/>
        <v>172.20213351936337</v>
      </c>
    </row>
    <row r="26" spans="2:18" x14ac:dyDescent="0.2">
      <c r="B26" s="67" t="s">
        <v>73</v>
      </c>
      <c r="C26" s="66" t="s">
        <v>69</v>
      </c>
      <c r="D26" s="80">
        <v>1</v>
      </c>
      <c r="E26" s="71">
        <v>1</v>
      </c>
      <c r="F26" s="88">
        <f t="shared" si="6"/>
        <v>1</v>
      </c>
      <c r="G26" s="191">
        <v>1</v>
      </c>
      <c r="H26" s="88">
        <f>IF(G26=0,VLOOKUP(C:C,[1]Inputs!$B$20:$H$25,7,FALSE)*F26,VLOOKUP(C:C,[1]Inputs!$B$20:$I$25,8,FALSE)*F26)</f>
        <v>144.94102558317272</v>
      </c>
      <c r="I26" s="88">
        <f>VLOOKUP(C:C,[1]Inputs!$C$54:$G$59,5,FALSE)*F26</f>
        <v>19.732436288346317</v>
      </c>
      <c r="J26" s="88"/>
      <c r="K26" s="88"/>
      <c r="L26" s="88"/>
      <c r="M26" s="88">
        <f t="shared" si="7"/>
        <v>164.67346187151904</v>
      </c>
      <c r="N26" s="88">
        <f>[1]Inputs!$M$43*M26</f>
        <v>76.725748096531277</v>
      </c>
      <c r="O26" s="88">
        <f>[1]Inputs!$M$48*M26</f>
        <v>26.409932148194969</v>
      </c>
      <c r="P26" s="88">
        <f>[1]Inputs!$H$13*SUM(M26:O26)</f>
        <v>16.98445579301228</v>
      </c>
      <c r="Q26" s="88">
        <f t="shared" si="8"/>
        <v>284.79359790925758</v>
      </c>
    </row>
    <row r="27" spans="2:18" x14ac:dyDescent="0.2">
      <c r="B27" s="67" t="s">
        <v>74</v>
      </c>
      <c r="C27" s="66" t="s">
        <v>54</v>
      </c>
      <c r="D27" s="80">
        <v>0.2</v>
      </c>
      <c r="E27" s="71">
        <v>1</v>
      </c>
      <c r="F27" s="88">
        <f t="shared" si="6"/>
        <v>0.2</v>
      </c>
      <c r="G27" s="191">
        <v>1</v>
      </c>
      <c r="H27" s="88">
        <f>IF(G27=0,VLOOKUP(C:C,[1]Inputs!$B$20:$H$25,7,FALSE)*F27,VLOOKUP(C:C,[1]Inputs!$B$20:$I$25,8,FALSE)*F27)</f>
        <v>37.492502245351012</v>
      </c>
      <c r="I27" s="88">
        <f>VLOOKUP(C:C,[1]Inputs!$C$54:$G$59,5,FALSE)*F27</f>
        <v>0</v>
      </c>
      <c r="J27" s="88"/>
      <c r="K27" s="88"/>
      <c r="L27" s="88"/>
      <c r="M27" s="88">
        <f t="shared" si="7"/>
        <v>37.492502245351012</v>
      </c>
      <c r="N27" s="88">
        <f>[1]Inputs!$M$43*M27</f>
        <v>17.46875452846092</v>
      </c>
      <c r="O27" s="88">
        <f>[1]Inputs!$M$48*M27</f>
        <v>6.0129569701906087</v>
      </c>
      <c r="P27" s="88">
        <f>[1]Inputs!$H$13*SUM(M27:O27)</f>
        <v>3.8669846356446413</v>
      </c>
      <c r="Q27" s="88">
        <f t="shared" si="8"/>
        <v>64.841198379647182</v>
      </c>
    </row>
    <row r="28" spans="2:18" x14ac:dyDescent="0.2">
      <c r="B28" s="67" t="s">
        <v>75</v>
      </c>
      <c r="C28" s="66" t="s">
        <v>69</v>
      </c>
      <c r="D28" s="80">
        <v>0.2</v>
      </c>
      <c r="E28" s="71">
        <v>1</v>
      </c>
      <c r="F28" s="88">
        <f t="shared" si="6"/>
        <v>0.2</v>
      </c>
      <c r="G28" s="191">
        <v>1</v>
      </c>
      <c r="H28" s="88">
        <f>IF(G28=0,VLOOKUP(C:C,[1]Inputs!$B$20:$H$25,7,FALSE)*F28,VLOOKUP(C:C,[1]Inputs!$B$20:$I$25,8,FALSE)*F28)</f>
        <v>28.988205116634546</v>
      </c>
      <c r="I28" s="88">
        <f>VLOOKUP(C:C,[1]Inputs!$C$54:$G$59,5,FALSE)*F28</f>
        <v>3.9464872576692636</v>
      </c>
      <c r="J28" s="88"/>
      <c r="K28" s="88"/>
      <c r="L28" s="88"/>
      <c r="M28" s="88">
        <f t="shared" si="7"/>
        <v>32.934692374303808</v>
      </c>
      <c r="N28" s="88">
        <f>[1]Inputs!$M$43*M28</f>
        <v>15.345149619306254</v>
      </c>
      <c r="O28" s="88">
        <f>[1]Inputs!$M$48*M28</f>
        <v>5.2819864296389936</v>
      </c>
      <c r="P28" s="88">
        <f>[1]Inputs!$H$13*SUM(M28:O28)</f>
        <v>3.3968911586024553</v>
      </c>
      <c r="Q28" s="88">
        <f t="shared" si="8"/>
        <v>56.958719581851511</v>
      </c>
    </row>
    <row r="29" spans="2:18" x14ac:dyDescent="0.2">
      <c r="B29" s="67"/>
      <c r="C29" s="66"/>
      <c r="D29" s="79"/>
      <c r="E29" s="71"/>
      <c r="F29" s="87"/>
      <c r="G29" s="87"/>
      <c r="H29" s="87"/>
      <c r="I29" s="87"/>
      <c r="J29" s="87"/>
      <c r="K29" s="87"/>
      <c r="L29" s="87"/>
      <c r="M29" s="87"/>
      <c r="N29" s="87"/>
      <c r="O29" s="40"/>
      <c r="P29" s="41"/>
      <c r="Q29" s="41"/>
    </row>
    <row r="30" spans="2:18" x14ac:dyDescent="0.2">
      <c r="B30" s="260" t="s">
        <v>1</v>
      </c>
      <c r="C30" s="261"/>
      <c r="D30" s="261"/>
      <c r="E30" s="262"/>
      <c r="F30" s="89">
        <f>SUM(F22:F29)</f>
        <v>4.4000000000000004</v>
      </c>
      <c r="G30" s="89">
        <f t="shared" ref="G30:Q30" si="9">SUM(G22:G29)</f>
        <v>3</v>
      </c>
      <c r="H30" s="89">
        <f t="shared" si="9"/>
        <v>474.35902350463329</v>
      </c>
      <c r="I30" s="89">
        <f t="shared" si="9"/>
        <v>63.14379612270821</v>
      </c>
      <c r="J30" s="89">
        <f t="shared" si="9"/>
        <v>0</v>
      </c>
      <c r="K30" s="89">
        <f t="shared" si="9"/>
        <v>0</v>
      </c>
      <c r="L30" s="89">
        <f t="shared" si="9"/>
        <v>0</v>
      </c>
      <c r="M30" s="89">
        <f t="shared" si="9"/>
        <v>537.50281962734152</v>
      </c>
      <c r="N30" s="89">
        <f t="shared" si="9"/>
        <v>250.43686742967157</v>
      </c>
      <c r="O30" s="89">
        <f t="shared" si="9"/>
        <v>86.203404206666079</v>
      </c>
      <c r="P30" s="89">
        <f t="shared" si="9"/>
        <v>55.438154847942542</v>
      </c>
      <c r="Q30" s="89">
        <f t="shared" si="9"/>
        <v>929.58124611162168</v>
      </c>
    </row>
    <row r="33" spans="18:18" x14ac:dyDescent="0.2">
      <c r="R33" s="52"/>
    </row>
    <row r="46" spans="18:18" x14ac:dyDescent="0.2">
      <c r="R46" s="52"/>
    </row>
  </sheetData>
  <mergeCells count="4">
    <mergeCell ref="B30:E30"/>
    <mergeCell ref="B15:E15"/>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01E08-8EA1-4A02-A3C7-54EAFD393639}">
  <dimension ref="B1:O28"/>
  <sheetViews>
    <sheetView workbookViewId="0">
      <selection activeCell="F32" sqref="F3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118</v>
      </c>
      <c r="D1" s="203">
        <f>[1]Inputs!H16</f>
        <v>1</v>
      </c>
      <c r="E1" s="203">
        <f>[1]Inputs!I16</f>
        <v>1</v>
      </c>
      <c r="F1" s="203">
        <f>[1]Inputs!J16</f>
        <v>1.0109999999999999</v>
      </c>
      <c r="G1" s="203">
        <f>[1]Inputs!K16</f>
        <v>1.0231319999999999</v>
      </c>
      <c r="H1" s="203">
        <f>[1]Inputs!L16</f>
        <v>1.0337725727999998</v>
      </c>
      <c r="K1" s="204">
        <f>D1</f>
        <v>1</v>
      </c>
      <c r="L1" s="204">
        <f t="shared" ref="L1:O5" si="0">E1</f>
        <v>1</v>
      </c>
      <c r="M1" s="204">
        <f t="shared" si="0"/>
        <v>1.0109999999999999</v>
      </c>
      <c r="N1" s="204">
        <f t="shared" si="0"/>
        <v>1.0231319999999999</v>
      </c>
      <c r="O1" s="204">
        <f t="shared" si="0"/>
        <v>1.0337725727999998</v>
      </c>
    </row>
    <row r="2" spans="2:15" x14ac:dyDescent="0.25">
      <c r="B2" t="s">
        <v>119</v>
      </c>
      <c r="D2" s="203">
        <f>[1]Inputs!H61</f>
        <v>0.04</v>
      </c>
      <c r="E2" s="203">
        <f>[1]Inputs!I61</f>
        <v>0.04</v>
      </c>
      <c r="F2" s="203">
        <f>[1]Inputs!J61</f>
        <v>0.04</v>
      </c>
      <c r="G2" s="203">
        <f>[1]Inputs!K61</f>
        <v>0.04</v>
      </c>
      <c r="H2" s="203">
        <f>[1]Inputs!L61</f>
        <v>0.04</v>
      </c>
      <c r="K2" s="204"/>
      <c r="L2" s="204"/>
      <c r="M2" s="204"/>
      <c r="N2" s="204"/>
      <c r="O2" s="204"/>
    </row>
    <row r="3" spans="2:15" x14ac:dyDescent="0.25">
      <c r="B3" t="s">
        <v>120</v>
      </c>
      <c r="D3" s="204">
        <f>[1]Inputs!$M$43</f>
        <v>0.46592661151676018</v>
      </c>
      <c r="E3" s="204">
        <f>[1]Inputs!$M$43</f>
        <v>0.46592661151676018</v>
      </c>
      <c r="F3" s="204">
        <f>[1]Inputs!$M$43</f>
        <v>0.46592661151676018</v>
      </c>
      <c r="G3" s="204">
        <f>[1]Inputs!$M$43</f>
        <v>0.46592661151676018</v>
      </c>
      <c r="H3" s="204">
        <f>[1]Inputs!$M$43</f>
        <v>0.46592661151676018</v>
      </c>
      <c r="K3" s="204">
        <f t="shared" ref="K3:K5" si="1">D3</f>
        <v>0.46592661151676018</v>
      </c>
      <c r="L3" s="204">
        <f t="shared" si="0"/>
        <v>0.46592661151676018</v>
      </c>
      <c r="M3" s="204">
        <f t="shared" si="0"/>
        <v>0.46592661151676018</v>
      </c>
      <c r="N3" s="204">
        <f t="shared" si="0"/>
        <v>0.46592661151676018</v>
      </c>
      <c r="O3" s="204">
        <f t="shared" si="0"/>
        <v>0.46592661151676018</v>
      </c>
    </row>
    <row r="4" spans="2:15" x14ac:dyDescent="0.25">
      <c r="B4" t="s">
        <v>121</v>
      </c>
      <c r="D4" s="204">
        <f>[1]Inputs!$M$48</f>
        <v>0.16037758511933414</v>
      </c>
      <c r="E4" s="204">
        <f>[1]Inputs!$M$48</f>
        <v>0.16037758511933414</v>
      </c>
      <c r="F4" s="204">
        <f>[1]Inputs!$M$48</f>
        <v>0.16037758511933414</v>
      </c>
      <c r="G4" s="204">
        <f>[1]Inputs!$M$48</f>
        <v>0.16037758511933414</v>
      </c>
      <c r="H4" s="204">
        <f>[1]Inputs!$M$48</f>
        <v>0.16037758511933414</v>
      </c>
      <c r="K4" s="204">
        <f t="shared" si="1"/>
        <v>0.16037758511933414</v>
      </c>
      <c r="L4" s="204">
        <f t="shared" si="0"/>
        <v>0.16037758511933414</v>
      </c>
      <c r="M4" s="204">
        <f t="shared" si="0"/>
        <v>0.16037758511933414</v>
      </c>
      <c r="N4" s="204">
        <f t="shared" si="0"/>
        <v>0.16037758511933414</v>
      </c>
      <c r="O4" s="204">
        <f t="shared" si="0"/>
        <v>0.16037758511933414</v>
      </c>
    </row>
    <row r="5" spans="2:15" x14ac:dyDescent="0.25">
      <c r="B5" t="s">
        <v>122</v>
      </c>
      <c r="D5" s="204">
        <f>[1]Inputs!$H$13</f>
        <v>6.3420000000000004E-2</v>
      </c>
      <c r="E5" s="204">
        <f>[1]Inputs!$H$13</f>
        <v>6.3420000000000004E-2</v>
      </c>
      <c r="F5" s="204">
        <f>[1]Inputs!$H$13</f>
        <v>6.3420000000000004E-2</v>
      </c>
      <c r="G5" s="204">
        <f>[1]Inputs!$H$13</f>
        <v>6.3420000000000004E-2</v>
      </c>
      <c r="H5" s="204">
        <f>[1]Inputs!$H$13</f>
        <v>6.3420000000000004E-2</v>
      </c>
      <c r="K5" s="204">
        <f t="shared" si="1"/>
        <v>6.3420000000000004E-2</v>
      </c>
      <c r="L5" s="204">
        <f t="shared" si="0"/>
        <v>6.3420000000000004E-2</v>
      </c>
      <c r="M5" s="204">
        <f t="shared" si="0"/>
        <v>6.3420000000000004E-2</v>
      </c>
      <c r="N5" s="204">
        <f t="shared" si="0"/>
        <v>6.3420000000000004E-2</v>
      </c>
      <c r="O5" s="204">
        <f t="shared" si="0"/>
        <v>6.3420000000000004E-2</v>
      </c>
    </row>
    <row r="6" spans="2:15" s="205" customFormat="1" ht="15.75" x14ac:dyDescent="0.25">
      <c r="D6" s="269" t="s">
        <v>123</v>
      </c>
      <c r="E6" s="269"/>
      <c r="F6" s="269"/>
      <c r="G6" s="269"/>
      <c r="H6" s="269"/>
      <c r="J6" s="270" t="s">
        <v>138</v>
      </c>
      <c r="K6" s="270"/>
      <c r="L6" s="270"/>
      <c r="M6" s="270"/>
      <c r="N6" s="270"/>
      <c r="O6" s="270"/>
    </row>
    <row r="7" spans="2:15" x14ac:dyDescent="0.25">
      <c r="B7" s="206" t="s">
        <v>136</v>
      </c>
      <c r="C7" s="207"/>
      <c r="D7" s="207" t="s">
        <v>124</v>
      </c>
      <c r="E7" s="207" t="s">
        <v>125</v>
      </c>
      <c r="F7" s="207" t="s">
        <v>126</v>
      </c>
      <c r="G7" s="207" t="s">
        <v>127</v>
      </c>
      <c r="H7" s="207" t="s">
        <v>128</v>
      </c>
      <c r="J7" s="207"/>
      <c r="K7" s="207" t="s">
        <v>124</v>
      </c>
      <c r="L7" s="207" t="s">
        <v>125</v>
      </c>
      <c r="M7" s="207" t="s">
        <v>126</v>
      </c>
      <c r="N7" s="207" t="s">
        <v>127</v>
      </c>
      <c r="O7" s="207" t="s">
        <v>128</v>
      </c>
    </row>
    <row r="8" spans="2:15" x14ac:dyDescent="0.25">
      <c r="B8" s="208" t="s">
        <v>103</v>
      </c>
      <c r="C8" s="209"/>
      <c r="D8" s="210">
        <f>(D19*D$27)</f>
        <v>1896.9771292355099</v>
      </c>
      <c r="E8" s="210">
        <f t="shared" ref="E8:H8" si="2">(E19*E$27)</f>
        <v>9484.8856461775504</v>
      </c>
      <c r="F8" s="210">
        <f t="shared" si="2"/>
        <v>28767.658164856508</v>
      </c>
      <c r="G8" s="210">
        <f t="shared" si="2"/>
        <v>13735.452095645451</v>
      </c>
      <c r="H8" s="210">
        <f t="shared" si="2"/>
        <v>14199.333651486546</v>
      </c>
      <c r="J8" s="209"/>
      <c r="K8" s="210">
        <f>(K19*K$27)</f>
        <v>0</v>
      </c>
      <c r="L8" s="210">
        <f t="shared" ref="L8:O8" si="3">(L19*L$27)</f>
        <v>0</v>
      </c>
      <c r="M8" s="210">
        <f t="shared" si="3"/>
        <v>0</v>
      </c>
      <c r="N8" s="210">
        <f t="shared" si="3"/>
        <v>0</v>
      </c>
      <c r="O8" s="210">
        <f t="shared" si="3"/>
        <v>0</v>
      </c>
    </row>
    <row r="9" spans="2:15" x14ac:dyDescent="0.25">
      <c r="B9" s="208" t="s">
        <v>104</v>
      </c>
      <c r="C9" s="209"/>
      <c r="D9" s="210">
        <f t="shared" ref="D9:H15" si="4">(D20*D$27)</f>
        <v>315.71898061354102</v>
      </c>
      <c r="E9" s="210">
        <f t="shared" si="4"/>
        <v>1578.5949030677052</v>
      </c>
      <c r="F9" s="210">
        <f t="shared" si="4"/>
        <v>4735.7847092031161</v>
      </c>
      <c r="G9" s="210">
        <f t="shared" si="4"/>
        <v>2210.0328642947875</v>
      </c>
      <c r="H9" s="210">
        <f t="shared" si="4"/>
        <v>2210.0328642947875</v>
      </c>
      <c r="J9" s="209"/>
      <c r="K9" s="210">
        <f t="shared" ref="K9:O9" si="5">(K20*K$27)</f>
        <v>0</v>
      </c>
      <c r="L9" s="210">
        <f t="shared" si="5"/>
        <v>0</v>
      </c>
      <c r="M9" s="210">
        <f t="shared" si="5"/>
        <v>0</v>
      </c>
      <c r="N9" s="210">
        <f t="shared" si="5"/>
        <v>0</v>
      </c>
      <c r="O9" s="210">
        <f t="shared" si="5"/>
        <v>0</v>
      </c>
    </row>
    <row r="10" spans="2:15" x14ac:dyDescent="0.25">
      <c r="B10" s="208" t="s">
        <v>105</v>
      </c>
      <c r="C10" s="209"/>
      <c r="D10" s="210">
        <f t="shared" si="4"/>
        <v>0</v>
      </c>
      <c r="E10" s="210">
        <f t="shared" si="4"/>
        <v>0</v>
      </c>
      <c r="F10" s="210">
        <f t="shared" si="4"/>
        <v>0</v>
      </c>
      <c r="G10" s="210">
        <f t="shared" si="4"/>
        <v>0</v>
      </c>
      <c r="H10" s="210">
        <f t="shared" si="4"/>
        <v>0</v>
      </c>
      <c r="J10" s="209"/>
      <c r="K10" s="210">
        <f t="shared" ref="K10:O10" si="6">(K21*K$27)</f>
        <v>0</v>
      </c>
      <c r="L10" s="210">
        <f t="shared" si="6"/>
        <v>0</v>
      </c>
      <c r="M10" s="210">
        <f t="shared" si="6"/>
        <v>0</v>
      </c>
      <c r="N10" s="210">
        <f t="shared" si="6"/>
        <v>0</v>
      </c>
      <c r="O10" s="210">
        <f t="shared" si="6"/>
        <v>0</v>
      </c>
    </row>
    <row r="11" spans="2:15" x14ac:dyDescent="0.25">
      <c r="B11" s="211" t="s">
        <v>129</v>
      </c>
      <c r="C11" s="211"/>
      <c r="D11" s="212">
        <f t="shared" si="4"/>
        <v>2212.696109849051</v>
      </c>
      <c r="E11" s="212">
        <f t="shared" si="4"/>
        <v>11063.480549245256</v>
      </c>
      <c r="F11" s="212">
        <f t="shared" si="4"/>
        <v>33503.442874059619</v>
      </c>
      <c r="G11" s="212">
        <f t="shared" si="4"/>
        <v>15945.484959940239</v>
      </c>
      <c r="H11" s="212">
        <f t="shared" si="4"/>
        <v>16409.366515781334</v>
      </c>
      <c r="J11" s="211"/>
      <c r="K11" s="212">
        <f t="shared" ref="K11:O11" si="7">(K22*K$27)</f>
        <v>0</v>
      </c>
      <c r="L11" s="212">
        <f t="shared" si="7"/>
        <v>0</v>
      </c>
      <c r="M11" s="212">
        <f t="shared" si="7"/>
        <v>0</v>
      </c>
      <c r="N11" s="212">
        <f t="shared" si="7"/>
        <v>0</v>
      </c>
      <c r="O11" s="212">
        <f t="shared" si="7"/>
        <v>0</v>
      </c>
    </row>
    <row r="12" spans="2:15" x14ac:dyDescent="0.25">
      <c r="B12" s="209" t="s">
        <v>109</v>
      </c>
      <c r="C12" s="209"/>
      <c r="D12" s="210">
        <f t="shared" si="4"/>
        <v>1030.9540007782853</v>
      </c>
      <c r="E12" s="210">
        <f t="shared" si="4"/>
        <v>5154.7700038914263</v>
      </c>
      <c r="F12" s="210">
        <f t="shared" si="4"/>
        <v>15610.145612455945</v>
      </c>
      <c r="G12" s="210">
        <f t="shared" si="4"/>
        <v>7429.4257763764181</v>
      </c>
      <c r="H12" s="210">
        <f t="shared" si="4"/>
        <v>7645.5605378345808</v>
      </c>
      <c r="J12" s="209"/>
      <c r="K12" s="210">
        <f t="shared" ref="K12:O12" si="8">(K23*K$27)</f>
        <v>0</v>
      </c>
      <c r="L12" s="210">
        <f t="shared" si="8"/>
        <v>0</v>
      </c>
      <c r="M12" s="210">
        <f t="shared" si="8"/>
        <v>0</v>
      </c>
      <c r="N12" s="210">
        <f t="shared" si="8"/>
        <v>0</v>
      </c>
      <c r="O12" s="210">
        <f t="shared" si="8"/>
        <v>0</v>
      </c>
    </row>
    <row r="13" spans="2:15" x14ac:dyDescent="0.25">
      <c r="B13" s="209" t="s">
        <v>110</v>
      </c>
      <c r="C13" s="209"/>
      <c r="D13" s="210">
        <f t="shared" si="4"/>
        <v>354.86685870053572</v>
      </c>
      <c r="E13" s="210">
        <f t="shared" si="4"/>
        <v>1774.3342935026785</v>
      </c>
      <c r="F13" s="210">
        <f t="shared" si="4"/>
        <v>5373.2012613252464</v>
      </c>
      <c r="G13" s="210">
        <f t="shared" si="4"/>
        <v>2557.298371431878</v>
      </c>
      <c r="H13" s="210">
        <f t="shared" si="4"/>
        <v>2631.6945751390722</v>
      </c>
      <c r="J13" s="209"/>
      <c r="K13" s="210">
        <f t="shared" ref="K13:O13" si="9">(K24*K$27)</f>
        <v>0</v>
      </c>
      <c r="L13" s="210">
        <f t="shared" si="9"/>
        <v>0</v>
      </c>
      <c r="M13" s="210">
        <f t="shared" si="9"/>
        <v>0</v>
      </c>
      <c r="N13" s="210">
        <f t="shared" si="9"/>
        <v>0</v>
      </c>
      <c r="O13" s="210">
        <f t="shared" si="9"/>
        <v>0</v>
      </c>
    </row>
    <row r="14" spans="2:15" x14ac:dyDescent="0.25">
      <c r="B14" s="209" t="s">
        <v>117</v>
      </c>
      <c r="C14" s="209"/>
      <c r="D14" s="210">
        <f t="shared" si="4"/>
        <v>228.21794619477367</v>
      </c>
      <c r="E14" s="210">
        <f t="shared" si="4"/>
        <v>1141.0897309738682</v>
      </c>
      <c r="F14" s="210">
        <f t="shared" si="4"/>
        <v>3455.5522058080646</v>
      </c>
      <c r="G14" s="210">
        <f t="shared" si="4"/>
        <v>1644.6207016134122</v>
      </c>
      <c r="H14" s="210">
        <f t="shared" si="4"/>
        <v>1692.4655436956411</v>
      </c>
      <c r="J14" s="209"/>
      <c r="K14" s="210">
        <f t="shared" ref="K14:O14" si="10">(K25*K$27)</f>
        <v>0</v>
      </c>
      <c r="L14" s="210">
        <f t="shared" si="10"/>
        <v>0</v>
      </c>
      <c r="M14" s="210">
        <f t="shared" si="10"/>
        <v>0</v>
      </c>
      <c r="N14" s="210">
        <f t="shared" si="10"/>
        <v>0</v>
      </c>
      <c r="O14" s="210">
        <f t="shared" si="10"/>
        <v>0</v>
      </c>
    </row>
    <row r="15" spans="2:15" s="214" customFormat="1" x14ac:dyDescent="0.25">
      <c r="B15" s="213" t="s">
        <v>130</v>
      </c>
      <c r="C15" s="209"/>
      <c r="D15" s="210">
        <f t="shared" si="4"/>
        <v>3826.7349155226457</v>
      </c>
      <c r="E15" s="210">
        <f t="shared" si="4"/>
        <v>19133.67457761323</v>
      </c>
      <c r="F15" s="210">
        <f t="shared" si="4"/>
        <v>57942.34195364888</v>
      </c>
      <c r="G15" s="210">
        <f t="shared" si="4"/>
        <v>27576.829809361945</v>
      </c>
      <c r="H15" s="210">
        <f t="shared" si="4"/>
        <v>28379.087172450625</v>
      </c>
      <c r="J15" s="209"/>
      <c r="K15" s="210">
        <f t="shared" ref="K15:O15" si="11">(K26*K$27)</f>
        <v>0</v>
      </c>
      <c r="L15" s="210">
        <f t="shared" si="11"/>
        <v>0</v>
      </c>
      <c r="M15" s="210">
        <f t="shared" si="11"/>
        <v>0</v>
      </c>
      <c r="N15" s="210">
        <f t="shared" si="11"/>
        <v>0</v>
      </c>
      <c r="O15" s="210">
        <f t="shared" si="11"/>
        <v>0</v>
      </c>
    </row>
    <row r="16" spans="2:15" s="199" customFormat="1" x14ac:dyDescent="0.25">
      <c r="B16" s="215" t="s">
        <v>131</v>
      </c>
      <c r="C16" s="211"/>
      <c r="D16" s="212">
        <f>D28-D15</f>
        <v>0</v>
      </c>
      <c r="E16" s="212">
        <f t="shared" ref="E16:H16" si="12">E28-E15</f>
        <v>0</v>
      </c>
      <c r="F16" s="212">
        <f t="shared" si="12"/>
        <v>0</v>
      </c>
      <c r="G16" s="212">
        <f t="shared" si="12"/>
        <v>0</v>
      </c>
      <c r="H16" s="212">
        <f t="shared" si="12"/>
        <v>0</v>
      </c>
      <c r="J16" s="211"/>
      <c r="K16" s="212">
        <f>K28-K15</f>
        <v>0</v>
      </c>
      <c r="L16" s="212">
        <f t="shared" ref="L16" si="13">L28-L15</f>
        <v>0</v>
      </c>
      <c r="M16" s="212">
        <f t="shared" ref="M16" si="14">M28-M15</f>
        <v>0</v>
      </c>
      <c r="N16" s="212">
        <f t="shared" ref="N16" si="15">N28-N15</f>
        <v>0</v>
      </c>
      <c r="O16" s="212">
        <f t="shared" ref="O16" si="16">O28-O15</f>
        <v>0</v>
      </c>
    </row>
    <row r="17" spans="2:15" s="199" customFormat="1" x14ac:dyDescent="0.25">
      <c r="C17" s="216"/>
    </row>
    <row r="18" spans="2:15" x14ac:dyDescent="0.25">
      <c r="B18" s="217" t="s">
        <v>137</v>
      </c>
      <c r="C18" s="200"/>
      <c r="D18" s="271" t="s">
        <v>132</v>
      </c>
      <c r="E18" s="272"/>
      <c r="F18" s="272"/>
      <c r="G18" s="272"/>
      <c r="H18" s="272"/>
      <c r="J18" s="200"/>
      <c r="K18" s="271" t="s">
        <v>132</v>
      </c>
      <c r="L18" s="272"/>
      <c r="M18" s="272"/>
      <c r="N18" s="272"/>
      <c r="O18" s="272"/>
    </row>
    <row r="19" spans="2:15" x14ac:dyDescent="0.25">
      <c r="B19" s="218" t="s">
        <v>103</v>
      </c>
      <c r="C19" s="219">
        <f>'Bottom Up Estimation'!H15</f>
        <v>379.39542584710199</v>
      </c>
      <c r="D19" s="220">
        <f>C19*D$1</f>
        <v>379.39542584710199</v>
      </c>
      <c r="E19" s="220">
        <f>D19*E1</f>
        <v>379.39542584710199</v>
      </c>
      <c r="F19" s="220">
        <f>E19*F1</f>
        <v>383.5687755314201</v>
      </c>
      <c r="G19" s="220">
        <f>F19*G1</f>
        <v>392.44148844701289</v>
      </c>
      <c r="H19" s="220">
        <f>G19*H1</f>
        <v>405.69524718532989</v>
      </c>
      <c r="J19" s="219">
        <f>'Bottom Up Estimation'!H30</f>
        <v>474.35902350463329</v>
      </c>
      <c r="K19" s="220">
        <f>J19*K$1</f>
        <v>474.35902350463329</v>
      </c>
      <c r="L19" s="220">
        <f>K19*L1</f>
        <v>474.35902350463329</v>
      </c>
      <c r="M19" s="220">
        <f>L19*M1</f>
        <v>479.57697276318419</v>
      </c>
      <c r="N19" s="220">
        <f>M19*N1</f>
        <v>490.67054729714215</v>
      </c>
      <c r="O19" s="220">
        <f>N19*O1</f>
        <v>507.24175407655065</v>
      </c>
    </row>
    <row r="20" spans="2:15" x14ac:dyDescent="0.25">
      <c r="B20" s="218" t="s">
        <v>104</v>
      </c>
      <c r="C20" s="219">
        <f>'Bottom Up Estimation'!I15</f>
        <v>63.14379612270821</v>
      </c>
      <c r="D20" s="220">
        <f>C20</f>
        <v>63.14379612270821</v>
      </c>
      <c r="E20" s="220">
        <f t="shared" ref="E20:H21" si="17">D20</f>
        <v>63.14379612270821</v>
      </c>
      <c r="F20" s="220">
        <f t="shared" si="17"/>
        <v>63.14379612270821</v>
      </c>
      <c r="G20" s="220">
        <f t="shared" si="17"/>
        <v>63.14379612270821</v>
      </c>
      <c r="H20" s="220">
        <f t="shared" si="17"/>
        <v>63.14379612270821</v>
      </c>
      <c r="J20" s="219">
        <f>'Bottom Up Estimation'!I30</f>
        <v>63.14379612270821</v>
      </c>
      <c r="K20" s="220">
        <f>J20</f>
        <v>63.14379612270821</v>
      </c>
      <c r="L20" s="220">
        <f t="shared" ref="L20:O21" si="18">K20</f>
        <v>63.14379612270821</v>
      </c>
      <c r="M20" s="220">
        <f t="shared" si="18"/>
        <v>63.14379612270821</v>
      </c>
      <c r="N20" s="220">
        <f t="shared" si="18"/>
        <v>63.14379612270821</v>
      </c>
      <c r="O20" s="220">
        <f t="shared" si="18"/>
        <v>63.14379612270821</v>
      </c>
    </row>
    <row r="21" spans="2:15" x14ac:dyDescent="0.25">
      <c r="B21" s="218" t="s">
        <v>105</v>
      </c>
      <c r="C21" s="219">
        <f>'Bottom Up Estimation'!J15</f>
        <v>0</v>
      </c>
      <c r="D21" s="220">
        <f>C21</f>
        <v>0</v>
      </c>
      <c r="E21" s="220">
        <f t="shared" si="17"/>
        <v>0</v>
      </c>
      <c r="F21" s="220">
        <f t="shared" si="17"/>
        <v>0</v>
      </c>
      <c r="G21" s="220">
        <f t="shared" si="17"/>
        <v>0</v>
      </c>
      <c r="H21" s="220">
        <f t="shared" si="17"/>
        <v>0</v>
      </c>
      <c r="J21" s="219">
        <f>'Bottom Up Estimation'!J30</f>
        <v>0</v>
      </c>
      <c r="K21" s="220">
        <f>J21</f>
        <v>0</v>
      </c>
      <c r="L21" s="220">
        <f t="shared" si="18"/>
        <v>0</v>
      </c>
      <c r="M21" s="220">
        <f t="shared" si="18"/>
        <v>0</v>
      </c>
      <c r="N21" s="220">
        <f t="shared" si="18"/>
        <v>0</v>
      </c>
      <c r="O21" s="220">
        <f t="shared" si="18"/>
        <v>0</v>
      </c>
    </row>
    <row r="22" spans="2:15" s="199" customFormat="1" x14ac:dyDescent="0.25">
      <c r="B22" s="221" t="s">
        <v>129</v>
      </c>
      <c r="C22" s="288">
        <f>'Bottom Up Estimation'!M15</f>
        <v>442.53922196981023</v>
      </c>
      <c r="D22" s="211">
        <f>SUM(D19:D21)</f>
        <v>442.53922196981023</v>
      </c>
      <c r="E22" s="211">
        <f t="shared" ref="E22:H22" si="19">SUM(E19:E21)</f>
        <v>442.53922196981023</v>
      </c>
      <c r="F22" s="211">
        <f t="shared" si="19"/>
        <v>446.71257165412828</v>
      </c>
      <c r="G22" s="211">
        <f t="shared" si="19"/>
        <v>455.58528456972113</v>
      </c>
      <c r="H22" s="211">
        <f t="shared" si="19"/>
        <v>468.83904330803807</v>
      </c>
      <c r="J22" s="288">
        <f>'Bottom Up Estimation'!M30</f>
        <v>537.50281962734152</v>
      </c>
      <c r="K22" s="211">
        <f>SUM(K19:K21)</f>
        <v>537.50281962734152</v>
      </c>
      <c r="L22" s="211">
        <f t="shared" ref="L22:O22" si="20">SUM(L19:L21)</f>
        <v>537.50281962734152</v>
      </c>
      <c r="M22" s="211">
        <f t="shared" si="20"/>
        <v>542.72076888589243</v>
      </c>
      <c r="N22" s="211">
        <f t="shared" si="20"/>
        <v>553.81434341985039</v>
      </c>
      <c r="O22" s="211">
        <f t="shared" si="20"/>
        <v>570.38555019925889</v>
      </c>
    </row>
    <row r="23" spans="2:15" x14ac:dyDescent="0.25">
      <c r="B23" s="218" t="s">
        <v>109</v>
      </c>
      <c r="C23" s="219">
        <f>'Bottom Up Estimation'!N15</f>
        <v>206.19080015565709</v>
      </c>
      <c r="D23" s="220">
        <f>D22*D$3</f>
        <v>206.19080015565706</v>
      </c>
      <c r="E23" s="220">
        <f t="shared" ref="E23:H23" si="21">E22*E$3</f>
        <v>206.19080015565706</v>
      </c>
      <c r="F23" s="220">
        <f t="shared" si="21"/>
        <v>208.13527483274592</v>
      </c>
      <c r="G23" s="220">
        <f t="shared" si="21"/>
        <v>212.26930789646909</v>
      </c>
      <c r="H23" s="220">
        <f t="shared" si="21"/>
        <v>218.44458679527375</v>
      </c>
      <c r="J23" s="219">
        <f>'Bottom Up Estimation'!N30</f>
        <v>250.43686742967157</v>
      </c>
      <c r="K23" s="220">
        <f>K22*K$3</f>
        <v>250.43686742967157</v>
      </c>
      <c r="L23" s="220">
        <f t="shared" ref="L23:O23" si="22">L22*L$3</f>
        <v>250.43686742967157</v>
      </c>
      <c r="M23" s="220">
        <f t="shared" si="22"/>
        <v>252.8680488467746</v>
      </c>
      <c r="N23" s="220">
        <f t="shared" si="22"/>
        <v>258.03684043899023</v>
      </c>
      <c r="O23" s="220">
        <f t="shared" si="22"/>
        <v>265.75780666246362</v>
      </c>
    </row>
    <row r="24" spans="2:15" x14ac:dyDescent="0.25">
      <c r="B24" s="218" t="s">
        <v>110</v>
      </c>
      <c r="C24" s="219">
        <f>'Bottom Up Estimation'!O15</f>
        <v>70.973371740107154</v>
      </c>
      <c r="D24" s="220">
        <f>D22*D$4</f>
        <v>70.97337174010714</v>
      </c>
      <c r="E24" s="220">
        <f t="shared" ref="E24:H24" si="23">E22*E$4</f>
        <v>70.97337174010714</v>
      </c>
      <c r="F24" s="220">
        <f t="shared" si="23"/>
        <v>71.642683484336615</v>
      </c>
      <c r="G24" s="220">
        <f t="shared" si="23"/>
        <v>73.065667755196515</v>
      </c>
      <c r="H24" s="220">
        <f t="shared" si="23"/>
        <v>75.191273575402064</v>
      </c>
      <c r="J24" s="219">
        <f>'Bottom Up Estimation'!O30</f>
        <v>86.203404206666079</v>
      </c>
      <c r="K24" s="220">
        <f>K22*K$4</f>
        <v>86.203404206666079</v>
      </c>
      <c r="L24" s="220">
        <f t="shared" ref="L24:O24" si="24">L22*L$4</f>
        <v>86.203404206666079</v>
      </c>
      <c r="M24" s="220">
        <f t="shared" si="24"/>
        <v>87.04024630802769</v>
      </c>
      <c r="N24" s="220">
        <f t="shared" si="24"/>
        <v>88.819407002125203</v>
      </c>
      <c r="O24" s="220">
        <f t="shared" si="24"/>
        <v>91.477057127919878</v>
      </c>
    </row>
    <row r="25" spans="2:15" x14ac:dyDescent="0.25">
      <c r="B25" s="218" t="s">
        <v>111</v>
      </c>
      <c r="C25" s="219">
        <f>'Bottom Up Estimation'!P15</f>
        <v>45.643589238954739</v>
      </c>
      <c r="D25" s="220">
        <f>SUM(D22:D24)*D$5</f>
        <v>45.643589238954732</v>
      </c>
      <c r="E25" s="220">
        <f t="shared" ref="E25:H25" si="25">SUM(E22:E24)*E$5</f>
        <v>45.643589238954732</v>
      </c>
      <c r="F25" s="220">
        <f t="shared" si="25"/>
        <v>46.074029410774195</v>
      </c>
      <c r="G25" s="220">
        <f t="shared" si="25"/>
        <v>46.989162903240349</v>
      </c>
      <c r="H25" s="220">
        <f t="shared" si="25"/>
        <v>48.356158391304035</v>
      </c>
      <c r="J25" s="219">
        <f>'Bottom Up Estimation'!P30</f>
        <v>55.438154847942542</v>
      </c>
      <c r="K25" s="220">
        <f>SUM(K22:K24)*K$5</f>
        <v>55.438154847942535</v>
      </c>
      <c r="L25" s="220">
        <f t="shared" ref="L25:O25" si="26">SUM(L22:L24)*L$5</f>
        <v>55.438154847942535</v>
      </c>
      <c r="M25" s="220">
        <f t="shared" si="26"/>
        <v>55.976335241460866</v>
      </c>
      <c r="N25" s="220">
        <f t="shared" si="26"/>
        <v>57.12052887240246</v>
      </c>
      <c r="O25" s="220">
        <f t="shared" si="26"/>
        <v>58.829686655223128</v>
      </c>
    </row>
    <row r="26" spans="2:15" s="199" customFormat="1" x14ac:dyDescent="0.25">
      <c r="B26" s="222" t="s">
        <v>133</v>
      </c>
      <c r="C26" s="223">
        <f>'Bottom Up Estimation'!Q15</f>
        <v>765.34698310452904</v>
      </c>
      <c r="D26" s="224">
        <f>SUM(D22:D25)</f>
        <v>765.34698310452916</v>
      </c>
      <c r="E26" s="224">
        <f t="shared" ref="E26:H26" si="27">SUM(E22:E25)</f>
        <v>765.34698310452916</v>
      </c>
      <c r="F26" s="224">
        <f t="shared" si="27"/>
        <v>772.56455938198508</v>
      </c>
      <c r="G26" s="224">
        <f t="shared" si="27"/>
        <v>787.90942312462698</v>
      </c>
      <c r="H26" s="224">
        <f t="shared" si="27"/>
        <v>810.83106207001788</v>
      </c>
      <c r="J26" s="223">
        <f>'Bottom Up Estimation'!Q30</f>
        <v>929.58124611162168</v>
      </c>
      <c r="K26" s="224">
        <f>SUM(K22:K25)</f>
        <v>929.58124611162168</v>
      </c>
      <c r="L26" s="224">
        <f t="shared" ref="L26:O26" si="28">SUM(L22:L25)</f>
        <v>929.58124611162168</v>
      </c>
      <c r="M26" s="224">
        <f t="shared" si="28"/>
        <v>938.60539928215564</v>
      </c>
      <c r="N26" s="224">
        <f t="shared" si="28"/>
        <v>957.7911197333683</v>
      </c>
      <c r="O26" s="224">
        <f t="shared" si="28"/>
        <v>986.45010064486553</v>
      </c>
    </row>
    <row r="27" spans="2:15" x14ac:dyDescent="0.25">
      <c r="B27" s="225" t="s">
        <v>134</v>
      </c>
      <c r="C27" s="220"/>
      <c r="D27" s="226">
        <f>'Forecast Revenue - Costs'!D11</f>
        <v>5</v>
      </c>
      <c r="E27" s="226">
        <f>'Forecast Revenue - Costs'!E11</f>
        <v>25</v>
      </c>
      <c r="F27" s="226">
        <f>'Forecast Revenue - Costs'!F11</f>
        <v>75</v>
      </c>
      <c r="G27" s="226">
        <f>'Forecast Revenue - Costs'!G11</f>
        <v>35</v>
      </c>
      <c r="H27" s="226">
        <f>'Forecast Revenue - Costs'!H11</f>
        <v>35</v>
      </c>
      <c r="J27" s="220"/>
      <c r="K27" s="226">
        <v>0</v>
      </c>
      <c r="L27" s="226">
        <v>0</v>
      </c>
      <c r="M27" s="226">
        <v>0</v>
      </c>
      <c r="N27" s="226">
        <v>0</v>
      </c>
      <c r="O27" s="226">
        <v>0</v>
      </c>
    </row>
    <row r="28" spans="2:15" s="199" customFormat="1" x14ac:dyDescent="0.25">
      <c r="B28" s="213" t="s">
        <v>135</v>
      </c>
      <c r="C28" s="211"/>
      <c r="D28" s="212">
        <f>D26*D27</f>
        <v>3826.7349155226457</v>
      </c>
      <c r="E28" s="212">
        <f t="shared" ref="E28:H28" si="29">E26*E27</f>
        <v>19133.67457761323</v>
      </c>
      <c r="F28" s="212">
        <f t="shared" si="29"/>
        <v>57942.34195364888</v>
      </c>
      <c r="G28" s="212">
        <f t="shared" si="29"/>
        <v>27576.829809361945</v>
      </c>
      <c r="H28" s="212">
        <f t="shared" si="29"/>
        <v>28379.087172450625</v>
      </c>
      <c r="J28" s="211"/>
      <c r="K28" s="212">
        <f>K27*K26</f>
        <v>0</v>
      </c>
      <c r="L28" s="212">
        <f t="shared" ref="L28:O28" si="30">L27*L26</f>
        <v>0</v>
      </c>
      <c r="M28" s="212">
        <f t="shared" si="30"/>
        <v>0</v>
      </c>
      <c r="N28" s="212">
        <f t="shared" si="30"/>
        <v>0</v>
      </c>
      <c r="O28" s="212">
        <f t="shared" si="30"/>
        <v>0</v>
      </c>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workbookViewId="0">
      <selection activeCell="B21" sqref="B21:I22"/>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9" t="s">
        <v>50</v>
      </c>
      <c r="C2" s="30"/>
      <c r="D2" s="30"/>
      <c r="E2" s="30"/>
      <c r="F2" s="30"/>
      <c r="G2" s="30"/>
      <c r="H2" s="30"/>
      <c r="I2" s="30"/>
    </row>
    <row r="3" spans="2:9" x14ac:dyDescent="0.25">
      <c r="B3" s="1"/>
      <c r="C3" s="1"/>
      <c r="D3" s="1"/>
      <c r="E3" s="1"/>
      <c r="F3" s="1"/>
      <c r="G3" s="1"/>
      <c r="H3" s="1"/>
      <c r="I3" s="1"/>
    </row>
    <row r="4" spans="2:9" x14ac:dyDescent="0.25">
      <c r="B4" s="3" t="s">
        <v>88</v>
      </c>
      <c r="C4" s="3" t="s">
        <v>3</v>
      </c>
      <c r="D4" s="65" t="s">
        <v>60</v>
      </c>
      <c r="E4" s="65" t="s">
        <v>61</v>
      </c>
      <c r="F4" s="65" t="s">
        <v>62</v>
      </c>
      <c r="G4" s="65" t="s">
        <v>85</v>
      </c>
      <c r="H4" s="65" t="s">
        <v>63</v>
      </c>
      <c r="I4" s="4" t="s">
        <v>1</v>
      </c>
    </row>
    <row r="5" spans="2:9" x14ac:dyDescent="0.25">
      <c r="B5" s="92" t="s">
        <v>90</v>
      </c>
      <c r="C5" s="5" t="str">
        <f>'AER Summary'!$C$3</f>
        <v>Work near electrical assets - Disable Auto Reclose (DAR) - (NEW)</v>
      </c>
      <c r="D5" s="31">
        <f>'Forecasts by year'!D28+'Forecasts by year'!K28</f>
        <v>3826.7349155226457</v>
      </c>
      <c r="E5" s="31">
        <f>'Forecasts by year'!E28+'Forecasts by year'!L28</f>
        <v>19133.67457761323</v>
      </c>
      <c r="F5" s="31">
        <f>'Forecasts by year'!F28+'Forecasts by year'!M28</f>
        <v>57942.34195364888</v>
      </c>
      <c r="G5" s="31">
        <f>'Forecasts by year'!G28+'Forecasts by year'!N28</f>
        <v>27576.829809361945</v>
      </c>
      <c r="H5" s="31">
        <f>'Forecasts by year'!H28+'Forecasts by year'!O28</f>
        <v>28379.087172450625</v>
      </c>
      <c r="I5" s="194">
        <f>SUM(D5:H5)</f>
        <v>136858.66842859733</v>
      </c>
    </row>
    <row r="6" spans="2:9" x14ac:dyDescent="0.25">
      <c r="B6" s="7" t="s">
        <v>1</v>
      </c>
      <c r="C6" s="8"/>
      <c r="D6" s="9">
        <f>SUM(D5:D5)</f>
        <v>3826.7349155226457</v>
      </c>
      <c r="E6" s="9">
        <f>SUM(E5:E5)</f>
        <v>19133.67457761323</v>
      </c>
      <c r="F6" s="9">
        <f>SUM(F5:F5)</f>
        <v>57942.34195364888</v>
      </c>
      <c r="G6" s="9">
        <f>SUM(G5:G5)</f>
        <v>27576.829809361945</v>
      </c>
      <c r="H6" s="9">
        <f>SUM(H5:H5)</f>
        <v>28379.087172450625</v>
      </c>
      <c r="I6" s="9">
        <f>SUM(I5:I5)</f>
        <v>136858.66842859733</v>
      </c>
    </row>
    <row r="7" spans="2:9" x14ac:dyDescent="0.25">
      <c r="B7" s="1"/>
      <c r="C7" s="1"/>
      <c r="D7" s="1"/>
      <c r="E7" s="1"/>
      <c r="F7" s="1"/>
      <c r="G7" s="1"/>
      <c r="H7" s="1"/>
      <c r="I7" s="1"/>
    </row>
    <row r="8" spans="2:9" x14ac:dyDescent="0.25">
      <c r="B8" s="29" t="s">
        <v>27</v>
      </c>
      <c r="C8" s="30"/>
      <c r="D8" s="30"/>
      <c r="E8" s="30"/>
      <c r="F8" s="30"/>
      <c r="G8" s="30"/>
      <c r="H8" s="30"/>
      <c r="I8" s="30"/>
    </row>
    <row r="9" spans="2:9" x14ac:dyDescent="0.25">
      <c r="B9" s="1"/>
      <c r="C9" s="1"/>
      <c r="D9" s="1"/>
      <c r="E9" s="1"/>
      <c r="F9" s="1"/>
      <c r="G9" s="1"/>
      <c r="H9" s="1"/>
      <c r="I9" s="1"/>
    </row>
    <row r="10" spans="2:9" x14ac:dyDescent="0.25">
      <c r="B10" s="3" t="s">
        <v>88</v>
      </c>
      <c r="C10" s="3" t="s">
        <v>3</v>
      </c>
      <c r="D10" s="65" t="s">
        <v>60</v>
      </c>
      <c r="E10" s="65" t="s">
        <v>61</v>
      </c>
      <c r="F10" s="65" t="s">
        <v>62</v>
      </c>
      <c r="G10" s="65" t="s">
        <v>85</v>
      </c>
      <c r="H10" s="65" t="s">
        <v>63</v>
      </c>
      <c r="I10" s="4" t="s">
        <v>1</v>
      </c>
    </row>
    <row r="11" spans="2:9" x14ac:dyDescent="0.25">
      <c r="B11" s="92" t="s">
        <v>90</v>
      </c>
      <c r="C11" s="5" t="str">
        <f>'AER Summary'!$C$3</f>
        <v>Work near electrical assets - Disable Auto Reclose (DAR) - (NEW)</v>
      </c>
      <c r="D11" s="91">
        <v>5</v>
      </c>
      <c r="E11" s="91">
        <v>25</v>
      </c>
      <c r="F11" s="91">
        <v>75</v>
      </c>
      <c r="G11" s="91">
        <v>35</v>
      </c>
      <c r="H11" s="91">
        <v>35</v>
      </c>
      <c r="I11" s="195">
        <f>SUM(D11:H11)</f>
        <v>175</v>
      </c>
    </row>
    <row r="12" spans="2:9" x14ac:dyDescent="0.25">
      <c r="B12" s="7" t="s">
        <v>17</v>
      </c>
      <c r="C12" s="8"/>
      <c r="D12" s="14">
        <f>SUM(D11:D11)</f>
        <v>5</v>
      </c>
      <c r="E12" s="14">
        <f>SUM(E11:E11)</f>
        <v>25</v>
      </c>
      <c r="F12" s="14">
        <f>SUM(F11:F11)</f>
        <v>75</v>
      </c>
      <c r="G12" s="14">
        <f>SUM(G11:G11)</f>
        <v>35</v>
      </c>
      <c r="H12" s="14">
        <f>SUM(H11:H11)</f>
        <v>35</v>
      </c>
      <c r="I12" s="14">
        <f>SUM(I11:I11)</f>
        <v>175</v>
      </c>
    </row>
    <row r="13" spans="2:9" x14ac:dyDescent="0.25">
      <c r="B13" s="1"/>
      <c r="C13" s="1"/>
      <c r="D13" s="15"/>
      <c r="E13" s="15"/>
      <c r="F13" s="15"/>
      <c r="G13" s="15"/>
      <c r="H13" s="15"/>
      <c r="I13" s="15"/>
    </row>
    <row r="14" spans="2:9" x14ac:dyDescent="0.25">
      <c r="B14" s="16" t="s">
        <v>6</v>
      </c>
      <c r="C14" s="1"/>
      <c r="D14" s="15"/>
      <c r="E14" s="15"/>
      <c r="F14" s="15"/>
      <c r="G14" s="15"/>
      <c r="H14" s="15"/>
      <c r="I14" s="15"/>
    </row>
    <row r="15" spans="2:9" x14ac:dyDescent="0.25">
      <c r="B15" s="273" t="s">
        <v>93</v>
      </c>
      <c r="C15" s="273"/>
      <c r="D15" s="273"/>
      <c r="E15" s="273"/>
      <c r="F15" s="273"/>
      <c r="G15" s="273"/>
      <c r="H15" s="273"/>
      <c r="I15" s="273"/>
    </row>
    <row r="16" spans="2:9" x14ac:dyDescent="0.25">
      <c r="B16" s="274"/>
      <c r="C16" s="274"/>
      <c r="D16" s="274"/>
      <c r="E16" s="274"/>
      <c r="F16" s="274"/>
      <c r="G16" s="274"/>
      <c r="H16" s="274"/>
      <c r="I16" s="274"/>
    </row>
    <row r="17" spans="2:9" x14ac:dyDescent="0.25">
      <c r="B17" s="1"/>
      <c r="C17" s="1"/>
      <c r="D17" s="15"/>
      <c r="E17" s="15"/>
      <c r="F17" s="15"/>
      <c r="G17" s="15"/>
      <c r="H17" s="15"/>
      <c r="I17" s="15"/>
    </row>
    <row r="18" spans="2:9" x14ac:dyDescent="0.25">
      <c r="B18" s="29" t="s">
        <v>28</v>
      </c>
      <c r="C18" s="30"/>
      <c r="D18" s="30"/>
      <c r="E18" s="30"/>
      <c r="F18" s="30"/>
      <c r="G18" s="30"/>
      <c r="H18" s="30"/>
      <c r="I18" s="30"/>
    </row>
    <row r="19" spans="2:9" x14ac:dyDescent="0.25">
      <c r="B19" s="1"/>
      <c r="C19" s="1"/>
      <c r="D19" s="1"/>
      <c r="E19" s="1"/>
      <c r="F19" s="1"/>
      <c r="G19" s="1"/>
      <c r="H19" s="1"/>
      <c r="I19" s="1"/>
    </row>
    <row r="20" spans="2:9" x14ac:dyDescent="0.25">
      <c r="B20" s="17" t="s">
        <v>26</v>
      </c>
      <c r="C20" s="18"/>
      <c r="D20" s="18"/>
      <c r="E20" s="18"/>
      <c r="F20" s="18"/>
      <c r="G20" s="18"/>
      <c r="H20" s="18"/>
      <c r="I20" s="18"/>
    </row>
    <row r="21" spans="2:9" x14ac:dyDescent="0.25">
      <c r="B21" s="289" t="s">
        <v>142</v>
      </c>
      <c r="C21" s="257"/>
      <c r="D21" s="257"/>
      <c r="E21" s="257"/>
      <c r="F21" s="257"/>
      <c r="G21" s="257"/>
      <c r="H21" s="257"/>
      <c r="I21" s="257"/>
    </row>
    <row r="22" spans="2:9" x14ac:dyDescent="0.25">
      <c r="B22" s="259"/>
      <c r="C22" s="259"/>
      <c r="D22" s="259"/>
      <c r="E22" s="259"/>
      <c r="F22" s="259"/>
      <c r="G22" s="259"/>
      <c r="H22" s="259"/>
      <c r="I22" s="259"/>
    </row>
    <row r="23" spans="2:9" x14ac:dyDescent="0.25">
      <c r="B23" s="19"/>
      <c r="C23" s="20"/>
      <c r="D23" s="20"/>
      <c r="E23" s="20"/>
      <c r="F23" s="20"/>
      <c r="G23" s="20"/>
      <c r="H23" s="20"/>
      <c r="I23" s="20"/>
    </row>
    <row r="24" spans="2:9" x14ac:dyDescent="0.25">
      <c r="B24" s="1"/>
      <c r="C24" s="1"/>
      <c r="D24" s="1"/>
      <c r="E24" s="1"/>
      <c r="F24" s="1"/>
      <c r="G24" s="1"/>
      <c r="H24" s="1"/>
      <c r="I24" s="1"/>
    </row>
    <row r="25" spans="2:9" x14ac:dyDescent="0.25">
      <c r="B25" s="32" t="s">
        <v>49</v>
      </c>
      <c r="C25" s="33"/>
      <c r="D25" s="275" t="s">
        <v>113</v>
      </c>
      <c r="E25" s="275"/>
      <c r="F25" s="275"/>
      <c r="G25" s="275"/>
      <c r="H25" s="275"/>
      <c r="I25" s="33"/>
    </row>
    <row r="26" spans="2:9" ht="15.75" customHeight="1" x14ac:dyDescent="0.25">
      <c r="B26" s="2" t="s">
        <v>20</v>
      </c>
      <c r="C26" s="21" t="s">
        <v>3</v>
      </c>
      <c r="D26" s="65" t="s">
        <v>60</v>
      </c>
      <c r="E26" s="65" t="s">
        <v>61</v>
      </c>
      <c r="F26" s="65" t="s">
        <v>62</v>
      </c>
      <c r="G26" s="65" t="s">
        <v>85</v>
      </c>
      <c r="H26" s="95" t="s">
        <v>63</v>
      </c>
      <c r="I26" s="22" t="s">
        <v>1</v>
      </c>
    </row>
    <row r="27" spans="2:9" s="199" customFormat="1" x14ac:dyDescent="0.25">
      <c r="B27" s="196" t="s">
        <v>114</v>
      </c>
      <c r="C27" s="197"/>
      <c r="D27" s="90">
        <f>'Forecasts by year'!D8+'Forecasts by year'!K8</f>
        <v>1896.9771292355099</v>
      </c>
      <c r="E27" s="90">
        <f>'Forecasts by year'!E8+'Forecasts by year'!L8</f>
        <v>9484.8856461775504</v>
      </c>
      <c r="F27" s="90">
        <f>'Forecasts by year'!F8+'Forecasts by year'!M8</f>
        <v>28767.658164856508</v>
      </c>
      <c r="G27" s="90">
        <f>'Forecasts by year'!G8+'Forecasts by year'!N8</f>
        <v>13735.452095645451</v>
      </c>
      <c r="H27" s="90">
        <f>'Forecasts by year'!H8+'Forecasts by year'!O8</f>
        <v>14199.333651486546</v>
      </c>
      <c r="I27" s="198">
        <f t="shared" ref="I27:I29" si="0">SUM(D27:H27)</f>
        <v>68084.306687401564</v>
      </c>
    </row>
    <row r="28" spans="2:9" s="199" customFormat="1" x14ac:dyDescent="0.25">
      <c r="B28" s="196" t="s">
        <v>115</v>
      </c>
      <c r="C28" s="200"/>
      <c r="D28" s="90">
        <f>'Forecasts by year'!D9+'Forecasts by year'!K9</f>
        <v>315.71898061354102</v>
      </c>
      <c r="E28" s="90">
        <f>'Forecasts by year'!E9+'Forecasts by year'!L9</f>
        <v>1578.5949030677052</v>
      </c>
      <c r="F28" s="90">
        <f>'Forecasts by year'!F9+'Forecasts by year'!M9</f>
        <v>4735.7847092031161</v>
      </c>
      <c r="G28" s="90">
        <f>'Forecasts by year'!G9+'Forecasts by year'!N9</f>
        <v>2210.0328642947875</v>
      </c>
      <c r="H28" s="90">
        <f>'Forecasts by year'!H9+'Forecasts by year'!O9</f>
        <v>2210.0328642947875</v>
      </c>
      <c r="I28" s="198">
        <f t="shared" si="0"/>
        <v>11050.164321473938</v>
      </c>
    </row>
    <row r="29" spans="2:9" s="199" customFormat="1" x14ac:dyDescent="0.25">
      <c r="B29" s="196" t="s">
        <v>105</v>
      </c>
      <c r="C29" s="200"/>
      <c r="D29" s="90">
        <f>'Forecasts by year'!D10+'Forecasts by year'!K10</f>
        <v>0</v>
      </c>
      <c r="E29" s="90">
        <f>'Forecasts by year'!E10+'Forecasts by year'!L10</f>
        <v>0</v>
      </c>
      <c r="F29" s="90">
        <f>'Forecasts by year'!F10+'Forecasts by year'!M10</f>
        <v>0</v>
      </c>
      <c r="G29" s="90">
        <f>'Forecasts by year'!G10+'Forecasts by year'!N10</f>
        <v>0</v>
      </c>
      <c r="H29" s="90">
        <f>'Forecasts by year'!H10+'Forecasts by year'!O10</f>
        <v>0</v>
      </c>
      <c r="I29" s="198">
        <f t="shared" si="0"/>
        <v>0</v>
      </c>
    </row>
    <row r="30" spans="2:9" s="199" customFormat="1" x14ac:dyDescent="0.25">
      <c r="B30" s="201" t="s">
        <v>116</v>
      </c>
      <c r="C30" s="200"/>
      <c r="D30" s="202">
        <f>'Forecasts by year'!D11+'Forecasts by year'!K11</f>
        <v>2212.696109849051</v>
      </c>
      <c r="E30" s="202">
        <f>'Forecasts by year'!E11+'Forecasts by year'!L11</f>
        <v>11063.480549245256</v>
      </c>
      <c r="F30" s="202">
        <f>'Forecasts by year'!F11+'Forecasts by year'!M11</f>
        <v>33503.442874059619</v>
      </c>
      <c r="G30" s="202">
        <f>'Forecasts by year'!G11+'Forecasts by year'!N11</f>
        <v>15945.484959940239</v>
      </c>
      <c r="H30" s="202">
        <f>'Forecasts by year'!H11+'Forecasts by year'!O11</f>
        <v>16409.366515781334</v>
      </c>
      <c r="I30" s="198">
        <f>SUM(D30:H30)</f>
        <v>79134.471008875495</v>
      </c>
    </row>
    <row r="31" spans="2:9" x14ac:dyDescent="0.25">
      <c r="B31" s="6" t="s">
        <v>109</v>
      </c>
      <c r="C31" s="11"/>
      <c r="D31" s="90">
        <f>'Forecasts by year'!D12+'Forecasts by year'!K12</f>
        <v>1030.9540007782853</v>
      </c>
      <c r="E31" s="90">
        <f>'Forecasts by year'!E12+'Forecasts by year'!L12</f>
        <v>5154.7700038914263</v>
      </c>
      <c r="F31" s="90">
        <f>'Forecasts by year'!F12+'Forecasts by year'!M12</f>
        <v>15610.145612455945</v>
      </c>
      <c r="G31" s="90">
        <f>'Forecasts by year'!G12+'Forecasts by year'!N12</f>
        <v>7429.4257763764181</v>
      </c>
      <c r="H31" s="90">
        <f>'Forecasts by year'!H12+'Forecasts by year'!O12</f>
        <v>7645.5605378345808</v>
      </c>
      <c r="I31" s="198">
        <f>SUM(D31:H31)</f>
        <v>36870.855931336657</v>
      </c>
    </row>
    <row r="32" spans="2:9" x14ac:dyDescent="0.25">
      <c r="B32" s="6" t="s">
        <v>110</v>
      </c>
      <c r="C32" s="5"/>
      <c r="D32" s="90">
        <f>'Forecasts by year'!D13+'Forecasts by year'!K13</f>
        <v>354.86685870053572</v>
      </c>
      <c r="E32" s="90">
        <f>'Forecasts by year'!E13+'Forecasts by year'!L13</f>
        <v>1774.3342935026785</v>
      </c>
      <c r="F32" s="90">
        <f>'Forecasts by year'!F13+'Forecasts by year'!M13</f>
        <v>5373.2012613252464</v>
      </c>
      <c r="G32" s="90">
        <f>'Forecasts by year'!G13+'Forecasts by year'!N13</f>
        <v>2557.298371431878</v>
      </c>
      <c r="H32" s="90">
        <f>'Forecasts by year'!H13+'Forecasts by year'!O13</f>
        <v>2631.6945751390722</v>
      </c>
      <c r="I32" s="198">
        <f>SUM(D32:H32)</f>
        <v>12691.395360099412</v>
      </c>
    </row>
    <row r="33" spans="2:9" x14ac:dyDescent="0.25">
      <c r="B33" s="6" t="s">
        <v>117</v>
      </c>
      <c r="C33" s="5"/>
      <c r="D33" s="90">
        <f>'Forecasts by year'!D14+'Forecasts by year'!K14</f>
        <v>228.21794619477367</v>
      </c>
      <c r="E33" s="90">
        <f>'Forecasts by year'!E14+'Forecasts by year'!L14</f>
        <v>1141.0897309738682</v>
      </c>
      <c r="F33" s="90">
        <f>'Forecasts by year'!F14+'Forecasts by year'!M14</f>
        <v>3455.5522058080646</v>
      </c>
      <c r="G33" s="90">
        <f>'Forecasts by year'!G14+'Forecasts by year'!N14</f>
        <v>1644.6207016134122</v>
      </c>
      <c r="H33" s="90">
        <f>'Forecasts by year'!H14+'Forecasts by year'!O14</f>
        <v>1692.4655436956411</v>
      </c>
      <c r="I33" s="198">
        <f>SUM(D33:H33)</f>
        <v>8161.9461282857601</v>
      </c>
    </row>
    <row r="34" spans="2:9" x14ac:dyDescent="0.25">
      <c r="B34" s="24" t="s">
        <v>1</v>
      </c>
      <c r="C34" s="25"/>
      <c r="D34" s="26">
        <f>SUM(D30:D33)</f>
        <v>3826.7349155226457</v>
      </c>
      <c r="E34" s="26">
        <f>SUM(E30:E33)</f>
        <v>19133.67457761323</v>
      </c>
      <c r="F34" s="26">
        <f t="shared" ref="F34:H34" si="1">SUM(F30:F33)</f>
        <v>57942.34195364888</v>
      </c>
      <c r="G34" s="26">
        <f t="shared" si="1"/>
        <v>27576.829809361945</v>
      </c>
      <c r="H34" s="26">
        <f t="shared" si="1"/>
        <v>28379.087172450632</v>
      </c>
      <c r="I34" s="27">
        <f>SUM(I30:I33)</f>
        <v>136858.66842859733</v>
      </c>
    </row>
  </sheetData>
  <mergeCells count="3">
    <mergeCell ref="B15:I16"/>
    <mergeCell ref="B21:I22"/>
    <mergeCell ref="D25:H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Bottom Up Estimation</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2018-04-17T04:37:44Z</dcterms:modified>
</cp:coreProperties>
</file>