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8_Network Safety Services\"/>
    </mc:Choice>
  </mc:AlternateContent>
  <xr:revisionPtr revIDLastSave="0" documentId="13_ncr:1_{02634F1F-94E6-44C7-B9F5-FC1274037CD2}"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E22" i="16" l="1"/>
  <c r="F22" i="16"/>
  <c r="G22" i="16"/>
  <c r="H22" i="16"/>
  <c r="D22" i="16"/>
  <c r="I7" i="13" l="1"/>
  <c r="I8" i="13"/>
  <c r="I9" i="13"/>
  <c r="I15" i="13"/>
  <c r="I16" i="13"/>
  <c r="I14" i="15"/>
  <c r="B20" i="9"/>
  <c r="H5" i="17" l="1"/>
  <c r="G5" i="17"/>
  <c r="F5" i="17"/>
  <c r="E5" i="17"/>
  <c r="D5" i="17"/>
  <c r="H2" i="17"/>
  <c r="G2" i="17"/>
  <c r="F2" i="17"/>
  <c r="E2" i="17"/>
  <c r="D2" i="17"/>
  <c r="H1" i="17"/>
  <c r="G1" i="17"/>
  <c r="F1" i="17"/>
  <c r="E1" i="17"/>
  <c r="D1" i="17"/>
  <c r="P25" i="11"/>
  <c r="P23" i="11"/>
  <c r="I24" i="11"/>
  <c r="H24" i="11"/>
  <c r="K23" i="11"/>
  <c r="I22" i="11"/>
  <c r="H22" i="11"/>
  <c r="I16" i="11"/>
  <c r="H16" i="11"/>
  <c r="I15" i="11"/>
  <c r="C58" i="17" s="1"/>
  <c r="H15" i="11"/>
  <c r="C57" i="17" s="1"/>
  <c r="P17" i="11"/>
  <c r="K15" i="11"/>
  <c r="K14" i="11"/>
  <c r="P9" i="11"/>
  <c r="I8" i="11"/>
  <c r="C34" i="17" s="1"/>
  <c r="H8" i="11"/>
  <c r="C33" i="17" s="1"/>
  <c r="K7" i="11"/>
  <c r="I7" i="11"/>
  <c r="C46" i="17" s="1"/>
  <c r="H7" i="11"/>
  <c r="C45" i="17" s="1"/>
  <c r="E29" i="17" l="1"/>
  <c r="F29" i="17"/>
  <c r="G29" i="17"/>
  <c r="H29" i="17"/>
  <c r="D29" i="17"/>
  <c r="C23" i="17"/>
  <c r="D23" i="17" s="1"/>
  <c r="C22" i="17"/>
  <c r="D22" i="17" s="1"/>
  <c r="C21" i="17"/>
  <c r="D21" i="17" s="1"/>
  <c r="E23" i="17" l="1"/>
  <c r="E22" i="17"/>
  <c r="E21" i="17"/>
  <c r="D24" i="17"/>
  <c r="F23" i="17" l="1"/>
  <c r="F21" i="17"/>
  <c r="F22" i="17"/>
  <c r="E24" i="17"/>
  <c r="J26" i="11"/>
  <c r="L26" i="11"/>
  <c r="J18" i="11"/>
  <c r="G23" i="17" l="1"/>
  <c r="G22" i="17"/>
  <c r="G21" i="17"/>
  <c r="F24" i="17"/>
  <c r="H23" i="17" l="1"/>
  <c r="H21" i="17"/>
  <c r="H22" i="17"/>
  <c r="G24" i="17"/>
  <c r="D17" i="8"/>
  <c r="J7" i="11"/>
  <c r="J10" i="11" s="1"/>
  <c r="H24" i="17" l="1"/>
  <c r="I26" i="11"/>
  <c r="E90" i="17" l="1"/>
  <c r="E84" i="17" s="1"/>
  <c r="E12" i="17" s="1"/>
  <c r="E41" i="16" s="1"/>
  <c r="F90" i="17"/>
  <c r="F84" i="17" s="1"/>
  <c r="F12" i="17" s="1"/>
  <c r="F41" i="16" s="1"/>
  <c r="G90" i="17"/>
  <c r="G84" i="17" s="1"/>
  <c r="G12" i="17" s="1"/>
  <c r="G41" i="16" s="1"/>
  <c r="H90" i="17"/>
  <c r="H84" i="17" s="1"/>
  <c r="H12" i="17" s="1"/>
  <c r="H41" i="16" s="1"/>
  <c r="D90" i="17"/>
  <c r="D84" i="17" s="1"/>
  <c r="D12" i="17" l="1"/>
  <c r="D41" i="16" s="1"/>
  <c r="I41" i="16" s="1"/>
  <c r="E77" i="17"/>
  <c r="F77" i="17"/>
  <c r="G77" i="17"/>
  <c r="H77" i="17"/>
  <c r="D77" i="17"/>
  <c r="F7" i="11" l="1"/>
  <c r="E65" i="17"/>
  <c r="F65" i="17"/>
  <c r="G65" i="17"/>
  <c r="H65" i="17"/>
  <c r="D65" i="17"/>
  <c r="J15" i="11" l="1"/>
  <c r="F15" i="11"/>
  <c r="E53" i="17"/>
  <c r="F53" i="17"/>
  <c r="G53" i="17"/>
  <c r="H53" i="17"/>
  <c r="D53" i="17"/>
  <c r="E41" i="17"/>
  <c r="F41" i="17"/>
  <c r="G41" i="17"/>
  <c r="H41" i="17"/>
  <c r="D41" i="17"/>
  <c r="K26" i="11" l="1"/>
  <c r="D15" i="8" l="1"/>
  <c r="M24" i="11" l="1"/>
  <c r="M22" i="11" l="1"/>
  <c r="H26" i="11"/>
  <c r="D83" i="17"/>
  <c r="E83" i="17" s="1"/>
  <c r="F83" i="17" s="1"/>
  <c r="G83" i="17" s="1"/>
  <c r="H83" i="17" s="1"/>
  <c r="D35" i="17"/>
  <c r="K18" i="11"/>
  <c r="F16" i="11"/>
  <c r="I18" i="11" s="1"/>
  <c r="C24" i="17" l="1"/>
  <c r="M26" i="11"/>
  <c r="E35" i="17"/>
  <c r="F35" i="17" l="1"/>
  <c r="G35" i="17" l="1"/>
  <c r="H35" i="17" l="1"/>
  <c r="F8" i="11" l="1"/>
  <c r="I10" i="11" s="1"/>
  <c r="L7" i="11" l="1"/>
  <c r="C47" i="17" s="1"/>
  <c r="K10" i="11"/>
  <c r="H5" i="15"/>
  <c r="I5" i="15" s="1"/>
  <c r="H6" i="15"/>
  <c r="I6" i="15" s="1"/>
  <c r="H7" i="15"/>
  <c r="I7" i="15" s="1"/>
  <c r="H8" i="15"/>
  <c r="I8" i="15" s="1"/>
  <c r="H4" i="15"/>
  <c r="G15" i="15"/>
  <c r="H15" i="15"/>
  <c r="I13" i="15"/>
  <c r="G9" i="15"/>
  <c r="I14" i="13"/>
  <c r="G17" i="13"/>
  <c r="H17" i="13"/>
  <c r="G10" i="13"/>
  <c r="H10" i="13"/>
  <c r="I6" i="13"/>
  <c r="M7" i="11" l="1"/>
  <c r="C48" i="17" s="1"/>
  <c r="L10" i="11"/>
  <c r="H9" i="15"/>
  <c r="I4" i="15"/>
  <c r="D67" i="8"/>
  <c r="E67" i="8"/>
  <c r="F67" i="8"/>
  <c r="G67" i="8"/>
  <c r="I17" i="16"/>
  <c r="I18" i="16"/>
  <c r="I19" i="16"/>
  <c r="I20" i="16"/>
  <c r="I21" i="16"/>
  <c r="C67" i="8" l="1"/>
  <c r="I23" i="16"/>
  <c r="E10" i="13"/>
  <c r="F10" i="13"/>
  <c r="I16" i="16" l="1"/>
  <c r="F15" i="15" l="1"/>
  <c r="E15" i="15"/>
  <c r="D15" i="15"/>
  <c r="I15" i="15" l="1"/>
  <c r="E9" i="15"/>
  <c r="D9" i="15"/>
  <c r="I22" i="16"/>
  <c r="F17" i="13"/>
  <c r="E17" i="13"/>
  <c r="D17" i="13"/>
  <c r="D10" i="13"/>
  <c r="I10" i="13" l="1"/>
  <c r="I17" i="13"/>
  <c r="F9" i="15"/>
  <c r="I9" i="15" l="1"/>
  <c r="D3" i="9"/>
  <c r="H67" i="8" l="1"/>
  <c r="L15" i="11" l="1"/>
  <c r="C59" i="17" s="1"/>
  <c r="L14" i="11"/>
  <c r="C71" i="17" s="1"/>
  <c r="M15" i="11" l="1"/>
  <c r="C60" i="17" s="1"/>
  <c r="L18" i="11"/>
  <c r="M14" i="11"/>
  <c r="C72" i="17" s="1"/>
  <c r="D71" i="17"/>
  <c r="D59" i="17"/>
  <c r="E59" i="17" s="1"/>
  <c r="F59" i="17" s="1"/>
  <c r="G59" i="17" s="1"/>
  <c r="H59" i="17" s="1"/>
  <c r="E71" i="17" l="1"/>
  <c r="F71" i="17" s="1"/>
  <c r="G71" i="17" s="1"/>
  <c r="H71" i="17" s="1"/>
  <c r="D81" i="17"/>
  <c r="D69" i="17"/>
  <c r="E69" i="17" l="1"/>
  <c r="E81" i="17"/>
  <c r="F81" i="17" l="1"/>
  <c r="D45" i="17"/>
  <c r="D57" i="17"/>
  <c r="F69" i="17"/>
  <c r="E45" i="17" l="1"/>
  <c r="G81" i="17"/>
  <c r="E57" i="17"/>
  <c r="G69" i="17"/>
  <c r="H81" i="17" l="1"/>
  <c r="H69" i="17"/>
  <c r="F57" i="17"/>
  <c r="F45" i="17"/>
  <c r="G57" i="17" l="1"/>
  <c r="G45" i="17"/>
  <c r="H45" i="17" l="1"/>
  <c r="H57" i="17"/>
  <c r="H18" i="11" l="1"/>
  <c r="H10" i="11" l="1"/>
  <c r="D33" i="17" l="1"/>
  <c r="D9" i="17" s="1"/>
  <c r="M16" i="11"/>
  <c r="M8" i="11"/>
  <c r="D82" i="17"/>
  <c r="D70" i="17"/>
  <c r="D72" i="17" s="1"/>
  <c r="D38" i="16" l="1"/>
  <c r="E33" i="17"/>
  <c r="E9" i="17" s="1"/>
  <c r="M10" i="11"/>
  <c r="M18" i="11"/>
  <c r="E82" i="17"/>
  <c r="F82" i="17" s="1"/>
  <c r="G82" i="17" s="1"/>
  <c r="H82" i="17" s="1"/>
  <c r="D85" i="17"/>
  <c r="E70" i="17"/>
  <c r="F70" i="17" s="1"/>
  <c r="G70" i="17" s="1"/>
  <c r="H70" i="17" s="1"/>
  <c r="D47" i="17"/>
  <c r="D11" i="17" s="1"/>
  <c r="F33" i="17" l="1"/>
  <c r="F9" i="17" s="1"/>
  <c r="E38" i="16"/>
  <c r="E47" i="17"/>
  <c r="E11" i="17" s="1"/>
  <c r="D40" i="16"/>
  <c r="C36" i="17"/>
  <c r="D58" i="17"/>
  <c r="D34" i="17"/>
  <c r="F85" i="17"/>
  <c r="F72" i="17"/>
  <c r="H72" i="17"/>
  <c r="E85" i="17"/>
  <c r="E72" i="17"/>
  <c r="D46" i="17"/>
  <c r="E46" i="17" s="1"/>
  <c r="F46" i="17" s="1"/>
  <c r="G46" i="17" s="1"/>
  <c r="H46" i="17" s="1"/>
  <c r="H85" i="17"/>
  <c r="G85" i="17"/>
  <c r="G72" i="17"/>
  <c r="D10" i="17" l="1"/>
  <c r="D39" i="16" s="1"/>
  <c r="G33" i="17"/>
  <c r="G9" i="17" s="1"/>
  <c r="F38" i="16"/>
  <c r="F47" i="17"/>
  <c r="F11" i="17" s="1"/>
  <c r="E40" i="16"/>
  <c r="D60" i="17"/>
  <c r="E58" i="17"/>
  <c r="D48" i="17"/>
  <c r="E34" i="17"/>
  <c r="D36" i="17"/>
  <c r="D13" i="17" l="1"/>
  <c r="D42" i="16"/>
  <c r="E10" i="17"/>
  <c r="E39" i="16" s="1"/>
  <c r="G47" i="17"/>
  <c r="G11" i="17" s="1"/>
  <c r="F40" i="16"/>
  <c r="H33" i="17"/>
  <c r="H9" i="17" s="1"/>
  <c r="G38" i="16"/>
  <c r="F58" i="17"/>
  <c r="E60" i="17"/>
  <c r="E48" i="17"/>
  <c r="F34" i="17"/>
  <c r="E36" i="17"/>
  <c r="E13" i="17" l="1"/>
  <c r="E42" i="16" s="1"/>
  <c r="F10" i="17"/>
  <c r="F39" i="16" s="1"/>
  <c r="H38" i="16"/>
  <c r="H47" i="17"/>
  <c r="H11" i="17" s="1"/>
  <c r="G40" i="16"/>
  <c r="C51" i="8"/>
  <c r="G58" i="17"/>
  <c r="F60" i="17"/>
  <c r="F48" i="17"/>
  <c r="G34" i="17"/>
  <c r="F36" i="17"/>
  <c r="F13" i="17" l="1"/>
  <c r="F42" i="16" s="1"/>
  <c r="G10" i="17"/>
  <c r="G39" i="16" s="1"/>
  <c r="H40" i="16"/>
  <c r="D51" i="8"/>
  <c r="H58" i="17"/>
  <c r="H60" i="17" s="1"/>
  <c r="G60" i="17"/>
  <c r="G48" i="17"/>
  <c r="H34" i="17"/>
  <c r="G36" i="17"/>
  <c r="G13" i="17" l="1"/>
  <c r="G42" i="16" s="1"/>
  <c r="H10" i="17"/>
  <c r="H39" i="16" s="1"/>
  <c r="E51" i="8"/>
  <c r="H48" i="17"/>
  <c r="H36" i="17"/>
  <c r="H13" i="17" l="1"/>
  <c r="H42" i="16" s="1"/>
  <c r="F51" i="8"/>
  <c r="G51" i="8" l="1"/>
  <c r="I42" i="16" l="1"/>
  <c r="I39" i="16" l="1"/>
  <c r="I40" i="16"/>
  <c r="I38" i="16" l="1"/>
  <c r="H51" i="8" l="1"/>
  <c r="F4" i="17" l="1"/>
  <c r="O22" i="11"/>
  <c r="E4" i="17"/>
  <c r="O8" i="11"/>
  <c r="C38" i="17" s="1"/>
  <c r="H4" i="17"/>
  <c r="D4" i="17"/>
  <c r="O24" i="11"/>
  <c r="O15" i="11"/>
  <c r="O14" i="11"/>
  <c r="C74" i="17" s="1"/>
  <c r="O7" i="11"/>
  <c r="C50" i="17" s="1"/>
  <c r="G4" i="17"/>
  <c r="O16" i="11"/>
  <c r="E26" i="17" l="1"/>
  <c r="E62" i="17"/>
  <c r="E74" i="17"/>
  <c r="E38" i="17"/>
  <c r="E50" i="17"/>
  <c r="O10" i="11"/>
  <c r="C26" i="17"/>
  <c r="O26" i="11"/>
  <c r="O18" i="11"/>
  <c r="C62" i="17"/>
  <c r="G26" i="17"/>
  <c r="G74" i="17"/>
  <c r="G62" i="17"/>
  <c r="G50" i="17"/>
  <c r="G38" i="17"/>
  <c r="D26" i="17"/>
  <c r="D50" i="17"/>
  <c r="D74" i="17"/>
  <c r="D38" i="17"/>
  <c r="D62" i="17"/>
  <c r="H26" i="17"/>
  <c r="H62" i="17"/>
  <c r="H38" i="17"/>
  <c r="H50" i="17"/>
  <c r="H74" i="17"/>
  <c r="F26" i="17"/>
  <c r="F50" i="17"/>
  <c r="F38" i="17"/>
  <c r="F62" i="17"/>
  <c r="F74" i="17"/>
  <c r="F15" i="17" l="1"/>
  <c r="E15" i="17"/>
  <c r="E44" i="16" s="1"/>
  <c r="D15" i="17"/>
  <c r="D44" i="16" s="1"/>
  <c r="G15" i="17"/>
  <c r="G44" i="16" s="1"/>
  <c r="H15" i="17"/>
  <c r="H44" i="16"/>
  <c r="F44" i="16"/>
  <c r="I44" i="16" l="1"/>
  <c r="G3" i="17"/>
  <c r="N25" i="11"/>
  <c r="D16" i="8" s="1"/>
  <c r="N16" i="11"/>
  <c r="F3" i="17"/>
  <c r="N22" i="11"/>
  <c r="N17" i="11"/>
  <c r="Q9" i="11"/>
  <c r="E3" i="17"/>
  <c r="Q25" i="11"/>
  <c r="N23" i="11"/>
  <c r="N8" i="11"/>
  <c r="C37" i="17" s="1"/>
  <c r="H3" i="17"/>
  <c r="D3" i="17"/>
  <c r="N24" i="11"/>
  <c r="Q17" i="11"/>
  <c r="N15" i="11"/>
  <c r="C61" i="17" s="1"/>
  <c r="N14" i="11"/>
  <c r="C73" i="17" s="1"/>
  <c r="N9" i="11"/>
  <c r="N7" i="11"/>
  <c r="C49" i="17" s="1"/>
  <c r="Q23" i="11"/>
  <c r="D86" i="17"/>
  <c r="H86" i="17"/>
  <c r="F86" i="17"/>
  <c r="G86" i="17"/>
  <c r="E86" i="17"/>
  <c r="F88" i="17" l="1"/>
  <c r="H88" i="17"/>
  <c r="E88" i="17"/>
  <c r="D88" i="17"/>
  <c r="G88" i="17"/>
  <c r="P24" i="11"/>
  <c r="Q24" i="11" s="1"/>
  <c r="D14" i="8"/>
  <c r="D13" i="8"/>
  <c r="P15" i="11"/>
  <c r="Q15" i="11" s="1"/>
  <c r="N18" i="11"/>
  <c r="H25" i="17"/>
  <c r="H27" i="17" s="1"/>
  <c r="H28" i="17" s="1"/>
  <c r="H73" i="17"/>
  <c r="H75" i="17" s="1"/>
  <c r="H76" i="17" s="1"/>
  <c r="H61" i="17"/>
  <c r="H63" i="17" s="1"/>
  <c r="H64" i="17" s="1"/>
  <c r="H37" i="17"/>
  <c r="H49" i="17"/>
  <c r="H51" i="17" s="1"/>
  <c r="H52" i="17" s="1"/>
  <c r="E25" i="17"/>
  <c r="E27" i="17" s="1"/>
  <c r="E28" i="17" s="1"/>
  <c r="E73" i="17"/>
  <c r="E75" i="17" s="1"/>
  <c r="E76" i="17" s="1"/>
  <c r="E61" i="17"/>
  <c r="E63" i="17" s="1"/>
  <c r="E64" i="17" s="1"/>
  <c r="E37" i="17"/>
  <c r="E49" i="17"/>
  <c r="E51" i="17" s="1"/>
  <c r="E52" i="17" s="1"/>
  <c r="F61" i="17"/>
  <c r="F63" i="17" s="1"/>
  <c r="F64" i="17" s="1"/>
  <c r="F25" i="17"/>
  <c r="F27" i="17" s="1"/>
  <c r="F28" i="17" s="1"/>
  <c r="F73" i="17"/>
  <c r="F75" i="17" s="1"/>
  <c r="F76" i="17" s="1"/>
  <c r="F37" i="17"/>
  <c r="F49" i="17"/>
  <c r="F51" i="17" s="1"/>
  <c r="F52" i="17" s="1"/>
  <c r="P7" i="11"/>
  <c r="C51" i="17" s="1"/>
  <c r="N10" i="11"/>
  <c r="P8" i="11"/>
  <c r="C39" i="17" s="1"/>
  <c r="P16" i="11"/>
  <c r="Q16" i="11" s="1"/>
  <c r="P14" i="11"/>
  <c r="C75" i="17" s="1"/>
  <c r="D73" i="17"/>
  <c r="D75" i="17" s="1"/>
  <c r="D76" i="17" s="1"/>
  <c r="D49" i="17"/>
  <c r="D51" i="17" s="1"/>
  <c r="D52" i="17" s="1"/>
  <c r="D37" i="17"/>
  <c r="D61" i="17"/>
  <c r="D63" i="17" s="1"/>
  <c r="D64" i="17" s="1"/>
  <c r="D25" i="17"/>
  <c r="D27" i="17" s="1"/>
  <c r="D28" i="17" s="1"/>
  <c r="P22" i="11"/>
  <c r="Q22" i="11" s="1"/>
  <c r="N26" i="11"/>
  <c r="C25" i="17"/>
  <c r="G25" i="17"/>
  <c r="G27" i="17" s="1"/>
  <c r="G28" i="17" s="1"/>
  <c r="G73" i="17"/>
  <c r="G75" i="17" s="1"/>
  <c r="G76" i="17" s="1"/>
  <c r="G61" i="17"/>
  <c r="G63" i="17" s="1"/>
  <c r="G64" i="17" s="1"/>
  <c r="G37" i="17"/>
  <c r="G49" i="17"/>
  <c r="G51" i="17" s="1"/>
  <c r="G52" i="17" s="1"/>
  <c r="F14" i="17" l="1"/>
  <c r="E14" i="17"/>
  <c r="E43" i="16" s="1"/>
  <c r="G14" i="17"/>
  <c r="H14" i="17"/>
  <c r="D14" i="17"/>
  <c r="D43" i="16" s="1"/>
  <c r="G89" i="17"/>
  <c r="G91" i="17" s="1"/>
  <c r="G10" i="16" s="1"/>
  <c r="F89" i="17"/>
  <c r="F91" i="17" s="1"/>
  <c r="F10" i="16" s="1"/>
  <c r="E89" i="17"/>
  <c r="E91" i="17" s="1"/>
  <c r="E10" i="16" s="1"/>
  <c r="H89" i="17"/>
  <c r="H91" i="17" s="1"/>
  <c r="H10" i="16" s="1"/>
  <c r="D89" i="17"/>
  <c r="D10" i="16" s="1"/>
  <c r="F43" i="16"/>
  <c r="H43" i="16"/>
  <c r="G54" i="17"/>
  <c r="G7" i="16" s="1"/>
  <c r="G30" i="17"/>
  <c r="G5" i="16" s="1"/>
  <c r="D54" i="17"/>
  <c r="D7" i="16" s="1"/>
  <c r="F54" i="17"/>
  <c r="F7" i="16" s="1"/>
  <c r="F66" i="17"/>
  <c r="F8" i="16" s="1"/>
  <c r="E66" i="17"/>
  <c r="E8" i="16" s="1"/>
  <c r="H30" i="17"/>
  <c r="H5" i="16" s="1"/>
  <c r="D30" i="17"/>
  <c r="D78" i="17"/>
  <c r="D9" i="16" s="1"/>
  <c r="E78" i="17"/>
  <c r="E9" i="16" s="1"/>
  <c r="H66" i="17"/>
  <c r="H8" i="16" s="1"/>
  <c r="G66" i="17"/>
  <c r="G8" i="16" s="1"/>
  <c r="D66" i="17"/>
  <c r="D8" i="16" s="1"/>
  <c r="F78" i="17"/>
  <c r="F9" i="16" s="1"/>
  <c r="E54" i="17"/>
  <c r="E7" i="16" s="1"/>
  <c r="E30" i="17"/>
  <c r="E5" i="16" s="1"/>
  <c r="H78" i="17"/>
  <c r="H9" i="16" s="1"/>
  <c r="G78" i="17"/>
  <c r="G9" i="16" s="1"/>
  <c r="F30" i="17"/>
  <c r="F5" i="16" s="1"/>
  <c r="H54" i="17"/>
  <c r="H7" i="16" s="1"/>
  <c r="Q14" i="11"/>
  <c r="F12" i="8" s="1"/>
  <c r="G43" i="16"/>
  <c r="G39" i="17"/>
  <c r="G16" i="17" s="1"/>
  <c r="C27" i="17"/>
  <c r="P26" i="11"/>
  <c r="E39" i="17"/>
  <c r="E16" i="17" s="1"/>
  <c r="E17" i="17" s="1"/>
  <c r="F39" i="17"/>
  <c r="F16" i="17" s="1"/>
  <c r="C64" i="17"/>
  <c r="E11" i="8"/>
  <c r="D39" i="17"/>
  <c r="D16" i="17" s="1"/>
  <c r="P10" i="11"/>
  <c r="D8" i="8"/>
  <c r="C28" i="17"/>
  <c r="Q8" i="11"/>
  <c r="Q7" i="11"/>
  <c r="H39" i="17"/>
  <c r="H16" i="17" s="1"/>
  <c r="P18" i="11"/>
  <c r="C63" i="17"/>
  <c r="F17" i="17" l="1"/>
  <c r="G17" i="17"/>
  <c r="H17" i="17"/>
  <c r="I10" i="16"/>
  <c r="D91" i="17"/>
  <c r="D5" i="16"/>
  <c r="I5" i="16" s="1"/>
  <c r="D17" i="17"/>
  <c r="F45" i="16"/>
  <c r="F46" i="16" s="1"/>
  <c r="I9" i="16"/>
  <c r="I8" i="16"/>
  <c r="I7" i="16"/>
  <c r="D40" i="17"/>
  <c r="F40" i="17"/>
  <c r="C76" i="17"/>
  <c r="E40" i="17"/>
  <c r="E45" i="16"/>
  <c r="E46" i="16" s="1"/>
  <c r="H40" i="17"/>
  <c r="C40" i="17"/>
  <c r="D9" i="8"/>
  <c r="E10" i="8"/>
  <c r="C52" i="17"/>
  <c r="G40" i="17"/>
  <c r="G45" i="16" l="1"/>
  <c r="G46" i="16" s="1"/>
  <c r="D45" i="16"/>
  <c r="D46" i="16" s="1"/>
  <c r="E42" i="17"/>
  <c r="F42" i="17"/>
  <c r="G42" i="17"/>
  <c r="H42" i="17"/>
  <c r="D42" i="17"/>
  <c r="H45" i="16"/>
  <c r="H46" i="16" s="1"/>
  <c r="F53" i="8"/>
  <c r="F55" i="8" s="1"/>
  <c r="D53" i="8"/>
  <c r="D55" i="8" s="1"/>
  <c r="I43" i="16"/>
  <c r="E53" i="8"/>
  <c r="E55" i="8" s="1"/>
  <c r="G6" i="16" l="1"/>
  <c r="G11" i="16" s="1"/>
  <c r="G18" i="17"/>
  <c r="F6" i="16"/>
  <c r="F11" i="16" s="1"/>
  <c r="F18" i="17"/>
  <c r="E6" i="16"/>
  <c r="E11" i="16" s="1"/>
  <c r="E18" i="17"/>
  <c r="H6" i="16"/>
  <c r="H11" i="16" s="1"/>
  <c r="H18" i="17"/>
  <c r="D6" i="16"/>
  <c r="D11" i="16" s="1"/>
  <c r="D18" i="17"/>
  <c r="C53" i="8"/>
  <c r="C55" i="8" s="1"/>
  <c r="G53" i="8"/>
  <c r="G55" i="8" s="1"/>
  <c r="I45" i="16"/>
  <c r="I46" i="16" s="1"/>
  <c r="I6" i="16" l="1"/>
  <c r="I11" i="16" s="1"/>
  <c r="H53" i="8"/>
  <c r="H55"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Timothy Peters</author>
    <author>Justine Langdon</author>
  </authors>
  <commentList>
    <comment ref="B7" authorId="0" shapeId="0" xr:uid="{FDA5530C-8C25-4CFF-A188-318711FC8071}">
      <text>
        <r>
          <rPr>
            <b/>
            <sz val="9"/>
            <color indexed="81"/>
            <rFont val="Tahoma"/>
            <family val="2"/>
          </rPr>
          <t xml:space="preserve">Justine Langdon:
</t>
        </r>
        <r>
          <rPr>
            <sz val="9"/>
            <color indexed="81"/>
            <rFont val="Tahoma"/>
            <family val="2"/>
          </rPr>
          <t xml:space="preserve">3 year life span requiring 1.5 hours maintenance over that time
</t>
        </r>
      </text>
    </comment>
    <comment ref="F7" authorId="0" shapeId="0" xr:uid="{277E6038-9C67-405B-BD90-B6CF3A10079C}">
      <text>
        <r>
          <rPr>
            <b/>
            <sz val="9"/>
            <color indexed="81"/>
            <rFont val="Tahoma"/>
            <family val="2"/>
          </rPr>
          <t xml:space="preserve">Justine Langdon:
</t>
        </r>
        <r>
          <rPr>
            <sz val="9"/>
            <color indexed="81"/>
            <rFont val="Tahoma"/>
            <family val="2"/>
          </rPr>
          <t xml:space="preserve">This is for maintenance costs
</t>
        </r>
      </text>
    </comment>
    <comment ref="B15" authorId="1" shapeId="0" xr:uid="{13C691E7-CC73-43CC-A020-8AE205FA8243}">
      <text>
        <r>
          <rPr>
            <b/>
            <sz val="9"/>
            <color indexed="81"/>
            <rFont val="Tahoma"/>
            <family val="2"/>
          </rPr>
          <t>Justine Langdon:</t>
        </r>
        <r>
          <rPr>
            <sz val="9"/>
            <color indexed="81"/>
            <rFont val="Tahoma"/>
            <family val="2"/>
          </rPr>
          <t xml:space="preserve">
3 year life span requiring 1.5 hours maintenance over that time</t>
        </r>
      </text>
    </comment>
    <comment ref="F15" authorId="1" shapeId="0" xr:uid="{482B2E1D-E667-44A7-BE13-F5E284367DBC}">
      <text>
        <r>
          <rPr>
            <b/>
            <sz val="9"/>
            <color indexed="81"/>
            <rFont val="Tahoma"/>
            <family val="2"/>
          </rPr>
          <t>Justine Langdon:</t>
        </r>
        <r>
          <rPr>
            <sz val="9"/>
            <color indexed="81"/>
            <rFont val="Tahoma"/>
            <family val="2"/>
          </rPr>
          <t xml:space="preserve">
This is for maintenance costs</t>
        </r>
      </text>
    </comment>
  </commentList>
</comments>
</file>

<file path=xl/sharedStrings.xml><?xml version="1.0" encoding="utf-8"?>
<sst xmlns="http://schemas.openxmlformats.org/spreadsheetml/2006/main" count="387" uniqueCount="190">
  <si>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</si>
  <si>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</si>
  <si>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</si>
  <si>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</si>
  <si>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</si>
  <si>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</si>
  <si>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</si>
  <si>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</si>
  <si>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</si>
  <si>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</si>
  <si>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</si>
  <si>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</si>
  <si>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</si>
  <si>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</si>
  <si>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</si>
  <si>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</si>
  <si>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</si>
  <si>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</si>
  <si>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</si>
  <si>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</si>
  <si>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</si>
  <si>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</si>
  <si>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</si>
  <si>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</si>
  <si>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</si>
  <si>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</si>
  <si>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</si>
  <si>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</si>
  <si>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</si>
  <si>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</si>
  <si>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</si>
  <si>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</si>
  <si>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</si>
  <si>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</si>
  <si>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</si>
  <si>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</si>
  <si>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</si>
  <si>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</si>
  <si>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</si>
  <si>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</si>
  <si>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</si>
  <si>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</si>
  <si>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</si>
  <si>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</si>
  <si>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</si>
  <si>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</si>
  <si>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</si>
  <si>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</si>
  <si>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</si>
  <si>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</si>
  <si>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</si>
  <si>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</si>
  <si>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 xml:space="preserve">RIN </t>
  </si>
  <si>
    <t>FY16/17</t>
  </si>
  <si>
    <t>FY15/16</t>
  </si>
  <si>
    <t>FY14/15</t>
  </si>
  <si>
    <t>FY19/20</t>
  </si>
  <si>
    <t>FY20/21</t>
  </si>
  <si>
    <t>FY21/22</t>
  </si>
  <si>
    <t>FY23/24</t>
  </si>
  <si>
    <t>Warning Marker Installation</t>
  </si>
  <si>
    <t xml:space="preserve"> 
Installation of temporary covering (known as ‘torapoli pipes’ or ‘tiger tails’) on overhead mains and service lines. NB this does not include the installation of temporary covers by certain ASPs in association with their contestable work, in accordance with their Service Provider Authorisation, which is contestable work.</t>
  </si>
  <si>
    <t xml:space="preserve">Warning Marker Installation </t>
  </si>
  <si>
    <t>Network safety services
Examples include:
· provision of traffic control services by the distributor where required
· fitting of tiger tails, high load escort 
· de-energising wires for safe approach (e.g. for tree pruning)
· work undertaken to determine the cause of a customer fault where there may be a safety impact on the network or related component
· Neutral integrity test – where customers request the distributor to investigate the occurrence of mild electric shocks within a customer’s premises to determine whether the fault exists within the customer’s installation or on the network. A fee would be levied where the fault is within the customer’s installation.</t>
  </si>
  <si>
    <t>Description changed from "Rectification works - Tiger Tails" to Warning Markers included expanded services of construction markers and aerial markers.</t>
  </si>
  <si>
    <t xml:space="preserve">Existing Service Description (2014 - 19) </t>
  </si>
  <si>
    <t>Field Officer</t>
  </si>
  <si>
    <t>RIN</t>
  </si>
  <si>
    <t>FY2019 Fully Loaded Cost</t>
  </si>
  <si>
    <t>R4</t>
  </si>
  <si>
    <t>Material Price</t>
  </si>
  <si>
    <t>Material Price Oncost %</t>
  </si>
  <si>
    <t>Purchase of construction warning markers</t>
  </si>
  <si>
    <t>R2a</t>
  </si>
  <si>
    <t>Hire of Tiger Tails - per week</t>
  </si>
  <si>
    <t>Hire of construction warning markers - per week</t>
  </si>
  <si>
    <t>TCO - includes: Purchase price, maintenance costs and overheads</t>
  </si>
  <si>
    <t>Material Purchace Price</t>
  </si>
  <si>
    <t>Total Material Cost</t>
  </si>
  <si>
    <t>Maint Costs: Includes testing / inspection and maintenance</t>
  </si>
  <si>
    <t>FY2019 Fully Loaded Costs</t>
  </si>
  <si>
    <t>Bottom Up Estimation</t>
  </si>
  <si>
    <t>Installation</t>
  </si>
  <si>
    <t>Hire - Tiger Tails</t>
  </si>
  <si>
    <t xml:space="preserve">Hourly Rate </t>
  </si>
  <si>
    <t>Rental</t>
  </si>
  <si>
    <t>Hire - Warning Markers</t>
  </si>
  <si>
    <t>Purchase - Warning Markers</t>
  </si>
  <si>
    <t>Purchase</t>
  </si>
  <si>
    <t>Design</t>
  </si>
  <si>
    <t xml:space="preserve"> - </t>
  </si>
  <si>
    <t>Where external contractors are required as part of providing these service (eg. T/C) a contractor management fee of Div &amp; Corp OH's % to be added to contractor invoice.</t>
  </si>
  <si>
    <t>Material Supply Cost + Material Oncost %</t>
  </si>
  <si>
    <t>Projected Volumes for FY2019-24 Regulatory Period</t>
  </si>
  <si>
    <t>Operating Costs (on IO's, work orders, cost objects, cost centres)</t>
  </si>
  <si>
    <t>Project Code</t>
  </si>
  <si>
    <t>FY22/23</t>
  </si>
  <si>
    <t xml:space="preserve">Operating  Costs - </t>
  </si>
  <si>
    <t>ACSCW 31050 - Warning Marker Installation</t>
  </si>
  <si>
    <t>Tiger Tails Hire Cost:Charged per week</t>
  </si>
  <si>
    <t>Warning Marker Hire Cost:Charged per week</t>
  </si>
  <si>
    <t>Warning Marker Installation - Aerial Markers (Fee service)</t>
  </si>
  <si>
    <t>Contractor Costs - ($)</t>
  </si>
  <si>
    <t>Design (hrs)</t>
  </si>
  <si>
    <t>Installation (hrs)</t>
  </si>
  <si>
    <t>Purchase - Warning Markers ($)</t>
  </si>
  <si>
    <t>Estimated have been provided on the work effort that will be required to complete each service.</t>
  </si>
  <si>
    <t>Projected Volumes (hrs)</t>
  </si>
  <si>
    <t>ACSCW 31050 - Tiger Tails</t>
  </si>
  <si>
    <t>Inconsistencies exist within operating expenditure recording and volumes.</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</si>
  <si>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</si>
  <si>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</si>
  <si>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</si>
  <si>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</si>
  <si>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</si>
  <si>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</si>
  <si>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</si>
  <si>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</si>
  <si>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</si>
  <si>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</si>
  <si>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</si>
  <si>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</si>
  <si>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r>
      <t xml:space="preserve">
</t>
    </r>
    <r>
      <rPr>
        <b/>
        <sz val="10"/>
        <color theme="1"/>
        <rFont val="Arial"/>
        <family val="2"/>
      </rPr>
      <t xml:space="preserve">Warning Marker Installation </t>
    </r>
    <r>
      <rPr>
        <sz val="10"/>
        <color theme="1"/>
        <rFont val="Arial"/>
        <family val="2"/>
      </rPr>
      <t xml:space="preserve">
Installation of visual warning markers and temporary covers on overhead mains and service lines as requested by a third party. Can include rental or purchase of warning markers.
Services can include:
- Torapoli (Tiger Tails) installation;
- Construction warning marker installation;
- Design and installation of aerial markers.
NB this does not include the installation of temporary covers (on de energised mains) by certain ASPs in association with their contestable work, in accordance with their Service Provider Authorisation, which is contestable work.</t>
    </r>
  </si>
  <si>
    <t>Time on Task (hours)</t>
  </si>
  <si>
    <t>Number of staff</t>
  </si>
  <si>
    <t>Total Time (Hours)</t>
  </si>
  <si>
    <t>Overtime loading?
0 = No
1 = Yes</t>
  </si>
  <si>
    <t>Direct Labour Rate (incl on-costs)</t>
  </si>
  <si>
    <t>Fleet rate</t>
  </si>
  <si>
    <t>Direct cost per service</t>
  </si>
  <si>
    <t>Overheads</t>
  </si>
  <si>
    <t>Non-system charge</t>
  </si>
  <si>
    <t>Profit margin (WACC FY20) per service</t>
  </si>
  <si>
    <t>Labour escalation</t>
  </si>
  <si>
    <t>Contractor rate increase</t>
  </si>
  <si>
    <t>Overhead rate</t>
  </si>
  <si>
    <t>Average non-system charge</t>
  </si>
  <si>
    <t>WACC rate</t>
  </si>
  <si>
    <t>ORDINARY LABOUR TIME</t>
  </si>
  <si>
    <t>2019-20</t>
  </si>
  <si>
    <t>2020-21</t>
  </si>
  <si>
    <t>2021-22</t>
  </si>
  <si>
    <t>2022-23</t>
  </si>
  <si>
    <t>2023-24</t>
  </si>
  <si>
    <t>Materials</t>
  </si>
  <si>
    <t>Total before OHDs, non-system &amp; margin</t>
  </si>
  <si>
    <t>Profit margin</t>
  </si>
  <si>
    <t>Fully Loaded Costs</t>
  </si>
  <si>
    <t>Forecast revenue (check)</t>
  </si>
  <si>
    <t>Real 2018-19 including escalation</t>
  </si>
  <si>
    <t>Fully Loaded Cost per service</t>
  </si>
  <si>
    <t>Forecast volumes</t>
  </si>
  <si>
    <t>Forecast revenue</t>
  </si>
  <si>
    <t>Materials (hire per week)</t>
  </si>
  <si>
    <t>Forecast volumes (hours)</t>
  </si>
  <si>
    <t>Hire - Tiger Tails ($)/week</t>
  </si>
  <si>
    <t>Hire - Warning Markers ($/week)</t>
  </si>
  <si>
    <t>Contractor costs</t>
  </si>
  <si>
    <t>Labour</t>
  </si>
  <si>
    <t>Fleet</t>
  </si>
  <si>
    <t>Total costs before OHDs, non-system and margin</t>
  </si>
  <si>
    <t>8.6 Warning Markers</t>
  </si>
  <si>
    <t>Installation of Tiger Tails - hourly rate</t>
  </si>
  <si>
    <t>Contractor management eg. T/C - [Invoice + Overheads] + Margin</t>
  </si>
  <si>
    <t>Margin</t>
  </si>
  <si>
    <t>Proposed Fee ($2018/19 - Excl GST)</t>
  </si>
  <si>
    <t>Overheads rate</t>
  </si>
  <si>
    <t>Installation of construction warning markers - hourly rate</t>
  </si>
  <si>
    <t>Installation of aerial markers - hourly rate</t>
  </si>
  <si>
    <t>Design of aerial markers - hourly rate</t>
  </si>
  <si>
    <t>Materials On-cost</t>
  </si>
  <si>
    <t>Material supply 
[(Purchase Price + Materials On-cost) + Overheads] + Margin</t>
  </si>
  <si>
    <t>Contractor Costs 
[Invoice + Overheads] + Margin</t>
  </si>
  <si>
    <t>Total Direct Costs $2018/19</t>
  </si>
  <si>
    <t>Total Indirect Costs $2018/19</t>
  </si>
  <si>
    <t>TOTAL COSTS $2018/19</t>
  </si>
  <si>
    <t>Changed from quoted to hourly rate service.</t>
  </si>
  <si>
    <t>Real $2018-19</t>
  </si>
  <si>
    <t>Per service</t>
  </si>
  <si>
    <t>ANS P&amp;L Report</t>
  </si>
  <si>
    <t>Estimated volumes based on team feedback.Volumes of "Tiger Tails" and Warning Markers installed.</t>
  </si>
  <si>
    <t xml:space="preserve">Purchase - Warning Markers </t>
  </si>
  <si>
    <t>Warning Marker Installation - Tiger Tails (Fee / Hrly Rate service)</t>
  </si>
  <si>
    <t>Warning Marker Installation - Construction Markers (Fee / Hrly Rate service)</t>
  </si>
  <si>
    <t>Material Hire Costs: Total Cost of Ownership / expected rental lifespan (3yrs)</t>
  </si>
  <si>
    <t>Warning Marker Design  (Hrly Rate service)</t>
  </si>
  <si>
    <t>Warning Marker Installation  (Hrly Rate service)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</si>
  <si>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</si>
  <si>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Historical operating costs referenced from ANS P&amp;L Report.</t>
  </si>
  <si>
    <t>Historical revenue referenced from ANS P&amp;L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</si>
</sst>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4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9"/>
      <color indexed="81"/>
      <name val="Tahoma"/>
      <family val="2"/>
    </font>
    <font>
      <b/>
      <sz val="9"/>
      <color indexed="81"/>
      <name val="Tahoma"/>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sz val="11"/>
      <color theme="1"/>
      <name val="Calibri"/>
      <family val="2"/>
      <scheme val="minor"/>
    </font>
    <font>
      <b/>
      <sz val="12"/>
      <color theme="1"/>
      <name val="Calibri"/>
      <family val="2"/>
      <scheme val="minor"/>
    </font>
    <font>
      <b/>
      <sz val="10"/>
      <color theme="1"/>
      <name val="Arial"/>
      <family val="2"/>
    </font>
    <font>
      <b/>
      <sz val="10"/>
      <color theme="0"/>
      <name val="Arial"/>
      <family val="2"/>
    </font>
    <font>
      <sz val="10"/>
      <color theme="1"/>
      <name val="Arial"/>
      <family val="2"/>
    </font>
    <font>
      <b/>
      <sz val="11"/>
      <color theme="1"/>
      <name val="Calibri"/>
      <family val="2"/>
      <scheme val="minor"/>
    </font>
    <font>
      <b/>
      <sz val="10"/>
      <name val="Arial"/>
      <family val="2"/>
    </font>
    <font>
      <b/>
      <sz val="11"/>
      <color theme="1"/>
      <name val="Arial"/>
      <family val="2"/>
    </font>
    <font>
      <sz val="10"/>
      <color theme="3"/>
      <name val="Arial"/>
      <family val="2"/>
    </font>
    <font>
      <b/>
      <sz val="10"/>
      <color theme="3"/>
      <name val="Arial"/>
      <family val="2"/>
    </font>
    <font>
      <b/>
      <sz val="8"/>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5"/>
        <bgColor indexed="64"/>
      </patternFill>
    </fill>
    <fill>
      <patternFill patternType="solid">
        <fgColor theme="1" tint="0.499984740745262"/>
        <bgColor indexed="64"/>
      </patternFill>
    </fill>
    <fill>
      <patternFill patternType="solid">
        <fgColor theme="1" tint="4.9989318521683403E-2"/>
        <bgColor indexed="64"/>
      </patternFill>
    </fill>
    <fill>
      <patternFill patternType="solid">
        <fgColor rgb="FF002060"/>
        <bgColor indexed="64"/>
      </patternFill>
    </fill>
  </fills>
  <borders count="20">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style="medium">
        <color theme="0"/>
      </left>
      <right/>
      <top style="medium">
        <color theme="0"/>
      </top>
      <bottom/>
      <diagonal/>
    </border>
    <border>
      <left/>
      <right/>
      <top style="medium">
        <color theme="0"/>
      </top>
      <bottom/>
      <diagonal/>
    </border>
    <border>
      <left style="medium">
        <color theme="0"/>
      </left>
      <right/>
      <top/>
      <bottom/>
      <diagonal/>
    </border>
    <border>
      <left style="medium">
        <color theme="0"/>
      </left>
      <right/>
      <top/>
      <bottom style="medium">
        <color theme="0"/>
      </bottom>
      <diagonal/>
    </border>
    <border>
      <left/>
      <right/>
      <top/>
      <bottom style="medium">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314">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3" fontId="2" fillId="10" borderId="4" xfId="0" applyNumberFormat="1" applyFont="1" applyFill="1" applyBorder="1"/>
    <xf numFmtId="168" fontId="2" fillId="10" borderId="5" xfId="2" applyNumberFormat="1" applyFont="1" applyFill="1" applyBorder="1" applyAlignment="1">
      <alignment horizontal="center"/>
    </xf>
    <xf numFmtId="0" fontId="2" fillId="10" borderId="4" xfId="0" applyFont="1" applyFill="1" applyBorder="1" applyAlignment="1">
      <alignment horizontal="left"/>
    </xf>
    <xf numFmtId="0" fontId="2" fillId="10" borderId="3" xfId="0" applyFont="1" applyFill="1" applyBorder="1" applyAlignment="1">
      <alignment horizontal="left"/>
    </xf>
    <xf numFmtId="168" fontId="2" fillId="10" borderId="4" xfId="2" applyNumberFormat="1" applyFont="1" applyFill="1" applyBorder="1"/>
    <xf numFmtId="3" fontId="2" fillId="10" borderId="4" xfId="0" applyNumberFormat="1" applyFont="1" applyFill="1" applyBorder="1" applyAlignment="1">
      <alignment horizontal="righ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12" fillId="8" borderId="0" xfId="0" applyFont="1" applyFill="1"/>
    <xf numFmtId="0" fontId="13" fillId="8" borderId="0" xfId="0" applyFont="1" applyFill="1"/>
    <xf numFmtId="0" fontId="14" fillId="0" borderId="0" xfId="0" applyFont="1"/>
    <xf numFmtId="0" fontId="15" fillId="0" borderId="0" xfId="0" applyFont="1"/>
    <xf numFmtId="0" fontId="15" fillId="10" borderId="4" xfId="0" applyFont="1" applyFill="1" applyBorder="1" applyAlignment="1">
      <alignment horizontal="left"/>
    </xf>
    <xf numFmtId="168" fontId="15" fillId="10" borderId="4" xfId="2" applyNumberFormat="1" applyFont="1" applyFill="1" applyBorder="1"/>
    <xf numFmtId="0" fontId="15" fillId="10" borderId="4" xfId="0" applyFont="1" applyFill="1" applyBorder="1"/>
    <xf numFmtId="3" fontId="15" fillId="10" borderId="4" xfId="0" applyNumberFormat="1" applyFont="1" applyFill="1" applyBorder="1"/>
    <xf numFmtId="3" fontId="15" fillId="4" borderId="4" xfId="0" applyNumberFormat="1" applyFont="1" applyFill="1" applyBorder="1"/>
    <xf numFmtId="0" fontId="17" fillId="0" borderId="0" xfId="0" applyFont="1"/>
    <xf numFmtId="0" fontId="16" fillId="5" borderId="6" xfId="0" applyFont="1" applyFill="1" applyBorder="1" applyAlignment="1">
      <alignment horizontal="left"/>
    </xf>
    <xf numFmtId="0" fontId="18" fillId="4" borderId="1" xfId="0" applyFont="1" applyFill="1" applyBorder="1" applyAlignment="1">
      <alignment vertical="top" wrapText="1"/>
    </xf>
    <xf numFmtId="0" fontId="18" fillId="4" borderId="0" xfId="0" applyFont="1" applyFill="1" applyBorder="1" applyAlignment="1">
      <alignment vertical="top" wrapText="1"/>
    </xf>
    <xf numFmtId="0" fontId="16" fillId="5" borderId="12" xfId="0" applyFont="1" applyFill="1" applyBorder="1"/>
    <xf numFmtId="0" fontId="19" fillId="5" borderId="12" xfId="0" applyFont="1" applyFill="1" applyBorder="1"/>
    <xf numFmtId="0" fontId="15" fillId="4" borderId="0" xfId="0" quotePrefix="1" applyFont="1" applyFill="1" applyBorder="1" applyAlignment="1">
      <alignment vertical="top"/>
    </xf>
    <xf numFmtId="0" fontId="15" fillId="4" borderId="0" xfId="0" applyFont="1" applyFill="1" applyBorder="1" applyAlignment="1">
      <alignment vertical="top"/>
    </xf>
    <xf numFmtId="0" fontId="7" fillId="5" borderId="4" xfId="0" applyFont="1" applyFill="1" applyBorder="1" applyAlignment="1">
      <alignment horizontal="left"/>
    </xf>
    <xf numFmtId="0" fontId="7" fillId="5" borderId="4" xfId="0" applyFont="1" applyFill="1" applyBorder="1" applyAlignment="1">
      <alignment horizontal="right"/>
    </xf>
    <xf numFmtId="0" fontId="4" fillId="4" borderId="4" xfId="0" quotePrefix="1" applyFont="1" applyFill="1" applyBorder="1"/>
    <xf numFmtId="0" fontId="7" fillId="11" borderId="4" xfId="0" applyFont="1" applyFill="1" applyBorder="1"/>
    <xf numFmtId="3" fontId="7" fillId="5" borderId="4" xfId="0" applyNumberFormat="1" applyFont="1" applyFill="1" applyBorder="1"/>
    <xf numFmtId="0" fontId="16" fillId="11" borderId="4" xfId="0" applyFont="1" applyFill="1" applyBorder="1" applyAlignment="1">
      <alignment horizontal="left"/>
    </xf>
    <xf numFmtId="0" fontId="16" fillId="11" borderId="4" xfId="0" applyFont="1" applyFill="1" applyBorder="1" applyAlignment="1">
      <alignment horizontal="center"/>
    </xf>
    <xf numFmtId="0" fontId="16" fillId="11" borderId="4" xfId="0" applyFont="1" applyFill="1" applyBorder="1" applyAlignment="1">
      <alignment horizontal="right"/>
    </xf>
    <xf numFmtId="0" fontId="15" fillId="4" borderId="4" xfId="0" applyFont="1" applyFill="1" applyBorder="1"/>
    <xf numFmtId="0" fontId="15" fillId="4" borderId="4" xfId="0" quotePrefix="1" applyFont="1" applyFill="1" applyBorder="1"/>
    <xf numFmtId="0" fontId="16" fillId="11" borderId="4" xfId="0" applyFont="1" applyFill="1" applyBorder="1"/>
    <xf numFmtId="0" fontId="16" fillId="5" borderId="4" xfId="0" applyFont="1" applyFill="1" applyBorder="1"/>
    <xf numFmtId="3" fontId="16" fillId="5" borderId="4" xfId="0" applyNumberFormat="1" applyFont="1" applyFill="1" applyBorder="1"/>
    <xf numFmtId="168" fontId="16" fillId="5" borderId="4" xfId="2" applyNumberFormat="1" applyFont="1" applyFill="1" applyBorder="1"/>
    <xf numFmtId="0" fontId="20" fillId="8" borderId="11" xfId="0" applyFont="1" applyFill="1" applyBorder="1"/>
    <xf numFmtId="0" fontId="21" fillId="8" borderId="0" xfId="0" applyFont="1" applyFill="1"/>
    <xf numFmtId="0" fontId="22" fillId="0" borderId="0" xfId="0" applyFont="1"/>
    <xf numFmtId="0" fontId="22" fillId="0" borderId="0" xfId="0" applyFont="1" applyFill="1"/>
    <xf numFmtId="0" fontId="23" fillId="9" borderId="4" xfId="0" applyFont="1" applyFill="1" applyBorder="1"/>
    <xf numFmtId="0" fontId="22" fillId="6" borderId="0" xfId="0" applyFont="1" applyFill="1"/>
    <xf numFmtId="0" fontId="23" fillId="9" borderId="10" xfId="0" applyFont="1" applyFill="1" applyBorder="1"/>
    <xf numFmtId="0" fontId="25" fillId="7" borderId="0" xfId="0" applyFont="1" applyFill="1" applyBorder="1" applyAlignment="1">
      <alignment horizontal="center" vertical="center" wrapText="1"/>
    </xf>
    <xf numFmtId="0" fontId="23" fillId="9" borderId="5" xfId="0" applyFont="1" applyFill="1" applyBorder="1"/>
    <xf numFmtId="0" fontId="25" fillId="2" borderId="4" xfId="0" applyFont="1" applyFill="1" applyBorder="1" applyAlignment="1">
      <alignment horizontal="center" vertical="center"/>
    </xf>
    <xf numFmtId="0" fontId="26" fillId="7" borderId="0" xfId="0" applyFont="1" applyFill="1" applyBorder="1" applyAlignment="1">
      <alignment horizontal="center" vertical="center"/>
    </xf>
    <xf numFmtId="170" fontId="22" fillId="7" borderId="4" xfId="0" applyNumberFormat="1" applyFont="1" applyFill="1" applyBorder="1" applyAlignment="1">
      <alignment horizontal="left"/>
    </xf>
    <xf numFmtId="170" fontId="22" fillId="7" borderId="4" xfId="0" applyNumberFormat="1" applyFont="1" applyFill="1" applyBorder="1" applyAlignment="1">
      <alignment horizontal="center"/>
    </xf>
    <xf numFmtId="170" fontId="22" fillId="7" borderId="4" xfId="0" applyNumberFormat="1" applyFont="1" applyFill="1" applyBorder="1" applyAlignment="1">
      <alignment horizontal="center" vertical="center"/>
    </xf>
    <xf numFmtId="0" fontId="22" fillId="7" borderId="4" xfId="0" applyFont="1" applyFill="1" applyBorder="1" applyAlignment="1">
      <alignment horizontal="center" vertical="center"/>
    </xf>
    <xf numFmtId="0" fontId="22" fillId="7" borderId="0" xfId="0" applyFont="1" applyFill="1" applyBorder="1" applyAlignment="1">
      <alignment horizontal="center" vertical="center"/>
    </xf>
    <xf numFmtId="170" fontId="22" fillId="3" borderId="4" xfId="0" applyNumberFormat="1" applyFont="1" applyFill="1" applyBorder="1" applyAlignment="1">
      <alignment horizontal="center"/>
    </xf>
    <xf numFmtId="170" fontId="22" fillId="3" borderId="4" xfId="0" applyNumberFormat="1" applyFont="1" applyFill="1" applyBorder="1" applyAlignment="1">
      <alignment horizontal="center" vertical="center"/>
    </xf>
    <xf numFmtId="0" fontId="22" fillId="3" borderId="4" xfId="0" applyFont="1" applyFill="1" applyBorder="1" applyAlignment="1">
      <alignment horizontal="center" vertical="center"/>
    </xf>
    <xf numFmtId="170" fontId="22" fillId="7" borderId="9" xfId="0" applyNumberFormat="1" applyFont="1" applyFill="1" applyBorder="1" applyAlignment="1">
      <alignment horizontal="left"/>
    </xf>
    <xf numFmtId="0" fontId="23" fillId="9" borderId="9" xfId="0" applyFont="1" applyFill="1" applyBorder="1" applyAlignment="1">
      <alignment horizontal="left" vertical="center"/>
    </xf>
    <xf numFmtId="0" fontId="24" fillId="7" borderId="0" xfId="0" applyFont="1" applyFill="1" applyBorder="1" applyAlignment="1">
      <alignment horizontal="left"/>
    </xf>
    <xf numFmtId="0" fontId="20" fillId="8" borderId="5" xfId="0" applyFont="1" applyFill="1" applyBorder="1"/>
    <xf numFmtId="0" fontId="21" fillId="8" borderId="2" xfId="0" applyFont="1" applyFill="1" applyBorder="1"/>
    <xf numFmtId="0" fontId="21" fillId="8" borderId="3" xfId="0" applyFont="1" applyFill="1" applyBorder="1"/>
    <xf numFmtId="0" fontId="22" fillId="7" borderId="0" xfId="0" applyFont="1" applyFill="1" applyBorder="1" applyAlignment="1">
      <alignment horizontal="left" vertical="top" wrapText="1"/>
    </xf>
    <xf numFmtId="0" fontId="20" fillId="8" borderId="0" xfId="0" applyFont="1" applyFill="1"/>
    <xf numFmtId="0" fontId="22" fillId="7" borderId="0" xfId="0" applyFont="1" applyFill="1" applyBorder="1" applyAlignment="1">
      <alignment horizontal="left"/>
    </xf>
    <xf numFmtId="0" fontId="22" fillId="0" borderId="0" xfId="0" applyFont="1" applyAlignment="1">
      <alignment horizontal="left"/>
    </xf>
    <xf numFmtId="0" fontId="22" fillId="7" borderId="0" xfId="0" applyFont="1" applyFill="1" applyBorder="1" applyAlignment="1">
      <alignment horizontal="left" wrapText="1"/>
    </xf>
    <xf numFmtId="0" fontId="22" fillId="0" borderId="0" xfId="0" applyFont="1" applyFill="1" applyBorder="1" applyAlignment="1">
      <alignment horizontal="left"/>
    </xf>
    <xf numFmtId="0" fontId="23" fillId="2" borderId="3" xfId="0" applyFont="1" applyFill="1" applyBorder="1"/>
    <xf numFmtId="0" fontId="22" fillId="7" borderId="0" xfId="0" applyFont="1" applyFill="1" applyAlignment="1">
      <alignment horizontal="left"/>
    </xf>
    <xf numFmtId="0" fontId="23" fillId="2" borderId="1" xfId="0" applyFont="1" applyFill="1" applyBorder="1"/>
    <xf numFmtId="0" fontId="23" fillId="9" borderId="6" xfId="0" applyFont="1" applyFill="1" applyBorder="1" applyAlignment="1">
      <alignment horizontal="left"/>
    </xf>
    <xf numFmtId="0" fontId="23" fillId="9" borderId="7" xfId="0" applyFont="1" applyFill="1" applyBorder="1" applyAlignment="1">
      <alignment horizontal="right"/>
    </xf>
    <xf numFmtId="0" fontId="23" fillId="9" borderId="8" xfId="0" applyFont="1" applyFill="1" applyBorder="1" applyAlignment="1">
      <alignment horizontal="right"/>
    </xf>
    <xf numFmtId="168" fontId="27" fillId="0" borderId="0" xfId="2" applyNumberFormat="1" applyFont="1"/>
    <xf numFmtId="168" fontId="23" fillId="2" borderId="7" xfId="2" applyNumberFormat="1" applyFont="1" applyFill="1" applyBorder="1"/>
    <xf numFmtId="10" fontId="22" fillId="0" borderId="0" xfId="1" applyNumberFormat="1" applyFont="1"/>
    <xf numFmtId="0" fontId="20" fillId="8" borderId="6" xfId="0" applyFont="1" applyFill="1" applyBorder="1" applyAlignment="1">
      <alignment horizontal="left"/>
    </xf>
    <xf numFmtId="0" fontId="24" fillId="0" borderId="0" xfId="0" applyFont="1"/>
    <xf numFmtId="0" fontId="23" fillId="2" borderId="6" xfId="0" applyFont="1" applyFill="1" applyBorder="1" applyAlignment="1">
      <alignment horizontal="left"/>
    </xf>
    <xf numFmtId="0" fontId="23" fillId="2" borderId="7" xfId="0" applyFont="1" applyFill="1" applyBorder="1" applyAlignment="1">
      <alignment horizontal="right"/>
    </xf>
    <xf numFmtId="0" fontId="23" fillId="2" borderId="8" xfId="0" applyFont="1" applyFill="1" applyBorder="1" applyAlignment="1">
      <alignment horizontal="right"/>
    </xf>
    <xf numFmtId="169" fontId="27" fillId="0" borderId="0" xfId="3" applyNumberFormat="1" applyFont="1" applyAlignment="1"/>
    <xf numFmtId="0" fontId="30" fillId="0" borderId="0" xfId="0" applyFont="1"/>
    <xf numFmtId="0" fontId="30" fillId="0" borderId="0" xfId="0" applyFont="1" applyAlignment="1">
      <alignment horizontal="center"/>
    </xf>
    <xf numFmtId="170" fontId="30" fillId="0" borderId="0" xfId="0" applyNumberFormat="1" applyFont="1" applyAlignment="1">
      <alignment horizontal="center"/>
    </xf>
    <xf numFmtId="0" fontId="31" fillId="8" borderId="8" xfId="0" applyFont="1" applyFill="1" applyBorder="1" applyAlignment="1"/>
    <xf numFmtId="0" fontId="31" fillId="8" borderId="0" xfId="0" applyFont="1" applyFill="1" applyBorder="1" applyAlignment="1"/>
    <xf numFmtId="0" fontId="32" fillId="8" borderId="8" xfId="0" applyNumberFormat="1" applyFont="1" applyFill="1" applyBorder="1" applyAlignment="1">
      <alignment horizontal="left"/>
    </xf>
    <xf numFmtId="0" fontId="31" fillId="8" borderId="0" xfId="0" applyFont="1" applyFill="1" applyAlignment="1">
      <alignment horizontal="center"/>
    </xf>
    <xf numFmtId="0" fontId="31" fillId="0" borderId="0" xfId="0" applyFont="1" applyFill="1" applyAlignment="1">
      <alignment horizontal="left"/>
    </xf>
    <xf numFmtId="0" fontId="31" fillId="0" borderId="0" xfId="0" applyFont="1" applyFill="1" applyAlignment="1">
      <alignment horizontal="center"/>
    </xf>
    <xf numFmtId="0" fontId="30" fillId="0" borderId="0" xfId="0" applyFont="1" applyFill="1"/>
    <xf numFmtId="0" fontId="31" fillId="8" borderId="9" xfId="0" applyFont="1" applyFill="1" applyBorder="1" applyAlignment="1">
      <alignment horizontal="center" vertical="center"/>
    </xf>
    <xf numFmtId="0" fontId="31" fillId="8" borderId="9" xfId="0" applyFont="1" applyFill="1" applyBorder="1" applyAlignment="1">
      <alignment horizontal="center" vertical="center" wrapText="1"/>
    </xf>
    <xf numFmtId="2" fontId="31" fillId="8" borderId="9" xfId="0" applyNumberFormat="1" applyFont="1" applyFill="1" applyBorder="1" applyAlignment="1">
      <alignment horizontal="center" vertical="center" wrapText="1"/>
    </xf>
    <xf numFmtId="0" fontId="30" fillId="0" borderId="8" xfId="0" applyFont="1" applyBorder="1"/>
    <xf numFmtId="0" fontId="34" fillId="10" borderId="4" xfId="0" applyFont="1" applyFill="1" applyBorder="1" applyAlignment="1">
      <alignment horizontal="left" vertical="center"/>
    </xf>
    <xf numFmtId="0" fontId="34" fillId="10" borderId="4" xfId="0" applyFont="1" applyFill="1" applyBorder="1" applyAlignment="1">
      <alignment horizontal="center"/>
    </xf>
    <xf numFmtId="2" fontId="34" fillId="10" borderId="8" xfId="3" applyNumberFormat="1" applyFont="1" applyFill="1" applyBorder="1" applyAlignment="1">
      <alignment horizontal="center"/>
    </xf>
    <xf numFmtId="10" fontId="34" fillId="10" borderId="13" xfId="0" applyNumberFormat="1" applyFont="1" applyFill="1" applyBorder="1" applyAlignment="1">
      <alignment horizontal="center"/>
    </xf>
    <xf numFmtId="4" fontId="34" fillId="10" borderId="13" xfId="0" applyNumberFormat="1" applyFont="1" applyFill="1" applyBorder="1" applyAlignment="1">
      <alignment horizontal="center"/>
    </xf>
    <xf numFmtId="2" fontId="34" fillId="10" borderId="10" xfId="0" applyNumberFormat="1" applyFont="1" applyFill="1" applyBorder="1" applyAlignment="1">
      <alignment horizontal="center"/>
    </xf>
    <xf numFmtId="170" fontId="34" fillId="10" borderId="4" xfId="0" applyNumberFormat="1" applyFont="1" applyFill="1" applyBorder="1" applyAlignment="1">
      <alignment horizontal="center"/>
    </xf>
    <xf numFmtId="170" fontId="34" fillId="10" borderId="10" xfId="0" applyNumberFormat="1" applyFont="1" applyFill="1" applyBorder="1" applyAlignment="1">
      <alignment horizontal="center"/>
    </xf>
    <xf numFmtId="2" fontId="33" fillId="11" borderId="4" xfId="0" applyNumberFormat="1" applyFont="1" applyFill="1" applyBorder="1" applyAlignment="1">
      <alignment horizontal="center"/>
    </xf>
    <xf numFmtId="0" fontId="35" fillId="0" borderId="0" xfId="0" applyFont="1"/>
    <xf numFmtId="0" fontId="35" fillId="0" borderId="0" xfId="0" applyFont="1" applyAlignment="1">
      <alignment horizontal="center"/>
    </xf>
    <xf numFmtId="0" fontId="35" fillId="0" borderId="2" xfId="0" applyFont="1" applyBorder="1"/>
    <xf numFmtId="0" fontId="35" fillId="0" borderId="1" xfId="0" applyFont="1" applyBorder="1"/>
    <xf numFmtId="170" fontId="35" fillId="0" borderId="1" xfId="0" applyNumberFormat="1" applyFont="1" applyBorder="1" applyAlignment="1">
      <alignment horizontal="center"/>
    </xf>
    <xf numFmtId="0" fontId="30" fillId="0" borderId="11" xfId="0" applyFont="1" applyBorder="1"/>
    <xf numFmtId="2" fontId="34" fillId="10" borderId="4" xfId="0" applyNumberFormat="1" applyFont="1" applyFill="1" applyBorder="1" applyAlignment="1">
      <alignment horizontal="center"/>
    </xf>
    <xf numFmtId="0" fontId="34" fillId="10" borderId="2" xfId="0" applyFont="1" applyFill="1" applyBorder="1" applyAlignment="1">
      <alignment horizontal="center"/>
    </xf>
    <xf numFmtId="2" fontId="33" fillId="11" borderId="9" xfId="0" applyNumberFormat="1" applyFont="1" applyFill="1" applyBorder="1"/>
    <xf numFmtId="170" fontId="33" fillId="11" borderId="4" xfId="0" applyNumberFormat="1" applyFont="1" applyFill="1" applyBorder="1" applyAlignment="1">
      <alignment horizontal="center"/>
    </xf>
    <xf numFmtId="10" fontId="34" fillId="10" borderId="4" xfId="0" applyNumberFormat="1" applyFont="1" applyFill="1" applyBorder="1" applyAlignment="1">
      <alignment horizontal="center"/>
    </xf>
    <xf numFmtId="0" fontId="34" fillId="10" borderId="1" xfId="0" applyFont="1" applyFill="1" applyBorder="1" applyAlignment="1">
      <alignment horizontal="left" vertical="center" wrapText="1"/>
    </xf>
    <xf numFmtId="0" fontId="34" fillId="10" borderId="9" xfId="0" applyFont="1" applyFill="1" applyBorder="1" applyAlignment="1">
      <alignment horizontal="center"/>
    </xf>
    <xf numFmtId="0" fontId="34" fillId="10" borderId="14" xfId="0" applyFont="1" applyFill="1" applyBorder="1" applyAlignment="1">
      <alignment horizontal="center"/>
    </xf>
    <xf numFmtId="2" fontId="34" fillId="11" borderId="9" xfId="0" applyNumberFormat="1" applyFont="1" applyFill="1" applyBorder="1"/>
    <xf numFmtId="0" fontId="30" fillId="0" borderId="15" xfId="0" applyFont="1" applyBorder="1"/>
    <xf numFmtId="0" fontId="30" fillId="0" borderId="16" xfId="0" applyFont="1" applyBorder="1" applyAlignment="1">
      <alignment horizontal="center"/>
    </xf>
    <xf numFmtId="0" fontId="30" fillId="0" borderId="16" xfId="0" applyFont="1" applyBorder="1"/>
    <xf numFmtId="0" fontId="30" fillId="0" borderId="17" xfId="0" applyFont="1" applyBorder="1" applyAlignment="1">
      <alignment horizontal="left"/>
    </xf>
    <xf numFmtId="0" fontId="30" fillId="0" borderId="0" xfId="0" applyFont="1" applyBorder="1" applyAlignment="1">
      <alignment horizontal="center"/>
    </xf>
    <xf numFmtId="0" fontId="30" fillId="0" borderId="0" xfId="0" applyFont="1" applyBorder="1"/>
    <xf numFmtId="0" fontId="30" fillId="0" borderId="17" xfId="0" applyFont="1" applyBorder="1"/>
    <xf numFmtId="0" fontId="30" fillId="0" borderId="18" xfId="0" applyFont="1" applyBorder="1"/>
    <xf numFmtId="0" fontId="30" fillId="0" borderId="19" xfId="0" applyFont="1" applyBorder="1" applyAlignment="1">
      <alignment horizontal="center"/>
    </xf>
    <xf numFmtId="0" fontId="30" fillId="0" borderId="19" xfId="0" applyFont="1" applyBorder="1"/>
    <xf numFmtId="0" fontId="36" fillId="0" borderId="0" xfId="0" applyFont="1"/>
    <xf numFmtId="10" fontId="36" fillId="0" borderId="0" xfId="1" applyNumberFormat="1" applyFont="1"/>
    <xf numFmtId="10" fontId="36" fillId="0" borderId="0" xfId="0" applyNumberFormat="1" applyFont="1"/>
    <xf numFmtId="0" fontId="37" fillId="0" borderId="0" xfId="0" applyFont="1"/>
    <xf numFmtId="167" fontId="39" fillId="13" borderId="4" xfId="3" applyFont="1" applyFill="1" applyBorder="1" applyAlignment="1">
      <alignment horizontal="left"/>
    </xf>
    <xf numFmtId="167" fontId="39" fillId="13" borderId="4" xfId="3" applyFont="1" applyFill="1" applyBorder="1" applyAlignment="1">
      <alignment horizontal="center"/>
    </xf>
    <xf numFmtId="167" fontId="40" fillId="5" borderId="4" xfId="3" applyFont="1" applyFill="1" applyBorder="1" applyAlignment="1">
      <alignment horizontal="left" indent="2"/>
    </xf>
    <xf numFmtId="167" fontId="40" fillId="5" borderId="4" xfId="3" applyFont="1" applyFill="1" applyBorder="1"/>
    <xf numFmtId="173" fontId="40" fillId="5" borderId="4" xfId="3" applyNumberFormat="1" applyFont="1" applyFill="1" applyBorder="1"/>
    <xf numFmtId="167" fontId="38" fillId="5" borderId="4" xfId="3" applyFont="1" applyFill="1" applyBorder="1"/>
    <xf numFmtId="173" fontId="38" fillId="5" borderId="4" xfId="3" applyNumberFormat="1" applyFont="1" applyFill="1" applyBorder="1"/>
    <xf numFmtId="0" fontId="38" fillId="5" borderId="5" xfId="0" applyFont="1" applyFill="1" applyBorder="1"/>
    <xf numFmtId="0" fontId="38" fillId="5" borderId="0" xfId="0" applyFont="1" applyFill="1" applyBorder="1"/>
    <xf numFmtId="0" fontId="41" fillId="0" borderId="0" xfId="0" applyFont="1"/>
    <xf numFmtId="0" fontId="42" fillId="0" borderId="8" xfId="0" applyFont="1" applyFill="1" applyBorder="1"/>
    <xf numFmtId="0" fontId="43" fillId="4" borderId="5" xfId="0" applyFont="1" applyFill="1" applyBorder="1"/>
    <xf numFmtId="0" fontId="38" fillId="4" borderId="5" xfId="0" applyFont="1" applyFill="1" applyBorder="1"/>
    <xf numFmtId="0" fontId="38" fillId="4" borderId="5" xfId="0" applyFont="1" applyFill="1" applyBorder="1" applyAlignment="1"/>
    <xf numFmtId="0" fontId="38" fillId="4" borderId="2" xfId="0" applyFont="1" applyFill="1" applyBorder="1" applyAlignment="1"/>
    <xf numFmtId="0" fontId="40" fillId="4" borderId="4" xfId="0" applyFont="1" applyFill="1" applyBorder="1" applyAlignment="1">
      <alignment horizontal="left"/>
    </xf>
    <xf numFmtId="167" fontId="44" fillId="10" borderId="4" xfId="3" applyFont="1" applyFill="1" applyBorder="1"/>
    <xf numFmtId="167" fontId="40" fillId="10" borderId="4" xfId="3" applyFont="1" applyFill="1" applyBorder="1"/>
    <xf numFmtId="167" fontId="38" fillId="5" borderId="4" xfId="3" applyFont="1" applyFill="1" applyBorder="1" applyAlignment="1">
      <alignment horizontal="left"/>
    </xf>
    <xf numFmtId="0" fontId="38" fillId="4" borderId="4" xfId="0" applyFont="1" applyFill="1" applyBorder="1" applyAlignment="1">
      <alignment horizontal="left"/>
    </xf>
    <xf numFmtId="167" fontId="45" fillId="10" borderId="4" xfId="3" applyFont="1" applyFill="1" applyBorder="1"/>
    <xf numFmtId="167" fontId="38" fillId="10" borderId="4" xfId="3" applyFont="1" applyFill="1" applyBorder="1"/>
    <xf numFmtId="0" fontId="40" fillId="4" borderId="7" xfId="0" applyFont="1" applyFill="1" applyBorder="1" applyAlignment="1">
      <alignment horizontal="left"/>
    </xf>
    <xf numFmtId="173" fontId="40" fillId="10" borderId="4" xfId="3" applyNumberFormat="1" applyFont="1" applyFill="1" applyBorder="1"/>
    <xf numFmtId="0" fontId="2" fillId="4" borderId="3" xfId="0" applyFont="1" applyFill="1" applyBorder="1" applyAlignment="1">
      <alignment horizontal="left" indent="1"/>
    </xf>
    <xf numFmtId="0" fontId="6" fillId="4" borderId="3" xfId="0" applyFont="1" applyFill="1" applyBorder="1"/>
    <xf numFmtId="168" fontId="6" fillId="10" borderId="5" xfId="2" applyNumberFormat="1" applyFont="1" applyFill="1" applyBorder="1" applyAlignment="1">
      <alignment horizontal="center"/>
    </xf>
    <xf numFmtId="10" fontId="34" fillId="10" borderId="10" xfId="1" applyNumberFormat="1" applyFont="1" applyFill="1" applyBorder="1" applyAlignment="1">
      <alignment horizontal="center" vertical="center"/>
    </xf>
    <xf numFmtId="10" fontId="4" fillId="10" borderId="10" xfId="1" applyNumberFormat="1" applyFont="1" applyFill="1" applyBorder="1" applyAlignment="1">
      <alignment horizontal="center" vertical="center"/>
    </xf>
    <xf numFmtId="10" fontId="4" fillId="10" borderId="4" xfId="1" applyNumberFormat="1" applyFont="1" applyFill="1" applyBorder="1" applyAlignment="1">
      <alignment horizontal="center" vertical="center"/>
    </xf>
    <xf numFmtId="170" fontId="22" fillId="7" borderId="4" xfId="0" applyNumberFormat="1" applyFont="1" applyFill="1" applyBorder="1" applyAlignment="1">
      <alignment horizontal="left" wrapText="1"/>
    </xf>
    <xf numFmtId="10" fontId="22" fillId="3" borderId="2" xfId="1" applyNumberFormat="1" applyFont="1" applyFill="1" applyBorder="1" applyAlignment="1">
      <alignment horizontal="center"/>
    </xf>
    <xf numFmtId="170" fontId="22" fillId="3" borderId="2" xfId="0" applyNumberFormat="1" applyFont="1" applyFill="1" applyBorder="1" applyAlignment="1">
      <alignment horizontal="center" vertical="center"/>
    </xf>
    <xf numFmtId="170" fontId="22" fillId="3" borderId="3" xfId="0" applyNumberFormat="1" applyFont="1" applyFill="1" applyBorder="1" applyAlignment="1">
      <alignment horizontal="center" vertical="center"/>
    </xf>
    <xf numFmtId="10" fontId="34" fillId="10" borderId="13" xfId="1" applyNumberFormat="1" applyFont="1" applyFill="1" applyBorder="1" applyAlignment="1">
      <alignment horizontal="center" vertical="center"/>
    </xf>
    <xf numFmtId="10" fontId="22" fillId="3" borderId="4" xfId="1" applyNumberFormat="1" applyFont="1" applyFill="1" applyBorder="1" applyAlignment="1">
      <alignment horizontal="center" wrapText="1"/>
    </xf>
    <xf numFmtId="170" fontId="22" fillId="7" borderId="5" xfId="0" applyNumberFormat="1" applyFont="1" applyFill="1" applyBorder="1" applyAlignment="1">
      <alignment horizontal="left" vertical="center" wrapText="1"/>
    </xf>
    <xf numFmtId="10" fontId="22" fillId="3" borderId="2" xfId="1" applyNumberFormat="1" applyFont="1" applyFill="1" applyBorder="1" applyAlignment="1">
      <alignment horizontal="center" vertical="center" wrapText="1"/>
    </xf>
    <xf numFmtId="10" fontId="34" fillId="10" borderId="13" xfId="0" applyNumberFormat="1" applyFont="1" applyFill="1" applyBorder="1" applyAlignment="1">
      <alignment horizontal="center" vertical="center"/>
    </xf>
    <xf numFmtId="0" fontId="46" fillId="9" borderId="4" xfId="0" applyFont="1" applyFill="1" applyBorder="1" applyAlignment="1">
      <alignment horizontal="center" vertical="center"/>
    </xf>
    <xf numFmtId="170" fontId="22" fillId="7" borderId="5" xfId="0" applyNumberFormat="1" applyFont="1" applyFill="1" applyBorder="1" applyAlignment="1">
      <alignment vertical="center" wrapText="1"/>
    </xf>
    <xf numFmtId="170" fontId="22" fillId="7" borderId="5" xfId="0" applyNumberFormat="1" applyFont="1" applyFill="1" applyBorder="1" applyAlignment="1">
      <alignment wrapText="1"/>
    </xf>
    <xf numFmtId="0" fontId="7" fillId="2" borderId="6" xfId="0" applyFont="1" applyFill="1" applyBorder="1"/>
    <xf numFmtId="171" fontId="9" fillId="0" borderId="0" xfId="1" applyNumberFormat="1" applyFont="1" applyFill="1"/>
    <xf numFmtId="2" fontId="33" fillId="11" borderId="9" xfId="0" applyNumberFormat="1" applyFont="1" applyFill="1" applyBorder="1" applyAlignment="1">
      <alignment horizontal="center"/>
    </xf>
    <xf numFmtId="4" fontId="7" fillId="10" borderId="13" xfId="0" applyNumberFormat="1" applyFont="1" applyFill="1" applyBorder="1" applyAlignment="1">
      <alignment horizontal="center"/>
    </xf>
    <xf numFmtId="10" fontId="7" fillId="10" borderId="10" xfId="1" applyNumberFormat="1" applyFont="1" applyFill="1" applyBorder="1" applyAlignment="1">
      <alignment horizontal="center" vertical="center" wrapText="1"/>
    </xf>
    <xf numFmtId="10" fontId="7" fillId="10" borderId="5" xfId="1" applyNumberFormat="1" applyFont="1" applyFill="1" applyBorder="1" applyAlignment="1">
      <alignment horizontal="center" vertical="center" wrapText="1"/>
    </xf>
    <xf numFmtId="2" fontId="7" fillId="11" borderId="9" xfId="0" applyNumberFormat="1" applyFont="1" applyFill="1" applyBorder="1" applyAlignment="1">
      <alignment horizontal="center"/>
    </xf>
    <xf numFmtId="170" fontId="31" fillId="8" borderId="9" xfId="0" applyNumberFormat="1" applyFont="1" applyFill="1" applyBorder="1" applyAlignment="1">
      <alignment horizontal="center" vertical="center" wrapText="1"/>
    </xf>
    <xf numFmtId="0" fontId="34" fillId="10" borderId="13" xfId="0" applyFont="1" applyFill="1" applyBorder="1" applyAlignment="1">
      <alignment horizontal="left" vertical="center"/>
    </xf>
    <xf numFmtId="0" fontId="34" fillId="10" borderId="13" xfId="0" applyFont="1" applyFill="1" applyBorder="1" applyAlignment="1">
      <alignment horizontal="center"/>
    </xf>
    <xf numFmtId="170" fontId="33" fillId="9" borderId="2" xfId="0" applyNumberFormat="1" applyFont="1" applyFill="1" applyBorder="1" applyAlignment="1"/>
    <xf numFmtId="170" fontId="33" fillId="9" borderId="3" xfId="0" applyNumberFormat="1" applyFont="1" applyFill="1" applyBorder="1" applyAlignment="1">
      <alignment horizontal="left"/>
    </xf>
    <xf numFmtId="0" fontId="4" fillId="10" borderId="4" xfId="0" applyFont="1" applyFill="1" applyBorder="1" applyAlignment="1">
      <alignment horizontal="left" vertical="center"/>
    </xf>
    <xf numFmtId="173" fontId="40" fillId="11" borderId="4" xfId="3" applyNumberFormat="1" applyFont="1" applyFill="1" applyBorder="1"/>
    <xf numFmtId="173" fontId="38" fillId="11" borderId="4" xfId="3" applyNumberFormat="1" applyFont="1" applyFill="1" applyBorder="1"/>
    <xf numFmtId="168"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3" fontId="6" fillId="11" borderId="4" xfId="0" applyNumberFormat="1" applyFont="1" applyFill="1" applyBorder="1"/>
    <xf numFmtId="0" fontId="22" fillId="2" borderId="5" xfId="0" applyFont="1" applyFill="1" applyBorder="1" applyAlignment="1"/>
    <xf numFmtId="0" fontId="22" fillId="2" borderId="2" xfId="0" applyFont="1" applyFill="1" applyBorder="1" applyAlignment="1"/>
    <xf numFmtId="0" fontId="25" fillId="9" borderId="2" xfId="0" applyFont="1" applyFill="1" applyBorder="1" applyAlignment="1">
      <alignment horizontal="center" vertical="center" wrapText="1"/>
    </xf>
    <xf numFmtId="0" fontId="25" fillId="9" borderId="3" xfId="0" applyFont="1" applyFill="1" applyBorder="1" applyAlignment="1">
      <alignment horizontal="center" vertical="center" wrapText="1"/>
    </xf>
    <xf numFmtId="168" fontId="17" fillId="11" borderId="4" xfId="2" applyNumberFormat="1" applyFont="1" applyFill="1" applyBorder="1"/>
    <xf numFmtId="3" fontId="17" fillId="11" borderId="4" xfId="0" applyNumberFormat="1" applyFont="1" applyFill="1" applyBorder="1"/>
    <xf numFmtId="0" fontId="7" fillId="5" borderId="5" xfId="0" applyFont="1" applyFill="1" applyBorder="1"/>
    <xf numFmtId="0" fontId="7" fillId="5" borderId="2" xfId="0" applyFont="1" applyFill="1" applyBorder="1"/>
    <xf numFmtId="3" fontId="7" fillId="5" borderId="5" xfId="0" applyNumberFormat="1" applyFont="1" applyFill="1" applyBorder="1"/>
    <xf numFmtId="0" fontId="23" fillId="2" borderId="4" xfId="0" applyFont="1" applyFill="1" applyBorder="1" applyAlignment="1">
      <alignment horizontal="left"/>
    </xf>
    <xf numFmtId="172" fontId="23" fillId="2" borderId="4" xfId="2" applyNumberFormat="1" applyFont="1" applyFill="1" applyBorder="1" applyAlignment="1"/>
    <xf numFmtId="10" fontId="2" fillId="3" borderId="4" xfId="1" applyNumberFormat="1" applyFont="1" applyFill="1" applyBorder="1" applyAlignment="1">
      <alignment horizontal="center" vertical="center" wrapText="1"/>
    </xf>
    <xf numFmtId="0" fontId="2" fillId="10" borderId="4" xfId="0" applyFont="1" applyFill="1" applyBorder="1" applyAlignment="1">
      <alignment wrapText="1"/>
    </xf>
    <xf numFmtId="0" fontId="4" fillId="10" borderId="4" xfId="0" applyFont="1" applyFill="1" applyBorder="1" applyAlignment="1">
      <alignment horizontal="left" vertical="center" wrapText="1"/>
    </xf>
    <xf numFmtId="170" fontId="7" fillId="9" borderId="5" xfId="0" applyNumberFormat="1" applyFont="1" applyFill="1" applyBorder="1" applyAlignment="1"/>
    <xf numFmtId="0" fontId="2" fillId="0" borderId="17" xfId="0" applyFont="1" applyBorder="1" applyAlignment="1">
      <alignment horizontal="left"/>
    </xf>
    <xf numFmtId="0" fontId="24" fillId="7" borderId="10" xfId="0" applyNumberFormat="1" applyFont="1" applyFill="1" applyBorder="1" applyAlignment="1">
      <alignment horizontal="left" wrapText="1"/>
    </xf>
    <xf numFmtId="0" fontId="24" fillId="7" borderId="1" xfId="0" applyNumberFormat="1" applyFont="1" applyFill="1" applyBorder="1" applyAlignment="1">
      <alignment horizontal="left" wrapText="1"/>
    </xf>
    <xf numFmtId="0" fontId="22" fillId="7" borderId="0" xfId="0" applyFont="1" applyFill="1" applyBorder="1" applyAlignment="1">
      <alignment horizontal="left" wrapText="1"/>
    </xf>
    <xf numFmtId="0" fontId="2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9" borderId="9" xfId="0" applyFont="1" applyFill="1" applyBorder="1" applyAlignment="1">
      <alignment horizontal="left" vertical="center"/>
    </xf>
    <xf numFmtId="0" fontId="23" fillId="9" borderId="13" xfId="0" applyFont="1" applyFill="1" applyBorder="1" applyAlignment="1">
      <alignment horizontal="left" vertical="center"/>
    </xf>
    <xf numFmtId="170" fontId="27" fillId="7" borderId="5" xfId="0" applyNumberFormat="1" applyFont="1" applyFill="1" applyBorder="1" applyAlignment="1">
      <alignment horizontal="left"/>
    </xf>
    <xf numFmtId="170" fontId="27" fillId="7" borderId="2" xfId="0" applyNumberFormat="1" applyFont="1" applyFill="1" applyBorder="1" applyAlignment="1">
      <alignment horizontal="left"/>
    </xf>
    <xf numFmtId="170" fontId="27" fillId="7" borderId="3" xfId="0" applyNumberFormat="1" applyFont="1" applyFill="1" applyBorder="1" applyAlignment="1">
      <alignment horizontal="left"/>
    </xf>
    <xf numFmtId="0" fontId="23" fillId="9" borderId="7" xfId="0" applyFont="1" applyFill="1" applyBorder="1" applyAlignment="1">
      <alignment horizontal="left" vertical="center"/>
    </xf>
    <xf numFmtId="0" fontId="22" fillId="7" borderId="1" xfId="0" applyFont="1" applyFill="1" applyBorder="1" applyAlignment="1">
      <alignment horizontal="left" wrapText="1"/>
    </xf>
    <xf numFmtId="0" fontId="22" fillId="7" borderId="0" xfId="0" quotePrefix="1" applyFont="1" applyFill="1" applyBorder="1" applyAlignment="1">
      <alignment horizontal="left" vertical="top" wrapText="1"/>
    </xf>
    <xf numFmtId="0" fontId="22"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15" fillId="4" borderId="1" xfId="0" quotePrefix="1" applyFont="1" applyFill="1" applyBorder="1" applyAlignment="1">
      <alignment horizontal="left" vertical="top" wrapText="1"/>
    </xf>
    <xf numFmtId="0" fontId="15" fillId="4" borderId="0" xfId="0" quotePrefix="1" applyFont="1" applyFill="1" applyBorder="1" applyAlignment="1">
      <alignment horizontal="left" vertical="top" wrapText="1"/>
    </xf>
    <xf numFmtId="0" fontId="33" fillId="11" borderId="5" xfId="0" applyFont="1" applyFill="1" applyBorder="1" applyAlignment="1">
      <alignment horizontal="left" vertical="center"/>
    </xf>
    <xf numFmtId="0" fontId="33" fillId="11" borderId="2" xfId="0" applyFont="1" applyFill="1" applyBorder="1" applyAlignment="1">
      <alignment horizontal="left" vertical="center"/>
    </xf>
    <xf numFmtId="0" fontId="33" fillId="11" borderId="3" xfId="0" applyFont="1" applyFill="1" applyBorder="1" applyAlignment="1">
      <alignment horizontal="left" vertical="center"/>
    </xf>
    <xf numFmtId="0" fontId="5" fillId="14" borderId="0" xfId="0" applyFont="1" applyFill="1" applyBorder="1" applyAlignment="1">
      <alignment horizontal="center"/>
    </xf>
    <xf numFmtId="2" fontId="5" fillId="15" borderId="0" xfId="0" applyNumberFormat="1" applyFont="1" applyFill="1" applyAlignment="1">
      <alignment horizontal="center"/>
    </xf>
    <xf numFmtId="0" fontId="38" fillId="4" borderId="5" xfId="0" applyFont="1" applyFill="1" applyBorder="1" applyAlignment="1">
      <alignment horizontal="center"/>
    </xf>
    <xf numFmtId="0" fontId="38" fillId="4" borderId="2" xfId="0" applyFont="1" applyFill="1" applyBorder="1" applyAlignment="1">
      <alignment horizontal="center"/>
    </xf>
    <xf numFmtId="10" fontId="37" fillId="12" borderId="12" xfId="0" applyNumberFormat="1"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4" fillId="5" borderId="2" xfId="0" applyFont="1" applyFill="1" applyBorder="1"/>
    <xf numFmtId="0" fontId="4" fillId="5" borderId="3" xfId="0" applyFont="1" applyFill="1" applyBorder="1"/>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2" fontId="34" fillId="10" borderId="8" xfId="0" applyNumberFormat="1" applyFont="1" applyFill="1" applyBorder="1" applyAlignment="1">
      <alignment horizontal="center"/>
    </xf>
    <xf numFmtId="170" fontId="34" fillId="10" borderId="13" xfId="0" applyNumberFormat="1" applyFont="1" applyFill="1" applyBorder="1" applyAlignment="1">
      <alignment horizontal="center"/>
    </xf>
    <xf numFmtId="170" fontId="33" fillId="9" borderId="5" xfId="0" applyNumberFormat="1" applyFont="1" applyFill="1" applyBorder="1" applyAlignment="1"/>
    <xf numFmtId="167" fontId="45" fillId="5" borderId="4" xfId="3" applyFont="1" applyFill="1" applyBorder="1"/>
    <xf numFmtId="167" fontId="6"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BFBFBF"/>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7"/>
  <sheetViews>
    <sheetView showGridLines="0" tabSelected="1" zoomScaleNormal="100" workbookViewId="0">
      <selection activeCell="H67" sqref="H67"/>
    </sheetView>
  </sheetViews>
  <sheetFormatPr defaultColWidth="9.140625" defaultRowHeight="12.75" x14ac:dyDescent="0.2"/>
  <cols>
    <col min="1" max="1" width="2.42578125" style="93" customWidth="1"/>
    <col min="2" max="2" width="41.85546875" style="93" customWidth="1"/>
    <col min="3" max="3" width="29.85546875" style="93" customWidth="1"/>
    <col min="4" max="4" width="14.28515625" style="93" customWidth="1"/>
    <col min="5" max="5" width="13.85546875" style="93" customWidth="1"/>
    <col min="6" max="6" width="14" style="93" customWidth="1"/>
    <col min="7" max="7" width="12.85546875" style="93" customWidth="1"/>
    <col min="8" max="8" width="13.28515625" style="93" customWidth="1"/>
    <col min="9" max="9" width="11.5703125" style="93" customWidth="1"/>
    <col min="10" max="16384" width="9.140625" style="93"/>
  </cols>
  <sheetData>
    <row r="2" spans="2:19" x14ac:dyDescent="0.2">
      <c r="B2" s="91" t="s">
        <v>7</v>
      </c>
      <c r="C2" s="92"/>
      <c r="D2" s="92"/>
      <c r="E2" s="92"/>
      <c r="F2" s="92"/>
      <c r="G2" s="92"/>
      <c r="H2" s="92"/>
      <c r="O2" s="94"/>
      <c r="P2" s="94"/>
      <c r="Q2" s="94"/>
      <c r="R2" s="94"/>
      <c r="S2" s="94"/>
    </row>
    <row r="3" spans="2:19" ht="75.75" customHeight="1" x14ac:dyDescent="0.2">
      <c r="B3" s="95" t="s">
        <v>51</v>
      </c>
      <c r="C3" s="266" t="s">
        <v>62</v>
      </c>
      <c r="D3" s="267"/>
      <c r="E3" s="267"/>
      <c r="F3" s="267"/>
      <c r="G3" s="267"/>
      <c r="H3" s="267"/>
      <c r="M3" s="96"/>
      <c r="N3" s="96"/>
      <c r="O3" s="94"/>
      <c r="P3" s="94"/>
      <c r="Q3" s="94"/>
      <c r="R3" s="94"/>
      <c r="S3" s="94"/>
    </row>
    <row r="4" spans="2:19" ht="55.5" customHeight="1" x14ac:dyDescent="0.2">
      <c r="B4" s="97"/>
      <c r="C4" s="250"/>
      <c r="D4" s="251"/>
      <c r="E4" s="252"/>
      <c r="F4" s="253"/>
      <c r="G4" s="98"/>
      <c r="H4" s="98"/>
      <c r="M4" s="96"/>
      <c r="N4" s="96"/>
      <c r="O4" s="94"/>
      <c r="P4" s="94"/>
      <c r="Q4" s="94"/>
      <c r="R4" s="94"/>
      <c r="S4" s="94"/>
    </row>
    <row r="5" spans="2:19" x14ac:dyDescent="0.2">
      <c r="B5" s="99" t="s">
        <v>12</v>
      </c>
      <c r="C5" s="100"/>
      <c r="D5" s="228" t="s">
        <v>84</v>
      </c>
      <c r="E5" s="228" t="s">
        <v>85</v>
      </c>
      <c r="F5" s="228" t="s">
        <v>88</v>
      </c>
      <c r="G5" s="101"/>
      <c r="H5" s="101"/>
      <c r="M5" s="96"/>
      <c r="N5" s="96"/>
      <c r="O5" s="94"/>
      <c r="P5" s="94"/>
      <c r="Q5" s="94"/>
      <c r="R5" s="94"/>
      <c r="S5" s="94"/>
    </row>
    <row r="6" spans="2:19" x14ac:dyDescent="0.2">
      <c r="B6" s="271" t="s">
        <v>38</v>
      </c>
      <c r="C6" s="102" t="s">
        <v>82</v>
      </c>
      <c r="D6" s="103">
        <v>137.38999999999999</v>
      </c>
      <c r="E6" s="104" t="s">
        <v>90</v>
      </c>
      <c r="F6" s="105" t="s">
        <v>90</v>
      </c>
      <c r="G6" s="106"/>
      <c r="H6" s="106"/>
      <c r="M6" s="96"/>
      <c r="N6" s="96"/>
      <c r="O6" s="94"/>
      <c r="P6" s="94"/>
      <c r="Q6" s="94"/>
      <c r="R6" s="94"/>
      <c r="S6" s="94"/>
    </row>
    <row r="7" spans="2:19" x14ac:dyDescent="0.2">
      <c r="B7" s="272"/>
      <c r="C7" s="102" t="s">
        <v>83</v>
      </c>
      <c r="D7" s="103" t="s">
        <v>90</v>
      </c>
      <c r="E7" s="104">
        <v>2</v>
      </c>
      <c r="F7" s="105" t="s">
        <v>90</v>
      </c>
      <c r="G7" s="106"/>
      <c r="H7" s="106"/>
      <c r="M7" s="96"/>
      <c r="N7" s="96"/>
      <c r="O7" s="94"/>
      <c r="P7" s="94"/>
      <c r="Q7" s="94"/>
      <c r="R7" s="94"/>
      <c r="S7" s="94"/>
    </row>
    <row r="8" spans="2:19" ht="15" customHeight="1" x14ac:dyDescent="0.2">
      <c r="B8" s="271" t="s">
        <v>165</v>
      </c>
      <c r="C8" s="102" t="s">
        <v>89</v>
      </c>
      <c r="D8" s="107">
        <f>'Proposed Fee'!Q22</f>
        <v>178.58346320213872</v>
      </c>
      <c r="E8" s="108" t="s">
        <v>90</v>
      </c>
      <c r="F8" s="109" t="s">
        <v>90</v>
      </c>
      <c r="G8" s="106"/>
      <c r="H8" s="106"/>
      <c r="M8" s="96"/>
      <c r="N8" s="96"/>
      <c r="O8" s="94"/>
      <c r="P8" s="94"/>
      <c r="Q8" s="94"/>
      <c r="R8" s="94"/>
      <c r="S8" s="94"/>
    </row>
    <row r="9" spans="2:19" x14ac:dyDescent="0.2">
      <c r="B9" s="276"/>
      <c r="C9" s="102" t="s">
        <v>82</v>
      </c>
      <c r="D9" s="107">
        <f>'Proposed Fee'!Q8</f>
        <v>172.20213351936337</v>
      </c>
      <c r="E9" s="109" t="s">
        <v>90</v>
      </c>
      <c r="F9" s="109" t="s">
        <v>90</v>
      </c>
      <c r="G9" s="106"/>
      <c r="H9" s="106"/>
      <c r="O9" s="94"/>
      <c r="P9" s="94"/>
      <c r="Q9" s="94"/>
      <c r="R9" s="94"/>
      <c r="S9" s="94"/>
    </row>
    <row r="10" spans="2:19" x14ac:dyDescent="0.2">
      <c r="B10" s="276"/>
      <c r="C10" s="110" t="s">
        <v>83</v>
      </c>
      <c r="D10" s="107" t="s">
        <v>90</v>
      </c>
      <c r="E10" s="108">
        <f>'Proposed Fee'!Q7</f>
        <v>2.3650814593867939</v>
      </c>
      <c r="F10" s="109" t="s">
        <v>90</v>
      </c>
      <c r="G10" s="106"/>
      <c r="H10" s="106"/>
      <c r="O10" s="94"/>
      <c r="P10" s="94"/>
      <c r="Q10" s="94"/>
      <c r="R10" s="94"/>
      <c r="S10" s="94"/>
    </row>
    <row r="11" spans="2:19" x14ac:dyDescent="0.2">
      <c r="B11" s="276"/>
      <c r="C11" s="110" t="s">
        <v>86</v>
      </c>
      <c r="D11" s="107" t="s">
        <v>90</v>
      </c>
      <c r="E11" s="108">
        <f>'Proposed Fee'!Q15</f>
        <v>2.7827075289278884</v>
      </c>
      <c r="F11" s="109" t="s">
        <v>90</v>
      </c>
      <c r="G11" s="106"/>
      <c r="H11" s="106"/>
      <c r="O11" s="94"/>
      <c r="P11" s="94"/>
      <c r="Q11" s="94"/>
      <c r="R11" s="94"/>
      <c r="S11" s="94"/>
    </row>
    <row r="12" spans="2:19" x14ac:dyDescent="0.2">
      <c r="B12" s="276"/>
      <c r="C12" s="102" t="s">
        <v>87</v>
      </c>
      <c r="D12" s="107" t="s">
        <v>90</v>
      </c>
      <c r="E12" s="108" t="s">
        <v>90</v>
      </c>
      <c r="F12" s="108">
        <f>'Proposed Fee'!Q14</f>
        <v>175.79917423370554</v>
      </c>
      <c r="G12" s="106"/>
      <c r="H12" s="106"/>
      <c r="O12" s="94"/>
      <c r="P12" s="94"/>
      <c r="Q12" s="94"/>
      <c r="R12" s="94"/>
      <c r="S12" s="94"/>
    </row>
    <row r="13" spans="2:19" ht="25.5" x14ac:dyDescent="0.2">
      <c r="B13" s="276"/>
      <c r="C13" s="219" t="s">
        <v>172</v>
      </c>
      <c r="D13" s="224">
        <f>(1+D16)*(1+D17)-1</f>
        <v>0.55889567721915312</v>
      </c>
      <c r="E13" s="108" t="s">
        <v>90</v>
      </c>
      <c r="F13" s="108" t="s">
        <v>90</v>
      </c>
      <c r="G13" s="106"/>
      <c r="H13" s="106"/>
      <c r="O13" s="94"/>
      <c r="P13" s="94"/>
      <c r="Q13" s="94"/>
      <c r="R13" s="94"/>
      <c r="S13" s="94"/>
    </row>
    <row r="14" spans="2:19" ht="48" customHeight="1" x14ac:dyDescent="0.2">
      <c r="B14" s="276"/>
      <c r="C14" s="225" t="s">
        <v>171</v>
      </c>
      <c r="D14" s="261">
        <f>(1+D15)*(1+D16)*(1+D17)-1</f>
        <v>0.71961782154044762</v>
      </c>
      <c r="E14" s="221"/>
      <c r="F14" s="222"/>
      <c r="G14" s="106"/>
      <c r="H14" s="106"/>
      <c r="O14" s="94"/>
      <c r="P14" s="94"/>
      <c r="Q14" s="94"/>
      <c r="R14" s="94"/>
      <c r="S14" s="94"/>
    </row>
    <row r="15" spans="2:19" x14ac:dyDescent="0.2">
      <c r="B15" s="276"/>
      <c r="C15" s="229" t="s">
        <v>170</v>
      </c>
      <c r="D15" s="226">
        <f>'Proposed Fee'!K23</f>
        <v>0.1031</v>
      </c>
      <c r="E15" s="221"/>
      <c r="F15" s="222"/>
      <c r="G15" s="106"/>
      <c r="H15" s="106"/>
      <c r="O15" s="94"/>
      <c r="P15" s="94"/>
      <c r="Q15" s="94"/>
      <c r="R15" s="94"/>
      <c r="S15" s="94"/>
    </row>
    <row r="16" spans="2:19" x14ac:dyDescent="0.2">
      <c r="B16" s="276"/>
      <c r="C16" s="230" t="s">
        <v>166</v>
      </c>
      <c r="D16" s="220">
        <f>'Proposed Fee'!N25</f>
        <v>0.46592661151676018</v>
      </c>
      <c r="E16" s="221"/>
      <c r="F16" s="222"/>
      <c r="G16" s="106"/>
      <c r="H16" s="106"/>
      <c r="O16" s="94"/>
      <c r="P16" s="94"/>
      <c r="Q16" s="94"/>
      <c r="R16" s="94"/>
      <c r="S16" s="94"/>
    </row>
    <row r="17" spans="2:19" x14ac:dyDescent="0.2">
      <c r="B17" s="272"/>
      <c r="C17" s="230" t="s">
        <v>164</v>
      </c>
      <c r="D17" s="220">
        <f>'Proposed Fee'!P25</f>
        <v>6.3420000000000004E-2</v>
      </c>
      <c r="E17" s="221"/>
      <c r="F17" s="222"/>
      <c r="G17" s="106"/>
      <c r="H17" s="106"/>
      <c r="O17" s="94"/>
      <c r="P17" s="94"/>
      <c r="Q17" s="94"/>
      <c r="R17" s="94"/>
      <c r="S17" s="94"/>
    </row>
    <row r="18" spans="2:19" x14ac:dyDescent="0.2">
      <c r="B18" s="111" t="s">
        <v>44</v>
      </c>
      <c r="C18" s="273" t="s">
        <v>81</v>
      </c>
      <c r="D18" s="274"/>
      <c r="E18" s="274"/>
      <c r="F18" s="275"/>
      <c r="G18" s="112"/>
      <c r="H18" s="112"/>
      <c r="O18" s="94"/>
      <c r="P18" s="94"/>
      <c r="Q18" s="94"/>
      <c r="R18" s="94"/>
      <c r="S18" s="94"/>
    </row>
    <row r="19" spans="2:19" x14ac:dyDescent="0.2">
      <c r="B19" s="113" t="s">
        <v>5</v>
      </c>
      <c r="C19" s="114"/>
      <c r="D19" s="114"/>
      <c r="E19" s="114"/>
      <c r="F19" s="114"/>
      <c r="G19" s="114"/>
      <c r="H19" s="115"/>
      <c r="O19" s="94"/>
      <c r="P19" s="94"/>
      <c r="Q19" s="94"/>
      <c r="R19" s="94"/>
      <c r="S19" s="94"/>
    </row>
    <row r="20" spans="2:19" ht="180" customHeight="1" x14ac:dyDescent="0.2">
      <c r="B20" s="269" t="s">
        <v>122</v>
      </c>
      <c r="C20" s="269"/>
      <c r="D20" s="269"/>
      <c r="E20" s="269"/>
      <c r="F20" s="269"/>
      <c r="G20" s="269"/>
      <c r="H20" s="269"/>
      <c r="O20" s="94"/>
      <c r="P20" s="94"/>
      <c r="Q20" s="94"/>
      <c r="R20" s="94"/>
      <c r="S20" s="94"/>
    </row>
    <row r="21" spans="2:19" x14ac:dyDescent="0.2">
      <c r="B21" s="116"/>
      <c r="C21" s="116"/>
      <c r="D21" s="116"/>
      <c r="E21" s="116"/>
      <c r="F21" s="116"/>
      <c r="G21" s="116"/>
      <c r="H21" s="116"/>
      <c r="O21" s="94"/>
      <c r="P21" s="94"/>
      <c r="Q21" s="94"/>
      <c r="R21" s="94"/>
      <c r="S21" s="94"/>
    </row>
    <row r="22" spans="2:19" x14ac:dyDescent="0.2">
      <c r="O22" s="94"/>
      <c r="P22" s="94"/>
      <c r="Q22" s="94"/>
      <c r="R22" s="94"/>
      <c r="S22" s="94"/>
    </row>
    <row r="23" spans="2:19" x14ac:dyDescent="0.2">
      <c r="B23" s="117" t="s">
        <v>31</v>
      </c>
      <c r="C23" s="92"/>
      <c r="D23" s="92"/>
      <c r="E23" s="92"/>
      <c r="F23" s="92"/>
      <c r="G23" s="92"/>
      <c r="H23" s="92"/>
      <c r="O23" s="94"/>
      <c r="P23" s="94"/>
      <c r="Q23" s="94"/>
      <c r="R23" s="94"/>
      <c r="S23" s="94"/>
    </row>
    <row r="24" spans="2:19" x14ac:dyDescent="0.2">
      <c r="B24" s="268"/>
      <c r="C24" s="268"/>
      <c r="D24" s="268"/>
      <c r="E24" s="268"/>
      <c r="F24" s="268"/>
      <c r="G24" s="268"/>
      <c r="H24" s="268"/>
    </row>
    <row r="25" spans="2:19" ht="129.75" customHeight="1" x14ac:dyDescent="0.2">
      <c r="B25" s="270" t="s">
        <v>187</v>
      </c>
      <c r="C25" s="270"/>
      <c r="D25" s="270"/>
      <c r="E25" s="270"/>
      <c r="F25" s="270"/>
      <c r="G25" s="270"/>
      <c r="H25" s="270"/>
      <c r="I25" s="94"/>
    </row>
    <row r="26" spans="2:19" x14ac:dyDescent="0.2">
      <c r="B26" s="118"/>
      <c r="C26" s="118"/>
      <c r="D26" s="118"/>
      <c r="E26" s="118"/>
      <c r="F26" s="118"/>
      <c r="G26" s="118"/>
      <c r="H26" s="118"/>
    </row>
    <row r="27" spans="2:19" x14ac:dyDescent="0.2">
      <c r="B27" s="119"/>
      <c r="C27" s="119"/>
      <c r="D27" s="119"/>
      <c r="E27" s="119"/>
      <c r="F27" s="119"/>
      <c r="G27" s="119"/>
      <c r="H27" s="119"/>
    </row>
    <row r="28" spans="2:19" x14ac:dyDescent="0.2">
      <c r="B28" s="117" t="s">
        <v>39</v>
      </c>
      <c r="C28" s="92"/>
      <c r="D28" s="92"/>
      <c r="E28" s="92"/>
      <c r="F28" s="92"/>
      <c r="G28" s="92"/>
      <c r="H28" s="92"/>
    </row>
    <row r="29" spans="2:19" x14ac:dyDescent="0.2">
      <c r="B29" s="268" t="s">
        <v>64</v>
      </c>
      <c r="C29" s="268"/>
      <c r="D29" s="268"/>
      <c r="E29" s="268"/>
      <c r="F29" s="268"/>
      <c r="G29" s="268"/>
      <c r="H29" s="268"/>
    </row>
    <row r="30" spans="2:19" x14ac:dyDescent="0.2">
      <c r="B30" s="278"/>
      <c r="C30" s="278"/>
      <c r="D30" s="278"/>
      <c r="E30" s="278"/>
      <c r="F30" s="278"/>
      <c r="G30" s="278"/>
      <c r="H30" s="278"/>
    </row>
    <row r="31" spans="2:19" x14ac:dyDescent="0.2">
      <c r="B31" s="270" t="s">
        <v>176</v>
      </c>
      <c r="C31" s="278"/>
      <c r="D31" s="278"/>
      <c r="E31" s="278"/>
      <c r="F31" s="278"/>
      <c r="G31" s="278"/>
      <c r="H31" s="278"/>
    </row>
    <row r="32" spans="2:19" x14ac:dyDescent="0.2">
      <c r="B32" s="278"/>
      <c r="C32" s="279"/>
      <c r="D32" s="279"/>
      <c r="E32" s="279"/>
      <c r="F32" s="279"/>
      <c r="G32" s="279"/>
      <c r="H32" s="279"/>
    </row>
    <row r="33" spans="2:9" x14ac:dyDescent="0.2">
      <c r="B33" s="120"/>
      <c r="C33" s="120"/>
      <c r="D33" s="120"/>
      <c r="E33" s="120"/>
      <c r="F33" s="120"/>
      <c r="G33" s="120"/>
      <c r="H33" s="120"/>
    </row>
    <row r="34" spans="2:9" x14ac:dyDescent="0.2">
      <c r="B34" s="268"/>
      <c r="C34" s="268"/>
      <c r="D34" s="268"/>
      <c r="E34" s="268"/>
      <c r="F34" s="268"/>
      <c r="G34" s="268"/>
      <c r="H34" s="268"/>
    </row>
    <row r="35" spans="2:9" x14ac:dyDescent="0.2">
      <c r="B35" s="118"/>
      <c r="C35" s="118"/>
      <c r="D35" s="118"/>
      <c r="E35" s="118"/>
      <c r="F35" s="118"/>
      <c r="G35" s="118"/>
      <c r="H35" s="118"/>
    </row>
    <row r="36" spans="2:9" x14ac:dyDescent="0.2">
      <c r="B36" s="118"/>
      <c r="C36" s="118"/>
      <c r="D36" s="118"/>
      <c r="E36" s="118"/>
      <c r="F36" s="118"/>
      <c r="G36" s="118"/>
      <c r="H36" s="118"/>
    </row>
    <row r="37" spans="2:9" x14ac:dyDescent="0.2">
      <c r="B37" s="118"/>
      <c r="C37" s="118"/>
      <c r="D37" s="118"/>
      <c r="E37" s="118"/>
      <c r="F37" s="118"/>
      <c r="G37" s="118"/>
      <c r="H37" s="118"/>
    </row>
    <row r="38" spans="2:9" x14ac:dyDescent="0.2">
      <c r="B38" s="118"/>
      <c r="C38" s="118"/>
      <c r="D38" s="118"/>
      <c r="E38" s="118"/>
      <c r="F38" s="118"/>
      <c r="G38" s="118"/>
      <c r="H38" s="118"/>
    </row>
    <row r="39" spans="2:9" x14ac:dyDescent="0.2">
      <c r="B39" s="121"/>
      <c r="C39" s="121"/>
      <c r="D39" s="121"/>
      <c r="E39" s="121"/>
      <c r="F39" s="121"/>
      <c r="G39" s="121"/>
      <c r="H39" s="121"/>
      <c r="I39" s="94"/>
    </row>
    <row r="40" spans="2:9" x14ac:dyDescent="0.2">
      <c r="B40" s="117" t="s">
        <v>6</v>
      </c>
    </row>
    <row r="41" spans="2:9" x14ac:dyDescent="0.2">
      <c r="B41" s="122" t="s">
        <v>13</v>
      </c>
      <c r="C41" s="123" t="s">
        <v>28</v>
      </c>
      <c r="D41" s="123"/>
      <c r="E41" s="123"/>
      <c r="F41" s="123"/>
      <c r="G41" s="123"/>
      <c r="H41" s="123"/>
    </row>
    <row r="42" spans="2:9" x14ac:dyDescent="0.2">
      <c r="B42" s="124" t="s">
        <v>42</v>
      </c>
      <c r="C42" s="123" t="s">
        <v>47</v>
      </c>
      <c r="D42" s="123"/>
      <c r="E42" s="123"/>
      <c r="F42" s="123"/>
      <c r="G42" s="123"/>
      <c r="H42" s="123"/>
    </row>
    <row r="43" spans="2:9" x14ac:dyDescent="0.2">
      <c r="B43" s="124" t="s">
        <v>43</v>
      </c>
      <c r="C43" s="123" t="s">
        <v>48</v>
      </c>
      <c r="D43" s="123"/>
      <c r="E43" s="123"/>
      <c r="F43" s="123"/>
      <c r="G43" s="123"/>
      <c r="H43" s="123"/>
    </row>
    <row r="44" spans="2:9" x14ac:dyDescent="0.2">
      <c r="B44" s="124" t="s">
        <v>14</v>
      </c>
      <c r="C44" s="123" t="s">
        <v>29</v>
      </c>
      <c r="D44" s="123"/>
      <c r="E44" s="123"/>
      <c r="F44" s="123"/>
      <c r="G44" s="123"/>
      <c r="H44" s="123"/>
    </row>
    <row r="47" spans="2:9" x14ac:dyDescent="0.2">
      <c r="B47" s="117" t="s">
        <v>32</v>
      </c>
      <c r="C47" s="92"/>
      <c r="D47" s="92"/>
      <c r="E47" s="92"/>
      <c r="F47" s="92"/>
      <c r="G47" s="92"/>
      <c r="H47" s="92"/>
    </row>
    <row r="49" spans="2:9" x14ac:dyDescent="0.2">
      <c r="B49" s="125"/>
      <c r="C49" s="126" t="s">
        <v>33</v>
      </c>
      <c r="D49" s="126" t="s">
        <v>34</v>
      </c>
      <c r="E49" s="126" t="s">
        <v>35</v>
      </c>
      <c r="F49" s="126" t="s">
        <v>37</v>
      </c>
      <c r="G49" s="126" t="s">
        <v>36</v>
      </c>
      <c r="H49" s="127" t="s">
        <v>1</v>
      </c>
    </row>
    <row r="50" spans="2:9" x14ac:dyDescent="0.2">
      <c r="C50" s="128"/>
      <c r="D50" s="128"/>
      <c r="E50" s="128"/>
      <c r="F50" s="128"/>
      <c r="G50" s="128"/>
      <c r="H50" s="128"/>
    </row>
    <row r="51" spans="2:9" x14ac:dyDescent="0.2">
      <c r="B51" s="231" t="s">
        <v>173</v>
      </c>
      <c r="C51" s="129">
        <f>'Forecast Revenue - Costs'!D42</f>
        <v>119088.22107468796</v>
      </c>
      <c r="D51" s="129">
        <f>'Forecast Revenue - Costs'!E42</f>
        <v>119088.22107468796</v>
      </c>
      <c r="E51" s="129">
        <f>'Forecast Revenue - Costs'!F42</f>
        <v>120037.88093928956</v>
      </c>
      <c r="F51" s="129">
        <f>'Forecast Revenue - Costs'!G42</f>
        <v>122056.89683381976</v>
      </c>
      <c r="G51" s="129">
        <f>'Forecast Revenue - Costs'!H42</f>
        <v>125072.83455315066</v>
      </c>
      <c r="H51" s="129">
        <f>SUM(C51:G51)</f>
        <v>605344.05447563587</v>
      </c>
    </row>
    <row r="52" spans="2:9" x14ac:dyDescent="0.2">
      <c r="C52" s="130"/>
      <c r="D52" s="130"/>
      <c r="E52" s="130"/>
      <c r="F52" s="130"/>
      <c r="G52" s="130"/>
    </row>
    <row r="53" spans="2:9" x14ac:dyDescent="0.2">
      <c r="B53" s="231" t="s">
        <v>174</v>
      </c>
      <c r="C53" s="129">
        <f>SUM('Forecast Revenue - Costs'!D43:D45)</f>
        <v>86441.865186373179</v>
      </c>
      <c r="D53" s="129">
        <f>SUM('Forecast Revenue - Costs'!E43:E45)</f>
        <v>86441.865186373179</v>
      </c>
      <c r="E53" s="129">
        <f>SUM('Forecast Revenue - Costs'!F43:F45)</f>
        <v>87134.589264856026</v>
      </c>
      <c r="F53" s="129">
        <f>SUM('Forecast Revenue - Costs'!G43:G45)</f>
        <v>88607.349120372673</v>
      </c>
      <c r="G53" s="129">
        <f>SUM('Forecast Revenue - Costs'!H43:H45)</f>
        <v>90807.308026987666</v>
      </c>
      <c r="H53" s="129">
        <f>SUM(C53:G53)</f>
        <v>439432.9767849627</v>
      </c>
    </row>
    <row r="54" spans="2:9" x14ac:dyDescent="0.2">
      <c r="C54" s="130"/>
      <c r="D54" s="130"/>
      <c r="E54" s="130"/>
      <c r="F54" s="130"/>
      <c r="G54" s="130"/>
    </row>
    <row r="55" spans="2:9" x14ac:dyDescent="0.2">
      <c r="B55" s="231" t="s">
        <v>175</v>
      </c>
      <c r="C55" s="129">
        <f t="shared" ref="C55:H55" si="0">+C51+C53</f>
        <v>205530.08626106114</v>
      </c>
      <c r="D55" s="129">
        <f t="shared" ref="D55:G55" si="1">+D51+D53</f>
        <v>205530.08626106114</v>
      </c>
      <c r="E55" s="129">
        <f t="shared" si="1"/>
        <v>207172.47020414559</v>
      </c>
      <c r="F55" s="129">
        <f t="shared" si="1"/>
        <v>210664.24595419242</v>
      </c>
      <c r="G55" s="129">
        <f t="shared" si="1"/>
        <v>215880.14258013834</v>
      </c>
      <c r="H55" s="129">
        <f t="shared" si="0"/>
        <v>1044777.0312605986</v>
      </c>
    </row>
    <row r="56" spans="2:9" x14ac:dyDescent="0.2">
      <c r="C56" s="232"/>
      <c r="D56" s="232"/>
      <c r="E56" s="232"/>
      <c r="F56" s="232"/>
      <c r="G56" s="232"/>
    </row>
    <row r="57" spans="2:9" x14ac:dyDescent="0.2">
      <c r="B57" s="131" t="s">
        <v>6</v>
      </c>
    </row>
    <row r="58" spans="2:9" ht="14.25" customHeight="1" x14ac:dyDescent="0.2">
      <c r="B58" s="277"/>
      <c r="C58" s="277"/>
      <c r="D58" s="277"/>
      <c r="E58" s="277"/>
      <c r="F58" s="277"/>
      <c r="G58" s="277"/>
      <c r="H58" s="277"/>
    </row>
    <row r="59" spans="2:9" x14ac:dyDescent="0.2">
      <c r="B59" s="268"/>
      <c r="C59" s="268"/>
      <c r="D59" s="268"/>
      <c r="E59" s="268"/>
      <c r="F59" s="268"/>
      <c r="G59" s="268"/>
      <c r="H59" s="268"/>
      <c r="I59" s="94"/>
    </row>
    <row r="60" spans="2:9" ht="27.75" customHeight="1" x14ac:dyDescent="0.2">
      <c r="B60" s="268"/>
      <c r="C60" s="268"/>
      <c r="D60" s="268"/>
      <c r="E60" s="268"/>
      <c r="F60" s="268"/>
      <c r="G60" s="268"/>
      <c r="H60" s="268"/>
    </row>
    <row r="63" spans="2:9" x14ac:dyDescent="0.2">
      <c r="B63" s="117" t="s">
        <v>93</v>
      </c>
      <c r="C63" s="92"/>
      <c r="D63" s="92"/>
      <c r="E63" s="92"/>
      <c r="F63" s="92"/>
      <c r="G63" s="92"/>
      <c r="H63" s="92"/>
    </row>
    <row r="64" spans="2:9" x14ac:dyDescent="0.2">
      <c r="B64" s="132"/>
    </row>
    <row r="65" spans="2:8" x14ac:dyDescent="0.2">
      <c r="B65" s="133"/>
      <c r="C65" s="134" t="s">
        <v>33</v>
      </c>
      <c r="D65" s="134" t="s">
        <v>34</v>
      </c>
      <c r="E65" s="134" t="s">
        <v>35</v>
      </c>
      <c r="F65" s="134" t="s">
        <v>37</v>
      </c>
      <c r="G65" s="134" t="s">
        <v>36</v>
      </c>
      <c r="H65" s="135" t="s">
        <v>1</v>
      </c>
    </row>
    <row r="66" spans="2:8" x14ac:dyDescent="0.2">
      <c r="C66" s="136"/>
      <c r="D66" s="136"/>
      <c r="E66" s="136"/>
      <c r="F66" s="136"/>
      <c r="G66" s="136"/>
      <c r="H66" s="136"/>
    </row>
    <row r="67" spans="2:8" x14ac:dyDescent="0.2">
      <c r="B67" s="259" t="s">
        <v>107</v>
      </c>
      <c r="C67" s="260">
        <f>'Forecast Revenue - Costs'!D23</f>
        <v>210</v>
      </c>
      <c r="D67" s="260">
        <f>'Forecast Revenue - Costs'!E23</f>
        <v>210</v>
      </c>
      <c r="E67" s="260">
        <f>'Forecast Revenue - Costs'!F23</f>
        <v>210</v>
      </c>
      <c r="F67" s="260">
        <f>'Forecast Revenue - Costs'!G23</f>
        <v>210</v>
      </c>
      <c r="G67" s="260">
        <f>'Forecast Revenue - Costs'!H23</f>
        <v>210</v>
      </c>
      <c r="H67" s="260">
        <f>SUM(C67:G67)</f>
        <v>1050</v>
      </c>
    </row>
  </sheetData>
  <mergeCells count="13">
    <mergeCell ref="B58:H60"/>
    <mergeCell ref="B29:H29"/>
    <mergeCell ref="B30:H30"/>
    <mergeCell ref="B31:H31"/>
    <mergeCell ref="B32:H32"/>
    <mergeCell ref="B34:H34"/>
    <mergeCell ref="C3:H3"/>
    <mergeCell ref="B24:H24"/>
    <mergeCell ref="B20:H20"/>
    <mergeCell ref="B25:H25"/>
    <mergeCell ref="B6:B7"/>
    <mergeCell ref="C18:F18"/>
    <mergeCell ref="B8:B1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36" customWidth="1"/>
    <col min="3" max="3" width="10.140625" style="36" customWidth="1"/>
    <col min="4" max="9" width="13.140625" style="36" customWidth="1"/>
    <col min="10" max="11" width="9.140625" style="36"/>
    <col min="12" max="12" width="5.28515625" style="36" customWidth="1"/>
    <col min="13" max="13" width="2.42578125" style="1" customWidth="1"/>
    <col min="14" max="16384" width="9.140625" style="1"/>
  </cols>
  <sheetData>
    <row r="1" spans="2:14" ht="9" customHeight="1" x14ac:dyDescent="0.2"/>
    <row r="2" spans="2:14" ht="18" customHeight="1" x14ac:dyDescent="0.2">
      <c r="B2" s="33" t="s">
        <v>15</v>
      </c>
      <c r="C2" s="33"/>
      <c r="D2" s="33"/>
      <c r="E2" s="33"/>
      <c r="F2" s="33"/>
      <c r="G2" s="33"/>
      <c r="H2" s="33"/>
      <c r="I2" s="33"/>
      <c r="J2" s="33"/>
      <c r="K2" s="33"/>
    </row>
    <row r="3" spans="2:14" x14ac:dyDescent="0.2">
      <c r="B3" s="32" t="s">
        <v>0</v>
      </c>
      <c r="C3" s="34"/>
      <c r="D3" s="282" t="str">
        <f>'AER Summary'!C3</f>
        <v xml:space="preserve">Warning Marker Installation </v>
      </c>
      <c r="E3" s="283"/>
      <c r="F3" s="283"/>
      <c r="G3" s="283"/>
      <c r="H3" s="283"/>
      <c r="I3" s="283"/>
      <c r="J3" s="283"/>
      <c r="K3" s="283"/>
      <c r="N3" s="30"/>
    </row>
    <row r="4" spans="2:14" x14ac:dyDescent="0.2">
      <c r="N4" s="30"/>
    </row>
    <row r="5" spans="2:14" x14ac:dyDescent="0.2">
      <c r="B5" s="284" t="s">
        <v>65</v>
      </c>
      <c r="C5" s="284"/>
      <c r="D5" s="284"/>
      <c r="E5" s="284"/>
      <c r="F5" s="284"/>
      <c r="G5" s="284"/>
      <c r="H5" s="284"/>
      <c r="I5" s="284"/>
      <c r="J5" s="284"/>
      <c r="K5" s="284"/>
      <c r="N5" s="30"/>
    </row>
    <row r="6" spans="2:14" ht="75" customHeight="1" x14ac:dyDescent="0.2">
      <c r="B6" s="285" t="s">
        <v>61</v>
      </c>
      <c r="C6" s="286"/>
      <c r="D6" s="286"/>
      <c r="E6" s="286"/>
      <c r="F6" s="286"/>
      <c r="G6" s="286"/>
      <c r="H6" s="286"/>
      <c r="I6" s="286"/>
      <c r="J6" s="286"/>
      <c r="K6" s="286"/>
      <c r="N6" s="30"/>
    </row>
    <row r="9" spans="2:14" x14ac:dyDescent="0.2">
      <c r="B9" s="284" t="s">
        <v>40</v>
      </c>
      <c r="C9" s="284"/>
      <c r="D9" s="284"/>
      <c r="E9" s="284"/>
      <c r="F9" s="284"/>
      <c r="G9" s="284"/>
      <c r="H9" s="284"/>
      <c r="I9" s="284"/>
      <c r="J9" s="284"/>
      <c r="K9" s="284"/>
    </row>
    <row r="10" spans="2:14" ht="15" customHeight="1" x14ac:dyDescent="0.2">
      <c r="B10" s="281" t="s">
        <v>63</v>
      </c>
      <c r="C10" s="281"/>
      <c r="D10" s="281"/>
      <c r="E10" s="281"/>
      <c r="F10" s="281"/>
      <c r="G10" s="281"/>
      <c r="H10" s="281"/>
      <c r="I10" s="281"/>
      <c r="J10" s="281"/>
      <c r="K10" s="281"/>
    </row>
    <row r="11" spans="2:14" ht="24.75" customHeight="1" x14ac:dyDescent="0.2">
      <c r="B11" s="287"/>
      <c r="C11" s="287"/>
      <c r="D11" s="287"/>
      <c r="E11" s="287"/>
      <c r="F11" s="287"/>
      <c r="G11" s="287"/>
      <c r="H11" s="287"/>
      <c r="I11" s="287"/>
      <c r="J11" s="287"/>
      <c r="K11" s="287"/>
      <c r="L11" s="37"/>
      <c r="M11" s="31"/>
      <c r="N11" s="31"/>
    </row>
    <row r="12" spans="2:14" x14ac:dyDescent="0.2">
      <c r="B12" s="287"/>
      <c r="C12" s="287"/>
      <c r="D12" s="287"/>
      <c r="E12" s="287"/>
      <c r="F12" s="287"/>
      <c r="G12" s="287"/>
      <c r="H12" s="287"/>
      <c r="I12" s="287"/>
      <c r="J12" s="287"/>
      <c r="K12" s="287"/>
      <c r="L12" s="37"/>
      <c r="M12" s="31"/>
      <c r="N12" s="31"/>
    </row>
    <row r="13" spans="2:14" x14ac:dyDescent="0.2">
      <c r="B13" s="287"/>
      <c r="C13" s="287"/>
      <c r="D13" s="287"/>
      <c r="E13" s="287"/>
      <c r="F13" s="287"/>
      <c r="G13" s="287"/>
      <c r="H13" s="287"/>
      <c r="I13" s="287"/>
      <c r="J13" s="287"/>
      <c r="K13" s="287"/>
      <c r="L13" s="37"/>
      <c r="M13" s="31"/>
      <c r="N13" s="31"/>
    </row>
    <row r="14" spans="2:14" ht="48" customHeight="1" x14ac:dyDescent="0.2">
      <c r="B14" s="287"/>
      <c r="C14" s="287"/>
      <c r="D14" s="287"/>
      <c r="E14" s="287"/>
      <c r="F14" s="287"/>
      <c r="G14" s="287"/>
      <c r="H14" s="287"/>
      <c r="I14" s="287"/>
      <c r="J14" s="287"/>
      <c r="K14" s="287"/>
      <c r="L14" s="37"/>
      <c r="M14" s="31"/>
      <c r="N14" s="31"/>
    </row>
    <row r="15" spans="2:14" x14ac:dyDescent="0.2">
      <c r="B15" s="287"/>
      <c r="C15" s="287"/>
      <c r="D15" s="287"/>
      <c r="E15" s="287"/>
      <c r="F15" s="287"/>
      <c r="G15" s="287"/>
      <c r="H15" s="287"/>
      <c r="I15" s="287"/>
      <c r="J15" s="287"/>
      <c r="K15" s="287"/>
      <c r="L15" s="37"/>
      <c r="M15" s="31"/>
      <c r="N15" s="31"/>
    </row>
    <row r="16" spans="2:14" x14ac:dyDescent="0.2">
      <c r="B16" s="287"/>
      <c r="C16" s="287"/>
      <c r="D16" s="287"/>
      <c r="E16" s="287"/>
      <c r="F16" s="287"/>
      <c r="G16" s="287"/>
      <c r="H16" s="287"/>
      <c r="I16" s="287"/>
      <c r="J16" s="287"/>
      <c r="K16" s="287"/>
      <c r="L16" s="37"/>
      <c r="M16" s="31"/>
      <c r="N16" s="31"/>
    </row>
    <row r="17" spans="2:14" x14ac:dyDescent="0.2">
      <c r="L17" s="37"/>
      <c r="M17" s="31"/>
      <c r="N17" s="31"/>
    </row>
    <row r="18" spans="2:14" x14ac:dyDescent="0.2">
      <c r="L18" s="37"/>
      <c r="M18" s="31"/>
      <c r="N18" s="31"/>
    </row>
    <row r="19" spans="2:14" x14ac:dyDescent="0.2">
      <c r="B19" s="284" t="s">
        <v>41</v>
      </c>
      <c r="C19" s="284"/>
      <c r="D19" s="284"/>
      <c r="E19" s="284"/>
      <c r="F19" s="284"/>
      <c r="G19" s="284"/>
      <c r="H19" s="284"/>
      <c r="I19" s="284"/>
      <c r="J19" s="284"/>
      <c r="K19" s="284"/>
      <c r="L19" s="37"/>
      <c r="M19" s="31"/>
      <c r="N19" s="31"/>
    </row>
    <row r="20" spans="2:14" ht="171" customHeight="1" x14ac:dyDescent="0.2">
      <c r="B20" s="281" t="str">
        <f>'AER Summary'!B20:H20</f>
        <v xml:space="preserve">
Warning Marker Installation 
Installation of visual warning markers and temporary covers on overhead mains and service lines as requested by a third party. Can include rental or purchase of warning markers.
Services can include:
- Torapoli (Tiger Tails) installation;
- Construction warning marker installation;
- Design and installation of aerial markers.
NB this does not include the installation of temporary covers (on de energised mains) by certain ASPs in association with their contestable work, in accordance with their Service Provider Authorisation, which is contestable work.</v>
      </c>
      <c r="C20" s="281"/>
      <c r="D20" s="281"/>
      <c r="E20" s="281"/>
      <c r="F20" s="281"/>
      <c r="G20" s="281"/>
      <c r="H20" s="281"/>
      <c r="I20" s="281"/>
      <c r="J20" s="281"/>
      <c r="K20" s="281"/>
    </row>
    <row r="21" spans="2:14" x14ac:dyDescent="0.2">
      <c r="B21" s="280"/>
      <c r="C21" s="280"/>
      <c r="D21" s="280"/>
      <c r="E21" s="280"/>
      <c r="F21" s="280"/>
      <c r="G21" s="280"/>
      <c r="H21" s="280"/>
      <c r="I21" s="280"/>
      <c r="J21" s="280"/>
      <c r="K21" s="280"/>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27" sqref="B27:I28"/>
    </sheetView>
  </sheetViews>
  <sheetFormatPr defaultColWidth="9.140625" defaultRowHeight="12.75" x14ac:dyDescent="0.2"/>
  <cols>
    <col min="1" max="1" width="3.5703125" style="38" customWidth="1"/>
    <col min="2" max="2" width="58.7109375" style="38" customWidth="1"/>
    <col min="3" max="3" width="65.140625" style="38" customWidth="1"/>
    <col min="4" max="4" width="12.85546875" style="38" customWidth="1"/>
    <col min="5" max="5" width="12.5703125" style="38" customWidth="1"/>
    <col min="6" max="8" width="11.28515625" style="38" customWidth="1"/>
    <col min="9" max="9" width="12.7109375" style="38" customWidth="1"/>
    <col min="10" max="16384" width="9.140625" style="38"/>
  </cols>
  <sheetData>
    <row r="2" spans="1:9" x14ac:dyDescent="0.2">
      <c r="B2" s="35" t="s">
        <v>94</v>
      </c>
      <c r="C2" s="28"/>
      <c r="D2" s="28"/>
      <c r="E2" s="28"/>
      <c r="F2" s="28"/>
      <c r="G2" s="28"/>
      <c r="H2" s="28"/>
      <c r="I2" s="28"/>
    </row>
    <row r="3" spans="1:9" x14ac:dyDescent="0.2">
      <c r="B3" s="18" t="s">
        <v>19</v>
      </c>
      <c r="C3" s="18" t="s">
        <v>3</v>
      </c>
      <c r="D3" s="47" t="s">
        <v>55</v>
      </c>
      <c r="E3" s="47" t="s">
        <v>54</v>
      </c>
      <c r="F3" s="47" t="s">
        <v>53</v>
      </c>
      <c r="G3" s="56" t="s">
        <v>110</v>
      </c>
      <c r="H3" s="56" t="s">
        <v>111</v>
      </c>
      <c r="I3" s="19" t="s">
        <v>1</v>
      </c>
    </row>
    <row r="4" spans="1:9" x14ac:dyDescent="0.2">
      <c r="B4" s="5" t="s">
        <v>20</v>
      </c>
      <c r="C4" s="5" t="s">
        <v>66</v>
      </c>
      <c r="D4" s="50">
        <v>0</v>
      </c>
      <c r="E4" s="50">
        <v>0</v>
      </c>
      <c r="F4" s="50">
        <v>44195.24</v>
      </c>
      <c r="G4" s="50">
        <v>74065.679999999993</v>
      </c>
      <c r="H4" s="50">
        <f>G4*102.5%</f>
        <v>75917.321999999986</v>
      </c>
      <c r="I4" s="246">
        <f>SUM(D4:H4)</f>
        <v>194178.24199999997</v>
      </c>
    </row>
    <row r="5" spans="1:9" x14ac:dyDescent="0.2">
      <c r="B5" s="5" t="s">
        <v>22</v>
      </c>
      <c r="C5" s="10"/>
      <c r="D5" s="50">
        <v>0</v>
      </c>
      <c r="E5" s="50">
        <v>0</v>
      </c>
      <c r="F5" s="50">
        <v>0</v>
      </c>
      <c r="G5" s="50">
        <v>0</v>
      </c>
      <c r="H5" s="50">
        <f t="shared" ref="H5:H8" si="0">G5*102.5%</f>
        <v>0</v>
      </c>
      <c r="I5" s="246">
        <f t="shared" ref="I5:I8" si="1">SUM(D5:H5)</f>
        <v>0</v>
      </c>
    </row>
    <row r="6" spans="1:9" x14ac:dyDescent="0.2">
      <c r="B6" s="5" t="s">
        <v>23</v>
      </c>
      <c r="C6" s="5"/>
      <c r="D6" s="50">
        <v>0</v>
      </c>
      <c r="E6" s="50">
        <v>0</v>
      </c>
      <c r="F6" s="50">
        <v>14246.47</v>
      </c>
      <c r="G6" s="50">
        <v>20572.919999999998</v>
      </c>
      <c r="H6" s="50">
        <f t="shared" si="0"/>
        <v>21087.242999999995</v>
      </c>
      <c r="I6" s="246">
        <f t="shared" si="1"/>
        <v>55906.632999999994</v>
      </c>
    </row>
    <row r="7" spans="1:9" x14ac:dyDescent="0.2">
      <c r="B7" s="5" t="s">
        <v>24</v>
      </c>
      <c r="C7" s="5"/>
      <c r="D7" s="50">
        <v>0</v>
      </c>
      <c r="E7" s="50">
        <v>0</v>
      </c>
      <c r="F7" s="50">
        <v>0</v>
      </c>
      <c r="G7" s="50">
        <v>0</v>
      </c>
      <c r="H7" s="50">
        <f t="shared" si="0"/>
        <v>0</v>
      </c>
      <c r="I7" s="246">
        <f t="shared" si="1"/>
        <v>0</v>
      </c>
    </row>
    <row r="8" spans="1:9" x14ac:dyDescent="0.2">
      <c r="B8" s="5" t="s">
        <v>21</v>
      </c>
      <c r="C8" s="5"/>
      <c r="D8" s="50">
        <v>0</v>
      </c>
      <c r="E8" s="50">
        <v>0</v>
      </c>
      <c r="F8" s="20">
        <v>40138.69</v>
      </c>
      <c r="G8" s="20">
        <v>55289.96</v>
      </c>
      <c r="H8" s="50">
        <f t="shared" si="0"/>
        <v>56672.208999999995</v>
      </c>
      <c r="I8" s="246">
        <f t="shared" si="1"/>
        <v>152100.859</v>
      </c>
    </row>
    <row r="9" spans="1:9" x14ac:dyDescent="0.2">
      <c r="B9" s="43" t="s">
        <v>1</v>
      </c>
      <c r="C9" s="22"/>
      <c r="D9" s="23">
        <f t="shared" ref="D9:I9" si="2">SUM(D4:D8)</f>
        <v>0</v>
      </c>
      <c r="E9" s="23">
        <f t="shared" si="2"/>
        <v>0</v>
      </c>
      <c r="F9" s="23">
        <f t="shared" si="2"/>
        <v>98580.4</v>
      </c>
      <c r="G9" s="23">
        <f t="shared" si="2"/>
        <v>149928.56</v>
      </c>
      <c r="H9" s="23">
        <f t="shared" si="2"/>
        <v>153676.77399999998</v>
      </c>
      <c r="I9" s="24">
        <f t="shared" si="2"/>
        <v>402185.73399999994</v>
      </c>
    </row>
    <row r="10" spans="1:9" x14ac:dyDescent="0.2">
      <c r="B10" s="39"/>
      <c r="C10" s="40"/>
      <c r="D10" s="41"/>
      <c r="E10" s="41"/>
      <c r="F10" s="41"/>
      <c r="G10" s="41"/>
      <c r="H10" s="41"/>
      <c r="I10" s="41"/>
    </row>
    <row r="11" spans="1:9" x14ac:dyDescent="0.2">
      <c r="B11" s="42" t="s">
        <v>10</v>
      </c>
      <c r="C11" s="26"/>
      <c r="D11" s="26"/>
      <c r="E11" s="26"/>
      <c r="F11" s="26"/>
      <c r="G11" s="26"/>
      <c r="H11" s="26"/>
      <c r="I11" s="26"/>
    </row>
    <row r="12" spans="1:9" x14ac:dyDescent="0.2">
      <c r="B12" s="77" t="s">
        <v>4</v>
      </c>
      <c r="C12" s="77" t="s">
        <v>9</v>
      </c>
      <c r="D12" s="47" t="s">
        <v>55</v>
      </c>
      <c r="E12" s="47" t="s">
        <v>54</v>
      </c>
      <c r="F12" s="47" t="s">
        <v>53</v>
      </c>
      <c r="G12" s="47" t="s">
        <v>110</v>
      </c>
      <c r="H12" s="47" t="s">
        <v>111</v>
      </c>
      <c r="I12" s="78" t="s">
        <v>1</v>
      </c>
    </row>
    <row r="13" spans="1:9" x14ac:dyDescent="0.2">
      <c r="B13" s="5" t="s">
        <v>18</v>
      </c>
      <c r="C13" s="5" t="s">
        <v>67</v>
      </c>
      <c r="D13" s="54" t="s">
        <v>90</v>
      </c>
      <c r="E13" s="54">
        <v>0</v>
      </c>
      <c r="F13" s="54">
        <v>0</v>
      </c>
      <c r="G13" s="54">
        <v>0</v>
      </c>
      <c r="H13" s="54">
        <v>0</v>
      </c>
      <c r="I13" s="249">
        <f>SUM(D13:H13)</f>
        <v>0</v>
      </c>
    </row>
    <row r="14" spans="1:9" x14ac:dyDescent="0.2">
      <c r="B14" s="5"/>
      <c r="C14" s="79"/>
      <c r="D14" s="11"/>
      <c r="E14" s="11"/>
      <c r="F14" s="11"/>
      <c r="G14" s="11"/>
      <c r="H14" s="11"/>
      <c r="I14" s="249">
        <f>SUM(D14:H14)</f>
        <v>0</v>
      </c>
    </row>
    <row r="15" spans="1:9" x14ac:dyDescent="0.2">
      <c r="A15" s="44"/>
      <c r="B15" s="80" t="s">
        <v>49</v>
      </c>
      <c r="C15" s="18"/>
      <c r="D15" s="81">
        <f t="shared" ref="D15:I15" si="3">SUM(D13:D14)</f>
        <v>0</v>
      </c>
      <c r="E15" s="81">
        <f t="shared" si="3"/>
        <v>0</v>
      </c>
      <c r="F15" s="81">
        <f t="shared" si="3"/>
        <v>0</v>
      </c>
      <c r="G15" s="81">
        <f t="shared" si="3"/>
        <v>0</v>
      </c>
      <c r="H15" s="81">
        <f t="shared" si="3"/>
        <v>0</v>
      </c>
      <c r="I15" s="81">
        <f t="shared" si="3"/>
        <v>0</v>
      </c>
    </row>
    <row r="17" spans="1:9" x14ac:dyDescent="0.2">
      <c r="A17" s="44"/>
      <c r="B17" s="13" t="s">
        <v>6</v>
      </c>
      <c r="C17" s="1"/>
      <c r="D17" s="12"/>
      <c r="E17" s="12"/>
      <c r="F17" s="12"/>
      <c r="G17" s="12"/>
      <c r="H17" s="12"/>
      <c r="I17" s="12"/>
    </row>
    <row r="18" spans="1:9" ht="12.75" customHeight="1" x14ac:dyDescent="0.2">
      <c r="B18" s="291" t="s">
        <v>109</v>
      </c>
      <c r="C18" s="292"/>
      <c r="D18" s="57"/>
      <c r="E18" s="57"/>
      <c r="F18" s="57"/>
      <c r="G18" s="57"/>
      <c r="H18" s="57"/>
      <c r="I18" s="57"/>
    </row>
    <row r="19" spans="1:9" x14ac:dyDescent="0.2">
      <c r="B19" s="58" t="s">
        <v>112</v>
      </c>
      <c r="C19" s="59"/>
      <c r="D19" s="59"/>
      <c r="E19" s="59"/>
      <c r="F19" s="59"/>
      <c r="G19" s="59"/>
      <c r="H19" s="59"/>
      <c r="I19" s="59"/>
    </row>
    <row r="20" spans="1:9" x14ac:dyDescent="0.2">
      <c r="B20" s="58" t="s">
        <v>113</v>
      </c>
      <c r="C20" s="59"/>
      <c r="D20" s="59"/>
      <c r="E20" s="59"/>
      <c r="F20" s="59"/>
      <c r="G20" s="59"/>
      <c r="H20" s="59"/>
      <c r="I20" s="59"/>
    </row>
    <row r="21" spans="1:9" x14ac:dyDescent="0.2">
      <c r="B21" s="58" t="s">
        <v>114</v>
      </c>
      <c r="C21" s="59"/>
      <c r="D21" s="59"/>
      <c r="E21" s="59"/>
      <c r="F21" s="59"/>
      <c r="G21" s="59"/>
      <c r="H21" s="59"/>
      <c r="I21" s="59"/>
    </row>
    <row r="22" spans="1:9" x14ac:dyDescent="0.2">
      <c r="B22" s="58" t="s">
        <v>115</v>
      </c>
      <c r="C22" s="59"/>
      <c r="D22" s="59"/>
      <c r="E22" s="59"/>
      <c r="F22" s="59"/>
      <c r="G22" s="59"/>
      <c r="H22" s="59"/>
      <c r="I22" s="59"/>
    </row>
    <row r="23" spans="1:9" x14ac:dyDescent="0.2">
      <c r="B23" s="45" t="s">
        <v>116</v>
      </c>
      <c r="C23" s="29"/>
      <c r="D23" s="29"/>
      <c r="E23" s="29"/>
      <c r="F23" s="29"/>
      <c r="G23" s="55"/>
      <c r="H23" s="55"/>
      <c r="I23" s="29"/>
    </row>
    <row r="24" spans="1:9" x14ac:dyDescent="0.2">
      <c r="B24" s="1"/>
      <c r="C24" s="1"/>
      <c r="D24" s="12"/>
      <c r="E24" s="12"/>
      <c r="F24" s="12"/>
      <c r="G24" s="12"/>
      <c r="H24" s="12"/>
      <c r="I24" s="12"/>
    </row>
    <row r="25" spans="1:9" x14ac:dyDescent="0.2">
      <c r="B25" s="42" t="s">
        <v>97</v>
      </c>
      <c r="C25" s="26"/>
      <c r="D25" s="26"/>
      <c r="E25" s="26"/>
      <c r="F25" s="26"/>
      <c r="G25" s="26"/>
      <c r="H25" s="26"/>
      <c r="I25" s="26"/>
    </row>
    <row r="26" spans="1:9" x14ac:dyDescent="0.2">
      <c r="B26" s="256" t="s">
        <v>11</v>
      </c>
      <c r="C26" s="305"/>
      <c r="D26" s="305"/>
      <c r="E26" s="305"/>
      <c r="F26" s="305"/>
      <c r="G26" s="305"/>
      <c r="H26" s="305"/>
      <c r="I26" s="306"/>
    </row>
    <row r="27" spans="1:9" x14ac:dyDescent="0.2">
      <c r="B27" s="307" t="s">
        <v>188</v>
      </c>
      <c r="C27" s="288"/>
      <c r="D27" s="288"/>
      <c r="E27" s="288"/>
      <c r="F27" s="288"/>
      <c r="G27" s="288"/>
      <c r="H27" s="288"/>
      <c r="I27" s="288"/>
    </row>
    <row r="28" spans="1:9" x14ac:dyDescent="0.2">
      <c r="B28" s="289"/>
      <c r="C28" s="290"/>
      <c r="D28" s="290"/>
      <c r="E28" s="290"/>
      <c r="F28" s="290"/>
      <c r="G28" s="290"/>
      <c r="H28" s="290"/>
      <c r="I28" s="290"/>
    </row>
    <row r="29" spans="1:9" x14ac:dyDescent="0.2">
      <c r="B29" s="46"/>
      <c r="C29" s="17"/>
      <c r="D29" s="17"/>
      <c r="E29" s="17"/>
      <c r="F29" s="17"/>
      <c r="G29" s="17"/>
      <c r="H29" s="17"/>
      <c r="I29" s="17"/>
    </row>
  </sheetData>
  <mergeCells count="2">
    <mergeCell ref="B27:I28"/>
    <mergeCell ref="B18: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B42" sqref="B42"/>
    </sheetView>
  </sheetViews>
  <sheetFormatPr defaultColWidth="9.140625" defaultRowHeight="12.75" x14ac:dyDescent="0.2"/>
  <cols>
    <col min="1" max="1" width="3.140625" style="62" customWidth="1"/>
    <col min="2" max="2" width="80" style="62" bestFit="1" customWidth="1"/>
    <col min="3" max="3" width="65.140625" style="62" customWidth="1"/>
    <col min="4" max="4" width="12.28515625" style="62" customWidth="1"/>
    <col min="5" max="8" width="11.28515625" style="62" customWidth="1"/>
    <col min="9" max="9" width="12.7109375" style="62" customWidth="1"/>
    <col min="10" max="16384" width="9.140625" style="62"/>
  </cols>
  <sheetData>
    <row r="2" spans="2:9" x14ac:dyDescent="0.2">
      <c r="B2" s="60" t="s">
        <v>8</v>
      </c>
      <c r="C2" s="61"/>
      <c r="D2" s="61"/>
      <c r="E2" s="61"/>
      <c r="F2" s="61"/>
      <c r="G2" s="61"/>
      <c r="H2" s="61"/>
      <c r="I2" s="61"/>
    </row>
    <row r="3" spans="2:9" x14ac:dyDescent="0.2">
      <c r="B3" s="63"/>
      <c r="C3" s="63"/>
      <c r="D3" s="63"/>
      <c r="E3" s="63"/>
      <c r="F3" s="63"/>
      <c r="G3" s="63"/>
      <c r="H3" s="63"/>
      <c r="I3" s="63"/>
    </row>
    <row r="4" spans="2:9" x14ac:dyDescent="0.2">
      <c r="B4" s="60" t="s">
        <v>2</v>
      </c>
      <c r="C4" s="61"/>
      <c r="D4" s="61"/>
      <c r="E4" s="61"/>
      <c r="F4" s="61"/>
      <c r="G4" s="61"/>
      <c r="H4" s="61"/>
      <c r="I4" s="61"/>
    </row>
    <row r="5" spans="2:9" x14ac:dyDescent="0.2">
      <c r="B5" s="82" t="s">
        <v>95</v>
      </c>
      <c r="C5" s="82" t="s">
        <v>9</v>
      </c>
      <c r="D5" s="83" t="s">
        <v>55</v>
      </c>
      <c r="E5" s="83" t="s">
        <v>54</v>
      </c>
      <c r="F5" s="83" t="s">
        <v>53</v>
      </c>
      <c r="G5" s="83" t="s">
        <v>110</v>
      </c>
      <c r="H5" s="83" t="s">
        <v>111</v>
      </c>
      <c r="I5" s="84" t="s">
        <v>1</v>
      </c>
    </row>
    <row r="6" spans="2:9" ht="14.25" customHeight="1" x14ac:dyDescent="0.2">
      <c r="B6" s="64" t="s">
        <v>108</v>
      </c>
      <c r="C6" s="262" t="s">
        <v>179</v>
      </c>
      <c r="D6" s="65">
        <v>0</v>
      </c>
      <c r="E6" s="65">
        <v>0</v>
      </c>
      <c r="F6" s="65">
        <v>0</v>
      </c>
      <c r="G6" s="65">
        <v>0</v>
      </c>
      <c r="H6" s="65">
        <v>0</v>
      </c>
      <c r="I6" s="254">
        <f>SUM(D6:H6)</f>
        <v>0</v>
      </c>
    </row>
    <row r="7" spans="2:9" x14ac:dyDescent="0.2">
      <c r="B7" s="85"/>
      <c r="C7" s="66"/>
      <c r="D7" s="65"/>
      <c r="E7" s="65"/>
      <c r="F7" s="65"/>
      <c r="G7" s="65"/>
      <c r="H7" s="65"/>
      <c r="I7" s="254">
        <f t="shared" ref="I7:I9" si="0">SUM(D7:H7)</f>
        <v>0</v>
      </c>
    </row>
    <row r="8" spans="2:9" x14ac:dyDescent="0.2">
      <c r="B8" s="85"/>
      <c r="C8" s="66"/>
      <c r="D8" s="65"/>
      <c r="E8" s="65"/>
      <c r="F8" s="65"/>
      <c r="G8" s="65"/>
      <c r="H8" s="65"/>
      <c r="I8" s="254">
        <f t="shared" si="0"/>
        <v>0</v>
      </c>
    </row>
    <row r="9" spans="2:9" x14ac:dyDescent="0.2">
      <c r="B9" s="85"/>
      <c r="C9" s="66"/>
      <c r="D9" s="65"/>
      <c r="E9" s="65"/>
      <c r="F9" s="65"/>
      <c r="G9" s="65"/>
      <c r="H9" s="65"/>
      <c r="I9" s="254">
        <f t="shared" si="0"/>
        <v>0</v>
      </c>
    </row>
    <row r="10" spans="2:9" x14ac:dyDescent="0.2">
      <c r="B10" s="88" t="s">
        <v>1</v>
      </c>
      <c r="C10" s="88"/>
      <c r="D10" s="90">
        <f t="shared" ref="D10:I10" si="1">SUM(D6:D9)</f>
        <v>0</v>
      </c>
      <c r="E10" s="90">
        <f>SUM(E6:E9)</f>
        <v>0</v>
      </c>
      <c r="F10" s="90">
        <f>SUM(F6:F9)</f>
        <v>0</v>
      </c>
      <c r="G10" s="90">
        <f t="shared" ref="G10:H10" si="2">SUM(G6:G9)</f>
        <v>0</v>
      </c>
      <c r="H10" s="90">
        <f t="shared" si="2"/>
        <v>0</v>
      </c>
      <c r="I10" s="90">
        <f t="shared" si="1"/>
        <v>0</v>
      </c>
    </row>
    <row r="11" spans="2:9" x14ac:dyDescent="0.2">
      <c r="B11" s="63"/>
      <c r="C11" s="63"/>
      <c r="D11" s="63"/>
      <c r="E11" s="63"/>
      <c r="F11" s="63"/>
      <c r="G11" s="63"/>
      <c r="H11" s="63"/>
      <c r="I11" s="63"/>
    </row>
    <row r="12" spans="2:9" x14ac:dyDescent="0.2">
      <c r="B12" s="60" t="s">
        <v>10</v>
      </c>
      <c r="C12" s="61"/>
      <c r="D12" s="61"/>
      <c r="E12" s="61"/>
      <c r="F12" s="61"/>
      <c r="G12" s="61"/>
      <c r="H12" s="61"/>
      <c r="I12" s="61"/>
    </row>
    <row r="13" spans="2:9" x14ac:dyDescent="0.2">
      <c r="B13" s="82" t="s">
        <v>4</v>
      </c>
      <c r="C13" s="82" t="s">
        <v>9</v>
      </c>
      <c r="D13" s="83" t="s">
        <v>55</v>
      </c>
      <c r="E13" s="83" t="s">
        <v>54</v>
      </c>
      <c r="F13" s="83" t="s">
        <v>53</v>
      </c>
      <c r="G13" s="83" t="s">
        <v>110</v>
      </c>
      <c r="H13" s="83" t="s">
        <v>111</v>
      </c>
      <c r="I13" s="84" t="s">
        <v>1</v>
      </c>
    </row>
    <row r="14" spans="2:9" x14ac:dyDescent="0.2">
      <c r="B14" s="85" t="s">
        <v>18</v>
      </c>
      <c r="C14" s="85" t="s">
        <v>52</v>
      </c>
      <c r="D14" s="67">
        <v>0</v>
      </c>
      <c r="E14" s="67">
        <v>0</v>
      </c>
      <c r="F14" s="67">
        <v>0</v>
      </c>
      <c r="G14" s="67">
        <v>0</v>
      </c>
      <c r="H14" s="67">
        <v>0</v>
      </c>
      <c r="I14" s="255">
        <f>SUM(D14:H14)</f>
        <v>0</v>
      </c>
    </row>
    <row r="15" spans="2:9" x14ac:dyDescent="0.2">
      <c r="B15" s="85"/>
      <c r="C15" s="86"/>
      <c r="D15" s="68"/>
      <c r="E15" s="68"/>
      <c r="F15" s="68"/>
      <c r="G15" s="68"/>
      <c r="H15" s="68"/>
      <c r="I15" s="255">
        <f t="shared" ref="I15:I16" si="3">SUM(D15:H15)</f>
        <v>0</v>
      </c>
    </row>
    <row r="16" spans="2:9" x14ac:dyDescent="0.2">
      <c r="B16" s="85"/>
      <c r="C16" s="85"/>
      <c r="D16" s="68"/>
      <c r="E16" s="68"/>
      <c r="F16" s="68"/>
      <c r="G16" s="68"/>
      <c r="H16" s="68"/>
      <c r="I16" s="255">
        <f t="shared" si="3"/>
        <v>0</v>
      </c>
    </row>
    <row r="17" spans="2:9" x14ac:dyDescent="0.2">
      <c r="B17" s="87" t="s">
        <v>16</v>
      </c>
      <c r="C17" s="88"/>
      <c r="D17" s="89">
        <f t="shared" ref="D17:H17" si="4">SUM(D14:D16)</f>
        <v>0</v>
      </c>
      <c r="E17" s="89">
        <f t="shared" si="4"/>
        <v>0</v>
      </c>
      <c r="F17" s="89">
        <f t="shared" si="4"/>
        <v>0</v>
      </c>
      <c r="G17" s="89">
        <f t="shared" si="4"/>
        <v>0</v>
      </c>
      <c r="H17" s="89">
        <f t="shared" si="4"/>
        <v>0</v>
      </c>
      <c r="I17" s="89">
        <f>SUM(I14:I16)</f>
        <v>0</v>
      </c>
    </row>
    <row r="18" spans="2:9" x14ac:dyDescent="0.2">
      <c r="B18" s="63"/>
      <c r="C18" s="63"/>
      <c r="D18" s="69"/>
      <c r="E18" s="69"/>
      <c r="F18" s="69"/>
      <c r="G18" s="69"/>
      <c r="H18" s="69"/>
      <c r="I18" s="69"/>
    </row>
    <row r="19" spans="2:9" x14ac:dyDescent="0.2">
      <c r="B19" s="70" t="s">
        <v>6</v>
      </c>
      <c r="C19" s="63"/>
      <c r="D19" s="69"/>
      <c r="E19" s="69"/>
      <c r="F19" s="69"/>
      <c r="G19" s="69"/>
      <c r="H19" s="69"/>
      <c r="I19" s="69"/>
    </row>
    <row r="20" spans="2:9" x14ac:dyDescent="0.2">
      <c r="B20" s="71" t="s">
        <v>117</v>
      </c>
      <c r="C20" s="71"/>
      <c r="D20" s="71"/>
      <c r="E20" s="71"/>
      <c r="F20" s="71"/>
      <c r="G20" s="71"/>
      <c r="H20" s="71"/>
      <c r="I20" s="71"/>
    </row>
    <row r="21" spans="2:9" x14ac:dyDescent="0.2">
      <c r="B21" s="72" t="s">
        <v>118</v>
      </c>
      <c r="C21" s="72"/>
      <c r="D21" s="72"/>
      <c r="E21" s="72"/>
      <c r="F21" s="72"/>
      <c r="G21" s="72"/>
      <c r="H21" s="72"/>
      <c r="I21" s="72"/>
    </row>
    <row r="22" spans="2:9" x14ac:dyDescent="0.2">
      <c r="B22" s="72" t="s">
        <v>119</v>
      </c>
      <c r="C22" s="72"/>
      <c r="D22" s="72"/>
      <c r="E22" s="72"/>
      <c r="F22" s="72"/>
      <c r="G22" s="72"/>
      <c r="H22" s="72"/>
      <c r="I22" s="72"/>
    </row>
    <row r="23" spans="2:9" x14ac:dyDescent="0.2">
      <c r="B23" s="72" t="s">
        <v>120</v>
      </c>
      <c r="C23" s="72"/>
      <c r="D23" s="72"/>
      <c r="E23" s="72"/>
      <c r="F23" s="72"/>
      <c r="G23" s="72"/>
      <c r="H23" s="72"/>
      <c r="I23" s="72"/>
    </row>
    <row r="24" spans="2:9" x14ac:dyDescent="0.2">
      <c r="B24" s="72" t="s">
        <v>121</v>
      </c>
      <c r="C24" s="72"/>
      <c r="D24" s="72"/>
      <c r="E24" s="72"/>
      <c r="F24" s="72"/>
      <c r="G24" s="72"/>
      <c r="H24" s="72"/>
      <c r="I24" s="72"/>
    </row>
    <row r="25" spans="2:9" x14ac:dyDescent="0.2">
      <c r="B25" s="63"/>
      <c r="C25" s="63"/>
      <c r="D25" s="69"/>
      <c r="E25" s="69"/>
      <c r="F25" s="69"/>
      <c r="G25" s="69"/>
      <c r="H25" s="69"/>
      <c r="I25" s="69"/>
    </row>
    <row r="26" spans="2:9" x14ac:dyDescent="0.2">
      <c r="B26" s="60" t="s">
        <v>2</v>
      </c>
      <c r="C26" s="61"/>
      <c r="D26" s="61"/>
      <c r="E26" s="61"/>
      <c r="F26" s="61"/>
      <c r="G26" s="61"/>
      <c r="H26" s="61"/>
      <c r="I26" s="61"/>
    </row>
    <row r="27" spans="2:9" x14ac:dyDescent="0.2">
      <c r="B27" s="73" t="s">
        <v>11</v>
      </c>
      <c r="C27" s="74"/>
      <c r="D27" s="74"/>
      <c r="E27" s="74"/>
      <c r="F27" s="74"/>
      <c r="G27" s="74"/>
      <c r="H27" s="74"/>
      <c r="I27" s="74"/>
    </row>
    <row r="28" spans="2:9" x14ac:dyDescent="0.2">
      <c r="B28" s="308" t="s">
        <v>189</v>
      </c>
      <c r="C28" s="293"/>
      <c r="D28" s="293"/>
      <c r="E28" s="293"/>
      <c r="F28" s="293"/>
      <c r="G28" s="293"/>
      <c r="H28" s="293"/>
      <c r="I28" s="293"/>
    </row>
    <row r="29" spans="2:9" x14ac:dyDescent="0.2">
      <c r="B29" s="294"/>
      <c r="C29" s="294"/>
      <c r="D29" s="294"/>
      <c r="E29" s="294"/>
      <c r="F29" s="294"/>
      <c r="G29" s="294"/>
      <c r="H29" s="294"/>
      <c r="I29" s="294"/>
    </row>
    <row r="30" spans="2:9" x14ac:dyDescent="0.2">
      <c r="B30" s="75"/>
      <c r="C30" s="76"/>
      <c r="D30" s="76"/>
      <c r="E30" s="76"/>
      <c r="F30" s="76"/>
      <c r="G30" s="76"/>
      <c r="H30" s="76"/>
      <c r="I30" s="76"/>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R53"/>
  <sheetViews>
    <sheetView showGridLines="0" topLeftCell="A7" workbookViewId="0">
      <selection activeCell="B26" sqref="B26"/>
    </sheetView>
  </sheetViews>
  <sheetFormatPr defaultColWidth="9.140625" defaultRowHeight="12.75" x14ac:dyDescent="0.2"/>
  <cols>
    <col min="1" max="1" width="2.28515625" style="137" customWidth="1"/>
    <col min="2" max="2" width="62.42578125" style="137" customWidth="1"/>
    <col min="3" max="7" width="8.140625" style="138" customWidth="1"/>
    <col min="8" max="9" width="8.42578125" style="137" customWidth="1"/>
    <col min="10" max="10" width="10.7109375" style="137" customWidth="1"/>
    <col min="11" max="11" width="9.140625" style="137"/>
    <col min="12" max="12" width="12.85546875" style="137" customWidth="1"/>
    <col min="13" max="13" width="9.140625" style="137"/>
    <col min="14" max="14" width="11" style="137" customWidth="1"/>
    <col min="15" max="16" width="9.140625" style="137"/>
    <col min="17" max="17" width="21.85546875" style="139" customWidth="1"/>
    <col min="18" max="18" width="2.85546875" style="137" customWidth="1"/>
    <col min="19" max="19" width="53.7109375" style="137" customWidth="1"/>
    <col min="20" max="20" width="15.7109375" style="137" customWidth="1"/>
    <col min="21" max="25" width="9.140625" style="137"/>
    <col min="26" max="26" width="3.28515625" style="137" customWidth="1"/>
    <col min="27" max="27" width="53.7109375" style="137" customWidth="1"/>
    <col min="28" max="28" width="15.7109375" style="137" customWidth="1"/>
    <col min="29" max="33" width="9.140625" style="137"/>
    <col min="34" max="34" width="4" style="137" customWidth="1"/>
    <col min="35" max="35" width="53.7109375" style="137" customWidth="1"/>
    <col min="36" max="36" width="15.7109375" style="137" customWidth="1"/>
    <col min="37" max="41" width="9.140625" style="137"/>
    <col min="42" max="42" width="9.140625" style="137" customWidth="1"/>
    <col min="43" max="43" width="53.7109375" style="137" customWidth="1"/>
    <col min="44" max="44" width="15.7109375" style="137" customWidth="1"/>
    <col min="45" max="16384" width="9.140625" style="137"/>
  </cols>
  <sheetData>
    <row r="2" spans="2:18" x14ac:dyDescent="0.2">
      <c r="B2" s="140" t="s">
        <v>50</v>
      </c>
      <c r="C2" s="141"/>
      <c r="D2" s="141"/>
      <c r="E2" s="141"/>
      <c r="F2" s="141"/>
      <c r="G2" s="141"/>
      <c r="H2" s="298" t="s">
        <v>177</v>
      </c>
      <c r="I2" s="298"/>
      <c r="J2" s="298"/>
      <c r="K2" s="298"/>
      <c r="L2" s="298"/>
      <c r="M2" s="298"/>
      <c r="N2" s="298"/>
      <c r="O2" s="298"/>
      <c r="P2" s="298"/>
      <c r="Q2" s="298"/>
    </row>
    <row r="3" spans="2:18" ht="15.75" x14ac:dyDescent="0.25">
      <c r="B3" s="142" t="s">
        <v>60</v>
      </c>
      <c r="C3" s="143"/>
      <c r="D3" s="143"/>
      <c r="E3" s="143"/>
      <c r="F3" s="143"/>
      <c r="G3" s="143"/>
      <c r="H3" s="299" t="s">
        <v>178</v>
      </c>
      <c r="I3" s="299"/>
      <c r="J3" s="299"/>
      <c r="K3" s="299"/>
      <c r="L3" s="299"/>
      <c r="M3" s="299"/>
      <c r="N3" s="299"/>
      <c r="O3" s="299"/>
      <c r="P3" s="299"/>
      <c r="Q3" s="299"/>
    </row>
    <row r="4" spans="2:18" s="146" customFormat="1" ht="3" customHeight="1" x14ac:dyDescent="0.2">
      <c r="B4" s="144"/>
      <c r="C4" s="145"/>
      <c r="D4" s="145"/>
      <c r="E4" s="145"/>
      <c r="F4" s="145"/>
      <c r="G4" s="145"/>
      <c r="H4" s="144"/>
      <c r="I4" s="144"/>
      <c r="J4" s="144"/>
      <c r="K4" s="144"/>
      <c r="L4" s="144"/>
      <c r="M4" s="144"/>
      <c r="N4" s="144"/>
      <c r="O4" s="144"/>
      <c r="P4" s="144"/>
      <c r="Q4" s="144"/>
    </row>
    <row r="5" spans="2:18" ht="81.75" customHeight="1" x14ac:dyDescent="0.2">
      <c r="B5" s="147" t="s">
        <v>17</v>
      </c>
      <c r="C5" s="148" t="s">
        <v>30</v>
      </c>
      <c r="D5" s="148" t="s">
        <v>123</v>
      </c>
      <c r="E5" s="148" t="s">
        <v>124</v>
      </c>
      <c r="F5" s="148" t="s">
        <v>125</v>
      </c>
      <c r="G5" s="148" t="s">
        <v>126</v>
      </c>
      <c r="H5" s="148" t="s">
        <v>127</v>
      </c>
      <c r="I5" s="148" t="s">
        <v>128</v>
      </c>
      <c r="J5" s="148" t="s">
        <v>70</v>
      </c>
      <c r="K5" s="148" t="s">
        <v>71</v>
      </c>
      <c r="L5" s="148" t="s">
        <v>78</v>
      </c>
      <c r="M5" s="149" t="s">
        <v>129</v>
      </c>
      <c r="N5" s="149" t="s">
        <v>130</v>
      </c>
      <c r="O5" s="149" t="s">
        <v>131</v>
      </c>
      <c r="P5" s="149" t="s">
        <v>132</v>
      </c>
      <c r="Q5" s="238" t="s">
        <v>80</v>
      </c>
      <c r="R5" s="150"/>
    </row>
    <row r="6" spans="2:18" x14ac:dyDescent="0.2">
      <c r="B6" s="264" t="s">
        <v>182</v>
      </c>
      <c r="C6" s="241"/>
      <c r="D6" s="241"/>
      <c r="E6" s="241"/>
      <c r="F6" s="241"/>
      <c r="G6" s="241"/>
      <c r="H6" s="241"/>
      <c r="I6" s="241"/>
      <c r="J6" s="241"/>
      <c r="K6" s="241"/>
      <c r="L6" s="241"/>
      <c r="M6" s="241"/>
      <c r="N6" s="241"/>
      <c r="O6" s="241"/>
      <c r="P6" s="241"/>
      <c r="Q6" s="242"/>
      <c r="R6" s="180"/>
    </row>
    <row r="7" spans="2:18" x14ac:dyDescent="0.2">
      <c r="B7" s="239" t="s">
        <v>74</v>
      </c>
      <c r="C7" s="240" t="s">
        <v>69</v>
      </c>
      <c r="D7" s="240">
        <v>1.5</v>
      </c>
      <c r="E7" s="240">
        <v>1</v>
      </c>
      <c r="F7" s="240">
        <f>E7*D7</f>
        <v>1.5</v>
      </c>
      <c r="G7" s="240">
        <v>0</v>
      </c>
      <c r="H7" s="155">
        <f>VLOOKUP(C:C,[1]Inputs!$B$20:$H$25,7,FALSE)*F7/3/52</f>
        <v>0.76767640836216355</v>
      </c>
      <c r="I7" s="155">
        <f>VLOOKUP(C:C,[1]Inputs!$C$54:$G$59,5,FALSE)*F7/52/3</f>
        <v>0.1897349643110223</v>
      </c>
      <c r="J7" s="153">
        <f>58/3/52</f>
        <v>0.37179487179487175</v>
      </c>
      <c r="K7" s="154">
        <f>[1]Inputs!$G$38</f>
        <v>0.1031</v>
      </c>
      <c r="L7" s="153">
        <f>(J7*K7)+J7</f>
        <v>0.410126923076923</v>
      </c>
      <c r="M7" s="155">
        <f>L7+I7+H7</f>
        <v>1.367538295750109</v>
      </c>
      <c r="N7" s="155">
        <f>[1]Inputs!$M$43*M7</f>
        <v>0.63717248425825335</v>
      </c>
      <c r="O7" s="155">
        <f>[1]Inputs!$M$48*M7</f>
        <v>0.21932248943061225</v>
      </c>
      <c r="P7" s="155">
        <f>[1]Inputs!$H$13*SUM(M7:O7)</f>
        <v>0.14104818994781976</v>
      </c>
      <c r="Q7" s="234">
        <f>SUM(M7:P7)</f>
        <v>2.3650814593867939</v>
      </c>
    </row>
    <row r="8" spans="2:18" x14ac:dyDescent="0.2">
      <c r="B8" s="151" t="s">
        <v>162</v>
      </c>
      <c r="C8" s="152" t="s">
        <v>69</v>
      </c>
      <c r="D8" s="152">
        <v>1</v>
      </c>
      <c r="E8" s="152">
        <v>1</v>
      </c>
      <c r="F8" s="152">
        <f>E8*D8</f>
        <v>1</v>
      </c>
      <c r="G8" s="152">
        <v>0</v>
      </c>
      <c r="H8" s="155">
        <f>VLOOKUP(C:C,[1]Inputs!$B$20:$H$25,7,FALSE)*F8</f>
        <v>79.838346469665012</v>
      </c>
      <c r="I8" s="155">
        <f>VLOOKUP(C:C,[1]Inputs!$C$54:$G$59,5,FALSE)*F8</f>
        <v>19.732436288346317</v>
      </c>
      <c r="J8" s="157"/>
      <c r="K8" s="157"/>
      <c r="L8" s="157"/>
      <c r="M8" s="155">
        <f>L8+I8+H8</f>
        <v>99.570782758011333</v>
      </c>
      <c r="N8" s="155">
        <f>[1]Inputs!$M$43*M8</f>
        <v>46.392677416511667</v>
      </c>
      <c r="O8" s="155">
        <f>[1]Inputs!$M$48*M8</f>
        <v>15.968921687171692</v>
      </c>
      <c r="P8" s="155">
        <f>[1]Inputs!$H$13*SUM(M8:O8)</f>
        <v>10.269751657668678</v>
      </c>
      <c r="Q8" s="234">
        <f>SUM(M8:P8)</f>
        <v>172.20213351936337</v>
      </c>
      <c r="R8" s="150"/>
    </row>
    <row r="9" spans="2:18" ht="45.75" customHeight="1" x14ac:dyDescent="0.2">
      <c r="B9" s="151" t="s">
        <v>163</v>
      </c>
      <c r="C9" s="152"/>
      <c r="D9" s="152"/>
      <c r="E9" s="152"/>
      <c r="F9" s="152"/>
      <c r="G9" s="152"/>
      <c r="H9" s="158"/>
      <c r="I9" s="158"/>
      <c r="J9" s="158"/>
      <c r="K9" s="158"/>
      <c r="L9" s="158"/>
      <c r="M9" s="158"/>
      <c r="N9" s="218">
        <f>[1]Inputs!$M$43</f>
        <v>0.46592661151676018</v>
      </c>
      <c r="O9" s="158"/>
      <c r="P9" s="217">
        <f>[1]Inputs!$H$13</f>
        <v>6.3420000000000004E-2</v>
      </c>
      <c r="Q9" s="235" t="str">
        <f>_xlfn.CONCAT("[Invoice + ",TEXT([1]Inputs!$M$43,"0.00%")," Overheads] + ",TEXT(P9,"0.00%")," Margin")</f>
        <v>[Invoice + 46.59% Overheads] + 6.34% Margin</v>
      </c>
      <c r="R9" s="150"/>
    </row>
    <row r="10" spans="2:18" x14ac:dyDescent="0.2">
      <c r="B10" s="295" t="s">
        <v>1</v>
      </c>
      <c r="C10" s="296"/>
      <c r="D10" s="296"/>
      <c r="E10" s="296"/>
      <c r="F10" s="296"/>
      <c r="G10" s="297"/>
      <c r="H10" s="159">
        <f>SUM(H7:H9)</f>
        <v>80.606022878027176</v>
      </c>
      <c r="I10" s="159">
        <f t="shared" ref="I10:P10" si="0">SUM(I7:I9)</f>
        <v>19.922171252657339</v>
      </c>
      <c r="J10" s="159">
        <f t="shared" si="0"/>
        <v>0.37179487179487175</v>
      </c>
      <c r="K10" s="159">
        <f t="shared" si="0"/>
        <v>0.1031</v>
      </c>
      <c r="L10" s="159">
        <f t="shared" si="0"/>
        <v>0.410126923076923</v>
      </c>
      <c r="M10" s="159">
        <f t="shared" si="0"/>
        <v>100.93832105376144</v>
      </c>
      <c r="N10" s="159">
        <f t="shared" si="0"/>
        <v>47.495776512286675</v>
      </c>
      <c r="O10" s="159">
        <f t="shared" si="0"/>
        <v>16.188244176602304</v>
      </c>
      <c r="P10" s="159">
        <f t="shared" si="0"/>
        <v>10.474219847616499</v>
      </c>
      <c r="Q10" s="159"/>
    </row>
    <row r="11" spans="2:18" x14ac:dyDescent="0.2">
      <c r="B11" s="160"/>
      <c r="C11" s="161"/>
      <c r="D11" s="161"/>
      <c r="E11" s="161"/>
      <c r="F11" s="161"/>
      <c r="G11" s="161"/>
      <c r="H11" s="162"/>
      <c r="I11" s="162"/>
      <c r="J11" s="163"/>
      <c r="K11" s="163"/>
      <c r="L11" s="163"/>
      <c r="M11" s="163"/>
      <c r="N11" s="163"/>
      <c r="O11" s="163"/>
      <c r="P11" s="163"/>
      <c r="Q11" s="164"/>
    </row>
    <row r="12" spans="2:18" ht="78" customHeight="1" x14ac:dyDescent="0.2">
      <c r="B12" s="147" t="s">
        <v>17</v>
      </c>
      <c r="C12" s="148" t="s">
        <v>30</v>
      </c>
      <c r="D12" s="148" t="s">
        <v>123</v>
      </c>
      <c r="E12" s="148" t="s">
        <v>124</v>
      </c>
      <c r="F12" s="148" t="s">
        <v>125</v>
      </c>
      <c r="G12" s="148" t="s">
        <v>126</v>
      </c>
      <c r="H12" s="148" t="s">
        <v>127</v>
      </c>
      <c r="I12" s="148" t="s">
        <v>128</v>
      </c>
      <c r="J12" s="148" t="s">
        <v>77</v>
      </c>
      <c r="K12" s="148" t="s">
        <v>71</v>
      </c>
      <c r="L12" s="148" t="s">
        <v>78</v>
      </c>
      <c r="M12" s="149" t="s">
        <v>129</v>
      </c>
      <c r="N12" s="149" t="s">
        <v>130</v>
      </c>
      <c r="O12" s="149" t="s">
        <v>131</v>
      </c>
      <c r="P12" s="149" t="s">
        <v>132</v>
      </c>
      <c r="Q12" s="238" t="s">
        <v>68</v>
      </c>
      <c r="R12" s="165"/>
    </row>
    <row r="13" spans="2:18" x14ac:dyDescent="0.2">
      <c r="B13" s="264" t="s">
        <v>183</v>
      </c>
      <c r="C13" s="241"/>
      <c r="D13" s="241"/>
      <c r="E13" s="241"/>
      <c r="F13" s="241"/>
      <c r="G13" s="241"/>
      <c r="H13" s="241"/>
      <c r="I13" s="241"/>
      <c r="J13" s="241"/>
      <c r="K13" s="241"/>
      <c r="L13" s="241"/>
      <c r="M13" s="241"/>
      <c r="N13" s="241"/>
      <c r="O13" s="241"/>
      <c r="P13" s="241"/>
      <c r="Q13" s="242"/>
      <c r="R13" s="180"/>
    </row>
    <row r="14" spans="2:18" x14ac:dyDescent="0.2">
      <c r="B14" s="239" t="s">
        <v>72</v>
      </c>
      <c r="C14" s="240"/>
      <c r="D14" s="240"/>
      <c r="E14" s="240"/>
      <c r="F14" s="240"/>
      <c r="G14" s="240"/>
      <c r="H14" s="309"/>
      <c r="I14" s="309"/>
      <c r="J14" s="309">
        <v>92.15</v>
      </c>
      <c r="K14" s="154">
        <f>[1]Inputs!$G$38</f>
        <v>0.1031</v>
      </c>
      <c r="L14" s="309">
        <f>(J14*K14)+J14</f>
        <v>101.650665</v>
      </c>
      <c r="M14" s="155">
        <f>L14+I14+H14</f>
        <v>101.650665</v>
      </c>
      <c r="N14" s="155">
        <f>[1]Inputs!$M$43*M14</f>
        <v>47.361749901875335</v>
      </c>
      <c r="O14" s="155">
        <f>[1]Inputs!$M$48*M14</f>
        <v>16.30248817847442</v>
      </c>
      <c r="P14" s="155">
        <f>[1]Inputs!$H$13*SUM(M14:O14)</f>
        <v>10.484271153355781</v>
      </c>
      <c r="Q14" s="234">
        <f>SUM(M14:P14)</f>
        <v>175.79917423370554</v>
      </c>
      <c r="R14" s="150"/>
    </row>
    <row r="15" spans="2:18" x14ac:dyDescent="0.2">
      <c r="B15" s="243" t="s">
        <v>75</v>
      </c>
      <c r="C15" s="152" t="s">
        <v>69</v>
      </c>
      <c r="D15" s="152">
        <v>1.5</v>
      </c>
      <c r="E15" s="152">
        <v>1</v>
      </c>
      <c r="F15" s="152">
        <f>E15*D15</f>
        <v>1.5</v>
      </c>
      <c r="G15" s="152">
        <v>0</v>
      </c>
      <c r="H15" s="156">
        <f>VLOOKUP(C:C,[1]Inputs!$B$20:$H$25,7,FALSE)*F15/52/3</f>
        <v>0.76767640836216355</v>
      </c>
      <c r="I15" s="156">
        <f>VLOOKUP(C:C,[1]Inputs!$C$54:$G$59,5,FALSE)*F15/52/3</f>
        <v>0.1897349643110223</v>
      </c>
      <c r="J15" s="166">
        <f>92.15/3/52</f>
        <v>0.59070512820512822</v>
      </c>
      <c r="K15" s="170">
        <f>[1]Inputs!$G$38</f>
        <v>0.1031</v>
      </c>
      <c r="L15" s="166">
        <f>(J15*K15)+J15</f>
        <v>0.65160682692307692</v>
      </c>
      <c r="M15" s="155">
        <f>L15+I15+H15</f>
        <v>1.6090181995962629</v>
      </c>
      <c r="N15" s="155">
        <f>[1]Inputs!$M$43*M15</f>
        <v>0.74968439760668493</v>
      </c>
      <c r="O15" s="155">
        <f>[1]Inputs!$M$48*M15</f>
        <v>0.25805045326430742</v>
      </c>
      <c r="P15" s="155">
        <f>[1]Inputs!$H$13*SUM(M15:O15)</f>
        <v>0.16595447846063333</v>
      </c>
      <c r="Q15" s="234">
        <f>SUM(M15:P15)</f>
        <v>2.7827075289278884</v>
      </c>
    </row>
    <row r="16" spans="2:18" x14ac:dyDescent="0.2">
      <c r="B16" s="151" t="s">
        <v>167</v>
      </c>
      <c r="C16" s="152" t="s">
        <v>69</v>
      </c>
      <c r="D16" s="152">
        <v>1</v>
      </c>
      <c r="E16" s="152">
        <v>1</v>
      </c>
      <c r="F16" s="152">
        <f>E16*D16</f>
        <v>1</v>
      </c>
      <c r="G16" s="152">
        <v>0</v>
      </c>
      <c r="H16" s="156">
        <f>VLOOKUP(C:C,[1]Inputs!$B$20:$H$25,7,FALSE)*F16</f>
        <v>79.838346469665012</v>
      </c>
      <c r="I16" s="156">
        <f>VLOOKUP(C:C,[1]Inputs!$C$54:$G$59,5,FALSE)*F16</f>
        <v>19.732436288346317</v>
      </c>
      <c r="J16" s="156"/>
      <c r="K16" s="156"/>
      <c r="L16" s="156"/>
      <c r="M16" s="155">
        <f>L16+I16+H16</f>
        <v>99.570782758011333</v>
      </c>
      <c r="N16" s="155">
        <f>[1]Inputs!$M$43*M16</f>
        <v>46.392677416511667</v>
      </c>
      <c r="O16" s="155">
        <f>[1]Inputs!$M$48*M16</f>
        <v>15.968921687171692</v>
      </c>
      <c r="P16" s="155">
        <f>[1]Inputs!$H$13*SUM(M16:O16)</f>
        <v>10.269751657668678</v>
      </c>
      <c r="Q16" s="234">
        <f>SUM(M16:P16)</f>
        <v>172.20213351936337</v>
      </c>
      <c r="R16" s="150"/>
    </row>
    <row r="17" spans="2:18" ht="38.25" x14ac:dyDescent="0.2">
      <c r="B17" s="151" t="s">
        <v>163</v>
      </c>
      <c r="C17" s="167"/>
      <c r="D17" s="167"/>
      <c r="E17" s="167"/>
      <c r="F17" s="167"/>
      <c r="G17" s="167"/>
      <c r="H17" s="156"/>
      <c r="I17" s="156"/>
      <c r="J17" s="156"/>
      <c r="K17" s="156"/>
      <c r="L17" s="156"/>
      <c r="M17" s="156"/>
      <c r="N17" s="216">
        <f>[1]Inputs!$M$43</f>
        <v>0.46592661151676018</v>
      </c>
      <c r="O17" s="156"/>
      <c r="P17" s="217">
        <f>[1]Inputs!$H$13</f>
        <v>6.3420000000000004E-2</v>
      </c>
      <c r="Q17" s="235" t="str">
        <f>_xlfn.CONCAT("[Invoice + ",TEXT([1]Inputs!$M$43,"0.00%")," Overheads] + ",TEXT(P17,"0.00%")," Margin")</f>
        <v>[Invoice + 46.59% Overheads] + 6.34% Margin</v>
      </c>
    </row>
    <row r="18" spans="2:18" x14ac:dyDescent="0.2">
      <c r="B18" s="168" t="s">
        <v>1</v>
      </c>
      <c r="C18" s="168"/>
      <c r="D18" s="168"/>
      <c r="E18" s="168"/>
      <c r="F18" s="168"/>
      <c r="G18" s="168"/>
      <c r="H18" s="233">
        <f>SUM(H15:H17)</f>
        <v>80.606022878027176</v>
      </c>
      <c r="I18" s="233">
        <f t="shared" ref="I18:P18" si="1">SUM(I15:I17)</f>
        <v>19.922171252657339</v>
      </c>
      <c r="J18" s="233">
        <f t="shared" si="1"/>
        <v>0.59070512820512822</v>
      </c>
      <c r="K18" s="233">
        <f t="shared" si="1"/>
        <v>0.1031</v>
      </c>
      <c r="L18" s="233">
        <f t="shared" si="1"/>
        <v>0.65160682692307692</v>
      </c>
      <c r="M18" s="233">
        <f t="shared" si="1"/>
        <v>101.1798009576076</v>
      </c>
      <c r="N18" s="233">
        <f t="shared" si="1"/>
        <v>47.608288425635109</v>
      </c>
      <c r="O18" s="233">
        <f t="shared" si="1"/>
        <v>16.226972140436001</v>
      </c>
      <c r="P18" s="233">
        <f t="shared" si="1"/>
        <v>10.499126136129313</v>
      </c>
      <c r="Q18" s="169"/>
    </row>
    <row r="20" spans="2:18" ht="78" customHeight="1" x14ac:dyDescent="0.2">
      <c r="B20" s="147" t="s">
        <v>17</v>
      </c>
      <c r="C20" s="148" t="s">
        <v>30</v>
      </c>
      <c r="D20" s="148" t="s">
        <v>123</v>
      </c>
      <c r="E20" s="148" t="s">
        <v>124</v>
      </c>
      <c r="F20" s="148" t="s">
        <v>125</v>
      </c>
      <c r="G20" s="148" t="s">
        <v>126</v>
      </c>
      <c r="H20" s="148" t="s">
        <v>127</v>
      </c>
      <c r="I20" s="148" t="s">
        <v>128</v>
      </c>
      <c r="J20" s="148" t="s">
        <v>77</v>
      </c>
      <c r="K20" s="148" t="s">
        <v>71</v>
      </c>
      <c r="L20" s="148" t="s">
        <v>78</v>
      </c>
      <c r="M20" s="149" t="s">
        <v>129</v>
      </c>
      <c r="N20" s="149" t="s">
        <v>130</v>
      </c>
      <c r="O20" s="149" t="s">
        <v>131</v>
      </c>
      <c r="P20" s="149" t="s">
        <v>132</v>
      </c>
      <c r="Q20" s="238" t="s">
        <v>68</v>
      </c>
    </row>
    <row r="21" spans="2:18" x14ac:dyDescent="0.2">
      <c r="B21" s="311" t="s">
        <v>101</v>
      </c>
      <c r="C21" s="241"/>
      <c r="D21" s="241"/>
      <c r="E21" s="241"/>
      <c r="F21" s="241"/>
      <c r="G21" s="241"/>
      <c r="H21" s="241"/>
      <c r="I21" s="241"/>
      <c r="J21" s="241"/>
      <c r="K21" s="241"/>
      <c r="L21" s="241"/>
      <c r="M21" s="241"/>
      <c r="N21" s="241"/>
      <c r="O21" s="241"/>
      <c r="P21" s="241"/>
      <c r="Q21" s="242"/>
      <c r="R21" s="180"/>
    </row>
    <row r="22" spans="2:18" x14ac:dyDescent="0.2">
      <c r="B22" s="239" t="s">
        <v>169</v>
      </c>
      <c r="C22" s="240" t="s">
        <v>73</v>
      </c>
      <c r="D22" s="240">
        <v>1</v>
      </c>
      <c r="E22" s="240">
        <v>1</v>
      </c>
      <c r="F22" s="240">
        <v>1</v>
      </c>
      <c r="G22" s="240">
        <v>0</v>
      </c>
      <c r="H22" s="309">
        <f>VLOOKUP(C:C,[1]Inputs!$B$20:$H$25,7,FALSE)*F22</f>
        <v>103.26059762014499</v>
      </c>
      <c r="I22" s="309">
        <f>VLOOKUP(C:C,[1]Inputs!$C$54:$G$59,5,FALSE)*F22</f>
        <v>0</v>
      </c>
      <c r="J22" s="309"/>
      <c r="K22" s="310"/>
      <c r="L22" s="310"/>
      <c r="M22" s="155">
        <f>L22+I22+H22</f>
        <v>103.26059762014499</v>
      </c>
      <c r="N22" s="155">
        <f>[1]Inputs!$M$43*M22</f>
        <v>48.111860352349787</v>
      </c>
      <c r="O22" s="155">
        <f>[1]Inputs!$M$48*M22</f>
        <v>16.560685284298117</v>
      </c>
      <c r="P22" s="155">
        <f>[1]Inputs!$H$13*SUM(M22:O22)</f>
        <v>10.650319945345807</v>
      </c>
      <c r="Q22" s="234">
        <f>SUM(M22:P22)</f>
        <v>178.58346320213872</v>
      </c>
    </row>
    <row r="23" spans="2:18" ht="51" x14ac:dyDescent="0.2">
      <c r="B23" s="243" t="s">
        <v>92</v>
      </c>
      <c r="C23" s="152"/>
      <c r="D23" s="152"/>
      <c r="E23" s="152"/>
      <c r="F23" s="152"/>
      <c r="G23" s="152"/>
      <c r="H23" s="157"/>
      <c r="I23" s="157"/>
      <c r="J23" s="157"/>
      <c r="K23" s="227">
        <f>[1]Inputs!$G$38</f>
        <v>0.1031</v>
      </c>
      <c r="L23" s="170"/>
      <c r="M23" s="155"/>
      <c r="N23" s="223">
        <f>[1]Inputs!$M$43</f>
        <v>0.46592661151676018</v>
      </c>
      <c r="O23" s="155"/>
      <c r="P23" s="223">
        <f>[1]Inputs!$H$13</f>
        <v>6.3420000000000004E-2</v>
      </c>
      <c r="Q23" s="236" t="str">
        <f>_xlfn.CONCAT("[(Invoice + ",TEXT(K23,"0.00%")," On-costs) + ",TEXT([1]Inputs!$M$43,"0.00%")," Overheads] + ",TEXT(P23,"0.00%")," Margin")</f>
        <v>[(Invoice + 10.31% On-costs) + 46.59% Overheads] + 6.34% Margin</v>
      </c>
    </row>
    <row r="24" spans="2:18" x14ac:dyDescent="0.2">
      <c r="B24" s="171" t="s">
        <v>168</v>
      </c>
      <c r="C24" s="172" t="s">
        <v>69</v>
      </c>
      <c r="D24" s="172">
        <v>1</v>
      </c>
      <c r="E24" s="172">
        <v>1</v>
      </c>
      <c r="F24" s="172">
        <v>1</v>
      </c>
      <c r="G24" s="172">
        <v>0</v>
      </c>
      <c r="H24" s="156">
        <f>VLOOKUP(C:C,[1]Inputs!$B$20:$H$25,7,FALSE)*F24</f>
        <v>79.838346469665012</v>
      </c>
      <c r="I24" s="156">
        <f>VLOOKUP(C:C,[1]Inputs!$C$54:$G$59,5,FALSE)*F24</f>
        <v>19.732436288346317</v>
      </c>
      <c r="J24" s="156"/>
      <c r="K24" s="158"/>
      <c r="L24" s="158"/>
      <c r="M24" s="155">
        <f>L24+I24+H24</f>
        <v>99.570782758011333</v>
      </c>
      <c r="N24" s="155">
        <f>[1]Inputs!$M$43*M24</f>
        <v>46.392677416511667</v>
      </c>
      <c r="O24" s="155">
        <f>[1]Inputs!$M$48*M24</f>
        <v>15.968921687171692</v>
      </c>
      <c r="P24" s="155">
        <f>[1]Inputs!$H$13*SUM(M24:O24)</f>
        <v>10.269751657668678</v>
      </c>
      <c r="Q24" s="234">
        <f>SUM(M24:P24)</f>
        <v>172.20213351936337</v>
      </c>
    </row>
    <row r="25" spans="2:18" ht="38.25" x14ac:dyDescent="0.2">
      <c r="B25" s="263" t="s">
        <v>163</v>
      </c>
      <c r="C25" s="173"/>
      <c r="D25" s="173"/>
      <c r="E25" s="173"/>
      <c r="F25" s="173"/>
      <c r="G25" s="173"/>
      <c r="H25" s="158"/>
      <c r="I25" s="158"/>
      <c r="J25" s="158"/>
      <c r="K25" s="158"/>
      <c r="L25" s="158"/>
      <c r="M25" s="155"/>
      <c r="N25" s="216">
        <f>[1]Inputs!$M$43</f>
        <v>0.46592661151676018</v>
      </c>
      <c r="O25" s="155"/>
      <c r="P25" s="217">
        <f>[1]Inputs!$H$13</f>
        <v>6.3420000000000004E-2</v>
      </c>
      <c r="Q25" s="235" t="str">
        <f>_xlfn.CONCAT("[Invoice + ",TEXT([1]Inputs!$M$43,"0.00%")," Overheads] + ",TEXT(P25,"0.00%")," Margin")</f>
        <v>[Invoice + 46.59% Overheads] + 6.34% Margin</v>
      </c>
    </row>
    <row r="26" spans="2:18" x14ac:dyDescent="0.2">
      <c r="B26" s="174" t="s">
        <v>1</v>
      </c>
      <c r="C26" s="174"/>
      <c r="D26" s="174"/>
      <c r="E26" s="174"/>
      <c r="F26" s="174"/>
      <c r="G26" s="174"/>
      <c r="H26" s="237">
        <f>SUM(H22:H25)</f>
        <v>183.09894408981</v>
      </c>
      <c r="I26" s="237">
        <f t="shared" ref="I26:P26" si="2">SUM(I22:I25)</f>
        <v>19.732436288346317</v>
      </c>
      <c r="J26" s="237">
        <f t="shared" si="2"/>
        <v>0</v>
      </c>
      <c r="K26" s="237">
        <f t="shared" si="2"/>
        <v>0.1031</v>
      </c>
      <c r="L26" s="237">
        <f t="shared" si="2"/>
        <v>0</v>
      </c>
      <c r="M26" s="237">
        <f t="shared" si="2"/>
        <v>202.83138037815633</v>
      </c>
      <c r="N26" s="237">
        <f t="shared" si="2"/>
        <v>95.436390991894982</v>
      </c>
      <c r="O26" s="237">
        <f t="shared" si="2"/>
        <v>32.529606971469811</v>
      </c>
      <c r="P26" s="237">
        <f t="shared" si="2"/>
        <v>21.046911603014486</v>
      </c>
      <c r="Q26" s="169"/>
    </row>
    <row r="27" spans="2:18" x14ac:dyDescent="0.2">
      <c r="Q27" s="137"/>
    </row>
    <row r="28" spans="2:18" ht="13.5" thickBot="1" x14ac:dyDescent="0.25">
      <c r="Q28" s="137"/>
    </row>
    <row r="29" spans="2:18" x14ac:dyDescent="0.2">
      <c r="B29" s="175"/>
      <c r="C29" s="176"/>
      <c r="D29" s="176"/>
      <c r="E29" s="176"/>
      <c r="F29" s="176"/>
      <c r="G29" s="176"/>
      <c r="H29" s="177"/>
      <c r="I29" s="177"/>
      <c r="J29" s="177"/>
      <c r="K29" s="177"/>
      <c r="L29" s="177"/>
    </row>
    <row r="30" spans="2:18" ht="13.5" thickBot="1" x14ac:dyDescent="0.25">
      <c r="B30" s="265" t="s">
        <v>184</v>
      </c>
      <c r="C30" s="179"/>
      <c r="D30" s="179"/>
      <c r="E30" s="179"/>
      <c r="F30" s="179"/>
      <c r="G30" s="179"/>
      <c r="H30" s="180"/>
      <c r="I30" s="180"/>
      <c r="J30" s="180"/>
      <c r="K30" s="180"/>
      <c r="L30" s="180"/>
    </row>
    <row r="31" spans="2:18" x14ac:dyDescent="0.2">
      <c r="B31" s="178" t="s">
        <v>76</v>
      </c>
      <c r="C31" s="179"/>
      <c r="D31" s="179"/>
      <c r="E31" s="179"/>
      <c r="F31" s="179"/>
      <c r="G31" s="179"/>
      <c r="H31" s="180"/>
      <c r="I31" s="180"/>
      <c r="J31" s="180"/>
      <c r="K31" s="180"/>
      <c r="L31" s="180"/>
      <c r="M31" s="177"/>
      <c r="N31" s="177"/>
      <c r="O31" s="177"/>
      <c r="P31" s="177"/>
    </row>
    <row r="32" spans="2:18" x14ac:dyDescent="0.2">
      <c r="B32" s="178"/>
      <c r="C32" s="179"/>
      <c r="D32" s="179"/>
      <c r="E32" s="179"/>
      <c r="F32" s="179"/>
      <c r="G32" s="179"/>
      <c r="H32" s="180"/>
      <c r="I32" s="180"/>
      <c r="J32" s="180"/>
      <c r="K32" s="180"/>
      <c r="L32" s="180"/>
      <c r="M32" s="180"/>
      <c r="N32" s="180"/>
      <c r="O32" s="180"/>
      <c r="P32" s="180"/>
    </row>
    <row r="33" spans="2:18" x14ac:dyDescent="0.2">
      <c r="B33" s="178" t="s">
        <v>99</v>
      </c>
      <c r="C33" s="179"/>
      <c r="D33" s="179"/>
      <c r="E33" s="179"/>
      <c r="F33" s="179"/>
      <c r="G33" s="179"/>
      <c r="H33" s="180"/>
      <c r="I33" s="180"/>
      <c r="J33" s="180"/>
      <c r="K33" s="180"/>
      <c r="L33" s="180"/>
      <c r="M33" s="180"/>
      <c r="N33" s="180"/>
      <c r="O33" s="180"/>
      <c r="P33" s="180"/>
    </row>
    <row r="34" spans="2:18" x14ac:dyDescent="0.2">
      <c r="B34" s="178" t="s">
        <v>100</v>
      </c>
      <c r="C34" s="179"/>
      <c r="D34" s="179"/>
      <c r="E34" s="179"/>
      <c r="F34" s="179"/>
      <c r="G34" s="179"/>
      <c r="H34" s="180"/>
      <c r="I34" s="180"/>
      <c r="J34" s="180"/>
      <c r="K34" s="180"/>
      <c r="L34" s="180"/>
      <c r="M34" s="180"/>
      <c r="N34" s="180"/>
      <c r="O34" s="180"/>
      <c r="P34" s="180"/>
    </row>
    <row r="35" spans="2:18" x14ac:dyDescent="0.2">
      <c r="B35" s="178"/>
      <c r="C35" s="179"/>
      <c r="D35" s="179"/>
      <c r="E35" s="179"/>
      <c r="F35" s="179"/>
      <c r="G35" s="179"/>
      <c r="H35" s="180"/>
      <c r="I35" s="180"/>
      <c r="J35" s="180"/>
      <c r="K35" s="180"/>
      <c r="L35" s="180"/>
      <c r="M35" s="180"/>
      <c r="N35" s="180"/>
      <c r="O35" s="180"/>
      <c r="P35" s="180"/>
    </row>
    <row r="36" spans="2:18" x14ac:dyDescent="0.2">
      <c r="B36" s="178" t="s">
        <v>79</v>
      </c>
      <c r="C36" s="179"/>
      <c r="D36" s="179"/>
      <c r="E36" s="179"/>
      <c r="F36" s="179"/>
      <c r="G36" s="179"/>
      <c r="H36" s="180"/>
      <c r="I36" s="180"/>
      <c r="J36" s="180"/>
      <c r="K36" s="180"/>
      <c r="L36" s="180"/>
      <c r="M36" s="180"/>
      <c r="N36" s="180"/>
      <c r="O36" s="180"/>
      <c r="P36" s="180"/>
    </row>
    <row r="37" spans="2:18" x14ac:dyDescent="0.2">
      <c r="B37" s="181" t="s">
        <v>91</v>
      </c>
      <c r="C37" s="179"/>
      <c r="D37" s="179"/>
      <c r="E37" s="179"/>
      <c r="F37" s="179"/>
      <c r="G37" s="179"/>
      <c r="H37" s="180"/>
      <c r="I37" s="180"/>
      <c r="J37" s="180"/>
      <c r="K37" s="180"/>
      <c r="L37" s="180"/>
      <c r="M37" s="180"/>
      <c r="N37" s="180"/>
      <c r="O37" s="180"/>
      <c r="P37" s="180"/>
    </row>
    <row r="38" spans="2:18" x14ac:dyDescent="0.2">
      <c r="B38" s="181"/>
      <c r="C38" s="179"/>
      <c r="D38" s="179"/>
      <c r="E38" s="179"/>
      <c r="F38" s="179"/>
      <c r="G38" s="179"/>
      <c r="H38" s="180"/>
      <c r="I38" s="180"/>
      <c r="J38" s="180"/>
      <c r="K38" s="180"/>
      <c r="L38" s="180"/>
      <c r="M38" s="180"/>
      <c r="N38" s="180"/>
      <c r="O38" s="180"/>
      <c r="P38" s="180"/>
    </row>
    <row r="39" spans="2:18" ht="13.5" thickBot="1" x14ac:dyDescent="0.25">
      <c r="B39" s="182"/>
      <c r="C39" s="183"/>
      <c r="D39" s="183"/>
      <c r="E39" s="183"/>
      <c r="F39" s="183"/>
      <c r="G39" s="183"/>
      <c r="H39" s="184"/>
      <c r="I39" s="184"/>
      <c r="J39" s="184"/>
      <c r="K39" s="184"/>
      <c r="L39" s="184"/>
      <c r="M39" s="180"/>
      <c r="N39" s="180"/>
      <c r="O39" s="180"/>
      <c r="P39" s="180"/>
    </row>
    <row r="40" spans="2:18" x14ac:dyDescent="0.2">
      <c r="M40" s="180"/>
      <c r="N40" s="180"/>
      <c r="O40" s="180"/>
      <c r="P40" s="180"/>
      <c r="R40" s="150"/>
    </row>
    <row r="41" spans="2:18" ht="13.5" thickBot="1" x14ac:dyDescent="0.25">
      <c r="M41" s="184"/>
      <c r="N41" s="184"/>
      <c r="O41" s="184"/>
      <c r="P41" s="184"/>
    </row>
    <row r="53" spans="18:18" x14ac:dyDescent="0.2">
      <c r="R53" s="150"/>
    </row>
  </sheetData>
  <mergeCells count="3">
    <mergeCell ref="B10:G10"/>
    <mergeCell ref="H2:Q2"/>
    <mergeCell ref="H3:Q3"/>
  </mergeCells>
  <pageMargins left="0.7" right="0.7" top="0.75" bottom="0.75" header="0.3" footer="0.3"/>
  <pageSetup paperSize="9" scale="50" orientation="landscape" r:id="rId1"/>
  <ignoredErrors>
    <ignoredError sqref="N23:N24 P23:Q23 P24" formula="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74B57-FB76-43FD-94B8-553F3912D7A0}">
  <dimension ref="B1:H91"/>
  <sheetViews>
    <sheetView zoomScale="90" zoomScaleNormal="90" workbookViewId="0">
      <pane xSplit="1" ySplit="8" topLeftCell="B14" activePane="bottomRight" state="frozen"/>
      <selection pane="topRight" activeCell="B1" sqref="B1"/>
      <selection pane="bottomLeft" activeCell="A7" sqref="A7"/>
      <selection pane="bottomRight" activeCell="D14" sqref="D14"/>
    </sheetView>
  </sheetViews>
  <sheetFormatPr defaultColWidth="9.140625" defaultRowHeight="15" x14ac:dyDescent="0.25"/>
  <cols>
    <col min="1" max="1" width="4.42578125" style="185" customWidth="1"/>
    <col min="2" max="2" width="64.140625" style="185" customWidth="1"/>
    <col min="3" max="3" width="13.28515625" style="185" customWidth="1"/>
    <col min="4" max="8" width="12.7109375" style="185" bestFit="1" customWidth="1"/>
    <col min="9" max="16384" width="9.140625" style="185"/>
  </cols>
  <sheetData>
    <row r="1" spans="2:8" x14ac:dyDescent="0.25">
      <c r="B1" s="185" t="s">
        <v>133</v>
      </c>
      <c r="D1" s="186">
        <f>[1]Inputs!H16</f>
        <v>1</v>
      </c>
      <c r="E1" s="186">
        <f>[1]Inputs!I16</f>
        <v>1</v>
      </c>
      <c r="F1" s="186">
        <f>[1]Inputs!J16</f>
        <v>1.0109999999999999</v>
      </c>
      <c r="G1" s="186">
        <f>[1]Inputs!K16</f>
        <v>1.0231319999999999</v>
      </c>
      <c r="H1" s="186">
        <f>[1]Inputs!L16</f>
        <v>1.0337725727999998</v>
      </c>
    </row>
    <row r="2" spans="2:8" x14ac:dyDescent="0.25">
      <c r="B2" s="185" t="s">
        <v>134</v>
      </c>
      <c r="D2" s="186">
        <f>[1]Inputs!H61</f>
        <v>0.04</v>
      </c>
      <c r="E2" s="186">
        <f>[1]Inputs!I61</f>
        <v>0.04</v>
      </c>
      <c r="F2" s="186">
        <f>[1]Inputs!J61</f>
        <v>0.04</v>
      </c>
      <c r="G2" s="186">
        <f>[1]Inputs!K61</f>
        <v>0.04</v>
      </c>
      <c r="H2" s="186">
        <f>[1]Inputs!L61</f>
        <v>0.04</v>
      </c>
    </row>
    <row r="3" spans="2:8" x14ac:dyDescent="0.25">
      <c r="B3" s="185" t="s">
        <v>135</v>
      </c>
      <c r="D3" s="187">
        <f>[1]Inputs!$M$43</f>
        <v>0.46592661151676018</v>
      </c>
      <c r="E3" s="187">
        <f>[1]Inputs!$M$43</f>
        <v>0.46592661151676018</v>
      </c>
      <c r="F3" s="187">
        <f>[1]Inputs!$M$43</f>
        <v>0.46592661151676018</v>
      </c>
      <c r="G3" s="187">
        <f>[1]Inputs!$M$43</f>
        <v>0.46592661151676018</v>
      </c>
      <c r="H3" s="187">
        <f>[1]Inputs!$M$43</f>
        <v>0.46592661151676018</v>
      </c>
    </row>
    <row r="4" spans="2:8" x14ac:dyDescent="0.25">
      <c r="B4" s="185" t="s">
        <v>136</v>
      </c>
      <c r="D4" s="187">
        <f>[1]Inputs!$M$48</f>
        <v>0.16037758511933414</v>
      </c>
      <c r="E4" s="187">
        <f>[1]Inputs!$M$48</f>
        <v>0.16037758511933414</v>
      </c>
      <c r="F4" s="187">
        <f>[1]Inputs!$M$48</f>
        <v>0.16037758511933414</v>
      </c>
      <c r="G4" s="187">
        <f>[1]Inputs!$M$48</f>
        <v>0.16037758511933414</v>
      </c>
      <c r="H4" s="187">
        <f>[1]Inputs!$M$48</f>
        <v>0.16037758511933414</v>
      </c>
    </row>
    <row r="5" spans="2:8" x14ac:dyDescent="0.25">
      <c r="B5" s="185" t="s">
        <v>137</v>
      </c>
      <c r="D5" s="187">
        <f>[1]Inputs!$H$13</f>
        <v>6.3420000000000004E-2</v>
      </c>
      <c r="E5" s="187">
        <f>[1]Inputs!$H$13</f>
        <v>6.3420000000000004E-2</v>
      </c>
      <c r="F5" s="187">
        <f>[1]Inputs!$H$13</f>
        <v>6.3420000000000004E-2</v>
      </c>
      <c r="G5" s="187">
        <f>[1]Inputs!$H$13</f>
        <v>6.3420000000000004E-2</v>
      </c>
      <c r="H5" s="187">
        <f>[1]Inputs!$H$13</f>
        <v>6.3420000000000004E-2</v>
      </c>
    </row>
    <row r="6" spans="2:8" s="188" customFormat="1" ht="15.75" x14ac:dyDescent="0.25">
      <c r="D6" s="302" t="s">
        <v>138</v>
      </c>
      <c r="E6" s="302"/>
      <c r="F6" s="302"/>
      <c r="G6" s="302"/>
      <c r="H6" s="302"/>
    </row>
    <row r="7" spans="2:8" s="188" customFormat="1" ht="15.75" x14ac:dyDescent="0.25">
      <c r="D7" s="300" t="s">
        <v>149</v>
      </c>
      <c r="E7" s="301"/>
      <c r="F7" s="301"/>
      <c r="G7" s="301"/>
      <c r="H7" s="301"/>
    </row>
    <row r="8" spans="2:8" x14ac:dyDescent="0.25">
      <c r="B8" s="189" t="s">
        <v>161</v>
      </c>
      <c r="C8" s="190"/>
      <c r="D8" s="190" t="s">
        <v>139</v>
      </c>
      <c r="E8" s="190" t="s">
        <v>140</v>
      </c>
      <c r="F8" s="190" t="s">
        <v>141</v>
      </c>
      <c r="G8" s="190" t="s">
        <v>142</v>
      </c>
      <c r="H8" s="190" t="s">
        <v>143</v>
      </c>
    </row>
    <row r="9" spans="2:8" x14ac:dyDescent="0.25">
      <c r="B9" s="191" t="s">
        <v>127</v>
      </c>
      <c r="C9" s="192"/>
      <c r="D9" s="193">
        <f>(D21*D$29)+(D33*D$41)+(D45*D$53)+(D57*D$65)</f>
        <v>85922.588040706876</v>
      </c>
      <c r="E9" s="193">
        <f>(E21*E$29)+(E33*E$41)+(E45*E$53)+(E57*E$65)</f>
        <v>85922.588040706876</v>
      </c>
      <c r="F9" s="193">
        <f>(F21*F$29)+(F33*F$41)+(F45*F$53)+(F57*F$65)</f>
        <v>86867.736509154623</v>
      </c>
      <c r="G9" s="193">
        <f>(G21*G$29)+(G33*G$41)+(G45*G$53)+(G57*G$65)</f>
        <v>88877.160990084391</v>
      </c>
      <c r="H9" s="193">
        <f>(H21*H$29)+(H33*H$41)+(H45*H$53)+(H57*H$65)</f>
        <v>91878.771379879327</v>
      </c>
    </row>
    <row r="10" spans="2:8" x14ac:dyDescent="0.25">
      <c r="B10" s="191" t="s">
        <v>128</v>
      </c>
      <c r="C10" s="192"/>
      <c r="D10" s="193">
        <f t="shared" ref="D10:H11" si="0">(D22*D$29)+(D34*D$41)+(D46*D$53)+(D58*D$65)+(D70*D$77)</f>
        <v>19960.118245519545</v>
      </c>
      <c r="E10" s="193">
        <f t="shared" si="0"/>
        <v>19960.118245519545</v>
      </c>
      <c r="F10" s="193">
        <f t="shared" si="0"/>
        <v>19960.118245519545</v>
      </c>
      <c r="G10" s="193">
        <f t="shared" si="0"/>
        <v>19960.118245519545</v>
      </c>
      <c r="H10" s="193">
        <f t="shared" si="0"/>
        <v>19960.118245519545</v>
      </c>
    </row>
    <row r="11" spans="2:8" x14ac:dyDescent="0.25">
      <c r="B11" s="191" t="s">
        <v>144</v>
      </c>
      <c r="C11" s="192"/>
      <c r="D11" s="193">
        <f t="shared" si="0"/>
        <v>10705.51478846154</v>
      </c>
      <c r="E11" s="193">
        <f t="shared" si="0"/>
        <v>10705.51478846154</v>
      </c>
      <c r="F11" s="193">
        <f t="shared" si="0"/>
        <v>10710.026184615384</v>
      </c>
      <c r="G11" s="193">
        <f t="shared" si="0"/>
        <v>10719.617598215831</v>
      </c>
      <c r="H11" s="193">
        <f t="shared" si="0"/>
        <v>10733.944927751798</v>
      </c>
    </row>
    <row r="12" spans="2:8" x14ac:dyDescent="0.25">
      <c r="B12" s="191" t="s">
        <v>157</v>
      </c>
      <c r="C12" s="192"/>
      <c r="D12" s="244">
        <f>D84</f>
        <v>2500</v>
      </c>
      <c r="E12" s="244">
        <f t="shared" ref="E12:H12" si="1">E84</f>
        <v>2500</v>
      </c>
      <c r="F12" s="244">
        <f t="shared" si="1"/>
        <v>2500</v>
      </c>
      <c r="G12" s="244">
        <f t="shared" si="1"/>
        <v>2500</v>
      </c>
      <c r="H12" s="244">
        <f t="shared" si="1"/>
        <v>2500</v>
      </c>
    </row>
    <row r="13" spans="2:8" x14ac:dyDescent="0.25">
      <c r="B13" s="194" t="s">
        <v>145</v>
      </c>
      <c r="C13" s="194"/>
      <c r="D13" s="245">
        <f>(D36*D$41)+(D48*D$53)+(D60*D$65)+(D72*D$77)+(D24*D29)+D85</f>
        <v>119088.22107468796</v>
      </c>
      <c r="E13" s="245">
        <f t="shared" ref="E13:H13" si="2">(E36*E$41)+(E48*E$53)+(E60*E$65)+(E72*E$77)+(E24*E29)+E85</f>
        <v>119088.22107468796</v>
      </c>
      <c r="F13" s="245">
        <f t="shared" si="2"/>
        <v>120037.88093928956</v>
      </c>
      <c r="G13" s="245">
        <f t="shared" si="2"/>
        <v>122056.89683381976</v>
      </c>
      <c r="H13" s="245">
        <f t="shared" si="2"/>
        <v>125072.83455315066</v>
      </c>
    </row>
    <row r="14" spans="2:8" x14ac:dyDescent="0.25">
      <c r="B14" s="192" t="s">
        <v>130</v>
      </c>
      <c r="C14" s="192"/>
      <c r="D14" s="244">
        <f>(D37*D$41)+(D49*D$53)+(D61*D$65)+(D73*D$77)+(D25*D29)+D86</f>
        <v>55486.371316888188</v>
      </c>
      <c r="E14" s="244">
        <f t="shared" ref="E14:H14" si="3">(E37*E$41)+(E49*E$53)+(E61*E$65)+(E73*E$77)+(E25*E29)+E86</f>
        <v>55486.371316888188</v>
      </c>
      <c r="F14" s="244">
        <f t="shared" si="3"/>
        <v>55928.843119695484</v>
      </c>
      <c r="G14" s="244">
        <f t="shared" si="3"/>
        <v>56869.556354032429</v>
      </c>
      <c r="H14" s="244">
        <f t="shared" si="3"/>
        <v>58274.761996145848</v>
      </c>
    </row>
    <row r="15" spans="2:8" x14ac:dyDescent="0.25">
      <c r="B15" s="192" t="s">
        <v>131</v>
      </c>
      <c r="C15" s="192"/>
      <c r="D15" s="244">
        <f>(D38*D$41)+(D50*D$53)+(D62*D$65)+(D74*D$77)+(D26*D29)+D87</f>
        <v>18698.137349317512</v>
      </c>
      <c r="E15" s="244">
        <f t="shared" ref="E15:H15" si="4">(E38*E$41)+(E50*E$53)+(E62*E$65)+(E74*E$77)+(E26*E29)+E87</f>
        <v>18698.137349317512</v>
      </c>
      <c r="F15" s="244">
        <f t="shared" si="4"/>
        <v>18850.441505087078</v>
      </c>
      <c r="G15" s="244">
        <f t="shared" si="4"/>
        <v>19174.246398569379</v>
      </c>
      <c r="H15" s="244">
        <f t="shared" si="4"/>
        <v>19657.935206865979</v>
      </c>
    </row>
    <row r="16" spans="2:8" x14ac:dyDescent="0.25">
      <c r="B16" s="192" t="s">
        <v>146</v>
      </c>
      <c r="C16" s="192"/>
      <c r="D16" s="244">
        <f>(D39*D$41)+(D51*D$53)+(D63*D$65)+(D75*D$77)+(D27*D29)+D88</f>
        <v>12257.356520167476</v>
      </c>
      <c r="E16" s="244">
        <f t="shared" ref="E16:H16" si="5">(E39*E$41)+(E51*E$53)+(E63*E$65)+(E75*E$77)+(E27*E29)+E88</f>
        <v>12257.356520167476</v>
      </c>
      <c r="F16" s="244">
        <f t="shared" si="5"/>
        <v>12355.304640073455</v>
      </c>
      <c r="G16" s="244">
        <f t="shared" si="5"/>
        <v>12563.546367770858</v>
      </c>
      <c r="H16" s="244">
        <f t="shared" si="5"/>
        <v>12874.610823975827</v>
      </c>
    </row>
    <row r="17" spans="2:8" x14ac:dyDescent="0.25">
      <c r="B17" s="196" t="s">
        <v>147</v>
      </c>
      <c r="C17" s="192"/>
      <c r="D17" s="195">
        <f>SUM(D13:D16)</f>
        <v>205530.08626106114</v>
      </c>
      <c r="E17" s="195">
        <f t="shared" ref="E17:H17" si="6">SUM(E13:E16)</f>
        <v>205530.08626106114</v>
      </c>
      <c r="F17" s="195">
        <f t="shared" si="6"/>
        <v>207172.47020414556</v>
      </c>
      <c r="G17" s="195">
        <f t="shared" si="6"/>
        <v>210664.24595419242</v>
      </c>
      <c r="H17" s="195">
        <f t="shared" si="6"/>
        <v>215880.14258013832</v>
      </c>
    </row>
    <row r="18" spans="2:8" s="198" customFormat="1" x14ac:dyDescent="0.25">
      <c r="B18" s="197" t="s">
        <v>148</v>
      </c>
      <c r="C18" s="194"/>
      <c r="D18" s="195">
        <f>D42+D54+D66+D78+D91+D30-D17</f>
        <v>0</v>
      </c>
      <c r="E18" s="195">
        <f t="shared" ref="E18:H18" si="7">E42+E54+E66+E78+E91+E30-E17</f>
        <v>0</v>
      </c>
      <c r="F18" s="195">
        <f t="shared" si="7"/>
        <v>0</v>
      </c>
      <c r="G18" s="195">
        <f t="shared" si="7"/>
        <v>0</v>
      </c>
      <c r="H18" s="195">
        <f t="shared" si="7"/>
        <v>0</v>
      </c>
    </row>
    <row r="19" spans="2:8" s="198" customFormat="1" x14ac:dyDescent="0.25">
      <c r="C19" s="199"/>
    </row>
    <row r="20" spans="2:8" s="198" customFormat="1" x14ac:dyDescent="0.25">
      <c r="B20" s="200" t="s">
        <v>185</v>
      </c>
      <c r="C20" s="201"/>
      <c r="D20" s="202"/>
      <c r="E20" s="203"/>
      <c r="F20" s="203"/>
      <c r="G20" s="203"/>
      <c r="H20" s="203"/>
    </row>
    <row r="21" spans="2:8" s="198" customFormat="1" x14ac:dyDescent="0.25">
      <c r="B21" s="204" t="s">
        <v>127</v>
      </c>
      <c r="C21" s="205">
        <f>'Proposed Fee'!H22</f>
        <v>103.26059762014499</v>
      </c>
      <c r="D21" s="206">
        <f>C21*D$1</f>
        <v>103.26059762014499</v>
      </c>
      <c r="E21" s="206">
        <f>D21*E1</f>
        <v>103.26059762014499</v>
      </c>
      <c r="F21" s="206">
        <f t="shared" ref="F21:H21" si="8">E21*F1</f>
        <v>104.39646419396658</v>
      </c>
      <c r="G21" s="206">
        <f t="shared" si="8"/>
        <v>106.8113632037014</v>
      </c>
      <c r="H21" s="206">
        <f t="shared" si="8"/>
        <v>110.41865774336563</v>
      </c>
    </row>
    <row r="22" spans="2:8" s="198" customFormat="1" x14ac:dyDescent="0.25">
      <c r="B22" s="204" t="s">
        <v>128</v>
      </c>
      <c r="C22" s="205">
        <f>'Proposed Fee'!I22</f>
        <v>0</v>
      </c>
      <c r="D22" s="206">
        <f>C22</f>
        <v>0</v>
      </c>
      <c r="E22" s="206">
        <f t="shared" ref="E22:E23" si="9">D22</f>
        <v>0</v>
      </c>
      <c r="F22" s="206">
        <f t="shared" ref="F22:F23" si="10">E22</f>
        <v>0</v>
      </c>
      <c r="G22" s="206">
        <f t="shared" ref="G22:G23" si="11">F22</f>
        <v>0</v>
      </c>
      <c r="H22" s="206">
        <f t="shared" ref="H22:H23" si="12">G22</f>
        <v>0</v>
      </c>
    </row>
    <row r="23" spans="2:8" s="198" customFormat="1" x14ac:dyDescent="0.25">
      <c r="B23" s="204" t="s">
        <v>153</v>
      </c>
      <c r="C23" s="205">
        <f>'Proposed Fee'!J22</f>
        <v>0</v>
      </c>
      <c r="D23" s="206">
        <f>C23</f>
        <v>0</v>
      </c>
      <c r="E23" s="206">
        <f t="shared" si="9"/>
        <v>0</v>
      </c>
      <c r="F23" s="206">
        <f t="shared" si="10"/>
        <v>0</v>
      </c>
      <c r="G23" s="206">
        <f t="shared" si="11"/>
        <v>0</v>
      </c>
      <c r="H23" s="206">
        <f t="shared" si="12"/>
        <v>0</v>
      </c>
    </row>
    <row r="24" spans="2:8" s="198" customFormat="1" x14ac:dyDescent="0.25">
      <c r="B24" s="207" t="s">
        <v>145</v>
      </c>
      <c r="C24" s="312">
        <f>'Proposed Fee'!M22</f>
        <v>103.26059762014499</v>
      </c>
      <c r="D24" s="313">
        <f>SUM(D21:D23)</f>
        <v>103.26059762014499</v>
      </c>
      <c r="E24" s="313">
        <f t="shared" ref="E24:H24" si="13">SUM(E21:E23)</f>
        <v>103.26059762014499</v>
      </c>
      <c r="F24" s="313">
        <f t="shared" si="13"/>
        <v>104.39646419396658</v>
      </c>
      <c r="G24" s="313">
        <f t="shared" si="13"/>
        <v>106.8113632037014</v>
      </c>
      <c r="H24" s="313">
        <f t="shared" si="13"/>
        <v>110.41865774336563</v>
      </c>
    </row>
    <row r="25" spans="2:8" s="198" customFormat="1" x14ac:dyDescent="0.25">
      <c r="B25" s="204" t="s">
        <v>130</v>
      </c>
      <c r="C25" s="205">
        <f>'Proposed Fee'!N22</f>
        <v>48.111860352349787</v>
      </c>
      <c r="D25" s="206">
        <f>D24*D$3</f>
        <v>48.111860352349787</v>
      </c>
      <c r="E25" s="206">
        <f t="shared" ref="E25:H25" si="14">E24*E$3</f>
        <v>48.111860352349787</v>
      </c>
      <c r="F25" s="206">
        <f t="shared" si="14"/>
        <v>48.641090816225628</v>
      </c>
      <c r="G25" s="206">
        <f t="shared" si="14"/>
        <v>49.76625652898656</v>
      </c>
      <c r="H25" s="206">
        <f t="shared" si="14"/>
        <v>51.446991050595223</v>
      </c>
    </row>
    <row r="26" spans="2:8" s="198" customFormat="1" x14ac:dyDescent="0.25">
      <c r="B26" s="204" t="s">
        <v>131</v>
      </c>
      <c r="C26" s="205">
        <f>'Proposed Fee'!O22</f>
        <v>16.560685284298117</v>
      </c>
      <c r="D26" s="206">
        <f>D24*D$4</f>
        <v>16.560685284298117</v>
      </c>
      <c r="E26" s="206">
        <f t="shared" ref="E26:H26" si="15">E24*E$4</f>
        <v>16.560685284298117</v>
      </c>
      <c r="F26" s="206">
        <f t="shared" si="15"/>
        <v>16.742852822425395</v>
      </c>
      <c r="G26" s="206">
        <f t="shared" si="15"/>
        <v>17.130148493913737</v>
      </c>
      <c r="H26" s="206">
        <f t="shared" si="15"/>
        <v>17.708677680999244</v>
      </c>
    </row>
    <row r="27" spans="2:8" s="198" customFormat="1" x14ac:dyDescent="0.25">
      <c r="B27" s="204" t="s">
        <v>132</v>
      </c>
      <c r="C27" s="205">
        <f>'Proposed Fee'!P22</f>
        <v>10.650319945345807</v>
      </c>
      <c r="D27" s="206">
        <f>SUM(D24:D26)*D$5</f>
        <v>10.650319945345807</v>
      </c>
      <c r="E27" s="206">
        <f t="shared" ref="E27:H27" si="16">SUM(E24:E26)*E$5</f>
        <v>10.650319945345807</v>
      </c>
      <c r="F27" s="206">
        <f t="shared" si="16"/>
        <v>10.767473464744608</v>
      </c>
      <c r="G27" s="206">
        <f t="shared" si="16"/>
        <v>11.01654666093108</v>
      </c>
      <c r="H27" s="206">
        <f t="shared" si="16"/>
        <v>11.388603785041969</v>
      </c>
    </row>
    <row r="28" spans="2:8" s="198" customFormat="1" x14ac:dyDescent="0.25">
      <c r="B28" s="208" t="s">
        <v>150</v>
      </c>
      <c r="C28" s="209">
        <f>'Proposed Fee'!Q22</f>
        <v>178.58346320213872</v>
      </c>
      <c r="D28" s="210">
        <f>SUM(D24:D27)</f>
        <v>178.58346320213872</v>
      </c>
      <c r="E28" s="210">
        <f t="shared" ref="E28:H28" si="17">SUM(E24:E27)</f>
        <v>178.58346320213872</v>
      </c>
      <c r="F28" s="210">
        <f t="shared" si="17"/>
        <v>180.54788129736218</v>
      </c>
      <c r="G28" s="210">
        <f t="shared" si="17"/>
        <v>184.72431488753278</v>
      </c>
      <c r="H28" s="210">
        <f t="shared" si="17"/>
        <v>190.96293026000205</v>
      </c>
    </row>
    <row r="29" spans="2:8" s="198" customFormat="1" x14ac:dyDescent="0.25">
      <c r="B29" s="211" t="s">
        <v>154</v>
      </c>
      <c r="C29" s="206"/>
      <c r="D29" s="212">
        <f>'Forecast Revenue - Costs'!D$16</f>
        <v>50</v>
      </c>
      <c r="E29" s="212">
        <f>'Forecast Revenue - Costs'!E$16</f>
        <v>50</v>
      </c>
      <c r="F29" s="212">
        <f>'Forecast Revenue - Costs'!F$16</f>
        <v>50</v>
      </c>
      <c r="G29" s="212">
        <f>'Forecast Revenue - Costs'!G$16</f>
        <v>50</v>
      </c>
      <c r="H29" s="212">
        <f>'Forecast Revenue - Costs'!H$16</f>
        <v>50</v>
      </c>
    </row>
    <row r="30" spans="2:8" s="198" customFormat="1" x14ac:dyDescent="0.25">
      <c r="B30" s="196" t="s">
        <v>152</v>
      </c>
      <c r="C30" s="194"/>
      <c r="D30" s="195">
        <f>D28*D29</f>
        <v>8929.173160106935</v>
      </c>
      <c r="E30" s="195">
        <f t="shared" ref="E30:H30" si="18">E28*E29</f>
        <v>8929.173160106935</v>
      </c>
      <c r="F30" s="195">
        <f t="shared" si="18"/>
        <v>9027.3940648681091</v>
      </c>
      <c r="G30" s="195">
        <f t="shared" si="18"/>
        <v>9236.2157443766391</v>
      </c>
      <c r="H30" s="195">
        <f t="shared" si="18"/>
        <v>9548.1465130001034</v>
      </c>
    </row>
    <row r="31" spans="2:8" s="198" customFormat="1" x14ac:dyDescent="0.25">
      <c r="C31" s="199"/>
    </row>
    <row r="32" spans="2:8" x14ac:dyDescent="0.25">
      <c r="B32" s="200" t="s">
        <v>186</v>
      </c>
      <c r="C32" s="201"/>
      <c r="D32" s="202"/>
      <c r="E32" s="203"/>
      <c r="F32" s="203"/>
      <c r="G32" s="203"/>
      <c r="H32" s="203"/>
    </row>
    <row r="33" spans="2:8" x14ac:dyDescent="0.25">
      <c r="B33" s="204" t="s">
        <v>127</v>
      </c>
      <c r="C33" s="205">
        <f>'Proposed Fee'!H8</f>
        <v>79.838346469665012</v>
      </c>
      <c r="D33" s="206">
        <f>C33*D$1</f>
        <v>79.838346469665012</v>
      </c>
      <c r="E33" s="206">
        <f>D33*E1</f>
        <v>79.838346469665012</v>
      </c>
      <c r="F33" s="206">
        <f>E33*F1</f>
        <v>80.716568280831325</v>
      </c>
      <c r="G33" s="206">
        <f>F33*G1</f>
        <v>82.583703938303515</v>
      </c>
      <c r="H33" s="206">
        <f>G33*H1</f>
        <v>85.372768091653498</v>
      </c>
    </row>
    <row r="34" spans="2:8" x14ac:dyDescent="0.25">
      <c r="B34" s="204" t="s">
        <v>128</v>
      </c>
      <c r="C34" s="205">
        <f>'Proposed Fee'!I8</f>
        <v>19.732436288346317</v>
      </c>
      <c r="D34" s="206">
        <f>C34</f>
        <v>19.732436288346317</v>
      </c>
      <c r="E34" s="206">
        <f t="shared" ref="E34:H35" si="19">D34</f>
        <v>19.732436288346317</v>
      </c>
      <c r="F34" s="206">
        <f t="shared" si="19"/>
        <v>19.732436288346317</v>
      </c>
      <c r="G34" s="206">
        <f t="shared" si="19"/>
        <v>19.732436288346317</v>
      </c>
      <c r="H34" s="206">
        <f t="shared" si="19"/>
        <v>19.732436288346317</v>
      </c>
    </row>
    <row r="35" spans="2:8" x14ac:dyDescent="0.25">
      <c r="B35" s="204" t="s">
        <v>153</v>
      </c>
      <c r="C35" s="205"/>
      <c r="D35" s="206">
        <f>C35</f>
        <v>0</v>
      </c>
      <c r="E35" s="206">
        <f t="shared" si="19"/>
        <v>0</v>
      </c>
      <c r="F35" s="206">
        <f t="shared" si="19"/>
        <v>0</v>
      </c>
      <c r="G35" s="206">
        <f t="shared" si="19"/>
        <v>0</v>
      </c>
      <c r="H35" s="206">
        <f t="shared" si="19"/>
        <v>0</v>
      </c>
    </row>
    <row r="36" spans="2:8" s="198" customFormat="1" x14ac:dyDescent="0.25">
      <c r="B36" s="207" t="s">
        <v>145</v>
      </c>
      <c r="C36" s="312">
        <f>'Proposed Fee'!M8</f>
        <v>99.570782758011333</v>
      </c>
      <c r="D36" s="313">
        <f>SUM(D33:D35)</f>
        <v>99.570782758011333</v>
      </c>
      <c r="E36" s="313">
        <f t="shared" ref="E36:H36" si="20">SUM(E33:E35)</f>
        <v>99.570782758011333</v>
      </c>
      <c r="F36" s="313">
        <f t="shared" si="20"/>
        <v>100.44900456917765</v>
      </c>
      <c r="G36" s="313">
        <f t="shared" si="20"/>
        <v>102.31614022664984</v>
      </c>
      <c r="H36" s="313">
        <f t="shared" si="20"/>
        <v>105.10520437999982</v>
      </c>
    </row>
    <row r="37" spans="2:8" x14ac:dyDescent="0.25">
      <c r="B37" s="204" t="s">
        <v>130</v>
      </c>
      <c r="C37" s="205">
        <f>'Proposed Fee'!N8</f>
        <v>46.392677416511667</v>
      </c>
      <c r="D37" s="206">
        <f>D36*D$3</f>
        <v>46.392677416511667</v>
      </c>
      <c r="E37" s="206">
        <f t="shared" ref="E37:H37" si="21">E36*E$3</f>
        <v>46.392677416511667</v>
      </c>
      <c r="F37" s="206">
        <f t="shared" si="21"/>
        <v>46.801864329148501</v>
      </c>
      <c r="G37" s="206">
        <f t="shared" si="21"/>
        <v>47.671812519276635</v>
      </c>
      <c r="H37" s="206">
        <f t="shared" si="21"/>
        <v>48.971311729549853</v>
      </c>
    </row>
    <row r="38" spans="2:8" x14ac:dyDescent="0.25">
      <c r="B38" s="204" t="s">
        <v>131</v>
      </c>
      <c r="C38" s="205">
        <f>'Proposed Fee'!O8</f>
        <v>15.968921687171692</v>
      </c>
      <c r="D38" s="206">
        <f>D36*D$4</f>
        <v>15.968921687171692</v>
      </c>
      <c r="E38" s="206">
        <f t="shared" ref="E38:H38" si="22">E36*E$4</f>
        <v>15.968921687171692</v>
      </c>
      <c r="F38" s="206">
        <f t="shared" si="22"/>
        <v>16.109768780445673</v>
      </c>
      <c r="G38" s="206">
        <f t="shared" si="22"/>
        <v>16.409215488281262</v>
      </c>
      <c r="H38" s="206">
        <f t="shared" si="22"/>
        <v>16.856518861938433</v>
      </c>
    </row>
    <row r="39" spans="2:8" x14ac:dyDescent="0.25">
      <c r="B39" s="204" t="s">
        <v>132</v>
      </c>
      <c r="C39" s="205">
        <f>'Proposed Fee'!P8</f>
        <v>10.269751657668678</v>
      </c>
      <c r="D39" s="206">
        <f>SUM(D36:D38)*D$5</f>
        <v>10.269751657668678</v>
      </c>
      <c r="E39" s="206">
        <f t="shared" ref="E39:H39" si="23">SUM(E36:E38)*E$5</f>
        <v>10.269751657668678</v>
      </c>
      <c r="F39" s="206">
        <f t="shared" si="23"/>
        <v>10.36033164158771</v>
      </c>
      <c r="G39" s="206">
        <f t="shared" si="23"/>
        <v>10.552908409413455</v>
      </c>
      <c r="H39" s="206">
        <f t="shared" si="23"/>
        <v>10.840573077891777</v>
      </c>
    </row>
    <row r="40" spans="2:8" s="198" customFormat="1" x14ac:dyDescent="0.25">
      <c r="B40" s="208" t="s">
        <v>150</v>
      </c>
      <c r="C40" s="209">
        <f>'Proposed Fee'!Q8</f>
        <v>172.20213351936337</v>
      </c>
      <c r="D40" s="210">
        <f>SUM(D36:D39)</f>
        <v>172.20213351936337</v>
      </c>
      <c r="E40" s="210">
        <f t="shared" ref="E40:H40" si="24">SUM(E36:E39)</f>
        <v>172.20213351936337</v>
      </c>
      <c r="F40" s="210">
        <f t="shared" si="24"/>
        <v>173.72096932035953</v>
      </c>
      <c r="G40" s="210">
        <f t="shared" si="24"/>
        <v>176.95007664362117</v>
      </c>
      <c r="H40" s="210">
        <f t="shared" si="24"/>
        <v>181.7736080493799</v>
      </c>
    </row>
    <row r="41" spans="2:8" x14ac:dyDescent="0.25">
      <c r="B41" s="211" t="s">
        <v>154</v>
      </c>
      <c r="C41" s="206"/>
      <c r="D41" s="212">
        <f>'Forecast Revenue - Costs'!D17</f>
        <v>1000</v>
      </c>
      <c r="E41" s="212">
        <f>'Forecast Revenue - Costs'!E17</f>
        <v>1000</v>
      </c>
      <c r="F41" s="212">
        <f>'Forecast Revenue - Costs'!F17</f>
        <v>1000</v>
      </c>
      <c r="G41" s="212">
        <f>'Forecast Revenue - Costs'!G17</f>
        <v>1000</v>
      </c>
      <c r="H41" s="212">
        <f>'Forecast Revenue - Costs'!H17</f>
        <v>1000</v>
      </c>
    </row>
    <row r="42" spans="2:8" s="198" customFormat="1" x14ac:dyDescent="0.25">
      <c r="B42" s="196" t="s">
        <v>152</v>
      </c>
      <c r="C42" s="194"/>
      <c r="D42" s="195">
        <f>D40*D41</f>
        <v>172202.13351936339</v>
      </c>
      <c r="E42" s="195">
        <f t="shared" ref="E42:H42" si="25">E40*E41</f>
        <v>172202.13351936339</v>
      </c>
      <c r="F42" s="195">
        <f t="shared" si="25"/>
        <v>173720.96932035952</v>
      </c>
      <c r="G42" s="195">
        <f t="shared" si="25"/>
        <v>176950.07664362117</v>
      </c>
      <c r="H42" s="195">
        <f t="shared" si="25"/>
        <v>181773.60804937989</v>
      </c>
    </row>
    <row r="44" spans="2:8" x14ac:dyDescent="0.25">
      <c r="B44" s="200" t="s">
        <v>155</v>
      </c>
      <c r="C44" s="201"/>
      <c r="D44" s="300" t="s">
        <v>149</v>
      </c>
      <c r="E44" s="301"/>
      <c r="F44" s="301"/>
      <c r="G44" s="301"/>
      <c r="H44" s="301"/>
    </row>
    <row r="45" spans="2:8" x14ac:dyDescent="0.25">
      <c r="B45" s="204" t="s">
        <v>127</v>
      </c>
      <c r="C45" s="205">
        <f>'Proposed Fee'!H7</f>
        <v>0.76767640836216355</v>
      </c>
      <c r="D45" s="206">
        <f>C45*D$1</f>
        <v>0.76767640836216355</v>
      </c>
      <c r="E45" s="206">
        <f t="shared" ref="E45:H45" si="26">D45*E$1</f>
        <v>0.76767640836216355</v>
      </c>
      <c r="F45" s="206">
        <f t="shared" si="26"/>
        <v>0.77612084885414723</v>
      </c>
      <c r="G45" s="206">
        <f t="shared" si="26"/>
        <v>0.79407407632984128</v>
      </c>
      <c r="H45" s="206">
        <f t="shared" si="26"/>
        <v>0.82089200088128345</v>
      </c>
    </row>
    <row r="46" spans="2:8" x14ac:dyDescent="0.25">
      <c r="B46" s="204" t="s">
        <v>128</v>
      </c>
      <c r="C46" s="205">
        <f>'Proposed Fee'!I7</f>
        <v>0.1897349643110223</v>
      </c>
      <c r="D46" s="206">
        <f>C46</f>
        <v>0.1897349643110223</v>
      </c>
      <c r="E46" s="206">
        <f t="shared" ref="E46:H46" si="27">D46</f>
        <v>0.1897349643110223</v>
      </c>
      <c r="F46" s="206">
        <f t="shared" si="27"/>
        <v>0.1897349643110223</v>
      </c>
      <c r="G46" s="206">
        <f t="shared" si="27"/>
        <v>0.1897349643110223</v>
      </c>
      <c r="H46" s="206">
        <f t="shared" si="27"/>
        <v>0.1897349643110223</v>
      </c>
    </row>
    <row r="47" spans="2:8" x14ac:dyDescent="0.25">
      <c r="B47" s="204" t="s">
        <v>144</v>
      </c>
      <c r="C47" s="205">
        <f>'Proposed Fee'!L7</f>
        <v>0.410126923076923</v>
      </c>
      <c r="D47" s="206">
        <f>C47*D1</f>
        <v>0.410126923076923</v>
      </c>
      <c r="E47" s="206">
        <f>D47*E1</f>
        <v>0.410126923076923</v>
      </c>
      <c r="F47" s="206">
        <f>E47*F1</f>
        <v>0.4146383192307691</v>
      </c>
      <c r="G47" s="206">
        <f>F47*G1</f>
        <v>0.42422973283121523</v>
      </c>
      <c r="H47" s="206">
        <f>G47*H1</f>
        <v>0.43855706236718189</v>
      </c>
    </row>
    <row r="48" spans="2:8" x14ac:dyDescent="0.25">
      <c r="B48" s="207" t="s">
        <v>145</v>
      </c>
      <c r="C48" s="312">
        <f>'Proposed Fee'!M7</f>
        <v>1.367538295750109</v>
      </c>
      <c r="D48" s="313">
        <f>SUM(D45:D47)</f>
        <v>1.367538295750109</v>
      </c>
      <c r="E48" s="313">
        <f t="shared" ref="E48:H48" si="28">SUM(E45:E47)</f>
        <v>1.367538295750109</v>
      </c>
      <c r="F48" s="313">
        <f t="shared" si="28"/>
        <v>1.3804941323959388</v>
      </c>
      <c r="G48" s="313">
        <f t="shared" si="28"/>
        <v>1.4080387734720787</v>
      </c>
      <c r="H48" s="313">
        <f t="shared" si="28"/>
        <v>1.4491840275594876</v>
      </c>
    </row>
    <row r="49" spans="2:8" x14ac:dyDescent="0.25">
      <c r="B49" s="204" t="s">
        <v>130</v>
      </c>
      <c r="C49" s="205">
        <f>'Proposed Fee'!N7</f>
        <v>0.63717248425825335</v>
      </c>
      <c r="D49" s="206">
        <f>D48*D$3</f>
        <v>0.63717248425825335</v>
      </c>
      <c r="E49" s="206">
        <f t="shared" ref="E49:H49" si="29">E48*E$3</f>
        <v>0.63717248425825335</v>
      </c>
      <c r="F49" s="206">
        <f t="shared" si="29"/>
        <v>0.64320895332600947</v>
      </c>
      <c r="G49" s="206">
        <f t="shared" si="29"/>
        <v>0.65604273460806073</v>
      </c>
      <c r="H49" s="206">
        <f t="shared" si="29"/>
        <v>0.67521340342500324</v>
      </c>
    </row>
    <row r="50" spans="2:8" x14ac:dyDescent="0.25">
      <c r="B50" s="204" t="s">
        <v>131</v>
      </c>
      <c r="C50" s="205">
        <f>'Proposed Fee'!O7</f>
        <v>0.21932248943061225</v>
      </c>
      <c r="D50" s="206">
        <f>D48*D$4</f>
        <v>0.21932248943061225</v>
      </c>
      <c r="E50" s="206">
        <f t="shared" ref="E50:H50" si="30">E48*E$4</f>
        <v>0.21932248943061225</v>
      </c>
      <c r="F50" s="206">
        <f t="shared" si="30"/>
        <v>0.221400315225071</v>
      </c>
      <c r="G50" s="206">
        <f t="shared" si="30"/>
        <v>0.22581785824384115</v>
      </c>
      <c r="H50" s="206">
        <f t="shared" si="30"/>
        <v>0.23241663473350119</v>
      </c>
    </row>
    <row r="51" spans="2:8" x14ac:dyDescent="0.25">
      <c r="B51" s="204" t="s">
        <v>132</v>
      </c>
      <c r="C51" s="205">
        <f>'Proposed Fee'!P7</f>
        <v>0.14104818994781976</v>
      </c>
      <c r="D51" s="206">
        <f>SUM(D48:D50)*D$5</f>
        <v>0.14104818994781976</v>
      </c>
      <c r="E51" s="206">
        <f t="shared" ref="E51:H51" si="31">SUM(E48:E50)*E$5</f>
        <v>0.14104818994781976</v>
      </c>
      <c r="F51" s="206">
        <f t="shared" si="31"/>
        <v>0.14238445768805996</v>
      </c>
      <c r="G51" s="206">
        <f t="shared" si="31"/>
        <v>0.14522541781226686</v>
      </c>
      <c r="H51" s="206">
        <f t="shared" si="31"/>
        <v>0.14946914804783507</v>
      </c>
    </row>
    <row r="52" spans="2:8" s="198" customFormat="1" x14ac:dyDescent="0.25">
      <c r="B52" s="208" t="s">
        <v>150</v>
      </c>
      <c r="C52" s="209">
        <f>'Proposed Fee'!Q7</f>
        <v>2.3650814593867939</v>
      </c>
      <c r="D52" s="210">
        <f>SUM(D48:D51)</f>
        <v>2.3650814593867939</v>
      </c>
      <c r="E52" s="210">
        <f t="shared" ref="E52:H52" si="32">SUM(E48:E51)</f>
        <v>2.3650814593867939</v>
      </c>
      <c r="F52" s="210">
        <f t="shared" si="32"/>
        <v>2.3874878586350787</v>
      </c>
      <c r="G52" s="210">
        <f t="shared" si="32"/>
        <v>2.4351247841362476</v>
      </c>
      <c r="H52" s="210">
        <f t="shared" si="32"/>
        <v>2.5062832137658271</v>
      </c>
    </row>
    <row r="53" spans="2:8" x14ac:dyDescent="0.25">
      <c r="B53" s="211" t="s">
        <v>151</v>
      </c>
      <c r="C53" s="206"/>
      <c r="D53" s="212">
        <f>'Forecast Revenue - Costs'!D18</f>
        <v>1000</v>
      </c>
      <c r="E53" s="212">
        <f>'Forecast Revenue - Costs'!E18</f>
        <v>1000</v>
      </c>
      <c r="F53" s="212">
        <f>'Forecast Revenue - Costs'!F18</f>
        <v>1000</v>
      </c>
      <c r="G53" s="212">
        <f>'Forecast Revenue - Costs'!G18</f>
        <v>1000</v>
      </c>
      <c r="H53" s="212">
        <f>'Forecast Revenue - Costs'!H18</f>
        <v>1000</v>
      </c>
    </row>
    <row r="54" spans="2:8" s="198" customFormat="1" x14ac:dyDescent="0.25">
      <c r="B54" s="196" t="s">
        <v>152</v>
      </c>
      <c r="C54" s="194"/>
      <c r="D54" s="195">
        <f>D52*D53</f>
        <v>2365.081459386794</v>
      </c>
      <c r="E54" s="195">
        <f t="shared" ref="E54:H54" si="33">E52*E53</f>
        <v>2365.081459386794</v>
      </c>
      <c r="F54" s="195">
        <f t="shared" si="33"/>
        <v>2387.4878586350787</v>
      </c>
      <c r="G54" s="195">
        <f t="shared" si="33"/>
        <v>2435.1247841362474</v>
      </c>
      <c r="H54" s="195">
        <f t="shared" si="33"/>
        <v>2506.283213765827</v>
      </c>
    </row>
    <row r="56" spans="2:8" x14ac:dyDescent="0.25">
      <c r="B56" s="200" t="s">
        <v>156</v>
      </c>
      <c r="C56" s="201"/>
      <c r="D56" s="300" t="s">
        <v>149</v>
      </c>
      <c r="E56" s="301"/>
      <c r="F56" s="301"/>
      <c r="G56" s="301"/>
      <c r="H56" s="301"/>
    </row>
    <row r="57" spans="2:8" x14ac:dyDescent="0.25">
      <c r="B57" s="204" t="s">
        <v>127</v>
      </c>
      <c r="C57" s="205">
        <f>'Proposed Fee'!H15</f>
        <v>0.76767640836216355</v>
      </c>
      <c r="D57" s="206">
        <f>C57*D$1</f>
        <v>0.76767640836216355</v>
      </c>
      <c r="E57" s="206">
        <f t="shared" ref="E57:H57" si="34">D57*E$1</f>
        <v>0.76767640836216355</v>
      </c>
      <c r="F57" s="206">
        <f t="shared" si="34"/>
        <v>0.77612084885414723</v>
      </c>
      <c r="G57" s="206">
        <f t="shared" si="34"/>
        <v>0.79407407632984128</v>
      </c>
      <c r="H57" s="206">
        <f t="shared" si="34"/>
        <v>0.82089200088128345</v>
      </c>
    </row>
    <row r="58" spans="2:8" x14ac:dyDescent="0.25">
      <c r="B58" s="204" t="s">
        <v>128</v>
      </c>
      <c r="C58" s="205">
        <f>'Proposed Fee'!I15</f>
        <v>0.1897349643110223</v>
      </c>
      <c r="D58" s="206">
        <f>C58</f>
        <v>0.1897349643110223</v>
      </c>
      <c r="E58" s="206">
        <f>D58</f>
        <v>0.1897349643110223</v>
      </c>
      <c r="F58" s="206">
        <f t="shared" ref="F58:H58" si="35">E58</f>
        <v>0.1897349643110223</v>
      </c>
      <c r="G58" s="206">
        <f t="shared" si="35"/>
        <v>0.1897349643110223</v>
      </c>
      <c r="H58" s="206">
        <f t="shared" si="35"/>
        <v>0.1897349643110223</v>
      </c>
    </row>
    <row r="59" spans="2:8" x14ac:dyDescent="0.25">
      <c r="B59" s="204" t="s">
        <v>144</v>
      </c>
      <c r="C59" s="205">
        <f>'Proposed Fee'!L15</f>
        <v>0.65160682692307692</v>
      </c>
      <c r="D59" s="206">
        <f>C59</f>
        <v>0.65160682692307692</v>
      </c>
      <c r="E59" s="206">
        <f>D59</f>
        <v>0.65160682692307692</v>
      </c>
      <c r="F59" s="206">
        <f t="shared" ref="F59:H59" si="36">E59</f>
        <v>0.65160682692307692</v>
      </c>
      <c r="G59" s="206">
        <f t="shared" si="36"/>
        <v>0.65160682692307692</v>
      </c>
      <c r="H59" s="206">
        <f t="shared" si="36"/>
        <v>0.65160682692307692</v>
      </c>
    </row>
    <row r="60" spans="2:8" x14ac:dyDescent="0.25">
      <c r="B60" s="207" t="s">
        <v>145</v>
      </c>
      <c r="C60" s="312">
        <f>'Proposed Fee'!M15</f>
        <v>1.6090181995962629</v>
      </c>
      <c r="D60" s="313">
        <f>SUM(D57:D59)</f>
        <v>1.6090181995962629</v>
      </c>
      <c r="E60" s="313">
        <f t="shared" ref="E60:H60" si="37">SUM(E57:E59)</f>
        <v>1.6090181995962629</v>
      </c>
      <c r="F60" s="313">
        <f t="shared" si="37"/>
        <v>1.6174626400882466</v>
      </c>
      <c r="G60" s="313">
        <f t="shared" si="37"/>
        <v>1.6354158675639405</v>
      </c>
      <c r="H60" s="313">
        <f t="shared" si="37"/>
        <v>1.6622337921153827</v>
      </c>
    </row>
    <row r="61" spans="2:8" x14ac:dyDescent="0.25">
      <c r="B61" s="204" t="s">
        <v>130</v>
      </c>
      <c r="C61" s="205">
        <f>'Proposed Fee'!N15</f>
        <v>0.74968439760668493</v>
      </c>
      <c r="D61" s="206">
        <f>D60*D$3</f>
        <v>0.74968439760668493</v>
      </c>
      <c r="E61" s="206">
        <f t="shared" ref="E61:H61" si="38">E60*E$3</f>
        <v>0.74968439760668493</v>
      </c>
      <c r="F61" s="206">
        <f t="shared" si="38"/>
        <v>0.75361888715126979</v>
      </c>
      <c r="G61" s="206">
        <f t="shared" si="38"/>
        <v>0.7619837735948094</v>
      </c>
      <c r="H61" s="206">
        <f t="shared" si="38"/>
        <v>0.77447895830897506</v>
      </c>
    </row>
    <row r="62" spans="2:8" x14ac:dyDescent="0.25">
      <c r="B62" s="204" t="s">
        <v>131</v>
      </c>
      <c r="C62" s="205">
        <f>'Proposed Fee'!O15</f>
        <v>0.25805045326430742</v>
      </c>
      <c r="D62" s="206">
        <f>D60*D$4</f>
        <v>0.25805045326430742</v>
      </c>
      <c r="E62" s="206">
        <f t="shared" ref="E62:H62" si="39">E60*E$4</f>
        <v>0.25805045326430742</v>
      </c>
      <c r="F62" s="206">
        <f t="shared" si="39"/>
        <v>0.25940475223809567</v>
      </c>
      <c r="G62" s="206">
        <f t="shared" si="39"/>
        <v>0.26228404750574558</v>
      </c>
      <c r="H62" s="206">
        <f t="shared" si="39"/>
        <v>0.26658504148321838</v>
      </c>
    </row>
    <row r="63" spans="2:8" x14ac:dyDescent="0.25">
      <c r="B63" s="204" t="s">
        <v>132</v>
      </c>
      <c r="C63" s="205">
        <f>'Proposed Fee'!P15</f>
        <v>0.16595447846063333</v>
      </c>
      <c r="D63" s="206">
        <f>SUM(D60:D62)*D$5</f>
        <v>0.16595447846063333</v>
      </c>
      <c r="E63" s="206">
        <f t="shared" ref="E63:H63" si="40">SUM(E60:E62)*E$5</f>
        <v>0.16595447846063333</v>
      </c>
      <c r="F63" s="206">
        <f t="shared" si="40"/>
        <v>0.16682543984447018</v>
      </c>
      <c r="G63" s="206">
        <f t="shared" si="40"/>
        <v>0.16867713953510233</v>
      </c>
      <c r="H63" s="206">
        <f t="shared" si="40"/>
        <v>0.17144314596277849</v>
      </c>
    </row>
    <row r="64" spans="2:8" x14ac:dyDescent="0.25">
      <c r="B64" s="208" t="s">
        <v>150</v>
      </c>
      <c r="C64" s="209">
        <f>'Proposed Fee'!Q15</f>
        <v>2.7827075289278884</v>
      </c>
      <c r="D64" s="210">
        <f>SUM(D60:D63)</f>
        <v>2.7827075289278884</v>
      </c>
      <c r="E64" s="210">
        <f t="shared" ref="E64:H64" si="41">SUM(E60:E63)</f>
        <v>2.7827075289278884</v>
      </c>
      <c r="F64" s="210">
        <f t="shared" si="41"/>
        <v>2.7973117193220824</v>
      </c>
      <c r="G64" s="210">
        <f t="shared" si="41"/>
        <v>2.8283608281995982</v>
      </c>
      <c r="H64" s="210">
        <f t="shared" si="41"/>
        <v>2.8747409378703543</v>
      </c>
    </row>
    <row r="65" spans="2:8" x14ac:dyDescent="0.25">
      <c r="B65" s="211" t="s">
        <v>151</v>
      </c>
      <c r="C65" s="206"/>
      <c r="D65" s="212">
        <f>'Forecast Revenue - Costs'!D19</f>
        <v>200</v>
      </c>
      <c r="E65" s="212">
        <f>'Forecast Revenue - Costs'!E19</f>
        <v>200</v>
      </c>
      <c r="F65" s="212">
        <f>'Forecast Revenue - Costs'!F19</f>
        <v>200</v>
      </c>
      <c r="G65" s="212">
        <f>'Forecast Revenue - Costs'!G19</f>
        <v>200</v>
      </c>
      <c r="H65" s="212">
        <f>'Forecast Revenue - Costs'!H19</f>
        <v>200</v>
      </c>
    </row>
    <row r="66" spans="2:8" x14ac:dyDescent="0.25">
      <c r="B66" s="196" t="s">
        <v>152</v>
      </c>
      <c r="C66" s="194"/>
      <c r="D66" s="195">
        <f>D64*D65</f>
        <v>556.54150578557767</v>
      </c>
      <c r="E66" s="195">
        <f t="shared" ref="E66:H66" si="42">E64*E65</f>
        <v>556.54150578557767</v>
      </c>
      <c r="F66" s="195">
        <f t="shared" si="42"/>
        <v>559.46234386441654</v>
      </c>
      <c r="G66" s="195">
        <f t="shared" si="42"/>
        <v>565.67216563991963</v>
      </c>
      <c r="H66" s="195">
        <f t="shared" si="42"/>
        <v>574.94818757407086</v>
      </c>
    </row>
    <row r="68" spans="2:8" x14ac:dyDescent="0.25">
      <c r="B68" s="200" t="s">
        <v>105</v>
      </c>
      <c r="C68" s="201"/>
      <c r="D68" s="300" t="s">
        <v>149</v>
      </c>
      <c r="E68" s="301"/>
      <c r="F68" s="301"/>
      <c r="G68" s="301"/>
      <c r="H68" s="301"/>
    </row>
    <row r="69" spans="2:8" x14ac:dyDescent="0.25">
      <c r="B69" s="204" t="s">
        <v>127</v>
      </c>
      <c r="C69" s="205"/>
      <c r="D69" s="206">
        <f>C69*D$1</f>
        <v>0</v>
      </c>
      <c r="E69" s="206">
        <f t="shared" ref="E69:H69" si="43">D69*E$1</f>
        <v>0</v>
      </c>
      <c r="F69" s="206">
        <f t="shared" si="43"/>
        <v>0</v>
      </c>
      <c r="G69" s="206">
        <f t="shared" si="43"/>
        <v>0</v>
      </c>
      <c r="H69" s="206">
        <f t="shared" si="43"/>
        <v>0</v>
      </c>
    </row>
    <row r="70" spans="2:8" x14ac:dyDescent="0.25">
      <c r="B70" s="204" t="s">
        <v>128</v>
      </c>
      <c r="C70" s="205"/>
      <c r="D70" s="206">
        <f>C70</f>
        <v>0</v>
      </c>
      <c r="E70" s="206">
        <f t="shared" ref="E70:H70" si="44">D70</f>
        <v>0</v>
      </c>
      <c r="F70" s="206">
        <f t="shared" si="44"/>
        <v>0</v>
      </c>
      <c r="G70" s="206">
        <f t="shared" si="44"/>
        <v>0</v>
      </c>
      <c r="H70" s="206">
        <f t="shared" si="44"/>
        <v>0</v>
      </c>
    </row>
    <row r="71" spans="2:8" x14ac:dyDescent="0.25">
      <c r="B71" s="204" t="s">
        <v>144</v>
      </c>
      <c r="C71" s="205">
        <f>'Proposed Fee'!L14</f>
        <v>101.650665</v>
      </c>
      <c r="D71" s="206">
        <f>C71</f>
        <v>101.650665</v>
      </c>
      <c r="E71" s="206">
        <f t="shared" ref="E71:H71" si="45">D71</f>
        <v>101.650665</v>
      </c>
      <c r="F71" s="206">
        <f t="shared" si="45"/>
        <v>101.650665</v>
      </c>
      <c r="G71" s="206">
        <f t="shared" si="45"/>
        <v>101.650665</v>
      </c>
      <c r="H71" s="206">
        <f t="shared" si="45"/>
        <v>101.650665</v>
      </c>
    </row>
    <row r="72" spans="2:8" x14ac:dyDescent="0.25">
      <c r="B72" s="207" t="s">
        <v>145</v>
      </c>
      <c r="C72" s="312">
        <f>'Proposed Fee'!M14</f>
        <v>101.650665</v>
      </c>
      <c r="D72" s="313">
        <f>SUM(D69:D71)</f>
        <v>101.650665</v>
      </c>
      <c r="E72" s="313">
        <f t="shared" ref="E72:H72" si="46">SUM(E69:E71)</f>
        <v>101.650665</v>
      </c>
      <c r="F72" s="313">
        <f t="shared" si="46"/>
        <v>101.650665</v>
      </c>
      <c r="G72" s="313">
        <f t="shared" si="46"/>
        <v>101.650665</v>
      </c>
      <c r="H72" s="313">
        <f t="shared" si="46"/>
        <v>101.650665</v>
      </c>
    </row>
    <row r="73" spans="2:8" x14ac:dyDescent="0.25">
      <c r="B73" s="204" t="s">
        <v>130</v>
      </c>
      <c r="C73" s="205">
        <f>'Proposed Fee'!N14</f>
        <v>47.361749901875335</v>
      </c>
      <c r="D73" s="206">
        <f>D72*D$3</f>
        <v>47.361749901875335</v>
      </c>
      <c r="E73" s="206">
        <f t="shared" ref="E73:H73" si="47">E72*E$3</f>
        <v>47.361749901875335</v>
      </c>
      <c r="F73" s="206">
        <f t="shared" si="47"/>
        <v>47.361749901875335</v>
      </c>
      <c r="G73" s="206">
        <f t="shared" si="47"/>
        <v>47.361749901875335</v>
      </c>
      <c r="H73" s="206">
        <f t="shared" si="47"/>
        <v>47.361749901875335</v>
      </c>
    </row>
    <row r="74" spans="2:8" x14ac:dyDescent="0.25">
      <c r="B74" s="204" t="s">
        <v>131</v>
      </c>
      <c r="C74" s="205">
        <f>'Proposed Fee'!O14</f>
        <v>16.30248817847442</v>
      </c>
      <c r="D74" s="206">
        <f>D72*D$4</f>
        <v>16.30248817847442</v>
      </c>
      <c r="E74" s="206">
        <f t="shared" ref="E74:H74" si="48">E72*E$4</f>
        <v>16.30248817847442</v>
      </c>
      <c r="F74" s="206">
        <f t="shared" si="48"/>
        <v>16.30248817847442</v>
      </c>
      <c r="G74" s="206">
        <f t="shared" si="48"/>
        <v>16.30248817847442</v>
      </c>
      <c r="H74" s="206">
        <f t="shared" si="48"/>
        <v>16.30248817847442</v>
      </c>
    </row>
    <row r="75" spans="2:8" x14ac:dyDescent="0.25">
      <c r="B75" s="204" t="s">
        <v>132</v>
      </c>
      <c r="C75" s="205">
        <f>'Proposed Fee'!P14</f>
        <v>10.484271153355781</v>
      </c>
      <c r="D75" s="206">
        <f>SUM(D72:D74)*D$5</f>
        <v>10.484271153355781</v>
      </c>
      <c r="E75" s="206">
        <f t="shared" ref="E75:H75" si="49">SUM(E72:E74)*E$5</f>
        <v>10.484271153355781</v>
      </c>
      <c r="F75" s="206">
        <f t="shared" si="49"/>
        <v>10.484271153355781</v>
      </c>
      <c r="G75" s="206">
        <f t="shared" si="49"/>
        <v>10.484271153355781</v>
      </c>
      <c r="H75" s="206">
        <f t="shared" si="49"/>
        <v>10.484271153355781</v>
      </c>
    </row>
    <row r="76" spans="2:8" x14ac:dyDescent="0.25">
      <c r="B76" s="208" t="s">
        <v>150</v>
      </c>
      <c r="C76" s="209">
        <f>'Proposed Fee'!Q14</f>
        <v>175.79917423370554</v>
      </c>
      <c r="D76" s="210">
        <f>SUM(D72:D75)</f>
        <v>175.79917423370554</v>
      </c>
      <c r="E76" s="210">
        <f t="shared" ref="E76:H76" si="50">SUM(E72:E75)</f>
        <v>175.79917423370554</v>
      </c>
      <c r="F76" s="210">
        <f t="shared" si="50"/>
        <v>175.79917423370554</v>
      </c>
      <c r="G76" s="210">
        <f t="shared" si="50"/>
        <v>175.79917423370554</v>
      </c>
      <c r="H76" s="210">
        <f t="shared" si="50"/>
        <v>175.79917423370554</v>
      </c>
    </row>
    <row r="77" spans="2:8" x14ac:dyDescent="0.25">
      <c r="B77" s="211" t="s">
        <v>151</v>
      </c>
      <c r="C77" s="206"/>
      <c r="D77" s="212">
        <f>'Forecast Revenue - Costs'!D20</f>
        <v>100</v>
      </c>
      <c r="E77" s="212">
        <f>'Forecast Revenue - Costs'!E20</f>
        <v>100</v>
      </c>
      <c r="F77" s="212">
        <f>'Forecast Revenue - Costs'!F20</f>
        <v>100</v>
      </c>
      <c r="G77" s="212">
        <f>'Forecast Revenue - Costs'!G20</f>
        <v>100</v>
      </c>
      <c r="H77" s="212">
        <f>'Forecast Revenue - Costs'!H20</f>
        <v>100</v>
      </c>
    </row>
    <row r="78" spans="2:8" x14ac:dyDescent="0.25">
      <c r="B78" s="196" t="s">
        <v>152</v>
      </c>
      <c r="C78" s="194"/>
      <c r="D78" s="195">
        <f>D76*D77</f>
        <v>17579.917423370553</v>
      </c>
      <c r="E78" s="195">
        <f t="shared" ref="E78:H78" si="51">E76*E77</f>
        <v>17579.917423370553</v>
      </c>
      <c r="F78" s="195">
        <f t="shared" si="51"/>
        <v>17579.917423370553</v>
      </c>
      <c r="G78" s="195">
        <f t="shared" si="51"/>
        <v>17579.917423370553</v>
      </c>
      <c r="H78" s="195">
        <f t="shared" si="51"/>
        <v>17579.917423370553</v>
      </c>
    </row>
    <row r="80" spans="2:8" x14ac:dyDescent="0.25">
      <c r="B80" s="200" t="s">
        <v>157</v>
      </c>
      <c r="C80" s="201"/>
      <c r="D80" s="300" t="s">
        <v>149</v>
      </c>
      <c r="E80" s="301"/>
      <c r="F80" s="301"/>
      <c r="G80" s="301"/>
      <c r="H80" s="301"/>
    </row>
    <row r="81" spans="2:8" x14ac:dyDescent="0.25">
      <c r="B81" s="204" t="s">
        <v>127</v>
      </c>
      <c r="C81" s="205"/>
      <c r="D81" s="206">
        <f>C81*D$1</f>
        <v>0</v>
      </c>
      <c r="E81" s="206">
        <f t="shared" ref="E81:H81" si="52">D81*E$1</f>
        <v>0</v>
      </c>
      <c r="F81" s="206">
        <f t="shared" si="52"/>
        <v>0</v>
      </c>
      <c r="G81" s="206">
        <f t="shared" si="52"/>
        <v>0</v>
      </c>
      <c r="H81" s="206">
        <f t="shared" si="52"/>
        <v>0</v>
      </c>
    </row>
    <row r="82" spans="2:8" x14ac:dyDescent="0.25">
      <c r="B82" s="204" t="s">
        <v>128</v>
      </c>
      <c r="C82" s="205"/>
      <c r="D82" s="206">
        <f>C82</f>
        <v>0</v>
      </c>
      <c r="E82" s="206">
        <f t="shared" ref="E82:H82" si="53">D82</f>
        <v>0</v>
      </c>
      <c r="F82" s="206">
        <f t="shared" si="53"/>
        <v>0</v>
      </c>
      <c r="G82" s="206">
        <f t="shared" si="53"/>
        <v>0</v>
      </c>
      <c r="H82" s="206">
        <f t="shared" si="53"/>
        <v>0</v>
      </c>
    </row>
    <row r="83" spans="2:8" x14ac:dyDescent="0.25">
      <c r="B83" s="204" t="s">
        <v>144</v>
      </c>
      <c r="C83" s="205"/>
      <c r="D83" s="206">
        <f>C83</f>
        <v>0</v>
      </c>
      <c r="E83" s="206">
        <f t="shared" ref="E83:H83" si="54">D83</f>
        <v>0</v>
      </c>
      <c r="F83" s="206">
        <f t="shared" si="54"/>
        <v>0</v>
      </c>
      <c r="G83" s="206">
        <f t="shared" si="54"/>
        <v>0</v>
      </c>
      <c r="H83" s="206">
        <f t="shared" si="54"/>
        <v>0</v>
      </c>
    </row>
    <row r="84" spans="2:8" x14ac:dyDescent="0.25">
      <c r="B84" s="200" t="s">
        <v>157</v>
      </c>
      <c r="C84" s="201"/>
      <c r="D84" s="206">
        <f>D90</f>
        <v>2500</v>
      </c>
      <c r="E84" s="206">
        <f t="shared" ref="E84:H84" si="55">E90</f>
        <v>2500</v>
      </c>
      <c r="F84" s="206">
        <f t="shared" si="55"/>
        <v>2500</v>
      </c>
      <c r="G84" s="206">
        <f t="shared" si="55"/>
        <v>2500</v>
      </c>
      <c r="H84" s="206">
        <f t="shared" si="55"/>
        <v>2500</v>
      </c>
    </row>
    <row r="85" spans="2:8" x14ac:dyDescent="0.25">
      <c r="B85" s="207" t="s">
        <v>145</v>
      </c>
      <c r="C85" s="312"/>
      <c r="D85" s="313">
        <f>SUM(D81:D84)</f>
        <v>2500</v>
      </c>
      <c r="E85" s="313">
        <f t="shared" ref="E85:H85" si="56">SUM(E81:E84)</f>
        <v>2500</v>
      </c>
      <c r="F85" s="313">
        <f t="shared" si="56"/>
        <v>2500</v>
      </c>
      <c r="G85" s="313">
        <f t="shared" si="56"/>
        <v>2500</v>
      </c>
      <c r="H85" s="313">
        <f t="shared" si="56"/>
        <v>2500</v>
      </c>
    </row>
    <row r="86" spans="2:8" x14ac:dyDescent="0.25">
      <c r="B86" s="204" t="s">
        <v>130</v>
      </c>
      <c r="C86" s="205"/>
      <c r="D86" s="206">
        <f>D85*[1]Inputs!$M$43</f>
        <v>1164.8165287919005</v>
      </c>
      <c r="E86" s="206">
        <f>E85*[1]Inputs!$M$43</f>
        <v>1164.8165287919005</v>
      </c>
      <c r="F86" s="206">
        <f>F85*[1]Inputs!$M$43</f>
        <v>1164.8165287919005</v>
      </c>
      <c r="G86" s="206">
        <f>G85*[1]Inputs!$M$43</f>
        <v>1164.8165287919005</v>
      </c>
      <c r="H86" s="206">
        <f>H85*[1]Inputs!$M$43</f>
        <v>1164.8165287919005</v>
      </c>
    </row>
    <row r="87" spans="2:8" x14ac:dyDescent="0.25">
      <c r="B87" s="204" t="s">
        <v>131</v>
      </c>
      <c r="C87" s="205"/>
      <c r="D87" s="206"/>
      <c r="E87" s="206"/>
      <c r="F87" s="206"/>
      <c r="G87" s="206"/>
      <c r="H87" s="206"/>
    </row>
    <row r="88" spans="2:8" x14ac:dyDescent="0.25">
      <c r="B88" s="204" t="s">
        <v>132</v>
      </c>
      <c r="C88" s="205"/>
      <c r="D88" s="206">
        <f>SUM(D85:D87)*D$5</f>
        <v>232.42266425598234</v>
      </c>
      <c r="E88" s="206">
        <f t="shared" ref="E88:H88" si="57">SUM(E85:E87)*E$5</f>
        <v>232.42266425598234</v>
      </c>
      <c r="F88" s="206">
        <f t="shared" si="57"/>
        <v>232.42266425598234</v>
      </c>
      <c r="G88" s="206">
        <f t="shared" si="57"/>
        <v>232.42266425598234</v>
      </c>
      <c r="H88" s="206">
        <f t="shared" si="57"/>
        <v>232.42266425598234</v>
      </c>
    </row>
    <row r="89" spans="2:8" x14ac:dyDescent="0.25">
      <c r="B89" s="208" t="s">
        <v>150</v>
      </c>
      <c r="C89" s="209"/>
      <c r="D89" s="210">
        <f>SUM(D85:D88)</f>
        <v>3897.239193047883</v>
      </c>
      <c r="E89" s="210">
        <f t="shared" ref="E89:H89" si="58">SUM(E85:E88)</f>
        <v>3897.239193047883</v>
      </c>
      <c r="F89" s="210">
        <f t="shared" si="58"/>
        <v>3897.239193047883</v>
      </c>
      <c r="G89" s="210">
        <f t="shared" si="58"/>
        <v>3897.239193047883</v>
      </c>
      <c r="H89" s="210">
        <f t="shared" si="58"/>
        <v>3897.239193047883</v>
      </c>
    </row>
    <row r="90" spans="2:8" x14ac:dyDescent="0.25">
      <c r="B90" s="211" t="s">
        <v>151</v>
      </c>
      <c r="C90" s="206"/>
      <c r="D90" s="212">
        <f>'Forecast Revenue - Costs'!D21</f>
        <v>2500</v>
      </c>
      <c r="E90" s="212">
        <f>'Forecast Revenue - Costs'!E21</f>
        <v>2500</v>
      </c>
      <c r="F90" s="212">
        <f>'Forecast Revenue - Costs'!F21</f>
        <v>2500</v>
      </c>
      <c r="G90" s="212">
        <f>'Forecast Revenue - Costs'!G21</f>
        <v>2500</v>
      </c>
      <c r="H90" s="212">
        <f>'Forecast Revenue - Costs'!H21</f>
        <v>2500</v>
      </c>
    </row>
    <row r="91" spans="2:8" x14ac:dyDescent="0.25">
      <c r="B91" s="196" t="s">
        <v>152</v>
      </c>
      <c r="C91" s="194"/>
      <c r="D91" s="195">
        <f>D89</f>
        <v>3897.239193047883</v>
      </c>
      <c r="E91" s="195">
        <f t="shared" ref="E91:H91" si="59">E89</f>
        <v>3897.239193047883</v>
      </c>
      <c r="F91" s="195">
        <f t="shared" si="59"/>
        <v>3897.239193047883</v>
      </c>
      <c r="G91" s="195">
        <f t="shared" si="59"/>
        <v>3897.239193047883</v>
      </c>
      <c r="H91" s="195">
        <f t="shared" si="59"/>
        <v>3897.239193047883</v>
      </c>
    </row>
  </sheetData>
  <mergeCells count="6">
    <mergeCell ref="D80:H80"/>
    <mergeCell ref="D56:H56"/>
    <mergeCell ref="D68:H68"/>
    <mergeCell ref="D6:H6"/>
    <mergeCell ref="D44:H44"/>
    <mergeCell ref="D7:H7"/>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6"/>
  <sheetViews>
    <sheetView showGridLines="0" topLeftCell="A16" zoomScale="90" zoomScaleNormal="90" workbookViewId="0">
      <selection activeCell="I46" sqref="I46"/>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5" t="s">
        <v>46</v>
      </c>
      <c r="C2" s="26"/>
      <c r="D2" s="26"/>
      <c r="E2" s="26"/>
      <c r="F2" s="26"/>
      <c r="G2" s="26"/>
      <c r="H2" s="26"/>
      <c r="I2" s="26"/>
    </row>
    <row r="3" spans="2:9" x14ac:dyDescent="0.25">
      <c r="B3" s="1"/>
      <c r="C3" s="1"/>
      <c r="D3" s="1"/>
      <c r="E3" s="1"/>
      <c r="F3" s="1"/>
      <c r="G3" s="1"/>
      <c r="H3" s="1"/>
      <c r="I3" s="1"/>
    </row>
    <row r="4" spans="2:9" x14ac:dyDescent="0.25">
      <c r="B4" s="3" t="s">
        <v>95</v>
      </c>
      <c r="C4" s="3" t="s">
        <v>3</v>
      </c>
      <c r="D4" s="48" t="s">
        <v>56</v>
      </c>
      <c r="E4" s="48" t="s">
        <v>57</v>
      </c>
      <c r="F4" s="48" t="s">
        <v>58</v>
      </c>
      <c r="G4" s="48" t="s">
        <v>96</v>
      </c>
      <c r="H4" s="48" t="s">
        <v>59</v>
      </c>
      <c r="I4" s="4" t="s">
        <v>1</v>
      </c>
    </row>
    <row r="5" spans="2:9" x14ac:dyDescent="0.25">
      <c r="B5" s="51" t="s">
        <v>98</v>
      </c>
      <c r="C5" s="5" t="s">
        <v>89</v>
      </c>
      <c r="D5" s="53">
        <f>'Forecasts by year'!D$30</f>
        <v>8929.173160106935</v>
      </c>
      <c r="E5" s="53">
        <f>'Forecasts by year'!E$30</f>
        <v>8929.173160106935</v>
      </c>
      <c r="F5" s="53">
        <f>'Forecasts by year'!F$30</f>
        <v>9027.3940648681091</v>
      </c>
      <c r="G5" s="53">
        <f>'Forecasts by year'!G$30</f>
        <v>9236.2157443766391</v>
      </c>
      <c r="H5" s="53">
        <f>'Forecasts by year'!H$30</f>
        <v>9548.1465130001034</v>
      </c>
      <c r="I5" s="246">
        <f>SUM(D5:H5)</f>
        <v>45670.102642458718</v>
      </c>
    </row>
    <row r="6" spans="2:9" x14ac:dyDescent="0.25">
      <c r="B6" s="52"/>
      <c r="C6" s="5" t="s">
        <v>82</v>
      </c>
      <c r="D6" s="53">
        <f>'Forecasts by year'!D$42</f>
        <v>172202.13351936339</v>
      </c>
      <c r="E6" s="53">
        <f>'Forecasts by year'!E$42</f>
        <v>172202.13351936339</v>
      </c>
      <c r="F6" s="53">
        <f>'Forecasts by year'!F$42</f>
        <v>173720.96932035952</v>
      </c>
      <c r="G6" s="53">
        <f>'Forecasts by year'!G$42</f>
        <v>176950.07664362117</v>
      </c>
      <c r="H6" s="53">
        <f>'Forecasts by year'!H$42</f>
        <v>181773.60804937989</v>
      </c>
      <c r="I6" s="246">
        <f t="shared" ref="I6:I10" si="0">SUM(D6:H6)</f>
        <v>876848.92105208733</v>
      </c>
    </row>
    <row r="7" spans="2:9" x14ac:dyDescent="0.25">
      <c r="B7" s="52"/>
      <c r="C7" s="5" t="s">
        <v>83</v>
      </c>
      <c r="D7" s="53">
        <f>'Forecasts by year'!D$54</f>
        <v>2365.081459386794</v>
      </c>
      <c r="E7" s="53">
        <f>'Forecasts by year'!E$54</f>
        <v>2365.081459386794</v>
      </c>
      <c r="F7" s="53">
        <f>'Forecasts by year'!F$54</f>
        <v>2387.4878586350787</v>
      </c>
      <c r="G7" s="53">
        <f>'Forecasts by year'!G$54</f>
        <v>2435.1247841362474</v>
      </c>
      <c r="H7" s="53">
        <f>'Forecasts by year'!H$54</f>
        <v>2506.283213765827</v>
      </c>
      <c r="I7" s="246">
        <f t="shared" si="0"/>
        <v>12059.058775310739</v>
      </c>
    </row>
    <row r="8" spans="2:9" x14ac:dyDescent="0.25">
      <c r="B8" s="52"/>
      <c r="C8" s="5" t="s">
        <v>86</v>
      </c>
      <c r="D8" s="53">
        <f>'Forecasts by year'!D$66</f>
        <v>556.54150578557767</v>
      </c>
      <c r="E8" s="53">
        <f>'Forecasts by year'!E$66</f>
        <v>556.54150578557767</v>
      </c>
      <c r="F8" s="53">
        <f>'Forecasts by year'!F$66</f>
        <v>559.46234386441654</v>
      </c>
      <c r="G8" s="53">
        <f>'Forecasts by year'!G$66</f>
        <v>565.67216563991963</v>
      </c>
      <c r="H8" s="53">
        <f>'Forecasts by year'!H$66</f>
        <v>574.94818757407086</v>
      </c>
      <c r="I8" s="246">
        <f t="shared" si="0"/>
        <v>2813.165708649562</v>
      </c>
    </row>
    <row r="9" spans="2:9" x14ac:dyDescent="0.25">
      <c r="B9" s="52"/>
      <c r="C9" s="5" t="s">
        <v>87</v>
      </c>
      <c r="D9" s="53">
        <f>'Forecasts by year'!D$78</f>
        <v>17579.917423370553</v>
      </c>
      <c r="E9" s="53">
        <f>'Forecasts by year'!E$78</f>
        <v>17579.917423370553</v>
      </c>
      <c r="F9" s="53">
        <f>'Forecasts by year'!F$78</f>
        <v>17579.917423370553</v>
      </c>
      <c r="G9" s="53">
        <f>'Forecasts by year'!G$78</f>
        <v>17579.917423370553</v>
      </c>
      <c r="H9" s="53">
        <f>'Forecasts by year'!H$78</f>
        <v>17579.917423370553</v>
      </c>
      <c r="I9" s="246">
        <f t="shared" si="0"/>
        <v>87899.587116852766</v>
      </c>
    </row>
    <row r="10" spans="2:9" x14ac:dyDescent="0.25">
      <c r="B10" s="52"/>
      <c r="C10" s="5" t="s">
        <v>102</v>
      </c>
      <c r="D10" s="53">
        <f>'Forecasts by year'!D89</f>
        <v>3897.239193047883</v>
      </c>
      <c r="E10" s="53">
        <f>'Forecasts by year'!E$91</f>
        <v>3897.239193047883</v>
      </c>
      <c r="F10" s="53">
        <f>'Forecasts by year'!F$91</f>
        <v>3897.239193047883</v>
      </c>
      <c r="G10" s="53">
        <f>'Forecasts by year'!G$91</f>
        <v>3897.239193047883</v>
      </c>
      <c r="H10" s="53">
        <f>'Forecasts by year'!H$91</f>
        <v>3897.239193047883</v>
      </c>
      <c r="I10" s="246">
        <f t="shared" si="0"/>
        <v>19486.195965239414</v>
      </c>
    </row>
    <row r="11" spans="2:9" x14ac:dyDescent="0.25">
      <c r="B11" s="7" t="s">
        <v>1</v>
      </c>
      <c r="C11" s="8"/>
      <c r="D11" s="9">
        <f t="shared" ref="D11:I11" si="1">SUM(D5:D10)</f>
        <v>205530.08626106114</v>
      </c>
      <c r="E11" s="9">
        <f t="shared" si="1"/>
        <v>205530.08626106114</v>
      </c>
      <c r="F11" s="9">
        <f t="shared" si="1"/>
        <v>207172.47020414556</v>
      </c>
      <c r="G11" s="9">
        <f t="shared" si="1"/>
        <v>210664.24595419245</v>
      </c>
      <c r="H11" s="9">
        <f t="shared" si="1"/>
        <v>215880.14258013834</v>
      </c>
      <c r="I11" s="9">
        <f t="shared" si="1"/>
        <v>1044777.0312605986</v>
      </c>
    </row>
    <row r="12" spans="2:9" x14ac:dyDescent="0.25">
      <c r="B12" s="1"/>
      <c r="C12" s="1"/>
      <c r="D12" s="1"/>
      <c r="E12" s="1"/>
      <c r="F12" s="1"/>
      <c r="G12" s="1"/>
      <c r="H12" s="1"/>
      <c r="I12" s="1"/>
    </row>
    <row r="13" spans="2:9" x14ac:dyDescent="0.25">
      <c r="B13" s="25" t="s">
        <v>26</v>
      </c>
      <c r="C13" s="26"/>
      <c r="D13" s="26"/>
      <c r="E13" s="26"/>
      <c r="F13" s="26"/>
      <c r="G13" s="26"/>
      <c r="H13" s="26"/>
      <c r="I13" s="26"/>
    </row>
    <row r="14" spans="2:9" x14ac:dyDescent="0.25">
      <c r="B14" s="1"/>
      <c r="C14" s="1"/>
      <c r="D14" s="1"/>
      <c r="E14" s="1"/>
      <c r="F14" s="1"/>
      <c r="G14" s="1"/>
      <c r="H14" s="1"/>
      <c r="I14" s="1"/>
    </row>
    <row r="15" spans="2:9" x14ac:dyDescent="0.25">
      <c r="B15" s="3" t="s">
        <v>95</v>
      </c>
      <c r="C15" s="3" t="s">
        <v>3</v>
      </c>
      <c r="D15" s="48" t="s">
        <v>56</v>
      </c>
      <c r="E15" s="48" t="s">
        <v>57</v>
      </c>
      <c r="F15" s="48" t="s">
        <v>58</v>
      </c>
      <c r="G15" s="48" t="s">
        <v>96</v>
      </c>
      <c r="H15" s="48" t="s">
        <v>59</v>
      </c>
      <c r="I15" s="4" t="s">
        <v>1</v>
      </c>
    </row>
    <row r="16" spans="2:9" x14ac:dyDescent="0.25">
      <c r="B16" s="51" t="s">
        <v>98</v>
      </c>
      <c r="C16" s="10" t="s">
        <v>103</v>
      </c>
      <c r="D16" s="49">
        <v>50</v>
      </c>
      <c r="E16" s="49">
        <v>50</v>
      </c>
      <c r="F16" s="49">
        <v>50</v>
      </c>
      <c r="G16" s="49">
        <v>50</v>
      </c>
      <c r="H16" s="49">
        <v>50</v>
      </c>
      <c r="I16" s="247">
        <f>SUM(D16:H16)</f>
        <v>250</v>
      </c>
    </row>
    <row r="17" spans="2:9" x14ac:dyDescent="0.25">
      <c r="B17" s="10"/>
      <c r="C17" s="10" t="s">
        <v>104</v>
      </c>
      <c r="D17" s="49">
        <v>1000</v>
      </c>
      <c r="E17" s="49">
        <v>1000</v>
      </c>
      <c r="F17" s="49">
        <v>1000</v>
      </c>
      <c r="G17" s="49">
        <v>1000</v>
      </c>
      <c r="H17" s="49">
        <v>1000</v>
      </c>
      <c r="I17" s="247">
        <f t="shared" ref="I17:I21" si="2">SUM(D17:H17)</f>
        <v>5000</v>
      </c>
    </row>
    <row r="18" spans="2:9" x14ac:dyDescent="0.25">
      <c r="B18" s="10"/>
      <c r="C18" s="10" t="s">
        <v>83</v>
      </c>
      <c r="D18" s="49">
        <v>1000</v>
      </c>
      <c r="E18" s="49">
        <v>1000</v>
      </c>
      <c r="F18" s="49">
        <v>1000</v>
      </c>
      <c r="G18" s="49">
        <v>1000</v>
      </c>
      <c r="H18" s="49">
        <v>1000</v>
      </c>
      <c r="I18" s="247">
        <f t="shared" si="2"/>
        <v>5000</v>
      </c>
    </row>
    <row r="19" spans="2:9" x14ac:dyDescent="0.25">
      <c r="B19" s="10"/>
      <c r="C19" s="10" t="s">
        <v>86</v>
      </c>
      <c r="D19" s="49">
        <v>200</v>
      </c>
      <c r="E19" s="49">
        <v>200</v>
      </c>
      <c r="F19" s="49">
        <v>200</v>
      </c>
      <c r="G19" s="49">
        <v>200</v>
      </c>
      <c r="H19" s="49">
        <v>200</v>
      </c>
      <c r="I19" s="247">
        <f t="shared" si="2"/>
        <v>1000</v>
      </c>
    </row>
    <row r="20" spans="2:9" x14ac:dyDescent="0.25">
      <c r="B20" s="10"/>
      <c r="C20" s="10" t="s">
        <v>181</v>
      </c>
      <c r="D20" s="49">
        <v>100</v>
      </c>
      <c r="E20" s="49">
        <v>100</v>
      </c>
      <c r="F20" s="49">
        <v>100</v>
      </c>
      <c r="G20" s="49">
        <v>100</v>
      </c>
      <c r="H20" s="49">
        <v>100</v>
      </c>
      <c r="I20" s="247">
        <f t="shared" si="2"/>
        <v>500</v>
      </c>
    </row>
    <row r="21" spans="2:9" x14ac:dyDescent="0.25">
      <c r="B21" s="10"/>
      <c r="C21" s="10" t="s">
        <v>102</v>
      </c>
      <c r="D21" s="49">
        <v>2500</v>
      </c>
      <c r="E21" s="49">
        <v>2500</v>
      </c>
      <c r="F21" s="49">
        <v>2500</v>
      </c>
      <c r="G21" s="49">
        <v>2500</v>
      </c>
      <c r="H21" s="49">
        <v>2500</v>
      </c>
      <c r="I21" s="248">
        <f t="shared" si="2"/>
        <v>12500</v>
      </c>
    </row>
    <row r="22" spans="2:9" x14ac:dyDescent="0.25">
      <c r="B22" s="256" t="s">
        <v>1</v>
      </c>
      <c r="C22" s="257"/>
      <c r="D22" s="258">
        <f>SUM(D16:D21)</f>
        <v>4850</v>
      </c>
      <c r="E22" s="258">
        <f t="shared" ref="E22:H22" si="3">SUM(E16:E21)</f>
        <v>4850</v>
      </c>
      <c r="F22" s="258">
        <f t="shared" si="3"/>
        <v>4850</v>
      </c>
      <c r="G22" s="258">
        <f t="shared" si="3"/>
        <v>4850</v>
      </c>
      <c r="H22" s="258">
        <f t="shared" si="3"/>
        <v>4850</v>
      </c>
      <c r="I22" s="81">
        <f>SUM(I16:I21)</f>
        <v>24250</v>
      </c>
    </row>
    <row r="23" spans="2:9" x14ac:dyDescent="0.25">
      <c r="B23" s="256" t="s">
        <v>16</v>
      </c>
      <c r="C23" s="257"/>
      <c r="D23" s="81">
        <v>210</v>
      </c>
      <c r="E23" s="81">
        <v>210</v>
      </c>
      <c r="F23" s="81">
        <v>210</v>
      </c>
      <c r="G23" s="81">
        <v>210</v>
      </c>
      <c r="H23" s="81">
        <v>210</v>
      </c>
      <c r="I23" s="81">
        <f>SUM(D23:H23)</f>
        <v>1050</v>
      </c>
    </row>
    <row r="24" spans="2:9" x14ac:dyDescent="0.25">
      <c r="B24" s="1"/>
      <c r="C24" s="1"/>
      <c r="D24" s="12"/>
      <c r="E24" s="12"/>
      <c r="F24" s="12"/>
      <c r="G24" s="12"/>
      <c r="H24" s="12"/>
      <c r="I24" s="12"/>
    </row>
    <row r="25" spans="2:9" x14ac:dyDescent="0.25">
      <c r="B25" s="13" t="s">
        <v>6</v>
      </c>
      <c r="C25" s="1"/>
      <c r="D25" s="12"/>
      <c r="E25" s="12"/>
      <c r="F25" s="12"/>
      <c r="G25" s="12"/>
      <c r="H25" s="12"/>
      <c r="I25" s="12"/>
    </row>
    <row r="26" spans="2:9" x14ac:dyDescent="0.25">
      <c r="B26" s="303" t="s">
        <v>180</v>
      </c>
      <c r="C26" s="303"/>
      <c r="D26" s="303"/>
      <c r="E26" s="303"/>
      <c r="F26" s="303"/>
      <c r="G26" s="303"/>
      <c r="H26" s="303"/>
      <c r="I26" s="303"/>
    </row>
    <row r="27" spans="2:9" x14ac:dyDescent="0.25">
      <c r="B27" s="304"/>
      <c r="C27" s="304"/>
      <c r="D27" s="304"/>
      <c r="E27" s="304"/>
      <c r="F27" s="304"/>
      <c r="G27" s="304"/>
      <c r="H27" s="304"/>
      <c r="I27" s="304"/>
    </row>
    <row r="28" spans="2:9" x14ac:dyDescent="0.25">
      <c r="B28" s="1"/>
      <c r="C28" s="1"/>
      <c r="D28" s="12"/>
      <c r="E28" s="12"/>
      <c r="F28" s="12"/>
      <c r="G28" s="12"/>
      <c r="H28" s="12"/>
      <c r="I28" s="12"/>
    </row>
    <row r="29" spans="2:9" x14ac:dyDescent="0.25">
      <c r="B29" s="25" t="s">
        <v>27</v>
      </c>
      <c r="C29" s="26"/>
      <c r="D29" s="26"/>
      <c r="E29" s="26"/>
      <c r="F29" s="26"/>
      <c r="G29" s="26"/>
      <c r="H29" s="26"/>
      <c r="I29" s="26"/>
    </row>
    <row r="30" spans="2:9" x14ac:dyDescent="0.25">
      <c r="B30" s="1"/>
      <c r="C30" s="1"/>
      <c r="D30" s="1"/>
      <c r="E30" s="1"/>
      <c r="F30" s="1"/>
      <c r="G30" s="1"/>
      <c r="H30" s="1"/>
      <c r="I30" s="1"/>
    </row>
    <row r="31" spans="2:9" x14ac:dyDescent="0.25">
      <c r="B31" s="14" t="s">
        <v>25</v>
      </c>
      <c r="C31" s="15"/>
      <c r="D31" s="15"/>
      <c r="E31" s="15"/>
      <c r="F31" s="15"/>
      <c r="G31" s="15"/>
      <c r="H31" s="15"/>
      <c r="I31" s="15"/>
    </row>
    <row r="32" spans="2:9" x14ac:dyDescent="0.25">
      <c r="B32" s="288" t="s">
        <v>106</v>
      </c>
      <c r="C32" s="288"/>
      <c r="D32" s="288"/>
      <c r="E32" s="288"/>
      <c r="F32" s="288"/>
      <c r="G32" s="288"/>
      <c r="H32" s="288"/>
      <c r="I32" s="288"/>
    </row>
    <row r="33" spans="2:9" x14ac:dyDescent="0.25">
      <c r="B33" s="290"/>
      <c r="C33" s="290"/>
      <c r="D33" s="290"/>
      <c r="E33" s="290"/>
      <c r="F33" s="290"/>
      <c r="G33" s="290"/>
      <c r="H33" s="290"/>
      <c r="I33" s="290"/>
    </row>
    <row r="34" spans="2:9" x14ac:dyDescent="0.25">
      <c r="B34" s="16"/>
      <c r="C34" s="17"/>
      <c r="D34" s="17"/>
      <c r="E34" s="17"/>
      <c r="F34" s="17"/>
      <c r="G34" s="17"/>
      <c r="H34" s="17"/>
      <c r="I34" s="17"/>
    </row>
    <row r="35" spans="2:9" x14ac:dyDescent="0.25">
      <c r="B35" s="1"/>
      <c r="C35" s="1"/>
      <c r="D35" s="1"/>
      <c r="E35" s="1"/>
      <c r="F35" s="1"/>
      <c r="G35" s="1"/>
      <c r="H35" s="1"/>
      <c r="I35" s="1"/>
    </row>
    <row r="36" spans="2:9" x14ac:dyDescent="0.25">
      <c r="B36" s="27" t="s">
        <v>45</v>
      </c>
      <c r="C36" s="28"/>
      <c r="D36" s="28"/>
      <c r="E36" s="28"/>
      <c r="F36" s="28"/>
      <c r="G36" s="28"/>
      <c r="H36" s="28"/>
      <c r="I36" s="28"/>
    </row>
    <row r="37" spans="2:9" x14ac:dyDescent="0.25">
      <c r="B37" s="2" t="s">
        <v>19</v>
      </c>
      <c r="C37" s="18" t="s">
        <v>3</v>
      </c>
      <c r="D37" s="48" t="s">
        <v>56</v>
      </c>
      <c r="E37" s="48" t="s">
        <v>57</v>
      </c>
      <c r="F37" s="48" t="s">
        <v>58</v>
      </c>
      <c r="G37" s="48" t="s">
        <v>96</v>
      </c>
      <c r="H37" s="48" t="s">
        <v>59</v>
      </c>
      <c r="I37" s="19" t="s">
        <v>1</v>
      </c>
    </row>
    <row r="38" spans="2:9" x14ac:dyDescent="0.25">
      <c r="B38" s="213" t="s">
        <v>158</v>
      </c>
      <c r="C38" s="5"/>
      <c r="D38" s="50">
        <f>'Forecasts by year'!D9</f>
        <v>85922.588040706876</v>
      </c>
      <c r="E38" s="50">
        <f>'Forecasts by year'!E9</f>
        <v>85922.588040706876</v>
      </c>
      <c r="F38" s="50">
        <f>'Forecasts by year'!F9</f>
        <v>86867.736509154623</v>
      </c>
      <c r="G38" s="50">
        <f>'Forecasts by year'!G9</f>
        <v>88877.160990084391</v>
      </c>
      <c r="H38" s="50">
        <f>'Forecasts by year'!H9</f>
        <v>91878.771379879327</v>
      </c>
      <c r="I38" s="246">
        <f>SUM(D38:H38)</f>
        <v>439468.84496053209</v>
      </c>
    </row>
    <row r="39" spans="2:9" x14ac:dyDescent="0.25">
      <c r="B39" s="213" t="s">
        <v>159</v>
      </c>
      <c r="C39" s="10"/>
      <c r="D39" s="50">
        <f>'Forecasts by year'!D10</f>
        <v>19960.118245519545</v>
      </c>
      <c r="E39" s="50">
        <f>'Forecasts by year'!E10</f>
        <v>19960.118245519545</v>
      </c>
      <c r="F39" s="50">
        <f>'Forecasts by year'!F10</f>
        <v>19960.118245519545</v>
      </c>
      <c r="G39" s="50">
        <f>'Forecasts by year'!G10</f>
        <v>19960.118245519545</v>
      </c>
      <c r="H39" s="50">
        <f>'Forecasts by year'!H10</f>
        <v>19960.118245519545</v>
      </c>
      <c r="I39" s="246">
        <f t="shared" ref="I39:I45" si="4">SUM(D39:H39)</f>
        <v>99800.591227597732</v>
      </c>
    </row>
    <row r="40" spans="2:9" x14ac:dyDescent="0.25">
      <c r="B40" s="213" t="s">
        <v>144</v>
      </c>
      <c r="C40" s="5"/>
      <c r="D40" s="50">
        <f>'Forecasts by year'!D11</f>
        <v>10705.51478846154</v>
      </c>
      <c r="E40" s="50">
        <f>'Forecasts by year'!E11</f>
        <v>10705.51478846154</v>
      </c>
      <c r="F40" s="50">
        <f>'Forecasts by year'!F11</f>
        <v>10710.026184615384</v>
      </c>
      <c r="G40" s="50">
        <f>'Forecasts by year'!G11</f>
        <v>10719.617598215831</v>
      </c>
      <c r="H40" s="50">
        <f>'Forecasts by year'!H11</f>
        <v>10733.944927751798</v>
      </c>
      <c r="I40" s="246">
        <f t="shared" si="4"/>
        <v>53574.618287506091</v>
      </c>
    </row>
    <row r="41" spans="2:9" x14ac:dyDescent="0.25">
      <c r="B41" s="213" t="s">
        <v>157</v>
      </c>
      <c r="C41" s="5"/>
      <c r="D41" s="50">
        <f>'Forecasts by year'!D12</f>
        <v>2500</v>
      </c>
      <c r="E41" s="50">
        <f>'Forecasts by year'!E12</f>
        <v>2500</v>
      </c>
      <c r="F41" s="50">
        <f>'Forecasts by year'!F12</f>
        <v>2500</v>
      </c>
      <c r="G41" s="50">
        <f>'Forecasts by year'!G12</f>
        <v>2500</v>
      </c>
      <c r="H41" s="50">
        <f>'Forecasts by year'!H12</f>
        <v>2500</v>
      </c>
      <c r="I41" s="246">
        <f t="shared" ref="I41" si="5">SUM(D41:H41)</f>
        <v>12500</v>
      </c>
    </row>
    <row r="42" spans="2:9" x14ac:dyDescent="0.25">
      <c r="B42" s="214" t="s">
        <v>160</v>
      </c>
      <c r="C42" s="5"/>
      <c r="D42" s="215">
        <f>'Forecasts by year'!D13</f>
        <v>119088.22107468796</v>
      </c>
      <c r="E42" s="215">
        <f>'Forecasts by year'!E13</f>
        <v>119088.22107468796</v>
      </c>
      <c r="F42" s="215">
        <f>'Forecasts by year'!F13</f>
        <v>120037.88093928956</v>
      </c>
      <c r="G42" s="215">
        <f>'Forecasts by year'!G13</f>
        <v>122056.89683381976</v>
      </c>
      <c r="H42" s="215">
        <f>'Forecasts by year'!H13</f>
        <v>125072.83455315066</v>
      </c>
      <c r="I42" s="246">
        <f t="shared" si="4"/>
        <v>605344.05447563587</v>
      </c>
    </row>
    <row r="43" spans="2:9" x14ac:dyDescent="0.25">
      <c r="B43" s="6" t="s">
        <v>130</v>
      </c>
      <c r="C43" s="5"/>
      <c r="D43" s="50">
        <f>'Forecasts by year'!D14</f>
        <v>55486.371316888188</v>
      </c>
      <c r="E43" s="50">
        <f>'Forecasts by year'!E14</f>
        <v>55486.371316888188</v>
      </c>
      <c r="F43" s="50">
        <f>'Forecasts by year'!F14</f>
        <v>55928.843119695484</v>
      </c>
      <c r="G43" s="50">
        <f>'Forecasts by year'!G14</f>
        <v>56869.556354032429</v>
      </c>
      <c r="H43" s="50">
        <f>'Forecasts by year'!H14</f>
        <v>58274.761996145848</v>
      </c>
      <c r="I43" s="246">
        <f t="shared" si="4"/>
        <v>282045.90410365013</v>
      </c>
    </row>
    <row r="44" spans="2:9" x14ac:dyDescent="0.25">
      <c r="B44" s="6" t="s">
        <v>131</v>
      </c>
      <c r="C44" s="5"/>
      <c r="D44" s="50">
        <f>'Forecasts by year'!D15</f>
        <v>18698.137349317512</v>
      </c>
      <c r="E44" s="50">
        <f>'Forecasts by year'!E15</f>
        <v>18698.137349317512</v>
      </c>
      <c r="F44" s="50">
        <f>'Forecasts by year'!F15</f>
        <v>18850.441505087078</v>
      </c>
      <c r="G44" s="50">
        <f>'Forecasts by year'!G15</f>
        <v>19174.246398569379</v>
      </c>
      <c r="H44" s="50">
        <f>'Forecasts by year'!H15</f>
        <v>19657.935206865979</v>
      </c>
      <c r="I44" s="246">
        <f t="shared" si="4"/>
        <v>95078.897809157454</v>
      </c>
    </row>
    <row r="45" spans="2:9" x14ac:dyDescent="0.25">
      <c r="B45" s="6" t="s">
        <v>146</v>
      </c>
      <c r="C45" s="5"/>
      <c r="D45" s="50">
        <f>'Forecasts by year'!D16</f>
        <v>12257.356520167476</v>
      </c>
      <c r="E45" s="50">
        <f>'Forecasts by year'!E16</f>
        <v>12257.356520167476</v>
      </c>
      <c r="F45" s="50">
        <f>'Forecasts by year'!F16</f>
        <v>12355.304640073455</v>
      </c>
      <c r="G45" s="50">
        <f>'Forecasts by year'!G16</f>
        <v>12563.546367770858</v>
      </c>
      <c r="H45" s="50">
        <f>'Forecasts by year'!H16</f>
        <v>12874.610823975827</v>
      </c>
      <c r="I45" s="246">
        <f t="shared" si="4"/>
        <v>62308.17487215509</v>
      </c>
    </row>
    <row r="46" spans="2:9" x14ac:dyDescent="0.25">
      <c r="B46" s="21" t="s">
        <v>1</v>
      </c>
      <c r="C46" s="22"/>
      <c r="D46" s="23">
        <f>SUM(D42:D45)</f>
        <v>205530.08626106114</v>
      </c>
      <c r="E46" s="23">
        <f t="shared" ref="E46:H46" si="6">SUM(E42:E45)</f>
        <v>205530.08626106114</v>
      </c>
      <c r="F46" s="23">
        <f t="shared" si="6"/>
        <v>207172.47020414556</v>
      </c>
      <c r="G46" s="23">
        <f t="shared" si="6"/>
        <v>210664.24595419242</v>
      </c>
      <c r="H46" s="23">
        <f t="shared" si="6"/>
        <v>215880.14258013832</v>
      </c>
      <c r="I46" s="23">
        <f t="shared" ref="I46" si="7">SUM(I42:I45)</f>
        <v>1044777.0312605986</v>
      </c>
    </row>
  </sheetData>
  <mergeCells count="2">
    <mergeCell ref="B26:I27"/>
    <mergeCell ref="B32:I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2018-03-10T23:18:33Z</cp:lastPrinted>
  <dcterms:created xsi:type="dcterms:W3CDTF">2013-06-17T01:25:32Z</dcterms:created>
  <dcterms:modified xsi:type="dcterms:W3CDTF">2018-04-17T04:52:57Z</dcterms:modified>
</cp:coreProperties>
</file>