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0F59C5BC-3F56-4EF1-844B-B52B8A75F47B}"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Fe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E11" i="16" l="1"/>
  <c r="F11" i="16" s="1"/>
  <c r="G11" i="16" s="1"/>
  <c r="H11" i="16" s="1"/>
  <c r="H5" i="17" l="1"/>
  <c r="G5" i="17"/>
  <c r="F5" i="17"/>
  <c r="E5" i="17"/>
  <c r="D5" i="17"/>
  <c r="H2" i="17"/>
  <c r="G2" i="17"/>
  <c r="F2" i="17"/>
  <c r="E2" i="17"/>
  <c r="D2" i="17"/>
  <c r="H1" i="17"/>
  <c r="G1" i="17"/>
  <c r="F1" i="17"/>
  <c r="E1" i="17"/>
  <c r="D1" i="17"/>
  <c r="E7" i="11"/>
  <c r="I14" i="15" l="1"/>
  <c r="I15" i="15"/>
  <c r="I16" i="15"/>
  <c r="I15" i="13"/>
  <c r="I16" i="13"/>
  <c r="H6" i="13" l="1"/>
  <c r="I29" i="16" l="1"/>
  <c r="I28" i="16"/>
  <c r="C23" i="17"/>
  <c r="E25" i="17"/>
  <c r="F25" i="17"/>
  <c r="G25" i="17"/>
  <c r="H25" i="17"/>
  <c r="D25" i="17"/>
  <c r="O5" i="17"/>
  <c r="N5" i="17"/>
  <c r="M5" i="17"/>
  <c r="L5" i="17"/>
  <c r="K5" i="17"/>
  <c r="L2" i="17"/>
  <c r="O2" i="17"/>
  <c r="N2" i="17"/>
  <c r="M2" i="17"/>
  <c r="K2" i="17"/>
  <c r="O1" i="17"/>
  <c r="N1" i="17"/>
  <c r="K1" i="17"/>
  <c r="K18" i="17" s="1"/>
  <c r="M1" i="17"/>
  <c r="L1" i="17"/>
  <c r="G17" i="13"/>
  <c r="H17" i="13"/>
  <c r="I14" i="13"/>
  <c r="I7" i="13"/>
  <c r="I8" i="13"/>
  <c r="I9" i="13"/>
  <c r="G10" i="13"/>
  <c r="H10" i="13"/>
  <c r="I6" i="13"/>
  <c r="G17" i="15"/>
  <c r="H17" i="15"/>
  <c r="I5" i="15"/>
  <c r="I6" i="15"/>
  <c r="I7" i="15"/>
  <c r="I8" i="15"/>
  <c r="I4" i="15"/>
  <c r="G9" i="15"/>
  <c r="H9" i="15"/>
  <c r="K19" i="17" l="1"/>
  <c r="K20" i="17" s="1"/>
  <c r="L18" i="17"/>
  <c r="D13" i="15"/>
  <c r="I13" i="15" s="1"/>
  <c r="M18" i="17" l="1"/>
  <c r="L19" i="17"/>
  <c r="L20" i="17" s="1"/>
  <c r="G12" i="16"/>
  <c r="F49" i="8" s="1"/>
  <c r="I11" i="16"/>
  <c r="N18" i="17" l="1"/>
  <c r="M19" i="17"/>
  <c r="M20" i="17" s="1"/>
  <c r="C18" i="17"/>
  <c r="D18" i="17" s="1"/>
  <c r="D19" i="17" l="1"/>
  <c r="D9" i="17" s="1"/>
  <c r="E18" i="17"/>
  <c r="D8" i="17"/>
  <c r="D23" i="17"/>
  <c r="N19" i="17"/>
  <c r="N20" i="17" s="1"/>
  <c r="O18" i="17"/>
  <c r="E8" i="11"/>
  <c r="C19" i="17" s="1"/>
  <c r="H12" i="16"/>
  <c r="G49" i="8" s="1"/>
  <c r="D20" i="17" l="1"/>
  <c r="E19" i="17"/>
  <c r="E9" i="17" s="1"/>
  <c r="F18" i="17"/>
  <c r="E8" i="17"/>
  <c r="D13" i="17"/>
  <c r="E23" i="17"/>
  <c r="O19" i="17"/>
  <c r="O20" i="17"/>
  <c r="F7" i="11"/>
  <c r="F8" i="11" l="1"/>
  <c r="C20" i="17" s="1"/>
  <c r="E20" i="17"/>
  <c r="E10" i="17" s="1"/>
  <c r="E27" i="16" s="1"/>
  <c r="E30" i="16" s="1"/>
  <c r="D10" i="17"/>
  <c r="D27" i="16" s="1"/>
  <c r="D33" i="16"/>
  <c r="G18" i="17"/>
  <c r="F8" i="17"/>
  <c r="F19" i="17"/>
  <c r="F9" i="17" s="1"/>
  <c r="F23" i="17"/>
  <c r="E13" i="17"/>
  <c r="F17" i="15"/>
  <c r="E17" i="15"/>
  <c r="D17" i="15"/>
  <c r="F20" i="17" l="1"/>
  <c r="E33" i="16"/>
  <c r="D30" i="16"/>
  <c r="D35" i="8"/>
  <c r="G19" i="17"/>
  <c r="G9" i="17" s="1"/>
  <c r="G8" i="17"/>
  <c r="H18" i="17"/>
  <c r="F13" i="17"/>
  <c r="G23" i="17"/>
  <c r="I17" i="15"/>
  <c r="E9" i="15"/>
  <c r="D9" i="15"/>
  <c r="F12" i="16"/>
  <c r="E49" i="8" s="1"/>
  <c r="E12" i="16"/>
  <c r="D49" i="8" s="1"/>
  <c r="D12" i="16"/>
  <c r="C49" i="8" s="1"/>
  <c r="I12" i="16"/>
  <c r="C5" i="16"/>
  <c r="C11" i="16" s="1"/>
  <c r="F17" i="13"/>
  <c r="E17" i="13"/>
  <c r="D10" i="13"/>
  <c r="F10" i="13"/>
  <c r="E10" i="13"/>
  <c r="F10" i="17" l="1"/>
  <c r="F27" i="16" s="1"/>
  <c r="F30" i="16" s="1"/>
  <c r="E35" i="8" s="1"/>
  <c r="G20" i="17"/>
  <c r="C35" i="8"/>
  <c r="F33" i="16"/>
  <c r="H19" i="17"/>
  <c r="H9" i="17" s="1"/>
  <c r="H8" i="17"/>
  <c r="G13" i="17"/>
  <c r="H23" i="17"/>
  <c r="H13" i="17" s="1"/>
  <c r="I10" i="13"/>
  <c r="I17" i="13"/>
  <c r="F9" i="15"/>
  <c r="D17" i="13"/>
  <c r="G10" i="17" l="1"/>
  <c r="G27" i="16" s="1"/>
  <c r="H33" i="16"/>
  <c r="H20" i="17"/>
  <c r="G33" i="16"/>
  <c r="G30" i="16"/>
  <c r="I9" i="15"/>
  <c r="I33" i="16" l="1"/>
  <c r="F35" i="8"/>
  <c r="H10" i="17"/>
  <c r="D3" i="9"/>
  <c r="H27" i="16" l="1"/>
  <c r="H30" i="16" l="1"/>
  <c r="I27" i="16"/>
  <c r="H49" i="8"/>
  <c r="G35" i="8" l="1"/>
  <c r="I30" i="16"/>
  <c r="H35" i="8" l="1"/>
  <c r="E4" i="17" l="1"/>
  <c r="H4" i="17"/>
  <c r="D4" i="17"/>
  <c r="G4" i="17"/>
  <c r="F4" i="17"/>
  <c r="H7" i="11"/>
  <c r="H8" i="11" s="1"/>
  <c r="C22" i="17" s="1"/>
  <c r="K4" i="17" l="1"/>
  <c r="K22" i="17" s="1"/>
  <c r="D22" i="17"/>
  <c r="D12" i="17" s="1"/>
  <c r="D32" i="16" s="1"/>
  <c r="N4" i="17"/>
  <c r="N22" i="17" s="1"/>
  <c r="G22" i="17"/>
  <c r="G12" i="17" s="1"/>
  <c r="G32" i="16" s="1"/>
  <c r="O4" i="17"/>
  <c r="O22" i="17" s="1"/>
  <c r="H22" i="17"/>
  <c r="H12" i="17" s="1"/>
  <c r="H32" i="16" s="1"/>
  <c r="M4" i="17"/>
  <c r="M22" i="17" s="1"/>
  <c r="F22" i="17"/>
  <c r="F12" i="17" s="1"/>
  <c r="F32" i="16" s="1"/>
  <c r="L4" i="17"/>
  <c r="L22" i="17" s="1"/>
  <c r="E22" i="17"/>
  <c r="E12" i="17" s="1"/>
  <c r="E32" i="16" s="1"/>
  <c r="I32" i="16" l="1"/>
  <c r="F3" i="17" l="1"/>
  <c r="E3" i="17"/>
  <c r="H3" i="17"/>
  <c r="D3" i="17"/>
  <c r="G3" i="17"/>
  <c r="G7" i="11"/>
  <c r="D21" i="17" l="1"/>
  <c r="K3" i="17"/>
  <c r="K21" i="17" s="1"/>
  <c r="H21" i="17"/>
  <c r="O3" i="17"/>
  <c r="O21" i="17" s="1"/>
  <c r="I7" i="11"/>
  <c r="J7" i="11" s="1"/>
  <c r="J8" i="11" s="1"/>
  <c r="G8" i="11"/>
  <c r="C21" i="17" s="1"/>
  <c r="E21" i="17"/>
  <c r="L3" i="17"/>
  <c r="L21" i="17" s="1"/>
  <c r="N3" i="17"/>
  <c r="N21" i="17" s="1"/>
  <c r="G21" i="17"/>
  <c r="M3" i="17"/>
  <c r="M21" i="17" s="1"/>
  <c r="F21" i="17"/>
  <c r="C24" i="17" l="1"/>
  <c r="D7" i="8"/>
  <c r="E11" i="17"/>
  <c r="E24" i="17"/>
  <c r="E26" i="17" s="1"/>
  <c r="H11" i="17"/>
  <c r="H24" i="17"/>
  <c r="H26" i="17" s="1"/>
  <c r="K23" i="17"/>
  <c r="L23" i="17" s="1"/>
  <c r="M23" i="17" s="1"/>
  <c r="N23" i="17" s="1"/>
  <c r="O23" i="17" s="1"/>
  <c r="O24" i="17" s="1"/>
  <c r="G11" i="17"/>
  <c r="G24" i="17"/>
  <c r="G26" i="17" s="1"/>
  <c r="F11" i="17"/>
  <c r="F24" i="17"/>
  <c r="F26" i="17" s="1"/>
  <c r="D11" i="17"/>
  <c r="D24" i="17"/>
  <c r="D26" i="17" s="1"/>
  <c r="L24" i="17" l="1"/>
  <c r="M24" i="17"/>
  <c r="K24" i="17"/>
  <c r="G31" i="16"/>
  <c r="G14" i="17"/>
  <c r="G5" i="16" s="1"/>
  <c r="G6" i="16" s="1"/>
  <c r="D31" i="16"/>
  <c r="C37" i="8" s="1"/>
  <c r="D14" i="17"/>
  <c r="D5" i="16" s="1"/>
  <c r="N24" i="17"/>
  <c r="E31" i="16"/>
  <c r="E14" i="17"/>
  <c r="E5" i="16" s="1"/>
  <c r="E6" i="16" s="1"/>
  <c r="H31" i="16"/>
  <c r="H14" i="17"/>
  <c r="H5" i="16" s="1"/>
  <c r="H6" i="16" s="1"/>
  <c r="F31" i="16"/>
  <c r="F14" i="17"/>
  <c r="F5" i="16" s="1"/>
  <c r="F6" i="16" s="1"/>
  <c r="G15" i="17" l="1"/>
  <c r="G34" i="16"/>
  <c r="F37" i="8"/>
  <c r="H34" i="16"/>
  <c r="G37" i="8"/>
  <c r="F34" i="16"/>
  <c r="E37" i="8"/>
  <c r="E34" i="16"/>
  <c r="D37" i="8"/>
  <c r="E15" i="17"/>
  <c r="D15" i="17"/>
  <c r="D34" i="16"/>
  <c r="I31" i="16"/>
  <c r="I34" i="16" s="1"/>
  <c r="H15" i="17"/>
  <c r="D6" i="16"/>
  <c r="I5" i="16"/>
  <c r="I6" i="16" s="1"/>
  <c r="F15" i="17"/>
  <c r="D39" i="8" l="1"/>
  <c r="G39" i="8"/>
  <c r="E39" i="8"/>
  <c r="F39" i="8"/>
  <c r="C39" i="8"/>
  <c r="H37" i="8"/>
  <c r="H39" i="8" s="1"/>
</calcChain>
</file>

<file path=xl/sharedStrings.xml><?xml version="1.0" encoding="utf-8"?>
<sst xmlns="http://schemas.openxmlformats.org/spreadsheetml/2006/main" count="222" uniqueCount="142">
  <si>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</si>
  <si>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</si>
  <si>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</si>
  <si>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</si>
  <si>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</si>
  <si>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</si>
  <si>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</si>
  <si>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</si>
  <si>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</si>
  <si>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</si>
  <si>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</si>
  <si>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</si>
  <si>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</si>
  <si>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Projected Volumes for FY2014-19 Regulatory Period</t>
  </si>
  <si>
    <t>Pricing mechanism</t>
  </si>
  <si>
    <t>Historical revenue, costs and volumes</t>
  </si>
  <si>
    <t>Forecast revenue, costs and volumes</t>
  </si>
  <si>
    <t>Alternative Control Service - Service Description</t>
  </si>
  <si>
    <t>Total Projects Charged</t>
  </si>
  <si>
    <t>Task</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</si>
  <si>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</si>
  <si>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</si>
  <si>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</si>
  <si>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</si>
  <si>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</si>
  <si>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</si>
  <si>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</si>
  <si>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</si>
  <si>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</si>
  <si>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</si>
  <si>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</si>
  <si>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</si>
  <si>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</si>
  <si>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</si>
  <si>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</si>
  <si>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</si>
  <si>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</si>
  <si>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</si>
  <si>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</si>
  <si>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</si>
  <si>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</si>
  <si>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</si>
  <si>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</si>
  <si>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</si>
  <si>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</si>
  <si>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</si>
  <si>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</si>
  <si>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</si>
  <si>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</si>
  <si>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</si>
  <si>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</si>
  <si>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</si>
  <si>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</si>
  <si>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</si>
  <si>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</si>
  <si>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</si>
  <si>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</si>
  <si>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</si>
  <si>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</si>
  <si>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</si>
  <si>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</si>
  <si>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</si>
  <si>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</si>
  <si>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Rate</t>
  </si>
  <si>
    <t>Disconnection / Reconnections - Disconnection Completed</t>
  </si>
  <si>
    <t>Disconnection / Reconnections - Disconnection Completed (fixed fee)</t>
  </si>
  <si>
    <t>Disconnection / Reconnections - Vacant Premise (site visit only)</t>
  </si>
  <si>
    <t xml:space="preserve">
Disconnection does not occur on that occasion, as customer payment is made or it is a wasted visit.
Disconnection may not occur due to a number of reasons such as but not limited to the following:
&gt; Unable to access main switch board or metering;
&gt; Safety of installation or Essential Energy’s employee;
&gt; Late cancellation by retailer;
&gt; Change of customer or retailer for the NMI.
A site visit may also be charged for reconnections and other retailer requests due to a number of reasons such as
but not limited to the following:
&gt; Unable to access main switch board or metering;
&gt; Safety of Installation or Essential Energy’s employee;
&gt; Late cancellation by retailer.
&gt; Change of customer or retailer for the NMI.
A site visit may also be charged for reconnections and other retailer requests due to a number of reasons such as but not limited to the following:
&gt; Unable to access main switch board or metering;
&gt; Safety of Installation or Essential Energy’s employee;
&gt; Late cancellation by retailer.</t>
  </si>
  <si>
    <t>Bottom Up Estimation</t>
  </si>
  <si>
    <t>FY22/23</t>
  </si>
  <si>
    <t>Project Code</t>
  </si>
  <si>
    <t>Meter Officer</t>
  </si>
  <si>
    <t>Operating Costs (on IO's, work orders, cost objects, cost centres)</t>
  </si>
  <si>
    <t xml:space="preserve">Operating Costs - </t>
  </si>
  <si>
    <t>ACSCW 30020</t>
  </si>
  <si>
    <t xml:space="preserve">ACSCW 30020 - Disconnect / Reconnect </t>
  </si>
  <si>
    <t>FY17/18</t>
  </si>
  <si>
    <t>FY18/19</t>
  </si>
  <si>
    <t>ANS P&amp;L Report</t>
  </si>
  <si>
    <t>Proposed Fee ($2018/19 - Excl GST)</t>
  </si>
  <si>
    <t>Total Direct Costs $2018/19</t>
  </si>
  <si>
    <t>Total Indirect Costs $2018/19</t>
  </si>
  <si>
    <t>TOTAL COSTS $2018/19</t>
  </si>
  <si>
    <t>Real $2018-19</t>
  </si>
  <si>
    <t>Per service</t>
  </si>
  <si>
    <t>Contractor rate increase</t>
  </si>
  <si>
    <t>Direct cost per service</t>
  </si>
  <si>
    <t>Overheads</t>
  </si>
  <si>
    <t>Non-system charge</t>
  </si>
  <si>
    <t>Profit margin (WACC FY20) per service</t>
  </si>
  <si>
    <t>n/a</t>
  </si>
  <si>
    <t>Overtime loading?
0 = No
1 = Yes</t>
  </si>
  <si>
    <t xml:space="preserve">Disconnection Vacant </t>
  </si>
  <si>
    <t>Labour escalation</t>
  </si>
  <si>
    <t>Overhead rate</t>
  </si>
  <si>
    <t>Average non-system charge</t>
  </si>
  <si>
    <t>WACC rate</t>
  </si>
  <si>
    <t>ORDINARY LABOUR TIME</t>
  </si>
  <si>
    <t>OVERTIME</t>
  </si>
  <si>
    <t>2019-20</t>
  </si>
  <si>
    <t>2020-21</t>
  </si>
  <si>
    <t>2021-22</t>
  </si>
  <si>
    <t>2022-23</t>
  </si>
  <si>
    <t>2023-24</t>
  </si>
  <si>
    <t>Contractor rate</t>
  </si>
  <si>
    <t>Contractor increase</t>
  </si>
  <si>
    <t>Total before OHDs, non-system &amp; margin</t>
  </si>
  <si>
    <t>Profit margin</t>
  </si>
  <si>
    <t>Fully Loaded Costs</t>
  </si>
  <si>
    <t>Forecast revenue (check)</t>
  </si>
  <si>
    <t>Move In / Move Out - Meter Read (fixed fee)</t>
  </si>
  <si>
    <t>Real 2018-19 including escalation</t>
  </si>
  <si>
    <t>Fully Loaded Cost per service</t>
  </si>
  <si>
    <t>Forecast volumes</t>
  </si>
  <si>
    <t>Forecast revenue</t>
  </si>
  <si>
    <t>Labour</t>
  </si>
  <si>
    <t>Fleet</t>
  </si>
  <si>
    <t>Materials</t>
  </si>
  <si>
    <t>Total costs before OHDs, non-system and margin</t>
  </si>
  <si>
    <t>Reported against ANS P&amp;L Report ACS 30020</t>
  </si>
  <si>
    <t>Service to combine all existing Site Visit Only Services:</t>
  </si>
  <si>
    <t>- Disconnect - Site Visit;
- Reconnect - Site Visit and
- Vacant Premise Disconnect / Reconnect - Site Visit</t>
  </si>
  <si>
    <t>Historical Cost and Volumes are across ACSCW 30020:
- Vacant Premise Disconnect / Reconnect (site visit only)
- Disconnect - Site Visit
- Reconnect - Site Visit</t>
  </si>
  <si>
    <t xml:space="preserve">
Disconnection / Reconnections - Vacant Premise (site visit only)
Disconnection does not occur on that occasion, as customer payment is made or it is a wasted visit.
Disconnection may not occur due to a number of reasons such as but not limited to the following:
&gt; Unable to access main switch board or metering;
&gt; Safety of installation or Essential Energy’s employee;
&gt; Late cancellation by retailer;
&gt; Change of customer or retailer for the NMI.
A site visit may also be charged for reconnections and other retailer requests due to a number of reasons such as
but not limited to the following:
&gt; Unable to access main switch board or metering;
&gt; Safety of Installation or Essential Energy’s employee;
&gt; Late cancellation by retailer.
&gt; Change of customer or retailer for the NMI.
A site visit may also be charged for reconnections and other retailer requests due to a number of reasons such as but not limited to the following:
&gt; Unable to access main switch board or metering;
&gt; Safety of Installation or Essential Energy’s employee;
&gt; Late cancellation by retailer.</t>
  </si>
  <si>
    <t>FY14/15 operating costs  - N/A</t>
  </si>
  <si>
    <t>FY15/16 operating costs  - Actuals</t>
  </si>
  <si>
    <t>FY16/17 operating costs  - Actuals</t>
  </si>
  <si>
    <t>FY17/18 operating costs  - Pro rata based on YTD Dec17 values</t>
  </si>
  <si>
    <t xml:space="preserve">FY18/19 operating costs  - Estimated </t>
  </si>
  <si>
    <t>Derived - Service Order Report</t>
  </si>
  <si>
    <t>Reconnect - Site Visit</t>
  </si>
  <si>
    <t>Disconnect - Site Visit</t>
  </si>
  <si>
    <t>Vacant Premise - Reconnect - Site Visit</t>
  </si>
  <si>
    <t>FY14/15 revenue  - N/A</t>
  </si>
  <si>
    <t>FY15/16 revenue  - Actuals</t>
  </si>
  <si>
    <t>FY16/17 revenue  - Actuals</t>
  </si>
  <si>
    <t>FY17/18 revenue  - Pro rata based on YTD Dec17 values</t>
  </si>
  <si>
    <t xml:space="preserve">FY18/19 revenue  - Estimated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</si>
  <si>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</si>
  <si>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Service is provided by authorised contractors. Contract rates are averages across 4 operational zones.</t>
  </si>
  <si>
    <t>5.2 Disc / Rec - Vacant Premise - Site Visist Only</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</si>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</sst>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name val="Arial"/>
      <family val="2"/>
    </font>
    <font>
      <b/>
      <sz val="7"/>
      <name val="Arial"/>
      <family val="2"/>
    </font>
    <font>
      <sz val="10"/>
      <name val="Arial"/>
      <family val="2"/>
    </font>
    <font>
      <sz val="10"/>
      <color rgb="FFFF0000"/>
      <name val="Arial"/>
      <family val="2"/>
    </font>
    <font>
      <sz val="10"/>
      <color rgb="FF0065A6"/>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bgColor indexed="64"/>
      </patternFill>
    </fill>
    <fill>
      <patternFill patternType="solid">
        <fgColor theme="4" tint="-0.499984740745262"/>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48">
    <xf numFmtId="0" fontId="0" fillId="0" borderId="0" xfId="0"/>
    <xf numFmtId="0" fontId="2" fillId="0" borderId="0" xfId="0" applyFont="1"/>
    <xf numFmtId="0" fontId="7" fillId="5" borderId="3" xfId="0" applyFont="1" applyFill="1" applyBorder="1"/>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0" fontId="2" fillId="10" borderId="4" xfId="0" applyFont="1" applyFill="1" applyBorder="1" applyAlignment="1">
      <alignment horizontal="left"/>
    </xf>
    <xf numFmtId="166" fontId="6" fillId="0" borderId="0" xfId="0" applyNumberFormat="1" applyFont="1"/>
    <xf numFmtId="3" fontId="2" fillId="10" borderId="4" xfId="0" applyNumberFormat="1" applyFont="1" applyFill="1" applyBorder="1"/>
    <xf numFmtId="3" fontId="2" fillId="10" borderId="4" xfId="0" applyNumberFormat="1" applyFont="1" applyFill="1" applyBorder="1" applyAlignment="1">
      <alignment horizontal="right"/>
    </xf>
    <xf numFmtId="0" fontId="13" fillId="0" borderId="0" xfId="0" applyFont="1"/>
    <xf numFmtId="0" fontId="14" fillId="8" borderId="11" xfId="0" applyFont="1" applyFill="1" applyBorder="1"/>
    <xf numFmtId="0" fontId="15" fillId="8" borderId="12" xfId="0" applyFont="1" applyFill="1" applyBorder="1"/>
    <xf numFmtId="0" fontId="16" fillId="5" borderId="4" xfId="0" applyFont="1" applyFill="1" applyBorder="1"/>
    <xf numFmtId="0" fontId="16" fillId="5" borderId="4" xfId="0" applyFont="1" applyFill="1" applyBorder="1" applyAlignment="1">
      <alignment horizontal="center"/>
    </xf>
    <xf numFmtId="0" fontId="16" fillId="5" borderId="5" xfId="0" applyFont="1" applyFill="1" applyBorder="1" applyAlignment="1">
      <alignment horizontal="right"/>
    </xf>
    <xf numFmtId="0" fontId="17" fillId="4" borderId="4" xfId="0" applyFont="1" applyFill="1" applyBorder="1"/>
    <xf numFmtId="168" fontId="17" fillId="10" borderId="5" xfId="2" applyNumberFormat="1" applyFont="1" applyFill="1" applyBorder="1" applyAlignment="1">
      <alignment horizontal="center"/>
    </xf>
    <xf numFmtId="0" fontId="17" fillId="4" borderId="5" xfId="0" applyFont="1" applyFill="1" applyBorder="1"/>
    <xf numFmtId="168" fontId="17" fillId="4" borderId="5" xfId="2" applyNumberFormat="1" applyFont="1" applyFill="1" applyBorder="1" applyAlignment="1">
      <alignment horizontal="center"/>
    </xf>
    <xf numFmtId="0" fontId="16" fillId="5" borderId="10" xfId="0" applyFont="1" applyFill="1" applyBorder="1"/>
    <xf numFmtId="0" fontId="19" fillId="5" borderId="1" xfId="0" applyFont="1" applyFill="1" applyBorder="1"/>
    <xf numFmtId="168" fontId="16" fillId="5" borderId="9" xfId="2" applyNumberFormat="1" applyFont="1" applyFill="1" applyBorder="1"/>
    <xf numFmtId="168" fontId="16" fillId="5" borderId="10" xfId="2" applyNumberFormat="1" applyFont="1" applyFill="1" applyBorder="1"/>
    <xf numFmtId="0" fontId="16" fillId="0" borderId="0" xfId="0" applyFont="1" applyFill="1" applyBorder="1"/>
    <xf numFmtId="0" fontId="19" fillId="0" borderId="0" xfId="0" applyFont="1" applyFill="1" applyBorder="1"/>
    <xf numFmtId="168" fontId="16" fillId="0" borderId="0" xfId="2" applyNumberFormat="1" applyFont="1" applyFill="1" applyBorder="1"/>
    <xf numFmtId="0" fontId="14" fillId="8" borderId="8" xfId="0" applyFont="1" applyFill="1" applyBorder="1"/>
    <xf numFmtId="0" fontId="15" fillId="8" borderId="0" xfId="0" applyFont="1" applyFill="1"/>
    <xf numFmtId="3" fontId="17" fillId="10" borderId="4" xfId="0" applyNumberFormat="1" applyFont="1" applyFill="1" applyBorder="1"/>
    <xf numFmtId="3" fontId="17" fillId="4" borderId="4" xfId="0" applyNumberFormat="1" applyFont="1" applyFill="1" applyBorder="1"/>
    <xf numFmtId="0" fontId="13" fillId="0" borderId="6" xfId="0" applyFont="1" applyBorder="1"/>
    <xf numFmtId="0" fontId="16" fillId="5" borderId="6" xfId="0" applyFont="1" applyFill="1" applyBorder="1" applyAlignment="1">
      <alignment horizontal="left"/>
    </xf>
    <xf numFmtId="0" fontId="17" fillId="0" borderId="0" xfId="0" applyFont="1"/>
    <xf numFmtId="0" fontId="18" fillId="0" borderId="0" xfId="0" applyFont="1"/>
    <xf numFmtId="0" fontId="20" fillId="4" borderId="0" xfId="0" applyFont="1" applyFill="1" applyBorder="1" applyAlignment="1">
      <alignment horizontal="left" vertical="top" wrapText="1"/>
    </xf>
    <xf numFmtId="0" fontId="16" fillId="5" borderId="11" xfId="0" applyFont="1" applyFill="1" applyBorder="1"/>
    <xf numFmtId="0" fontId="19" fillId="5" borderId="12" xfId="0" applyFont="1" applyFill="1" applyBorder="1"/>
    <xf numFmtId="0" fontId="17" fillId="4" borderId="8" xfId="0" quotePrefix="1" applyFont="1" applyFill="1" applyBorder="1" applyAlignment="1">
      <alignment vertical="top"/>
    </xf>
    <xf numFmtId="0" fontId="17" fillId="4" borderId="0" xfId="0" applyFont="1" applyFill="1" applyBorder="1" applyAlignment="1">
      <alignment vertical="top"/>
    </xf>
    <xf numFmtId="168" fontId="17" fillId="10" borderId="5" xfId="2" applyNumberFormat="1" applyFont="1" applyFill="1" applyBorder="1" applyAlignment="1">
      <alignment horizontal="right"/>
    </xf>
    <xf numFmtId="0" fontId="20" fillId="4" borderId="0" xfId="0" applyFont="1" applyFill="1" applyBorder="1" applyAlignment="1">
      <alignment horizontal="left" vertical="top" wrapText="1"/>
    </xf>
    <xf numFmtId="0" fontId="16" fillId="5" borderId="5" xfId="0" applyFont="1" applyFill="1" applyBorder="1" applyAlignment="1">
      <alignment horizontal="center"/>
    </xf>
    <xf numFmtId="0" fontId="20" fillId="4" borderId="0" xfId="0" applyFont="1" applyFill="1" applyBorder="1" applyAlignment="1">
      <alignment horizontal="left" vertical="top" wrapText="1"/>
    </xf>
    <xf numFmtId="168" fontId="2" fillId="10" borderId="5" xfId="2" applyNumberFormat="1" applyFont="1" applyFill="1" applyBorder="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168" fontId="18" fillId="11" borderId="5" xfId="2" applyNumberFormat="1" applyFont="1" applyFill="1" applyBorder="1"/>
    <xf numFmtId="0" fontId="16" fillId="5" borderId="4" xfId="0" applyFont="1" applyFill="1" applyBorder="1" applyAlignment="1">
      <alignment horizontal="left"/>
    </xf>
    <xf numFmtId="0" fontId="16" fillId="5" borderId="4" xfId="0" applyFont="1" applyFill="1" applyBorder="1" applyAlignment="1">
      <alignment horizontal="right"/>
    </xf>
    <xf numFmtId="3" fontId="18" fillId="11" borderId="4" xfId="0" applyNumberFormat="1" applyFont="1" applyFill="1" applyBorder="1"/>
    <xf numFmtId="0" fontId="17" fillId="4" borderId="4" xfId="0" quotePrefix="1" applyFont="1" applyFill="1" applyBorder="1"/>
    <xf numFmtId="0" fontId="16" fillId="11" borderId="4" xfId="0" applyFont="1" applyFill="1" applyBorder="1"/>
    <xf numFmtId="3" fontId="16" fillId="5" borderId="4" xfId="0" applyNumberFormat="1" applyFont="1" applyFill="1" applyBorder="1"/>
    <xf numFmtId="170" fontId="5" fillId="8" borderId="9" xfId="0" applyNumberFormat="1" applyFont="1" applyFill="1" applyBorder="1" applyAlignment="1">
      <alignment horizontal="center" vertical="center" wrapText="1"/>
    </xf>
    <xf numFmtId="0" fontId="4" fillId="10" borderId="13" xfId="0" applyFont="1" applyFill="1" applyBorder="1" applyAlignment="1">
      <alignment horizontal="left" vertical="center"/>
    </xf>
    <xf numFmtId="170" fontId="4" fillId="10" borderId="13" xfId="0"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2" fontId="5" fillId="8" borderId="9" xfId="0" applyNumberFormat="1" applyFont="1" applyFill="1" applyBorder="1" applyAlignment="1">
      <alignment horizontal="center" vertical="center" wrapText="1"/>
    </xf>
    <xf numFmtId="2" fontId="4" fillId="10" borderId="13" xfId="0" applyNumberFormat="1" applyFont="1" applyFill="1" applyBorder="1" applyAlignment="1">
      <alignment horizontal="center"/>
    </xf>
    <xf numFmtId="2" fontId="4" fillId="10" borderId="13" xfId="3" applyNumberFormat="1" applyFont="1" applyFill="1" applyBorder="1" applyAlignment="1">
      <alignment horizontal="center"/>
    </xf>
    <xf numFmtId="2" fontId="7" fillId="11" borderId="4" xfId="0" applyNumberFormat="1" applyFont="1" applyFill="1" applyBorder="1" applyAlignment="1">
      <alignment horizontal="center"/>
    </xf>
    <xf numFmtId="0" fontId="12" fillId="8" borderId="0" xfId="0" applyNumberFormat="1" applyFont="1" applyFill="1" applyBorder="1" applyAlignment="1">
      <alignment horizontal="left"/>
    </xf>
    <xf numFmtId="3" fontId="4" fillId="10" borderId="13" xfId="3" applyNumberFormat="1" applyFont="1" applyFill="1" applyBorder="1" applyAlignment="1">
      <alignment horizontal="center"/>
    </xf>
    <xf numFmtId="0" fontId="7" fillId="11" borderId="4" xfId="0" applyFont="1" applyFill="1" applyBorder="1" applyAlignment="1">
      <alignment horizontal="left"/>
    </xf>
    <xf numFmtId="0" fontId="7" fillId="11" borderId="4" xfId="0" applyFont="1" applyFill="1" applyBorder="1" applyAlignment="1">
      <alignment horizontal="right"/>
    </xf>
    <xf numFmtId="168" fontId="7" fillId="5" borderId="4" xfId="2"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8" fontId="6" fillId="11" borderId="4" xfId="2" applyNumberFormat="1" applyFont="1" applyFill="1" applyBorder="1"/>
    <xf numFmtId="3" fontId="6" fillId="11" borderId="4" xfId="0" applyNumberFormat="1" applyFont="1" applyFill="1" applyBorder="1"/>
    <xf numFmtId="0" fontId="3" fillId="0" borderId="0" xfId="0" applyFont="1"/>
    <xf numFmtId="10" fontId="3" fillId="0" borderId="0" xfId="1" applyNumberFormat="1" applyFont="1"/>
    <xf numFmtId="10" fontId="3" fillId="0" borderId="0" xfId="0" applyNumberFormat="1" applyFont="1"/>
    <xf numFmtId="0" fontId="22"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174" fontId="2" fillId="5" borderId="4" xfId="3" applyNumberFormat="1" applyFont="1" applyFill="1" applyBorder="1" applyAlignment="1">
      <alignment horizontal="right"/>
    </xf>
    <xf numFmtId="0" fontId="6" fillId="5" borderId="5" xfId="0" applyFont="1" applyFill="1" applyBorder="1"/>
    <xf numFmtId="0" fontId="6" fillId="5" borderId="0" xfId="0" applyFont="1" applyFill="1" applyBorder="1"/>
    <xf numFmtId="0" fontId="21" fillId="0" borderId="0" xfId="0" applyFont="1"/>
    <xf numFmtId="0" fontId="7" fillId="0" borderId="8" xfId="0" applyFont="1" applyFill="1" applyBorder="1"/>
    <xf numFmtId="0" fontId="23" fillId="4" borderId="5" xfId="0" applyFont="1" applyFill="1" applyBorder="1"/>
    <xf numFmtId="0" fontId="6" fillId="4" borderId="5" xfId="0" applyFont="1" applyFill="1" applyBorder="1"/>
    <xf numFmtId="167" fontId="24"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24" fillId="5" borderId="4" xfId="3" applyFont="1" applyFill="1" applyBorder="1"/>
    <xf numFmtId="167" fontId="24" fillId="10" borderId="4" xfId="3" applyFont="1" applyFill="1" applyBorder="1" applyAlignment="1">
      <alignment horizontal="right"/>
    </xf>
    <xf numFmtId="167" fontId="2" fillId="10" borderId="4" xfId="3" applyFont="1" applyFill="1" applyBorder="1" applyAlignment="1">
      <alignment horizontal="right"/>
    </xf>
    <xf numFmtId="0" fontId="6" fillId="4" borderId="4" xfId="0" applyFont="1" applyFill="1" applyBorder="1" applyAlignment="1">
      <alignment horizontal="left"/>
    </xf>
    <xf numFmtId="167" fontId="25"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7" fillId="11" borderId="4" xfId="0" applyFont="1" applyFill="1" applyBorder="1" applyAlignment="1">
      <alignment horizontal="left" vertical="center"/>
    </xf>
    <xf numFmtId="0" fontId="2" fillId="4" borderId="3" xfId="0" applyFont="1" applyFill="1" applyBorder="1" applyAlignment="1">
      <alignment horizontal="left" indent="1"/>
    </xf>
    <xf numFmtId="168" fontId="6" fillId="11" borderId="5" xfId="2" applyNumberFormat="1" applyFont="1" applyFill="1" applyBorder="1"/>
    <xf numFmtId="0" fontId="6" fillId="4" borderId="3" xfId="0" applyFont="1" applyFill="1" applyBorder="1"/>
    <xf numFmtId="168" fontId="6" fillId="10" borderId="5" xfId="2" applyNumberFormat="1" applyFont="1" applyFill="1" applyBorder="1" applyAlignment="1">
      <alignment horizontal="center"/>
    </xf>
    <xf numFmtId="168" fontId="2" fillId="10" borderId="5" xfId="2" applyNumberFormat="1" applyFont="1" applyFill="1" applyBorder="1" applyAlignment="1">
      <alignment horizontal="right"/>
    </xf>
    <xf numFmtId="0" fontId="26" fillId="8" borderId="11" xfId="0" applyFont="1" applyFill="1" applyBorder="1"/>
    <xf numFmtId="0" fontId="27" fillId="8" borderId="0" xfId="0" applyFont="1" applyFill="1"/>
    <xf numFmtId="0" fontId="28" fillId="0" borderId="0" xfId="0" applyFont="1"/>
    <xf numFmtId="0" fontId="28" fillId="0" borderId="0" xfId="0" applyFont="1" applyFill="1"/>
    <xf numFmtId="0" fontId="29" fillId="9" borderId="4" xfId="0" applyFont="1" applyFill="1" applyBorder="1"/>
    <xf numFmtId="0" fontId="28" fillId="6" borderId="0" xfId="0" applyFont="1" applyFill="1"/>
    <xf numFmtId="0" fontId="29" fillId="9" borderId="9" xfId="0" applyFont="1" applyFill="1" applyBorder="1"/>
    <xf numFmtId="0" fontId="31" fillId="7" borderId="0" xfId="0" applyFont="1" applyFill="1" applyBorder="1" applyAlignment="1">
      <alignment horizontal="center" vertical="center" wrapText="1"/>
    </xf>
    <xf numFmtId="0" fontId="28" fillId="2" borderId="1" xfId="0" applyFont="1" applyFill="1" applyBorder="1" applyAlignment="1">
      <alignment horizontal="center"/>
    </xf>
    <xf numFmtId="0" fontId="32" fillId="2" borderId="5" xfId="0" applyFont="1" applyFill="1" applyBorder="1" applyAlignment="1">
      <alignment horizontal="center" vertical="center"/>
    </xf>
    <xf numFmtId="0" fontId="33" fillId="7" borderId="0" xfId="0" applyFont="1" applyFill="1" applyBorder="1" applyAlignment="1">
      <alignment horizontal="center" vertical="center"/>
    </xf>
    <xf numFmtId="0" fontId="29" fillId="9" borderId="9" xfId="0" applyFont="1" applyFill="1" applyBorder="1" applyAlignment="1">
      <alignment vertical="center"/>
    </xf>
    <xf numFmtId="170" fontId="28" fillId="7" borderId="5" xfId="0" applyNumberFormat="1" applyFont="1" applyFill="1" applyBorder="1" applyAlignment="1">
      <alignment horizontal="center"/>
    </xf>
    <xf numFmtId="170" fontId="28" fillId="7" borderId="10" xfId="0" applyNumberFormat="1" applyFont="1" applyFill="1" applyBorder="1" applyAlignment="1">
      <alignment horizontal="center"/>
    </xf>
    <xf numFmtId="0" fontId="28" fillId="7" borderId="0" xfId="0" applyFont="1" applyFill="1" applyBorder="1" applyAlignment="1">
      <alignment horizontal="center" vertical="center"/>
    </xf>
    <xf numFmtId="0" fontId="29" fillId="9" borderId="4" xfId="0" applyFont="1" applyFill="1" applyBorder="1" applyAlignment="1">
      <alignment vertical="center"/>
    </xf>
    <xf numFmtId="170" fontId="28" fillId="7" borderId="3" xfId="0" applyNumberFormat="1" applyFont="1" applyFill="1" applyBorder="1" applyAlignment="1">
      <alignment horizontal="center"/>
    </xf>
    <xf numFmtId="170" fontId="28" fillId="3" borderId="2" xfId="0" applyNumberFormat="1" applyFont="1" applyFill="1" applyBorder="1" applyAlignment="1">
      <alignment horizontal="center"/>
    </xf>
    <xf numFmtId="0" fontId="29" fillId="9" borderId="8" xfId="0" applyFont="1" applyFill="1" applyBorder="1" applyAlignment="1">
      <alignment horizontal="left" vertical="center"/>
    </xf>
    <xf numFmtId="0" fontId="30" fillId="7" borderId="8" xfId="0" applyFont="1" applyFill="1" applyBorder="1" applyAlignment="1">
      <alignment horizontal="left"/>
    </xf>
    <xf numFmtId="0" fontId="30" fillId="7" borderId="0" xfId="0" applyFont="1" applyFill="1" applyBorder="1" applyAlignment="1">
      <alignment horizontal="left"/>
    </xf>
    <xf numFmtId="0" fontId="26" fillId="8" borderId="10" xfId="0" applyFont="1" applyFill="1" applyBorder="1"/>
    <xf numFmtId="0" fontId="27" fillId="8" borderId="0" xfId="0" applyFont="1" applyFill="1" applyBorder="1"/>
    <xf numFmtId="0" fontId="27" fillId="8" borderId="2" xfId="0" applyFont="1" applyFill="1" applyBorder="1"/>
    <xf numFmtId="0" fontId="28" fillId="7" borderId="0" xfId="0" applyFont="1" applyFill="1" applyBorder="1" applyAlignment="1">
      <alignment horizontal="left" vertical="top" wrapText="1"/>
    </xf>
    <xf numFmtId="0" fontId="26" fillId="8" borderId="0" xfId="0" applyFont="1" applyFill="1"/>
    <xf numFmtId="0" fontId="28" fillId="7" borderId="0" xfId="0" applyFont="1" applyFill="1" applyBorder="1" applyAlignment="1">
      <alignment horizontal="left"/>
    </xf>
    <xf numFmtId="0" fontId="28" fillId="0" borderId="0" xfId="0" applyFont="1" applyAlignment="1">
      <alignment horizontal="left"/>
    </xf>
    <xf numFmtId="0" fontId="28" fillId="0" borderId="0" xfId="0" applyFont="1" applyFill="1" applyBorder="1" applyAlignment="1">
      <alignment horizontal="left"/>
    </xf>
    <xf numFmtId="0" fontId="29" fillId="2" borderId="3" xfId="0" applyFont="1" applyFill="1" applyBorder="1"/>
    <xf numFmtId="0" fontId="28" fillId="7" borderId="0" xfId="0" applyFont="1" applyFill="1" applyAlignment="1">
      <alignment horizontal="left"/>
    </xf>
    <xf numFmtId="0" fontId="29" fillId="2" borderId="1" xfId="0" applyFont="1" applyFill="1" applyBorder="1"/>
    <xf numFmtId="0" fontId="29" fillId="9" borderId="6" xfId="0" applyFont="1" applyFill="1" applyBorder="1" applyAlignment="1">
      <alignment horizontal="left"/>
    </xf>
    <xf numFmtId="0" fontId="29" fillId="9" borderId="7" xfId="0" applyFont="1" applyFill="1" applyBorder="1" applyAlignment="1">
      <alignment horizontal="right"/>
    </xf>
    <xf numFmtId="0" fontId="29" fillId="9" borderId="8" xfId="0" applyFont="1" applyFill="1" applyBorder="1" applyAlignment="1">
      <alignment horizontal="right"/>
    </xf>
    <xf numFmtId="168" fontId="34" fillId="0" borderId="0" xfId="2" applyNumberFormat="1" applyFont="1"/>
    <xf numFmtId="0" fontId="29" fillId="2" borderId="6" xfId="0" applyFont="1" applyFill="1" applyBorder="1"/>
    <xf numFmtId="168" fontId="29" fillId="2" borderId="7" xfId="2" applyNumberFormat="1" applyFont="1" applyFill="1" applyBorder="1"/>
    <xf numFmtId="10" fontId="28" fillId="0" borderId="0" xfId="1" applyNumberFormat="1" applyFont="1"/>
    <xf numFmtId="10" fontId="28" fillId="0" borderId="0" xfId="0" applyNumberFormat="1" applyFont="1"/>
    <xf numFmtId="171" fontId="28" fillId="0" borderId="0" xfId="1" applyNumberFormat="1" applyFont="1"/>
    <xf numFmtId="0" fontId="26" fillId="8" borderId="6" xfId="0" applyFont="1" applyFill="1" applyBorder="1" applyAlignment="1">
      <alignment horizontal="left"/>
    </xf>
    <xf numFmtId="0" fontId="30" fillId="0" borderId="0" xfId="0" applyFont="1"/>
    <xf numFmtId="0" fontId="29" fillId="2" borderId="6" xfId="0" applyFont="1" applyFill="1" applyBorder="1" applyAlignment="1">
      <alignment horizontal="left"/>
    </xf>
    <xf numFmtId="0" fontId="29" fillId="2" borderId="7" xfId="0" applyFont="1" applyFill="1" applyBorder="1" applyAlignment="1">
      <alignment horizontal="right"/>
    </xf>
    <xf numFmtId="0" fontId="29" fillId="2" borderId="8" xfId="0" applyFont="1" applyFill="1" applyBorder="1" applyAlignment="1">
      <alignment horizontal="right"/>
    </xf>
    <xf numFmtId="169" fontId="34" fillId="0" borderId="0" xfId="3" applyNumberFormat="1" applyFont="1" applyAlignment="1"/>
    <xf numFmtId="172" fontId="29" fillId="2" borderId="7" xfId="2" applyNumberFormat="1" applyFont="1" applyFill="1" applyBorder="1" applyAlignment="1"/>
    <xf numFmtId="169" fontId="36" fillId="0" borderId="0" xfId="3" applyNumberFormat="1" applyFont="1" applyAlignment="1">
      <alignment horizontal="right"/>
    </xf>
    <xf numFmtId="169" fontId="36" fillId="0" borderId="0" xfId="3" applyNumberFormat="1" applyFont="1" applyAlignment="1">
      <alignment horizontal="center" vertical="center"/>
    </xf>
    <xf numFmtId="0" fontId="20" fillId="4" borderId="1" xfId="0" applyFont="1" applyFill="1" applyBorder="1" applyAlignment="1">
      <alignment vertical="top" wrapText="1"/>
    </xf>
    <xf numFmtId="0" fontId="20" fillId="4" borderId="0" xfId="0" applyFont="1" applyFill="1" applyBorder="1" applyAlignment="1">
      <alignment vertical="top" wrapText="1"/>
    </xf>
    <xf numFmtId="0" fontId="9" fillId="4" borderId="8" xfId="0" applyFont="1" applyFill="1" applyBorder="1" applyAlignment="1">
      <alignment horizontal="left" vertical="top" wrapText="1"/>
    </xf>
    <xf numFmtId="0" fontId="9" fillId="4" borderId="0" xfId="0" applyFont="1" applyFill="1" applyBorder="1" applyAlignment="1">
      <alignment vertical="top" wrapText="1"/>
    </xf>
    <xf numFmtId="0" fontId="9" fillId="4" borderId="1" xfId="0" applyFont="1" applyFill="1" applyBorder="1" applyAlignment="1">
      <alignment vertical="top" wrapText="1"/>
    </xf>
    <xf numFmtId="0" fontId="9" fillId="7"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28" fillId="7" borderId="0" xfId="0" applyFont="1" applyFill="1" applyBorder="1" applyAlignment="1">
      <alignment horizontal="left" wrapText="1"/>
    </xf>
    <xf numFmtId="0" fontId="28" fillId="7" borderId="0" xfId="0" quotePrefix="1" applyFont="1" applyFill="1" applyBorder="1" applyAlignment="1">
      <alignment horizontal="left" vertical="top" wrapText="1"/>
    </xf>
    <xf numFmtId="0" fontId="28" fillId="7" borderId="0" xfId="0" applyFont="1" applyFill="1" applyBorder="1" applyAlignment="1">
      <alignment horizontal="left" vertical="top" wrapText="1"/>
    </xf>
    <xf numFmtId="170" fontId="34" fillId="7" borderId="2" xfId="0" applyNumberFormat="1" applyFont="1" applyFill="1" applyBorder="1" applyAlignment="1">
      <alignment horizontal="left"/>
    </xf>
    <xf numFmtId="170" fontId="34" fillId="7" borderId="3" xfId="0" applyNumberFormat="1" applyFont="1" applyFill="1" applyBorder="1" applyAlignment="1">
      <alignment horizontal="left"/>
    </xf>
    <xf numFmtId="0" fontId="30" fillId="7" borderId="5" xfId="0" applyNumberFormat="1" applyFont="1" applyFill="1" applyBorder="1" applyAlignment="1">
      <alignment horizontal="left" wrapText="1"/>
    </xf>
    <xf numFmtId="0" fontId="30" fillId="7" borderId="2" xfId="0" applyNumberFormat="1" applyFont="1" applyFill="1" applyBorder="1" applyAlignment="1">
      <alignment horizontal="left" wrapText="1"/>
    </xf>
    <xf numFmtId="0" fontId="30" fillId="7" borderId="1" xfId="0" applyNumberFormat="1" applyFont="1" applyFill="1" applyBorder="1" applyAlignment="1">
      <alignment horizontal="left" wrapText="1"/>
    </xf>
    <xf numFmtId="0" fontId="28"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8" fillId="2" borderId="5" xfId="0" applyFont="1" applyFill="1" applyBorder="1" applyAlignment="1">
      <alignment horizontal="center"/>
    </xf>
    <xf numFmtId="0" fontId="28" fillId="2" borderId="2" xfId="0" applyFont="1" applyFill="1" applyBorder="1" applyAlignment="1">
      <alignment horizont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17" fillId="4" borderId="1" xfId="0" quotePrefix="1" applyFont="1" applyFill="1" applyBorder="1" applyAlignment="1">
      <alignment horizontal="left" vertical="top" wrapText="1"/>
    </xf>
    <xf numFmtId="0" fontId="17" fillId="4" borderId="8"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0" fontId="5" fillId="13" borderId="0" xfId="0" applyFont="1" applyFill="1" applyAlignment="1">
      <alignment horizontal="center"/>
    </xf>
    <xf numFmtId="0" fontId="5" fillId="12" borderId="0" xfId="0" applyFont="1" applyFill="1" applyBorder="1" applyAlignment="1">
      <alignment horizontal="center"/>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0" fontId="22" fillId="14" borderId="12" xfId="0" applyNumberFormat="1" applyFont="1" applyFill="1" applyBorder="1" applyAlignment="1">
      <alignment horizontal="center"/>
    </xf>
    <xf numFmtId="10" fontId="2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167" fontId="25"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G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0"/>
  <sheetViews>
    <sheetView showGridLines="0" tabSelected="1" zoomScaleNormal="100" workbookViewId="0">
      <selection activeCell="H49" sqref="H49"/>
    </sheetView>
  </sheetViews>
  <sheetFormatPr defaultRowHeight="12.75" x14ac:dyDescent="0.2"/>
  <cols>
    <col min="1" max="1" width="2.42578125" style="157" customWidth="1"/>
    <col min="2" max="2" width="41.85546875" style="157" customWidth="1"/>
    <col min="3" max="3" width="17.7109375" style="157" customWidth="1"/>
    <col min="4" max="4" width="16.7109375" style="157" customWidth="1"/>
    <col min="5" max="5" width="13.85546875" style="157" customWidth="1"/>
    <col min="6" max="6" width="14" style="157" customWidth="1"/>
    <col min="7" max="7" width="12.85546875" style="157" customWidth="1"/>
    <col min="8" max="8" width="13.28515625" style="157" customWidth="1"/>
    <col min="9" max="9" width="11.5703125" style="157" customWidth="1"/>
    <col min="10" max="16384" width="9.140625" style="157"/>
  </cols>
  <sheetData>
    <row r="2" spans="2:19" x14ac:dyDescent="0.2">
      <c r="B2" s="155" t="s">
        <v>7</v>
      </c>
      <c r="C2" s="156"/>
      <c r="D2" s="156"/>
      <c r="E2" s="156"/>
      <c r="F2" s="156"/>
      <c r="G2" s="156"/>
      <c r="H2" s="156"/>
      <c r="O2" s="158"/>
      <c r="P2" s="158"/>
      <c r="Q2" s="158"/>
      <c r="R2" s="158"/>
      <c r="S2" s="158"/>
    </row>
    <row r="3" spans="2:19" ht="75.75" customHeight="1" x14ac:dyDescent="0.2">
      <c r="B3" s="159" t="s">
        <v>52</v>
      </c>
      <c r="C3" s="217" t="s">
        <v>66</v>
      </c>
      <c r="D3" s="218"/>
      <c r="E3" s="219"/>
      <c r="F3" s="219"/>
      <c r="G3" s="219"/>
      <c r="H3" s="219"/>
      <c r="M3" s="160"/>
      <c r="N3" s="160"/>
      <c r="O3" s="158"/>
      <c r="P3" s="158"/>
      <c r="Q3" s="158"/>
      <c r="R3" s="158"/>
      <c r="S3" s="158"/>
    </row>
    <row r="4" spans="2:19" ht="55.5" customHeight="1" x14ac:dyDescent="0.2">
      <c r="B4" s="161"/>
      <c r="C4" s="222"/>
      <c r="D4" s="223"/>
      <c r="E4" s="162"/>
      <c r="F4" s="162"/>
      <c r="G4" s="162"/>
      <c r="H4" s="162"/>
      <c r="M4" s="160"/>
      <c r="N4" s="160"/>
      <c r="O4" s="158"/>
      <c r="P4" s="158"/>
      <c r="Q4" s="158"/>
      <c r="R4" s="158"/>
      <c r="S4" s="158"/>
    </row>
    <row r="5" spans="2:19" x14ac:dyDescent="0.2">
      <c r="B5" s="159" t="s">
        <v>14</v>
      </c>
      <c r="C5" s="163"/>
      <c r="D5" s="164" t="s">
        <v>44</v>
      </c>
      <c r="E5" s="165"/>
      <c r="F5" s="165"/>
      <c r="G5" s="165"/>
      <c r="H5" s="165"/>
      <c r="M5" s="160"/>
      <c r="N5" s="160"/>
      <c r="O5" s="158"/>
      <c r="P5" s="158"/>
      <c r="Q5" s="158"/>
      <c r="R5" s="158"/>
      <c r="S5" s="158"/>
    </row>
    <row r="6" spans="2:19" x14ac:dyDescent="0.2">
      <c r="B6" s="166" t="s">
        <v>38</v>
      </c>
      <c r="C6" s="167"/>
      <c r="D6" s="168">
        <v>96.17</v>
      </c>
      <c r="E6" s="169"/>
      <c r="F6" s="169"/>
      <c r="G6" s="169"/>
      <c r="H6" s="169"/>
      <c r="M6" s="160"/>
      <c r="N6" s="160"/>
      <c r="O6" s="158"/>
      <c r="P6" s="158"/>
      <c r="Q6" s="158"/>
      <c r="R6" s="158"/>
      <c r="S6" s="158"/>
    </row>
    <row r="7" spans="2:19" x14ac:dyDescent="0.2">
      <c r="B7" s="170" t="s">
        <v>79</v>
      </c>
      <c r="C7" s="171"/>
      <c r="D7" s="172">
        <f>'Proposed Fee'!J8</f>
        <v>37.297648087511099</v>
      </c>
      <c r="E7" s="169"/>
      <c r="F7" s="169"/>
      <c r="G7" s="169"/>
      <c r="H7" s="169"/>
      <c r="O7" s="158"/>
      <c r="P7" s="158"/>
      <c r="Q7" s="158"/>
      <c r="R7" s="158"/>
      <c r="S7" s="158"/>
    </row>
    <row r="8" spans="2:19" x14ac:dyDescent="0.2">
      <c r="B8" s="173" t="s">
        <v>45</v>
      </c>
      <c r="C8" s="215" t="s">
        <v>68</v>
      </c>
      <c r="D8" s="216"/>
      <c r="E8" s="174"/>
      <c r="F8" s="175"/>
      <c r="G8" s="175"/>
      <c r="H8" s="175"/>
      <c r="O8" s="158"/>
      <c r="P8" s="158"/>
      <c r="Q8" s="158"/>
      <c r="R8" s="158"/>
      <c r="S8" s="158"/>
    </row>
    <row r="9" spans="2:19" x14ac:dyDescent="0.2">
      <c r="B9" s="176" t="s">
        <v>5</v>
      </c>
      <c r="C9" s="177"/>
      <c r="D9" s="177"/>
      <c r="E9" s="178"/>
      <c r="F9" s="178"/>
      <c r="G9" s="178"/>
      <c r="H9" s="178"/>
      <c r="O9" s="158"/>
      <c r="P9" s="158"/>
      <c r="Q9" s="158"/>
      <c r="R9" s="158"/>
      <c r="S9" s="158"/>
    </row>
    <row r="10" spans="2:19" ht="264.75" customHeight="1" x14ac:dyDescent="0.2">
      <c r="B10" s="220" t="s">
        <v>123</v>
      </c>
      <c r="C10" s="220"/>
      <c r="D10" s="220"/>
      <c r="E10" s="220"/>
      <c r="F10" s="220"/>
      <c r="G10" s="220"/>
      <c r="H10" s="220"/>
      <c r="O10" s="158"/>
      <c r="P10" s="158"/>
      <c r="Q10" s="158"/>
      <c r="R10" s="158"/>
      <c r="S10" s="158"/>
    </row>
    <row r="11" spans="2:19" x14ac:dyDescent="0.2">
      <c r="B11" s="179"/>
      <c r="C11" s="179"/>
      <c r="D11" s="179"/>
      <c r="E11" s="179"/>
      <c r="F11" s="179"/>
      <c r="G11" s="179"/>
      <c r="H11" s="179"/>
      <c r="O11" s="158"/>
      <c r="P11" s="158"/>
      <c r="Q11" s="158"/>
      <c r="R11" s="158"/>
      <c r="S11" s="158"/>
    </row>
    <row r="12" spans="2:19" x14ac:dyDescent="0.2">
      <c r="O12" s="158"/>
      <c r="P12" s="158"/>
      <c r="Q12" s="158"/>
      <c r="R12" s="158"/>
      <c r="S12" s="158"/>
    </row>
    <row r="13" spans="2:19" x14ac:dyDescent="0.2">
      <c r="B13" s="180" t="s">
        <v>31</v>
      </c>
      <c r="C13" s="156"/>
      <c r="D13" s="156"/>
      <c r="E13" s="156"/>
      <c r="F13" s="156"/>
      <c r="G13" s="156"/>
      <c r="H13" s="156"/>
      <c r="O13" s="158"/>
      <c r="P13" s="158"/>
      <c r="Q13" s="158"/>
      <c r="R13" s="158"/>
      <c r="S13" s="158"/>
    </row>
    <row r="14" spans="2:19" x14ac:dyDescent="0.2">
      <c r="B14" s="212"/>
      <c r="C14" s="212"/>
      <c r="D14" s="212"/>
      <c r="E14" s="212"/>
      <c r="F14" s="212"/>
      <c r="G14" s="212"/>
      <c r="H14" s="212"/>
    </row>
    <row r="15" spans="2:19" ht="123.75" customHeight="1" x14ac:dyDescent="0.2">
      <c r="B15" s="221" t="s">
        <v>138</v>
      </c>
      <c r="C15" s="221"/>
      <c r="D15" s="221"/>
      <c r="E15" s="221"/>
      <c r="F15" s="221"/>
      <c r="G15" s="221"/>
      <c r="H15" s="221"/>
      <c r="I15" s="158"/>
    </row>
    <row r="16" spans="2:19" x14ac:dyDescent="0.2">
      <c r="B16" s="181"/>
      <c r="C16" s="181"/>
      <c r="D16" s="181"/>
      <c r="E16" s="181"/>
      <c r="F16" s="181"/>
      <c r="G16" s="181"/>
      <c r="H16" s="181"/>
    </row>
    <row r="17" spans="2:9" x14ac:dyDescent="0.2">
      <c r="B17" s="182"/>
      <c r="C17" s="182"/>
      <c r="D17" s="182"/>
      <c r="E17" s="182"/>
      <c r="F17" s="182"/>
      <c r="G17" s="182"/>
      <c r="H17" s="182"/>
    </row>
    <row r="18" spans="2:9" x14ac:dyDescent="0.2">
      <c r="B18" s="180" t="s">
        <v>39</v>
      </c>
      <c r="C18" s="156"/>
      <c r="D18" s="156"/>
      <c r="E18" s="156"/>
      <c r="F18" s="156"/>
      <c r="G18" s="156"/>
      <c r="H18" s="156"/>
    </row>
    <row r="19" spans="2:9" x14ac:dyDescent="0.2">
      <c r="B19" s="212"/>
      <c r="C19" s="212"/>
      <c r="D19" s="212"/>
      <c r="E19" s="212"/>
      <c r="F19" s="212"/>
      <c r="G19" s="212"/>
      <c r="H19" s="212"/>
    </row>
    <row r="20" spans="2:9" x14ac:dyDescent="0.2">
      <c r="B20" s="213" t="s">
        <v>120</v>
      </c>
      <c r="C20" s="213"/>
      <c r="D20" s="213"/>
      <c r="E20" s="213"/>
      <c r="F20" s="213"/>
      <c r="G20" s="213"/>
      <c r="H20" s="213"/>
    </row>
    <row r="21" spans="2:9" ht="47.25" customHeight="1" x14ac:dyDescent="0.2">
      <c r="B21" s="213" t="s">
        <v>121</v>
      </c>
      <c r="C21" s="213"/>
      <c r="D21" s="213"/>
      <c r="E21" s="213"/>
      <c r="F21" s="213"/>
      <c r="G21" s="213"/>
      <c r="H21" s="213"/>
    </row>
    <row r="22" spans="2:9" ht="14.25" customHeight="1" x14ac:dyDescent="0.2">
      <c r="B22" s="213"/>
      <c r="C22" s="214"/>
      <c r="D22" s="214"/>
      <c r="E22" s="214"/>
      <c r="F22" s="214"/>
      <c r="G22" s="214"/>
      <c r="H22" s="214"/>
    </row>
    <row r="23" spans="2:9" x14ac:dyDescent="0.2">
      <c r="B23" s="183"/>
      <c r="C23" s="183"/>
      <c r="D23" s="183"/>
      <c r="E23" s="183"/>
      <c r="F23" s="183"/>
      <c r="G23" s="183"/>
      <c r="H23" s="183"/>
      <c r="I23" s="158"/>
    </row>
    <row r="24" spans="2:9" x14ac:dyDescent="0.2">
      <c r="B24" s="180" t="s">
        <v>6</v>
      </c>
    </row>
    <row r="25" spans="2:9" x14ac:dyDescent="0.2">
      <c r="B25" s="184" t="s">
        <v>15</v>
      </c>
      <c r="C25" s="185" t="s">
        <v>29</v>
      </c>
      <c r="D25" s="185"/>
      <c r="E25" s="185"/>
      <c r="F25" s="185"/>
      <c r="G25" s="185"/>
      <c r="H25" s="185"/>
    </row>
    <row r="26" spans="2:9" x14ac:dyDescent="0.2">
      <c r="B26" s="186" t="s">
        <v>42</v>
      </c>
      <c r="C26" s="185" t="s">
        <v>48</v>
      </c>
      <c r="D26" s="185"/>
      <c r="E26" s="185"/>
      <c r="F26" s="185"/>
      <c r="G26" s="185"/>
      <c r="H26" s="185"/>
    </row>
    <row r="27" spans="2:9" x14ac:dyDescent="0.2">
      <c r="B27" s="186" t="s">
        <v>43</v>
      </c>
      <c r="C27" s="185" t="s">
        <v>49</v>
      </c>
      <c r="D27" s="185"/>
      <c r="E27" s="185"/>
      <c r="F27" s="185"/>
      <c r="G27" s="185"/>
      <c r="H27" s="185"/>
    </row>
    <row r="28" spans="2:9" x14ac:dyDescent="0.2">
      <c r="B28" s="186" t="s">
        <v>16</v>
      </c>
      <c r="C28" s="185" t="s">
        <v>30</v>
      </c>
      <c r="D28" s="185"/>
      <c r="E28" s="185"/>
      <c r="F28" s="185"/>
      <c r="G28" s="185"/>
      <c r="H28" s="185"/>
    </row>
    <row r="31" spans="2:9" x14ac:dyDescent="0.2">
      <c r="B31" s="180" t="s">
        <v>32</v>
      </c>
      <c r="C31" s="156"/>
      <c r="D31" s="156"/>
      <c r="E31" s="156"/>
      <c r="F31" s="156"/>
      <c r="G31" s="156"/>
      <c r="H31" s="156"/>
    </row>
    <row r="33" spans="2:8" x14ac:dyDescent="0.2">
      <c r="B33" s="187"/>
      <c r="C33" s="188" t="s">
        <v>33</v>
      </c>
      <c r="D33" s="188" t="s">
        <v>34</v>
      </c>
      <c r="E33" s="188" t="s">
        <v>35</v>
      </c>
      <c r="F33" s="188" t="s">
        <v>37</v>
      </c>
      <c r="G33" s="188" t="s">
        <v>36</v>
      </c>
      <c r="H33" s="189" t="s">
        <v>1</v>
      </c>
    </row>
    <row r="34" spans="2:8" x14ac:dyDescent="0.2">
      <c r="C34" s="190"/>
      <c r="D34" s="190"/>
      <c r="E34" s="190"/>
      <c r="F34" s="190"/>
      <c r="G34" s="190"/>
      <c r="H34" s="190"/>
    </row>
    <row r="35" spans="2:8" x14ac:dyDescent="0.2">
      <c r="B35" s="191" t="s">
        <v>80</v>
      </c>
      <c r="C35" s="192">
        <f>'Forecast Revenue - Costs'!D30</f>
        <v>56072.27646915707</v>
      </c>
      <c r="D35" s="192">
        <f>'Forecast Revenue - Costs'!E30</f>
        <v>53829.385410390787</v>
      </c>
      <c r="E35" s="192">
        <f>'Forecast Revenue - Costs'!F30</f>
        <v>52244.648303908878</v>
      </c>
      <c r="F35" s="192">
        <f>'Forecast Revenue - Costs'!G30</f>
        <v>51315.044648135903</v>
      </c>
      <c r="G35" s="192">
        <f>'Forecast Revenue - Costs'!H30</f>
        <v>50926.162300080301</v>
      </c>
      <c r="H35" s="192">
        <f>SUM(C35:G35)</f>
        <v>264387.51713167294</v>
      </c>
    </row>
    <row r="36" spans="2:8" x14ac:dyDescent="0.2">
      <c r="C36" s="193"/>
      <c r="D36" s="194"/>
      <c r="E36" s="193"/>
      <c r="F36" s="193"/>
      <c r="G36" s="193"/>
    </row>
    <row r="37" spans="2:8" x14ac:dyDescent="0.2">
      <c r="B37" s="191" t="s">
        <v>81</v>
      </c>
      <c r="C37" s="192">
        <f>SUM('Forecast Revenue - Costs'!D31:D33)</f>
        <v>35118.302067572396</v>
      </c>
      <c r="D37" s="192">
        <f>SUM('Forecast Revenue - Costs'!E31:E33)</f>
        <v>33713.5699848695</v>
      </c>
      <c r="E37" s="192">
        <f>SUM('Forecast Revenue - Costs'!F31:F33)</f>
        <v>32721.042484514939</v>
      </c>
      <c r="F37" s="192">
        <f>SUM('Forecast Revenue - Costs'!G31:G33)</f>
        <v>32138.827813696065</v>
      </c>
      <c r="G37" s="192">
        <f>SUM('Forecast Revenue - Costs'!H31:H33)</f>
        <v>31895.269167111146</v>
      </c>
      <c r="H37" s="192">
        <f>SUM(C37:G37)</f>
        <v>165587.01151776404</v>
      </c>
    </row>
    <row r="38" spans="2:8" x14ac:dyDescent="0.2">
      <c r="C38" s="193"/>
      <c r="D38" s="194"/>
      <c r="E38" s="193"/>
      <c r="F38" s="193"/>
      <c r="G38" s="193"/>
    </row>
    <row r="39" spans="2:8" x14ac:dyDescent="0.2">
      <c r="B39" s="191" t="s">
        <v>82</v>
      </c>
      <c r="C39" s="192">
        <f t="shared" ref="C39:H39" si="0">+C35+C37</f>
        <v>91190.578536729474</v>
      </c>
      <c r="D39" s="192">
        <f t="shared" si="0"/>
        <v>87542.955395260287</v>
      </c>
      <c r="E39" s="192">
        <f t="shared" si="0"/>
        <v>84965.690788423817</v>
      </c>
      <c r="F39" s="192">
        <f t="shared" si="0"/>
        <v>83453.872461831968</v>
      </c>
      <c r="G39" s="192">
        <f t="shared" si="0"/>
        <v>82821.431467191447</v>
      </c>
      <c r="H39" s="192">
        <f t="shared" si="0"/>
        <v>429974.52864943701</v>
      </c>
    </row>
    <row r="40" spans="2:8" x14ac:dyDescent="0.2">
      <c r="C40" s="195"/>
      <c r="D40" s="195"/>
      <c r="E40" s="195"/>
      <c r="F40" s="195"/>
      <c r="G40" s="195"/>
    </row>
    <row r="41" spans="2:8" x14ac:dyDescent="0.2">
      <c r="B41" s="196" t="s">
        <v>6</v>
      </c>
    </row>
    <row r="42" spans="2:8" ht="62.25" customHeight="1" x14ac:dyDescent="0.2">
      <c r="B42" s="210" t="s">
        <v>122</v>
      </c>
      <c r="C42" s="211"/>
      <c r="D42" s="211"/>
      <c r="E42" s="211"/>
      <c r="F42" s="211"/>
      <c r="G42" s="211"/>
      <c r="H42" s="211"/>
    </row>
    <row r="45" spans="2:8" x14ac:dyDescent="0.2">
      <c r="B45" s="180" t="s">
        <v>13</v>
      </c>
      <c r="C45" s="156"/>
      <c r="D45" s="156"/>
      <c r="E45" s="156"/>
      <c r="F45" s="156"/>
      <c r="G45" s="156"/>
      <c r="H45" s="156"/>
    </row>
    <row r="46" spans="2:8" x14ac:dyDescent="0.2">
      <c r="B46" s="197"/>
    </row>
    <row r="47" spans="2:8" x14ac:dyDescent="0.2">
      <c r="B47" s="198"/>
      <c r="C47" s="199" t="s">
        <v>33</v>
      </c>
      <c r="D47" s="199" t="s">
        <v>34</v>
      </c>
      <c r="E47" s="199" t="s">
        <v>35</v>
      </c>
      <c r="F47" s="199" t="s">
        <v>37</v>
      </c>
      <c r="G47" s="199" t="s">
        <v>36</v>
      </c>
      <c r="H47" s="200" t="s">
        <v>1</v>
      </c>
    </row>
    <row r="48" spans="2:8" x14ac:dyDescent="0.2">
      <c r="C48" s="201"/>
      <c r="D48" s="201"/>
      <c r="E48" s="201"/>
      <c r="F48" s="201"/>
      <c r="G48" s="201"/>
      <c r="H48" s="201"/>
    </row>
    <row r="49" spans="2:8" x14ac:dyDescent="0.2">
      <c r="B49" s="198" t="s">
        <v>12</v>
      </c>
      <c r="C49" s="202">
        <f>'Forecast Revenue - Costs'!D12</f>
        <v>2500</v>
      </c>
      <c r="D49" s="202">
        <f>'Forecast Revenue - Costs'!E12</f>
        <v>2400</v>
      </c>
      <c r="E49" s="202">
        <f>'Forecast Revenue - Costs'!F12</f>
        <v>2304</v>
      </c>
      <c r="F49" s="202">
        <f>'Forecast Revenue - Costs'!G12</f>
        <v>2211.84</v>
      </c>
      <c r="G49" s="202">
        <f>'Forecast Revenue - Costs'!H12</f>
        <v>2123.3664000000003</v>
      </c>
      <c r="H49" s="202">
        <f>SUM(C49:G49)</f>
        <v>11539.206400000001</v>
      </c>
    </row>
    <row r="50" spans="2:8" x14ac:dyDescent="0.2">
      <c r="C50" s="203"/>
      <c r="D50" s="203"/>
      <c r="E50" s="203"/>
      <c r="F50" s="203"/>
      <c r="G50" s="203"/>
      <c r="H50" s="204"/>
    </row>
  </sheetData>
  <mergeCells count="11">
    <mergeCell ref="C8:D8"/>
    <mergeCell ref="C3:H3"/>
    <mergeCell ref="B14:H14"/>
    <mergeCell ref="B10:H10"/>
    <mergeCell ref="B15:H15"/>
    <mergeCell ref="C4:D4"/>
    <mergeCell ref="B42:H42"/>
    <mergeCell ref="B19:H19"/>
    <mergeCell ref="B20:H20"/>
    <mergeCell ref="B21:H21"/>
    <mergeCell ref="B22:H22"/>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3" zoomScaleNormal="100" workbookViewId="0">
      <selection activeCell="B21" sqref="B21:K21"/>
    </sheetView>
  </sheetViews>
  <sheetFormatPr defaultRowHeight="12.75" x14ac:dyDescent="0.2"/>
  <cols>
    <col min="1" max="1" width="2.28515625" style="1" customWidth="1"/>
    <col min="2" max="2" width="2.42578125" style="35" customWidth="1"/>
    <col min="3" max="3" width="10.140625" style="35" customWidth="1"/>
    <col min="4" max="9" width="13.140625" style="35" customWidth="1"/>
    <col min="10" max="11" width="9.140625" style="35"/>
    <col min="12" max="12" width="5.28515625" style="35" customWidth="1"/>
    <col min="13" max="13" width="2.42578125" style="1" customWidth="1"/>
    <col min="14" max="16384" width="9.140625" style="1"/>
  </cols>
  <sheetData>
    <row r="1" spans="2:14" ht="9" customHeight="1" x14ac:dyDescent="0.2"/>
    <row r="2" spans="2:14" ht="18" customHeight="1" x14ac:dyDescent="0.2">
      <c r="B2" s="33" t="s">
        <v>17</v>
      </c>
      <c r="C2" s="33"/>
      <c r="D2" s="33"/>
      <c r="E2" s="33"/>
      <c r="F2" s="33"/>
      <c r="G2" s="33"/>
      <c r="H2" s="33"/>
      <c r="I2" s="33"/>
      <c r="J2" s="33"/>
      <c r="K2" s="33"/>
    </row>
    <row r="3" spans="2:14" x14ac:dyDescent="0.2">
      <c r="B3" s="29" t="s">
        <v>0</v>
      </c>
      <c r="C3" s="34"/>
      <c r="D3" s="226" t="str">
        <f>'AER Summary'!C3</f>
        <v>Disconnection / Reconnections - Vacant Premise (site visit only)</v>
      </c>
      <c r="E3" s="227"/>
      <c r="F3" s="227"/>
      <c r="G3" s="227"/>
      <c r="H3" s="227"/>
      <c r="I3" s="227"/>
      <c r="J3" s="227"/>
      <c r="K3" s="227"/>
      <c r="N3" s="27"/>
    </row>
    <row r="4" spans="2:14" x14ac:dyDescent="0.2">
      <c r="N4" s="27"/>
    </row>
    <row r="5" spans="2:14" x14ac:dyDescent="0.2">
      <c r="B5" s="228" t="s">
        <v>60</v>
      </c>
      <c r="C5" s="228"/>
      <c r="D5" s="228"/>
      <c r="E5" s="228"/>
      <c r="F5" s="228"/>
      <c r="G5" s="228"/>
      <c r="H5" s="228"/>
      <c r="I5" s="228"/>
      <c r="J5" s="228"/>
      <c r="K5" s="228"/>
      <c r="N5" s="27"/>
    </row>
    <row r="6" spans="2:14" ht="255.75" customHeight="1" x14ac:dyDescent="0.2">
      <c r="B6" s="229" t="s">
        <v>67</v>
      </c>
      <c r="C6" s="230"/>
      <c r="D6" s="230"/>
      <c r="E6" s="230"/>
      <c r="F6" s="230"/>
      <c r="G6" s="230"/>
      <c r="H6" s="230"/>
      <c r="I6" s="230"/>
      <c r="J6" s="230"/>
      <c r="K6" s="230"/>
      <c r="N6" s="27"/>
    </row>
    <row r="9" spans="2:14" x14ac:dyDescent="0.2">
      <c r="B9" s="228" t="s">
        <v>40</v>
      </c>
      <c r="C9" s="228"/>
      <c r="D9" s="228"/>
      <c r="E9" s="228"/>
      <c r="F9" s="228"/>
      <c r="G9" s="228"/>
      <c r="H9" s="228"/>
      <c r="I9" s="228"/>
      <c r="J9" s="228"/>
      <c r="K9" s="228"/>
    </row>
    <row r="10" spans="2:14" ht="15" customHeight="1" x14ac:dyDescent="0.2">
      <c r="B10" s="225" t="s">
        <v>61</v>
      </c>
      <c r="C10" s="225"/>
      <c r="D10" s="225"/>
      <c r="E10" s="225"/>
      <c r="F10" s="225"/>
      <c r="G10" s="225"/>
      <c r="H10" s="225"/>
      <c r="I10" s="225"/>
      <c r="J10" s="225"/>
      <c r="K10" s="225"/>
    </row>
    <row r="11" spans="2:14" ht="24.75" customHeight="1" x14ac:dyDescent="0.2">
      <c r="B11" s="231"/>
      <c r="C11" s="231"/>
      <c r="D11" s="231"/>
      <c r="E11" s="231"/>
      <c r="F11" s="231"/>
      <c r="G11" s="231"/>
      <c r="H11" s="231"/>
      <c r="I11" s="231"/>
      <c r="J11" s="231"/>
      <c r="K11" s="231"/>
      <c r="L11" s="37"/>
      <c r="M11" s="28"/>
      <c r="N11" s="28"/>
    </row>
    <row r="12" spans="2:14" x14ac:dyDescent="0.2">
      <c r="B12" s="231"/>
      <c r="C12" s="231"/>
      <c r="D12" s="231"/>
      <c r="E12" s="231"/>
      <c r="F12" s="231"/>
      <c r="G12" s="231"/>
      <c r="H12" s="231"/>
      <c r="I12" s="231"/>
      <c r="J12" s="231"/>
      <c r="K12" s="231"/>
      <c r="L12" s="37"/>
      <c r="M12" s="28"/>
      <c r="N12" s="28"/>
    </row>
    <row r="13" spans="2:14" x14ac:dyDescent="0.2">
      <c r="B13" s="231"/>
      <c r="C13" s="231"/>
      <c r="D13" s="231"/>
      <c r="E13" s="231"/>
      <c r="F13" s="231"/>
      <c r="G13" s="231"/>
      <c r="H13" s="231"/>
      <c r="I13" s="231"/>
      <c r="J13" s="231"/>
      <c r="K13" s="231"/>
      <c r="L13" s="37"/>
      <c r="M13" s="28"/>
      <c r="N13" s="28"/>
    </row>
    <row r="14" spans="2:14" ht="48" customHeight="1" x14ac:dyDescent="0.2">
      <c r="B14" s="231"/>
      <c r="C14" s="231"/>
      <c r="D14" s="231"/>
      <c r="E14" s="231"/>
      <c r="F14" s="231"/>
      <c r="G14" s="231"/>
      <c r="H14" s="231"/>
      <c r="I14" s="231"/>
      <c r="J14" s="231"/>
      <c r="K14" s="231"/>
      <c r="L14" s="37"/>
      <c r="M14" s="28"/>
      <c r="N14" s="28"/>
    </row>
    <row r="15" spans="2:14" x14ac:dyDescent="0.2">
      <c r="B15" s="231"/>
      <c r="C15" s="231"/>
      <c r="D15" s="231"/>
      <c r="E15" s="231"/>
      <c r="F15" s="231"/>
      <c r="G15" s="231"/>
      <c r="H15" s="231"/>
      <c r="I15" s="231"/>
      <c r="J15" s="231"/>
      <c r="K15" s="231"/>
      <c r="L15" s="37"/>
      <c r="M15" s="28"/>
      <c r="N15" s="28"/>
    </row>
    <row r="16" spans="2:14" ht="64.5" customHeight="1" x14ac:dyDescent="0.2">
      <c r="B16" s="231"/>
      <c r="C16" s="231"/>
      <c r="D16" s="231"/>
      <c r="E16" s="231"/>
      <c r="F16" s="231"/>
      <c r="G16" s="231"/>
      <c r="H16" s="231"/>
      <c r="I16" s="231"/>
      <c r="J16" s="231"/>
      <c r="K16" s="231"/>
      <c r="L16" s="37"/>
      <c r="M16" s="28"/>
      <c r="N16" s="28"/>
    </row>
    <row r="17" spans="2:14" x14ac:dyDescent="0.2">
      <c r="L17" s="37"/>
      <c r="M17" s="28"/>
      <c r="N17" s="28"/>
    </row>
    <row r="18" spans="2:14" x14ac:dyDescent="0.2">
      <c r="L18" s="37"/>
      <c r="M18" s="28"/>
      <c r="N18" s="28"/>
    </row>
    <row r="19" spans="2:14" x14ac:dyDescent="0.2">
      <c r="B19" s="228" t="s">
        <v>41</v>
      </c>
      <c r="C19" s="228"/>
      <c r="D19" s="228"/>
      <c r="E19" s="228"/>
      <c r="F19" s="228"/>
      <c r="G19" s="228"/>
      <c r="H19" s="228"/>
      <c r="I19" s="228"/>
      <c r="J19" s="228"/>
      <c r="K19" s="228"/>
      <c r="L19" s="37"/>
      <c r="M19" s="28"/>
      <c r="N19" s="28"/>
    </row>
    <row r="20" spans="2:14" ht="293.25" customHeight="1" x14ac:dyDescent="0.2">
      <c r="B20" s="225" t="str">
        <f>'AER Summary'!B10:H10</f>
        <v xml:space="preserve">
Disconnection / Reconnections - Vacant Premise (site visit only)
Disconnection does not occur on that occasion, as customer payment is made or it is a wasted visit.
Disconnection may not occur due to a number of reasons such as but not limited to the following:
&gt; Unable to access main switch board or metering;
&gt; Safety of installation or Essential Energy’s employee;
&gt; Late cancellation by retailer;
&gt; Change of customer or retailer for the NMI.
A site visit may also be charged for reconnections and other retailer requests due to a number of reasons such as
but not limited to the following:
&gt; Unable to access main switch board or metering;
&gt; Safety of Installation or Essential Energy’s employee;
&gt; Late cancellation by retailer.
&gt; Change of customer or retailer for the NMI.
A site visit may also be charged for reconnections and other retailer requests due to a number of reasons such as but not limited to the following:
&gt; Unable to access main switch board or metering;
&gt; Safety of Installation or Essential Energy’s employee;
&gt; Late cancellation by retailer.</v>
      </c>
      <c r="C20" s="225"/>
      <c r="D20" s="225"/>
      <c r="E20" s="225"/>
      <c r="F20" s="225"/>
      <c r="G20" s="225"/>
      <c r="H20" s="225"/>
      <c r="I20" s="225"/>
      <c r="J20" s="225"/>
      <c r="K20" s="225"/>
    </row>
    <row r="21" spans="2:14" x14ac:dyDescent="0.2">
      <c r="B21" s="224"/>
      <c r="C21" s="224"/>
      <c r="D21" s="224"/>
      <c r="E21" s="224"/>
      <c r="F21" s="224"/>
      <c r="G21" s="224"/>
      <c r="H21" s="224"/>
      <c r="I21" s="224"/>
      <c r="J21" s="224"/>
      <c r="K21" s="22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C42" sqref="C42"/>
    </sheetView>
  </sheetViews>
  <sheetFormatPr defaultRowHeight="12.75" x14ac:dyDescent="0.2"/>
  <cols>
    <col min="1" max="1" width="3.5703125" style="51" customWidth="1"/>
    <col min="2" max="2" width="58.7109375" style="51" customWidth="1"/>
    <col min="3" max="3" width="65.140625" style="51" customWidth="1"/>
    <col min="4" max="4" width="12.85546875" style="51" customWidth="1"/>
    <col min="5" max="5" width="12.28515625" style="51" customWidth="1"/>
    <col min="6" max="8" width="11.28515625" style="51" customWidth="1"/>
    <col min="9" max="9" width="12.7109375" style="51" customWidth="1"/>
    <col min="10" max="16384" width="9.140625" style="51"/>
  </cols>
  <sheetData>
    <row r="2" spans="2:9" x14ac:dyDescent="0.2">
      <c r="B2" s="52" t="s">
        <v>72</v>
      </c>
      <c r="C2" s="53"/>
      <c r="D2" s="53"/>
      <c r="E2" s="53"/>
      <c r="F2" s="53"/>
      <c r="G2" s="53"/>
      <c r="H2" s="53"/>
      <c r="I2" s="53"/>
    </row>
    <row r="3" spans="2:9" x14ac:dyDescent="0.2">
      <c r="B3" s="54" t="s">
        <v>20</v>
      </c>
      <c r="C3" s="54" t="s">
        <v>3</v>
      </c>
      <c r="D3" s="55" t="s">
        <v>55</v>
      </c>
      <c r="E3" s="55" t="s">
        <v>54</v>
      </c>
      <c r="F3" s="55" t="s">
        <v>53</v>
      </c>
      <c r="G3" s="83" t="s">
        <v>76</v>
      </c>
      <c r="H3" s="83" t="s">
        <v>77</v>
      </c>
      <c r="I3" s="56" t="s">
        <v>1</v>
      </c>
    </row>
    <row r="4" spans="2:9" x14ac:dyDescent="0.2">
      <c r="B4" s="57" t="s">
        <v>21</v>
      </c>
      <c r="C4" s="57" t="s">
        <v>71</v>
      </c>
      <c r="D4" s="81">
        <v>0</v>
      </c>
      <c r="E4" s="58">
        <v>0</v>
      </c>
      <c r="F4" s="58">
        <v>0</v>
      </c>
      <c r="G4" s="58">
        <v>0</v>
      </c>
      <c r="H4" s="58">
        <v>0</v>
      </c>
      <c r="I4" s="88">
        <f>SUM(D4:H4)</f>
        <v>0</v>
      </c>
    </row>
    <row r="5" spans="2:9" x14ac:dyDescent="0.2">
      <c r="B5" s="57" t="s">
        <v>23</v>
      </c>
      <c r="C5" s="59"/>
      <c r="D5" s="58"/>
      <c r="E5" s="58"/>
      <c r="F5" s="58"/>
      <c r="G5" s="58"/>
      <c r="H5" s="58"/>
      <c r="I5" s="88">
        <f t="shared" ref="I5:I8" si="0">SUM(D5:H5)</f>
        <v>0</v>
      </c>
    </row>
    <row r="6" spans="2:9" x14ac:dyDescent="0.2">
      <c r="B6" s="57" t="s">
        <v>24</v>
      </c>
      <c r="C6" s="57"/>
      <c r="D6" s="58">
        <v>0</v>
      </c>
      <c r="E6" s="60"/>
      <c r="F6" s="58">
        <v>0</v>
      </c>
      <c r="G6" s="58">
        <v>0</v>
      </c>
      <c r="H6" s="58">
        <v>0</v>
      </c>
      <c r="I6" s="88">
        <f t="shared" si="0"/>
        <v>0</v>
      </c>
    </row>
    <row r="7" spans="2:9" x14ac:dyDescent="0.2">
      <c r="B7" s="57" t="s">
        <v>25</v>
      </c>
      <c r="C7" s="57"/>
      <c r="D7" s="58"/>
      <c r="E7" s="58"/>
      <c r="F7" s="58"/>
      <c r="G7" s="58"/>
      <c r="H7" s="58"/>
      <c r="I7" s="88">
        <f t="shared" si="0"/>
        <v>0</v>
      </c>
    </row>
    <row r="8" spans="2:9" x14ac:dyDescent="0.2">
      <c r="B8" s="57" t="s">
        <v>22</v>
      </c>
      <c r="C8" s="57"/>
      <c r="D8" s="60"/>
      <c r="E8" s="60"/>
      <c r="F8" s="60"/>
      <c r="G8" s="60"/>
      <c r="H8" s="60"/>
      <c r="I8" s="88">
        <f t="shared" si="0"/>
        <v>0</v>
      </c>
    </row>
    <row r="9" spans="2:9" x14ac:dyDescent="0.2">
      <c r="B9" s="61" t="s">
        <v>1</v>
      </c>
      <c r="C9" s="62"/>
      <c r="D9" s="63">
        <f t="shared" ref="D9:I9" si="1">SUM(D4:D8)</f>
        <v>0</v>
      </c>
      <c r="E9" s="63">
        <f t="shared" si="1"/>
        <v>0</v>
      </c>
      <c r="F9" s="63">
        <f t="shared" si="1"/>
        <v>0</v>
      </c>
      <c r="G9" s="63">
        <f t="shared" ref="G9:H9" si="2">SUM(G4:G8)</f>
        <v>0</v>
      </c>
      <c r="H9" s="63">
        <f t="shared" si="2"/>
        <v>0</v>
      </c>
      <c r="I9" s="64">
        <f t="shared" si="1"/>
        <v>0</v>
      </c>
    </row>
    <row r="10" spans="2:9" x14ac:dyDescent="0.2">
      <c r="B10" s="65"/>
      <c r="C10" s="66"/>
      <c r="D10" s="67"/>
      <c r="E10" s="67"/>
      <c r="F10" s="67"/>
      <c r="G10" s="67"/>
      <c r="H10" s="67"/>
      <c r="I10" s="67"/>
    </row>
    <row r="11" spans="2:9" x14ac:dyDescent="0.2">
      <c r="B11" s="68" t="s">
        <v>10</v>
      </c>
      <c r="C11" s="69"/>
      <c r="D11" s="69"/>
      <c r="E11" s="69"/>
      <c r="F11" s="69"/>
      <c r="G11" s="69"/>
      <c r="H11" s="69"/>
      <c r="I11" s="69"/>
    </row>
    <row r="12" spans="2:9" x14ac:dyDescent="0.2">
      <c r="B12" s="89" t="s">
        <v>4</v>
      </c>
      <c r="C12" s="89" t="s">
        <v>9</v>
      </c>
      <c r="D12" s="55" t="s">
        <v>55</v>
      </c>
      <c r="E12" s="55" t="s">
        <v>54</v>
      </c>
      <c r="F12" s="55" t="s">
        <v>53</v>
      </c>
      <c r="G12" s="55" t="s">
        <v>76</v>
      </c>
      <c r="H12" s="55" t="s">
        <v>77</v>
      </c>
      <c r="I12" s="90" t="s">
        <v>1</v>
      </c>
    </row>
    <row r="13" spans="2:9" x14ac:dyDescent="0.2">
      <c r="B13" s="4" t="s">
        <v>129</v>
      </c>
      <c r="C13" s="4" t="s">
        <v>130</v>
      </c>
      <c r="D13" s="70">
        <f>'Historical Revenue'!D14</f>
        <v>0</v>
      </c>
      <c r="E13" s="49">
        <v>139</v>
      </c>
      <c r="F13" s="50">
        <v>1</v>
      </c>
      <c r="G13" s="50">
        <v>100</v>
      </c>
      <c r="H13" s="50">
        <v>100</v>
      </c>
      <c r="I13" s="91">
        <f>SUM(D13:H13)</f>
        <v>340</v>
      </c>
    </row>
    <row r="14" spans="2:9" x14ac:dyDescent="0.2">
      <c r="B14" s="57"/>
      <c r="C14" s="115" t="s">
        <v>131</v>
      </c>
      <c r="D14" s="70"/>
      <c r="E14" s="49">
        <v>3958</v>
      </c>
      <c r="F14" s="50">
        <v>2296</v>
      </c>
      <c r="G14" s="50">
        <v>2300</v>
      </c>
      <c r="H14" s="50">
        <v>2300</v>
      </c>
      <c r="I14" s="91">
        <f t="shared" ref="I14:I16" si="3">SUM(D14:H14)</f>
        <v>10854</v>
      </c>
    </row>
    <row r="15" spans="2:9" x14ac:dyDescent="0.2">
      <c r="B15" s="57"/>
      <c r="C15" s="4" t="s">
        <v>132</v>
      </c>
      <c r="D15" s="70"/>
      <c r="E15" s="49">
        <v>80</v>
      </c>
      <c r="F15" s="50">
        <v>0</v>
      </c>
      <c r="G15" s="50">
        <v>100</v>
      </c>
      <c r="H15" s="50">
        <v>100</v>
      </c>
      <c r="I15" s="91">
        <f t="shared" si="3"/>
        <v>280</v>
      </c>
    </row>
    <row r="16" spans="2:9" x14ac:dyDescent="0.2">
      <c r="B16" s="57"/>
      <c r="C16" s="92"/>
      <c r="D16" s="71"/>
      <c r="E16" s="71"/>
      <c r="F16" s="71"/>
      <c r="G16" s="71"/>
      <c r="H16" s="71"/>
      <c r="I16" s="91">
        <f t="shared" si="3"/>
        <v>0</v>
      </c>
    </row>
    <row r="17" spans="1:9" x14ac:dyDescent="0.2">
      <c r="A17" s="72"/>
      <c r="B17" s="93" t="s">
        <v>50</v>
      </c>
      <c r="C17" s="54"/>
      <c r="D17" s="94">
        <f t="shared" ref="D17:I17" si="4">SUM(D13:D16)</f>
        <v>0</v>
      </c>
      <c r="E17" s="94">
        <f t="shared" si="4"/>
        <v>4177</v>
      </c>
      <c r="F17" s="94">
        <f t="shared" si="4"/>
        <v>2297</v>
      </c>
      <c r="G17" s="94">
        <f t="shared" ref="G17:H17" si="5">SUM(G13:G16)</f>
        <v>2500</v>
      </c>
      <c r="H17" s="94">
        <f t="shared" si="5"/>
        <v>2500</v>
      </c>
      <c r="I17" s="94">
        <f t="shared" si="4"/>
        <v>11474</v>
      </c>
    </row>
    <row r="19" spans="1:9" x14ac:dyDescent="0.2">
      <c r="A19" s="72"/>
      <c r="B19" s="73" t="s">
        <v>6</v>
      </c>
      <c r="C19" s="74"/>
      <c r="D19" s="75"/>
      <c r="E19" s="75"/>
      <c r="F19" s="75"/>
      <c r="G19" s="75"/>
      <c r="H19" s="75"/>
      <c r="I19" s="75"/>
    </row>
    <row r="20" spans="1:9" ht="12.75" customHeight="1" x14ac:dyDescent="0.2">
      <c r="B20" s="207" t="s">
        <v>124</v>
      </c>
      <c r="C20" s="205"/>
      <c r="D20" s="205"/>
      <c r="E20" s="205"/>
      <c r="F20" s="205"/>
      <c r="G20" s="205"/>
      <c r="H20" s="205"/>
      <c r="I20" s="205"/>
    </row>
    <row r="21" spans="1:9" x14ac:dyDescent="0.2">
      <c r="B21" s="207" t="s">
        <v>125</v>
      </c>
      <c r="C21" s="206"/>
      <c r="D21" s="206"/>
      <c r="E21" s="206"/>
      <c r="F21" s="206"/>
      <c r="G21" s="206"/>
      <c r="H21" s="206"/>
      <c r="I21" s="206"/>
    </row>
    <row r="22" spans="1:9" x14ac:dyDescent="0.2">
      <c r="B22" s="207" t="s">
        <v>126</v>
      </c>
      <c r="C22" s="206"/>
      <c r="D22" s="206"/>
      <c r="E22" s="206"/>
      <c r="F22" s="206"/>
      <c r="G22" s="206"/>
      <c r="H22" s="206"/>
      <c r="I22" s="206"/>
    </row>
    <row r="23" spans="1:9" x14ac:dyDescent="0.2">
      <c r="B23" s="207" t="s">
        <v>127</v>
      </c>
      <c r="C23" s="84"/>
      <c r="D23" s="84"/>
      <c r="E23" s="84"/>
      <c r="F23" s="84"/>
      <c r="G23" s="84"/>
      <c r="H23" s="84"/>
      <c r="I23" s="84"/>
    </row>
    <row r="24" spans="1:9" x14ac:dyDescent="0.2">
      <c r="B24" s="207" t="s">
        <v>128</v>
      </c>
      <c r="C24" s="76"/>
      <c r="D24" s="76"/>
      <c r="E24" s="76"/>
      <c r="F24" s="76"/>
      <c r="G24" s="82"/>
      <c r="H24" s="82"/>
      <c r="I24" s="76"/>
    </row>
    <row r="25" spans="1:9" x14ac:dyDescent="0.2">
      <c r="B25" s="74"/>
      <c r="C25" s="74"/>
      <c r="D25" s="75"/>
      <c r="E25" s="75"/>
      <c r="F25" s="75"/>
      <c r="G25" s="75"/>
      <c r="H25" s="75"/>
      <c r="I25" s="75"/>
    </row>
    <row r="26" spans="1:9" x14ac:dyDescent="0.2">
      <c r="B26" s="68" t="s">
        <v>73</v>
      </c>
      <c r="C26" s="69"/>
      <c r="D26" s="69"/>
      <c r="E26" s="69"/>
      <c r="F26" s="69"/>
      <c r="G26" s="69"/>
      <c r="H26" s="69"/>
      <c r="I26" s="69"/>
    </row>
    <row r="27" spans="1:9" x14ac:dyDescent="0.2">
      <c r="B27" s="77" t="s">
        <v>11</v>
      </c>
      <c r="C27" s="78"/>
      <c r="D27" s="78"/>
      <c r="E27" s="78"/>
      <c r="F27" s="78"/>
      <c r="G27" s="78"/>
      <c r="H27" s="78"/>
      <c r="I27" s="78"/>
    </row>
    <row r="28" spans="1:9" x14ac:dyDescent="0.2">
      <c r="B28" s="232" t="s">
        <v>119</v>
      </c>
      <c r="C28" s="233"/>
      <c r="D28" s="233"/>
      <c r="E28" s="233"/>
      <c r="F28" s="233"/>
      <c r="G28" s="233"/>
      <c r="H28" s="233"/>
      <c r="I28" s="233"/>
    </row>
    <row r="29" spans="1:9" x14ac:dyDescent="0.2">
      <c r="B29" s="234"/>
      <c r="C29" s="235"/>
      <c r="D29" s="235"/>
      <c r="E29" s="235"/>
      <c r="F29" s="235"/>
      <c r="G29" s="235"/>
      <c r="H29" s="235"/>
      <c r="I29" s="235"/>
    </row>
    <row r="30" spans="1:9" x14ac:dyDescent="0.2">
      <c r="B30" s="79"/>
      <c r="C30" s="80"/>
      <c r="D30" s="80"/>
      <c r="E30" s="80"/>
      <c r="F30" s="80"/>
      <c r="G30" s="80"/>
      <c r="H30" s="80"/>
      <c r="I30" s="80"/>
    </row>
  </sheetData>
  <mergeCells count="1">
    <mergeCell ref="B28:I2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K42"/>
  <sheetViews>
    <sheetView showGridLines="0" workbookViewId="0">
      <selection activeCell="B23" sqref="B23"/>
    </sheetView>
  </sheetViews>
  <sheetFormatPr defaultRowHeight="12.75" x14ac:dyDescent="0.2"/>
  <cols>
    <col min="1" max="1" width="2.28515625" style="1" customWidth="1"/>
    <col min="2" max="2" width="87.42578125" style="1" bestFit="1" customWidth="1"/>
    <col min="3" max="3" width="17.7109375" style="1" customWidth="1"/>
    <col min="4" max="4" width="15.140625" style="46" bestFit="1" customWidth="1"/>
    <col min="5" max="10" width="15.140625" style="46" customWidth="1"/>
    <col min="11" max="11" width="2.85546875" style="1" customWidth="1"/>
    <col min="12" max="16384" width="9.140625" style="1"/>
  </cols>
  <sheetData>
    <row r="2" spans="1:11" x14ac:dyDescent="0.2">
      <c r="B2" s="101" t="s">
        <v>51</v>
      </c>
      <c r="C2" s="102"/>
      <c r="D2" s="102"/>
      <c r="E2" s="102"/>
      <c r="F2" s="237" t="s">
        <v>83</v>
      </c>
      <c r="G2" s="237"/>
      <c r="H2" s="237"/>
      <c r="I2" s="237"/>
      <c r="J2" s="237"/>
    </row>
    <row r="3" spans="1:11" ht="15.75" x14ac:dyDescent="0.25">
      <c r="B3" s="41" t="s">
        <v>64</v>
      </c>
      <c r="C3" s="108"/>
      <c r="D3" s="36"/>
      <c r="E3" s="36"/>
      <c r="F3" s="236" t="s">
        <v>84</v>
      </c>
      <c r="G3" s="236"/>
      <c r="H3" s="236"/>
      <c r="I3" s="236"/>
      <c r="J3" s="236"/>
    </row>
    <row r="4" spans="1:11" s="28" customFormat="1" ht="3" customHeight="1" x14ac:dyDescent="0.2">
      <c r="B4" s="30"/>
      <c r="C4" s="30"/>
      <c r="D4" s="44"/>
      <c r="E4" s="44"/>
      <c r="F4" s="44"/>
      <c r="G4" s="44"/>
      <c r="H4" s="44"/>
      <c r="I4" s="44"/>
      <c r="J4" s="30"/>
    </row>
    <row r="5" spans="1:11" ht="51" x14ac:dyDescent="0.2">
      <c r="B5" s="31" t="s">
        <v>19</v>
      </c>
      <c r="C5" s="104" t="s">
        <v>91</v>
      </c>
      <c r="D5" s="31" t="s">
        <v>63</v>
      </c>
      <c r="E5" s="103" t="s">
        <v>85</v>
      </c>
      <c r="F5" s="103" t="s">
        <v>86</v>
      </c>
      <c r="G5" s="104" t="s">
        <v>87</v>
      </c>
      <c r="H5" s="104" t="s">
        <v>88</v>
      </c>
      <c r="I5" s="104" t="s">
        <v>89</v>
      </c>
      <c r="J5" s="95" t="s">
        <v>62</v>
      </c>
      <c r="K5" s="39"/>
    </row>
    <row r="6" spans="1:11" x14ac:dyDescent="0.2">
      <c r="B6" s="98" t="s">
        <v>65</v>
      </c>
      <c r="C6" s="99"/>
      <c r="D6" s="99"/>
      <c r="E6" s="99"/>
      <c r="F6" s="99"/>
      <c r="G6" s="99"/>
      <c r="H6" s="99"/>
      <c r="I6" s="99"/>
      <c r="J6" s="100"/>
      <c r="K6" s="19"/>
    </row>
    <row r="7" spans="1:11" x14ac:dyDescent="0.2">
      <c r="B7" s="96" t="s">
        <v>92</v>
      </c>
      <c r="C7" s="109">
        <v>0</v>
      </c>
      <c r="D7" s="97">
        <v>21.566260180445028</v>
      </c>
      <c r="E7" s="105">
        <f>D7*[1]Inputs!$G$61</f>
        <v>0</v>
      </c>
      <c r="F7" s="105">
        <f>SUM(D7:E7)</f>
        <v>21.566260180445028</v>
      </c>
      <c r="G7" s="105">
        <f>[1]Inputs!$M$43*F7</f>
        <v>10.048294528963584</v>
      </c>
      <c r="H7" s="105">
        <f>[1]Inputs!$M$48*F7</f>
        <v>3.458744727795029</v>
      </c>
      <c r="I7" s="106">
        <f>[1]Inputs!$H$13*SUM(F7:H7)</f>
        <v>2.2243486503074554</v>
      </c>
      <c r="J7" s="105">
        <f>SUM(F7:I7)</f>
        <v>37.297648087511099</v>
      </c>
    </row>
    <row r="8" spans="1:11" x14ac:dyDescent="0.2">
      <c r="B8" s="86" t="s">
        <v>1</v>
      </c>
      <c r="C8" s="87"/>
      <c r="D8" s="149"/>
      <c r="E8" s="107">
        <f>SUM(E7:E7)</f>
        <v>0</v>
      </c>
      <c r="F8" s="107">
        <f>SUM(F7:F7)</f>
        <v>21.566260180445028</v>
      </c>
      <c r="G8" s="107">
        <f>SUM(G7:G7)</f>
        <v>10.048294528963584</v>
      </c>
      <c r="H8" s="107">
        <f>SUM(H7:H7)</f>
        <v>3.458744727795029</v>
      </c>
      <c r="I8" s="107" t="s">
        <v>90</v>
      </c>
      <c r="J8" s="107">
        <f>SUM(J7:J7)</f>
        <v>37.297648087511099</v>
      </c>
      <c r="K8" s="39"/>
    </row>
    <row r="9" spans="1:11" x14ac:dyDescent="0.2">
      <c r="A9" s="40"/>
      <c r="B9" s="32"/>
      <c r="C9" s="32"/>
      <c r="D9" s="45"/>
      <c r="E9" s="45"/>
      <c r="F9" s="45"/>
      <c r="G9" s="45"/>
      <c r="H9" s="45"/>
      <c r="I9" s="45"/>
      <c r="J9" s="45"/>
      <c r="K9" s="39"/>
    </row>
    <row r="10" spans="1:11" x14ac:dyDescent="0.2">
      <c r="A10" s="19"/>
      <c r="K10" s="39"/>
    </row>
    <row r="11" spans="1:11" x14ac:dyDescent="0.2">
      <c r="B11" s="1" t="s">
        <v>139</v>
      </c>
      <c r="K11" s="39"/>
    </row>
    <row r="16" spans="1:11" x14ac:dyDescent="0.2">
      <c r="K16" s="39"/>
    </row>
    <row r="29" spans="11:11" x14ac:dyDescent="0.2">
      <c r="K29" s="39"/>
    </row>
    <row r="42" spans="11:11" x14ac:dyDescent="0.2">
      <c r="K42" s="39"/>
    </row>
  </sheetData>
  <mergeCells count="2">
    <mergeCell ref="F3:J3"/>
    <mergeCell ref="F2:J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1"/>
  <sheetViews>
    <sheetView showGridLines="0" workbookViewId="0">
      <selection activeCell="I9" sqref="I9"/>
    </sheetView>
  </sheetViews>
  <sheetFormatPr defaultRowHeight="12.75" x14ac:dyDescent="0.2"/>
  <cols>
    <col min="1" max="1" width="3.140625" style="38" customWidth="1"/>
    <col min="2" max="2" width="75.85546875" style="38" customWidth="1"/>
    <col min="3" max="3" width="65.140625" style="38" customWidth="1"/>
    <col min="4" max="4" width="13" style="38" customWidth="1"/>
    <col min="5" max="8" width="12.85546875" style="38" customWidth="1"/>
    <col min="9" max="9" width="12.7109375" style="38" customWidth="1"/>
    <col min="10" max="16384" width="9.140625" style="38"/>
  </cols>
  <sheetData>
    <row r="2" spans="2:9" x14ac:dyDescent="0.2">
      <c r="B2" s="20" t="s">
        <v>8</v>
      </c>
      <c r="C2" s="21"/>
      <c r="D2" s="21"/>
      <c r="E2" s="21"/>
      <c r="F2" s="21"/>
      <c r="G2" s="21"/>
      <c r="H2" s="21"/>
      <c r="I2" s="21"/>
    </row>
    <row r="3" spans="2:9" x14ac:dyDescent="0.2">
      <c r="B3" s="1"/>
      <c r="C3" s="1"/>
      <c r="D3" s="1"/>
      <c r="E3" s="1"/>
      <c r="F3" s="1"/>
      <c r="G3" s="1"/>
      <c r="H3" s="1"/>
      <c r="I3" s="1"/>
    </row>
    <row r="4" spans="2:9" x14ac:dyDescent="0.2">
      <c r="B4" s="20" t="s">
        <v>2</v>
      </c>
      <c r="C4" s="21"/>
      <c r="D4" s="21"/>
      <c r="E4" s="21"/>
      <c r="F4" s="21"/>
      <c r="G4" s="21"/>
      <c r="H4" s="21"/>
      <c r="I4" s="21"/>
    </row>
    <row r="5" spans="2:9" x14ac:dyDescent="0.2">
      <c r="B5" s="110" t="s">
        <v>70</v>
      </c>
      <c r="C5" s="110" t="s">
        <v>9</v>
      </c>
      <c r="D5" s="42" t="s">
        <v>55</v>
      </c>
      <c r="E5" s="42" t="s">
        <v>54</v>
      </c>
      <c r="F5" s="42" t="s">
        <v>53</v>
      </c>
      <c r="G5" s="42" t="s">
        <v>76</v>
      </c>
      <c r="H5" s="42" t="s">
        <v>77</v>
      </c>
      <c r="I5" s="111" t="s">
        <v>1</v>
      </c>
    </row>
    <row r="6" spans="2:9" ht="13.5" customHeight="1" x14ac:dyDescent="0.2">
      <c r="B6" s="47" t="s">
        <v>74</v>
      </c>
      <c r="C6" s="24" t="s">
        <v>78</v>
      </c>
      <c r="D6" s="23"/>
      <c r="E6" s="23">
        <v>434371.02</v>
      </c>
      <c r="F6" s="23">
        <v>211999.28</v>
      </c>
      <c r="G6" s="23">
        <v>30776.1</v>
      </c>
      <c r="H6" s="23">
        <f>G6+G6*2.5%</f>
        <v>31545.502499999999</v>
      </c>
      <c r="I6" s="118">
        <f>SUM(D6:H6)</f>
        <v>708691.90249999997</v>
      </c>
    </row>
    <row r="7" spans="2:9" x14ac:dyDescent="0.2">
      <c r="B7" s="4"/>
      <c r="C7" s="22"/>
      <c r="D7" s="23"/>
      <c r="E7" s="23"/>
      <c r="F7" s="23"/>
      <c r="G7" s="23"/>
      <c r="H7" s="23"/>
      <c r="I7" s="118">
        <f t="shared" ref="I7:I9" si="0">SUM(D7:H7)</f>
        <v>0</v>
      </c>
    </row>
    <row r="8" spans="2:9" x14ac:dyDescent="0.2">
      <c r="B8" s="4"/>
      <c r="C8" s="22"/>
      <c r="D8" s="23"/>
      <c r="E8" s="23"/>
      <c r="F8" s="23"/>
      <c r="G8" s="23"/>
      <c r="H8" s="23"/>
      <c r="I8" s="118">
        <f t="shared" si="0"/>
        <v>0</v>
      </c>
    </row>
    <row r="9" spans="2:9" x14ac:dyDescent="0.2">
      <c r="B9" s="4"/>
      <c r="C9" s="22"/>
      <c r="D9" s="23"/>
      <c r="E9" s="23"/>
      <c r="F9" s="23"/>
      <c r="G9" s="23"/>
      <c r="H9" s="23"/>
      <c r="I9" s="118">
        <f t="shared" si="0"/>
        <v>0</v>
      </c>
    </row>
    <row r="10" spans="2:9" x14ac:dyDescent="0.2">
      <c r="B10" s="14" t="s">
        <v>1</v>
      </c>
      <c r="C10" s="14"/>
      <c r="D10" s="112">
        <f>SUM(D6:D9)</f>
        <v>0</v>
      </c>
      <c r="E10" s="112">
        <f t="shared" ref="E10:I10" si="1">SUM(E6:E9)</f>
        <v>434371.02</v>
      </c>
      <c r="F10" s="112">
        <f t="shared" si="1"/>
        <v>211999.28</v>
      </c>
      <c r="G10" s="112">
        <f t="shared" si="1"/>
        <v>30776.1</v>
      </c>
      <c r="H10" s="112">
        <f t="shared" si="1"/>
        <v>31545.502499999999</v>
      </c>
      <c r="I10" s="112">
        <f t="shared" si="1"/>
        <v>708691.90249999997</v>
      </c>
    </row>
    <row r="11" spans="2:9" x14ac:dyDescent="0.2">
      <c r="B11" s="1"/>
      <c r="C11" s="1"/>
      <c r="D11" s="1"/>
      <c r="E11" s="1"/>
      <c r="F11" s="1"/>
      <c r="G11" s="1"/>
      <c r="H11" s="1"/>
      <c r="I11" s="1"/>
    </row>
    <row r="12" spans="2:9" x14ac:dyDescent="0.2">
      <c r="B12" s="20" t="s">
        <v>10</v>
      </c>
      <c r="C12" s="21"/>
      <c r="D12" s="21"/>
      <c r="E12" s="21"/>
      <c r="F12" s="21"/>
      <c r="G12" s="21"/>
      <c r="H12" s="21"/>
      <c r="I12" s="21"/>
    </row>
    <row r="13" spans="2:9" x14ac:dyDescent="0.2">
      <c r="B13" s="113" t="s">
        <v>4</v>
      </c>
      <c r="C13" s="113" t="s">
        <v>9</v>
      </c>
      <c r="D13" s="42" t="s">
        <v>55</v>
      </c>
      <c r="E13" s="42" t="s">
        <v>54</v>
      </c>
      <c r="F13" s="42" t="s">
        <v>53</v>
      </c>
      <c r="G13" s="42" t="s">
        <v>76</v>
      </c>
      <c r="H13" s="42" t="s">
        <v>77</v>
      </c>
      <c r="I13" s="114" t="s">
        <v>1</v>
      </c>
    </row>
    <row r="14" spans="2:9" x14ac:dyDescent="0.2">
      <c r="B14" s="4" t="s">
        <v>129</v>
      </c>
      <c r="C14" s="4" t="s">
        <v>130</v>
      </c>
      <c r="D14" s="49"/>
      <c r="E14" s="49">
        <v>139</v>
      </c>
      <c r="F14" s="50">
        <v>1</v>
      </c>
      <c r="G14" s="50">
        <v>100</v>
      </c>
      <c r="H14" s="50">
        <v>100</v>
      </c>
      <c r="I14" s="119">
        <f>SUM(D14:H14)</f>
        <v>340</v>
      </c>
    </row>
    <row r="15" spans="2:9" x14ac:dyDescent="0.2">
      <c r="B15" s="4"/>
      <c r="C15" s="115" t="s">
        <v>131</v>
      </c>
      <c r="D15" s="7"/>
      <c r="E15" s="7">
        <v>3958</v>
      </c>
      <c r="F15" s="7">
        <v>2296</v>
      </c>
      <c r="G15" s="7">
        <v>2300</v>
      </c>
      <c r="H15" s="7">
        <v>2300</v>
      </c>
      <c r="I15" s="119">
        <f t="shared" ref="I15:I16" si="2">SUM(D15:H15)</f>
        <v>10854</v>
      </c>
    </row>
    <row r="16" spans="2:9" x14ac:dyDescent="0.2">
      <c r="B16" s="4"/>
      <c r="C16" s="4" t="s">
        <v>132</v>
      </c>
      <c r="D16" s="7"/>
      <c r="E16" s="7">
        <v>80</v>
      </c>
      <c r="F16" s="7">
        <v>0</v>
      </c>
      <c r="G16" s="7">
        <v>100</v>
      </c>
      <c r="H16" s="7">
        <v>100</v>
      </c>
      <c r="I16" s="119">
        <f t="shared" si="2"/>
        <v>280</v>
      </c>
    </row>
    <row r="17" spans="2:9" x14ac:dyDescent="0.2">
      <c r="B17" s="116" t="s">
        <v>18</v>
      </c>
      <c r="C17" s="14"/>
      <c r="D17" s="117">
        <f t="shared" ref="D17:H17" si="3">SUM(D14:D16)</f>
        <v>0</v>
      </c>
      <c r="E17" s="117">
        <f t="shared" si="3"/>
        <v>4177</v>
      </c>
      <c r="F17" s="117">
        <f t="shared" si="3"/>
        <v>2297</v>
      </c>
      <c r="G17" s="117">
        <f t="shared" si="3"/>
        <v>2500</v>
      </c>
      <c r="H17" s="117">
        <f t="shared" si="3"/>
        <v>2500</v>
      </c>
      <c r="I17" s="117">
        <f>SUM(I14:I16)</f>
        <v>11474</v>
      </c>
    </row>
    <row r="18" spans="2:9" x14ac:dyDescent="0.2">
      <c r="B18" s="1"/>
      <c r="C18" s="1"/>
      <c r="D18" s="8"/>
      <c r="E18" s="48"/>
      <c r="F18" s="8"/>
      <c r="G18" s="8"/>
      <c r="H18" s="8"/>
      <c r="I18" s="8"/>
    </row>
    <row r="19" spans="2:9" x14ac:dyDescent="0.2">
      <c r="B19" s="9" t="s">
        <v>6</v>
      </c>
      <c r="C19" s="1"/>
      <c r="D19" s="8"/>
      <c r="E19" s="8"/>
      <c r="F19" s="8"/>
      <c r="G19" s="8"/>
      <c r="H19" s="8"/>
      <c r="I19" s="8"/>
    </row>
    <row r="20" spans="2:9" x14ac:dyDescent="0.2">
      <c r="B20" s="208" t="s">
        <v>133</v>
      </c>
      <c r="C20" s="209"/>
      <c r="D20" s="209"/>
      <c r="E20" s="209"/>
      <c r="F20" s="209"/>
      <c r="G20" s="209"/>
      <c r="H20" s="209"/>
      <c r="I20" s="209"/>
    </row>
    <row r="21" spans="2:9" x14ac:dyDescent="0.2">
      <c r="B21" s="208" t="s">
        <v>134</v>
      </c>
      <c r="C21" s="208"/>
      <c r="D21" s="208"/>
      <c r="E21" s="208"/>
      <c r="F21" s="208"/>
      <c r="G21" s="208"/>
      <c r="H21" s="208"/>
      <c r="I21" s="208"/>
    </row>
    <row r="22" spans="2:9" x14ac:dyDescent="0.2">
      <c r="B22" s="208" t="s">
        <v>135</v>
      </c>
      <c r="C22" s="208"/>
      <c r="D22" s="208"/>
      <c r="E22" s="208"/>
      <c r="F22" s="208"/>
      <c r="G22" s="208"/>
      <c r="H22" s="208"/>
      <c r="I22" s="208"/>
    </row>
    <row r="23" spans="2:9" x14ac:dyDescent="0.2">
      <c r="B23" s="208" t="s">
        <v>136</v>
      </c>
      <c r="C23" s="208"/>
      <c r="D23" s="208"/>
      <c r="E23" s="208"/>
      <c r="F23" s="208"/>
      <c r="G23" s="208"/>
      <c r="H23" s="208"/>
      <c r="I23" s="208"/>
    </row>
    <row r="24" spans="2:9" x14ac:dyDescent="0.2">
      <c r="B24" s="208" t="s">
        <v>137</v>
      </c>
      <c r="C24" s="208"/>
      <c r="D24" s="208"/>
      <c r="E24" s="208"/>
      <c r="F24" s="208"/>
      <c r="G24" s="208"/>
      <c r="H24" s="208"/>
      <c r="I24" s="208"/>
    </row>
    <row r="25" spans="2:9" x14ac:dyDescent="0.2">
      <c r="B25" s="1"/>
      <c r="C25" s="1"/>
      <c r="D25" s="8"/>
      <c r="E25" s="8"/>
      <c r="F25" s="8"/>
      <c r="G25" s="8"/>
      <c r="H25" s="8"/>
      <c r="I25" s="8"/>
    </row>
    <row r="26" spans="2:9" x14ac:dyDescent="0.2">
      <c r="B26" s="20" t="s">
        <v>2</v>
      </c>
      <c r="C26" s="21"/>
      <c r="D26" s="21"/>
      <c r="E26" s="21"/>
      <c r="F26" s="21"/>
      <c r="G26" s="21"/>
      <c r="H26" s="21"/>
      <c r="I26" s="21"/>
    </row>
    <row r="27" spans="2:9" x14ac:dyDescent="0.2">
      <c r="B27" s="1"/>
      <c r="C27" s="1"/>
      <c r="D27" s="1"/>
      <c r="E27" s="1"/>
      <c r="F27" s="1"/>
      <c r="G27" s="1"/>
      <c r="H27" s="1"/>
      <c r="I27" s="1"/>
    </row>
    <row r="28" spans="2:9" x14ac:dyDescent="0.2">
      <c r="B28" s="10" t="s">
        <v>11</v>
      </c>
      <c r="C28" s="11"/>
      <c r="D28" s="11"/>
      <c r="E28" s="11"/>
      <c r="F28" s="11"/>
      <c r="G28" s="11"/>
      <c r="H28" s="11"/>
      <c r="I28" s="11"/>
    </row>
    <row r="29" spans="2:9" x14ac:dyDescent="0.2">
      <c r="B29" s="238" t="s">
        <v>119</v>
      </c>
      <c r="C29" s="238"/>
      <c r="D29" s="238"/>
      <c r="E29" s="238"/>
      <c r="F29" s="238"/>
      <c r="G29" s="238"/>
      <c r="H29" s="238"/>
      <c r="I29" s="238"/>
    </row>
    <row r="30" spans="2:9" x14ac:dyDescent="0.2">
      <c r="B30" s="239"/>
      <c r="C30" s="239"/>
      <c r="D30" s="239"/>
      <c r="E30" s="239"/>
      <c r="F30" s="239"/>
      <c r="G30" s="239"/>
      <c r="H30" s="239"/>
      <c r="I30" s="239"/>
    </row>
    <row r="31" spans="2:9" x14ac:dyDescent="0.2">
      <c r="B31" s="12"/>
      <c r="C31" s="13"/>
      <c r="D31" s="13"/>
      <c r="E31" s="13"/>
      <c r="F31" s="13"/>
      <c r="G31" s="13"/>
      <c r="H31" s="13"/>
      <c r="I31" s="13"/>
    </row>
  </sheetData>
  <mergeCells count="1">
    <mergeCell ref="B29:I3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75D24-3A54-46BE-A4B6-65E2A6DA0A53}">
  <dimension ref="B1:O26"/>
  <sheetViews>
    <sheetView workbookViewId="0">
      <selection activeCell="B31" sqref="B31"/>
    </sheetView>
  </sheetViews>
  <sheetFormatPr defaultRowHeight="15" x14ac:dyDescent="0.25"/>
  <cols>
    <col min="1" max="1" width="4.42578125" style="120" customWidth="1"/>
    <col min="2" max="2" width="46.7109375" style="120" customWidth="1"/>
    <col min="3" max="3" width="13.28515625" style="120" customWidth="1"/>
    <col min="4" max="8" width="12.7109375" style="120" bestFit="1" customWidth="1"/>
    <col min="9" max="9" width="9.140625" style="120"/>
    <col min="10" max="15" width="10" style="120" bestFit="1" customWidth="1"/>
    <col min="16" max="16384" width="9.140625" style="120"/>
  </cols>
  <sheetData>
    <row r="1" spans="2:15" x14ac:dyDescent="0.25">
      <c r="B1" s="120" t="s">
        <v>93</v>
      </c>
      <c r="D1" s="121">
        <f>[1]Inputs!H16</f>
        <v>1</v>
      </c>
      <c r="E1" s="121">
        <f>[1]Inputs!I16</f>
        <v>1</v>
      </c>
      <c r="F1" s="121">
        <f>[1]Inputs!J16</f>
        <v>1.0109999999999999</v>
      </c>
      <c r="G1" s="121">
        <f>[1]Inputs!K16</f>
        <v>1.0231319999999999</v>
      </c>
      <c r="H1" s="121">
        <f>[1]Inputs!L16</f>
        <v>1.0337725727999998</v>
      </c>
      <c r="K1" s="122">
        <f>D1</f>
        <v>1</v>
      </c>
      <c r="L1" s="122">
        <f t="shared" ref="L1:O5" si="0">E1</f>
        <v>1</v>
      </c>
      <c r="M1" s="122">
        <f t="shared" si="0"/>
        <v>1.0109999999999999</v>
      </c>
      <c r="N1" s="122">
        <f t="shared" si="0"/>
        <v>1.0231319999999999</v>
      </c>
      <c r="O1" s="122">
        <f t="shared" si="0"/>
        <v>1.0337725727999998</v>
      </c>
    </row>
    <row r="2" spans="2:15" x14ac:dyDescent="0.25">
      <c r="B2" s="120" t="s">
        <v>85</v>
      </c>
      <c r="D2" s="121">
        <f>[1]Inputs!H61</f>
        <v>0.04</v>
      </c>
      <c r="E2" s="121">
        <f>[1]Inputs!I61</f>
        <v>0.04</v>
      </c>
      <c r="F2" s="121">
        <f>[1]Inputs!J61</f>
        <v>0.04</v>
      </c>
      <c r="G2" s="121">
        <f>[1]Inputs!K61</f>
        <v>0.04</v>
      </c>
      <c r="H2" s="121">
        <f>[1]Inputs!L61</f>
        <v>0.04</v>
      </c>
      <c r="K2" s="122">
        <f>D2</f>
        <v>0.04</v>
      </c>
      <c r="L2" s="122">
        <f t="shared" si="0"/>
        <v>0.04</v>
      </c>
      <c r="M2" s="122">
        <f t="shared" si="0"/>
        <v>0.04</v>
      </c>
      <c r="N2" s="122">
        <f t="shared" si="0"/>
        <v>0.04</v>
      </c>
      <c r="O2" s="122">
        <f t="shared" si="0"/>
        <v>0.04</v>
      </c>
    </row>
    <row r="3" spans="2:15" x14ac:dyDescent="0.25">
      <c r="B3" s="120" t="s">
        <v>94</v>
      </c>
      <c r="D3" s="122">
        <f>[1]Inputs!$M$43</f>
        <v>0.46592661151676018</v>
      </c>
      <c r="E3" s="122">
        <f>[1]Inputs!$M$43</f>
        <v>0.46592661151676018</v>
      </c>
      <c r="F3" s="122">
        <f>[1]Inputs!$M$43</f>
        <v>0.46592661151676018</v>
      </c>
      <c r="G3" s="122">
        <f>[1]Inputs!$M$43</f>
        <v>0.46592661151676018</v>
      </c>
      <c r="H3" s="122">
        <f>[1]Inputs!$M$43</f>
        <v>0.46592661151676018</v>
      </c>
      <c r="K3" s="122">
        <f t="shared" ref="K3:K5" si="1">D3</f>
        <v>0.46592661151676018</v>
      </c>
      <c r="L3" s="122">
        <f t="shared" si="0"/>
        <v>0.46592661151676018</v>
      </c>
      <c r="M3" s="122">
        <f t="shared" si="0"/>
        <v>0.46592661151676018</v>
      </c>
      <c r="N3" s="122">
        <f t="shared" si="0"/>
        <v>0.46592661151676018</v>
      </c>
      <c r="O3" s="122">
        <f t="shared" si="0"/>
        <v>0.46592661151676018</v>
      </c>
    </row>
    <row r="4" spans="2:15" x14ac:dyDescent="0.25">
      <c r="B4" s="120" t="s">
        <v>95</v>
      </c>
      <c r="D4" s="122">
        <f>[1]Inputs!$M$48</f>
        <v>0.16037758511933414</v>
      </c>
      <c r="E4" s="122">
        <f>[1]Inputs!$M$48</f>
        <v>0.16037758511933414</v>
      </c>
      <c r="F4" s="122">
        <f>[1]Inputs!$M$48</f>
        <v>0.16037758511933414</v>
      </c>
      <c r="G4" s="122">
        <f>[1]Inputs!$M$48</f>
        <v>0.16037758511933414</v>
      </c>
      <c r="H4" s="122">
        <f>[1]Inputs!$M$48</f>
        <v>0.16037758511933414</v>
      </c>
      <c r="K4" s="122">
        <f t="shared" si="1"/>
        <v>0.16037758511933414</v>
      </c>
      <c r="L4" s="122">
        <f t="shared" si="0"/>
        <v>0.16037758511933414</v>
      </c>
      <c r="M4" s="122">
        <f t="shared" si="0"/>
        <v>0.16037758511933414</v>
      </c>
      <c r="N4" s="122">
        <f t="shared" si="0"/>
        <v>0.16037758511933414</v>
      </c>
      <c r="O4" s="122">
        <f t="shared" si="0"/>
        <v>0.16037758511933414</v>
      </c>
    </row>
    <row r="5" spans="2:15" x14ac:dyDescent="0.25">
      <c r="B5" s="120" t="s">
        <v>96</v>
      </c>
      <c r="D5" s="122">
        <f>[1]Inputs!$H$13</f>
        <v>6.3420000000000004E-2</v>
      </c>
      <c r="E5" s="122">
        <f>[1]Inputs!$H$13</f>
        <v>6.3420000000000004E-2</v>
      </c>
      <c r="F5" s="122">
        <f>[1]Inputs!$H$13</f>
        <v>6.3420000000000004E-2</v>
      </c>
      <c r="G5" s="122">
        <f>[1]Inputs!$H$13</f>
        <v>6.3420000000000004E-2</v>
      </c>
      <c r="H5" s="122">
        <f>[1]Inputs!$H$13</f>
        <v>6.3420000000000004E-2</v>
      </c>
      <c r="K5" s="122">
        <f t="shared" si="1"/>
        <v>6.3420000000000004E-2</v>
      </c>
      <c r="L5" s="122">
        <f t="shared" si="0"/>
        <v>6.3420000000000004E-2</v>
      </c>
      <c r="M5" s="122">
        <f t="shared" si="0"/>
        <v>6.3420000000000004E-2</v>
      </c>
      <c r="N5" s="122">
        <f t="shared" si="0"/>
        <v>6.3420000000000004E-2</v>
      </c>
      <c r="O5" s="122">
        <f t="shared" si="0"/>
        <v>6.3420000000000004E-2</v>
      </c>
    </row>
    <row r="6" spans="2:15" s="123" customFormat="1" ht="15.75" x14ac:dyDescent="0.25">
      <c r="D6" s="240" t="s">
        <v>97</v>
      </c>
      <c r="E6" s="240"/>
      <c r="F6" s="240"/>
      <c r="G6" s="240"/>
      <c r="H6" s="240"/>
      <c r="J6" s="241" t="s">
        <v>98</v>
      </c>
      <c r="K6" s="241"/>
      <c r="L6" s="241"/>
      <c r="M6" s="241"/>
      <c r="N6" s="241"/>
      <c r="O6" s="241"/>
    </row>
    <row r="7" spans="2:15" x14ac:dyDescent="0.25">
      <c r="B7" s="124" t="s">
        <v>140</v>
      </c>
      <c r="C7" s="125"/>
      <c r="D7" s="125" t="s">
        <v>99</v>
      </c>
      <c r="E7" s="125" t="s">
        <v>100</v>
      </c>
      <c r="F7" s="125" t="s">
        <v>101</v>
      </c>
      <c r="G7" s="125" t="s">
        <v>102</v>
      </c>
      <c r="H7" s="125" t="s">
        <v>103</v>
      </c>
    </row>
    <row r="8" spans="2:15" x14ac:dyDescent="0.25">
      <c r="B8" s="126" t="s">
        <v>104</v>
      </c>
      <c r="C8" s="127"/>
      <c r="D8" s="128">
        <f>(D18*D$25)</f>
        <v>53915.650451112568</v>
      </c>
      <c r="E8" s="128">
        <f t="shared" ref="E8:H12" si="2">(E18*E$25)</f>
        <v>51759.024433068065</v>
      </c>
      <c r="F8" s="128">
        <f t="shared" si="2"/>
        <v>50235.238753758538</v>
      </c>
      <c r="G8" s="128">
        <f t="shared" si="2"/>
        <v>49341.389084746057</v>
      </c>
      <c r="H8" s="128">
        <f t="shared" si="2"/>
        <v>48967.463750077208</v>
      </c>
    </row>
    <row r="9" spans="2:15" x14ac:dyDescent="0.25">
      <c r="B9" s="126" t="s">
        <v>105</v>
      </c>
      <c r="C9" s="127"/>
      <c r="D9" s="128">
        <f>(D19*D$25)</f>
        <v>2156.6260180445029</v>
      </c>
      <c r="E9" s="128">
        <f t="shared" si="2"/>
        <v>2070.3609773227226</v>
      </c>
      <c r="F9" s="128">
        <f t="shared" si="2"/>
        <v>2009.4095501503416</v>
      </c>
      <c r="G9" s="128">
        <f t="shared" si="2"/>
        <v>1973.6555633898422</v>
      </c>
      <c r="H9" s="128">
        <f t="shared" si="2"/>
        <v>1958.6985500030885</v>
      </c>
    </row>
    <row r="10" spans="2:15" x14ac:dyDescent="0.25">
      <c r="B10" s="129" t="s">
        <v>106</v>
      </c>
      <c r="C10" s="129"/>
      <c r="D10" s="130">
        <f>(D20*D$25)</f>
        <v>56072.27646915707</v>
      </c>
      <c r="E10" s="130">
        <f t="shared" si="2"/>
        <v>53829.385410390787</v>
      </c>
      <c r="F10" s="130">
        <f t="shared" si="2"/>
        <v>52244.648303908878</v>
      </c>
      <c r="G10" s="130">
        <f t="shared" si="2"/>
        <v>51315.044648135903</v>
      </c>
      <c r="H10" s="130">
        <f t="shared" si="2"/>
        <v>50926.162300080301</v>
      </c>
    </row>
    <row r="11" spans="2:15" x14ac:dyDescent="0.25">
      <c r="B11" s="127" t="s">
        <v>87</v>
      </c>
      <c r="C11" s="127"/>
      <c r="D11" s="128">
        <f>(D21*D$25)</f>
        <v>26125.56577530532</v>
      </c>
      <c r="E11" s="128">
        <f t="shared" si="2"/>
        <v>25080.543144293108</v>
      </c>
      <c r="F11" s="128">
        <f t="shared" si="2"/>
        <v>24342.171954125115</v>
      </c>
      <c r="G11" s="128">
        <f t="shared" si="2"/>
        <v>23909.044872737217</v>
      </c>
      <c r="H11" s="128">
        <f t="shared" si="2"/>
        <v>23727.854238028991</v>
      </c>
    </row>
    <row r="12" spans="2:15" x14ac:dyDescent="0.25">
      <c r="B12" s="127" t="s">
        <v>88</v>
      </c>
      <c r="C12" s="127"/>
      <c r="D12" s="128">
        <f>(D22*D$25)</f>
        <v>8992.7362922670745</v>
      </c>
      <c r="E12" s="128">
        <f t="shared" si="2"/>
        <v>8633.0268405763927</v>
      </c>
      <c r="F12" s="128">
        <f t="shared" si="2"/>
        <v>8378.8705303898223</v>
      </c>
      <c r="G12" s="128">
        <f t="shared" si="2"/>
        <v>8229.7829409588467</v>
      </c>
      <c r="H12" s="128">
        <f t="shared" si="2"/>
        <v>8167.4149290821533</v>
      </c>
    </row>
    <row r="13" spans="2:15" x14ac:dyDescent="0.25">
      <c r="B13" s="127" t="s">
        <v>107</v>
      </c>
      <c r="C13" s="127"/>
      <c r="D13" s="131" t="str">
        <f>IF(D23="n/a","n/a",D23*D$25)</f>
        <v>n/a</v>
      </c>
      <c r="E13" s="131" t="str">
        <f t="shared" ref="E13:H13" si="3">IF(E23="n/a","n/a",E23*E$25)</f>
        <v>n/a</v>
      </c>
      <c r="F13" s="131" t="str">
        <f t="shared" si="3"/>
        <v>n/a</v>
      </c>
      <c r="G13" s="131" t="str">
        <f t="shared" si="3"/>
        <v>n/a</v>
      </c>
      <c r="H13" s="131" t="str">
        <f t="shared" si="3"/>
        <v>n/a</v>
      </c>
    </row>
    <row r="14" spans="2:15" x14ac:dyDescent="0.25">
      <c r="B14" s="132" t="s">
        <v>108</v>
      </c>
      <c r="C14" s="127"/>
      <c r="D14" s="130">
        <f>SUM(D10:D13)</f>
        <v>91190.578536729459</v>
      </c>
      <c r="E14" s="130">
        <f t="shared" ref="E14:H14" si="4">SUM(E10:E13)</f>
        <v>87542.955395260287</v>
      </c>
      <c r="F14" s="130">
        <f t="shared" si="4"/>
        <v>84965.690788423803</v>
      </c>
      <c r="G14" s="130">
        <f t="shared" si="4"/>
        <v>83453.872461831968</v>
      </c>
      <c r="H14" s="130">
        <f t="shared" si="4"/>
        <v>82821.431467191447</v>
      </c>
    </row>
    <row r="15" spans="2:15" s="134" customFormat="1" x14ac:dyDescent="0.25">
      <c r="B15" s="133" t="s">
        <v>109</v>
      </c>
      <c r="C15" s="129"/>
      <c r="D15" s="130">
        <f>D26-D14</f>
        <v>0</v>
      </c>
      <c r="E15" s="130">
        <f t="shared" ref="E15:H15" si="5">E26-E14</f>
        <v>0</v>
      </c>
      <c r="F15" s="130">
        <f t="shared" si="5"/>
        <v>0</v>
      </c>
      <c r="G15" s="130">
        <f t="shared" si="5"/>
        <v>0</v>
      </c>
      <c r="H15" s="130">
        <f t="shared" si="5"/>
        <v>0</v>
      </c>
    </row>
    <row r="16" spans="2:15" s="134" customFormat="1" x14ac:dyDescent="0.25">
      <c r="C16" s="135"/>
    </row>
    <row r="17" spans="2:15" x14ac:dyDescent="0.25">
      <c r="B17" s="136" t="s">
        <v>110</v>
      </c>
      <c r="C17" s="137"/>
      <c r="D17" s="242" t="s">
        <v>111</v>
      </c>
      <c r="E17" s="243"/>
      <c r="F17" s="243"/>
      <c r="G17" s="243"/>
      <c r="H17" s="243"/>
      <c r="J17" s="137"/>
      <c r="K17" s="242" t="s">
        <v>111</v>
      </c>
      <c r="L17" s="243"/>
      <c r="M17" s="243"/>
      <c r="N17" s="243"/>
      <c r="O17" s="243"/>
    </row>
    <row r="18" spans="2:15" x14ac:dyDescent="0.25">
      <c r="B18" s="3" t="s">
        <v>104</v>
      </c>
      <c r="C18" s="138">
        <f>'Proposed Fee'!D7</f>
        <v>21.566260180445028</v>
      </c>
      <c r="D18" s="139">
        <f>C18*D$1</f>
        <v>21.566260180445028</v>
      </c>
      <c r="E18" s="139">
        <f>D18*E1</f>
        <v>21.566260180445028</v>
      </c>
      <c r="F18" s="139">
        <f>E18*F1</f>
        <v>21.80348904242992</v>
      </c>
      <c r="G18" s="139">
        <f>F18*G1</f>
        <v>22.307847350959406</v>
      </c>
      <c r="H18" s="139">
        <f>G18*H1</f>
        <v>23.061240749630965</v>
      </c>
      <c r="J18" s="138"/>
      <c r="K18" s="139">
        <f>J18*K$1</f>
        <v>0</v>
      </c>
      <c r="L18" s="139">
        <f>K18*L1</f>
        <v>0</v>
      </c>
      <c r="M18" s="139">
        <f>L18*M1</f>
        <v>0</v>
      </c>
      <c r="N18" s="139">
        <f>M18*N1</f>
        <v>0</v>
      </c>
      <c r="O18" s="139">
        <f>N18*O1</f>
        <v>0</v>
      </c>
    </row>
    <row r="19" spans="2:15" x14ac:dyDescent="0.25">
      <c r="B19" s="3" t="s">
        <v>105</v>
      </c>
      <c r="C19" s="138">
        <f>'Proposed Fee'!E8</f>
        <v>0</v>
      </c>
      <c r="D19" s="139">
        <f>D18*D$2</f>
        <v>0.86265040721780117</v>
      </c>
      <c r="E19" s="139">
        <f t="shared" ref="E19:H19" si="6">E18*E$2</f>
        <v>0.86265040721780117</v>
      </c>
      <c r="F19" s="139">
        <f t="shared" si="6"/>
        <v>0.87213956169719686</v>
      </c>
      <c r="G19" s="139">
        <f t="shared" si="6"/>
        <v>0.89231389403837624</v>
      </c>
      <c r="H19" s="139">
        <f t="shared" si="6"/>
        <v>0.92244962998523861</v>
      </c>
      <c r="J19" s="138"/>
      <c r="K19" s="139">
        <f>K18*K$2</f>
        <v>0</v>
      </c>
      <c r="L19" s="139">
        <f t="shared" ref="L19:O19" si="7">L18*L$2</f>
        <v>0</v>
      </c>
      <c r="M19" s="139">
        <f t="shared" si="7"/>
        <v>0</v>
      </c>
      <c r="N19" s="139">
        <f t="shared" si="7"/>
        <v>0</v>
      </c>
      <c r="O19" s="139">
        <f t="shared" si="7"/>
        <v>0</v>
      </c>
    </row>
    <row r="20" spans="2:15" s="134" customFormat="1" x14ac:dyDescent="0.25">
      <c r="B20" s="140" t="s">
        <v>106</v>
      </c>
      <c r="C20" s="246">
        <f>'Proposed Fee'!F8</f>
        <v>21.566260180445028</v>
      </c>
      <c r="D20" s="129">
        <f>SUM(D18:D19)</f>
        <v>22.428910587662827</v>
      </c>
      <c r="E20" s="129">
        <f>SUM(E18:E19)</f>
        <v>22.428910587662827</v>
      </c>
      <c r="F20" s="129">
        <f>SUM(F18:F19)</f>
        <v>22.675628604127116</v>
      </c>
      <c r="G20" s="129">
        <f>SUM(G18:G19)</f>
        <v>23.200161244997783</v>
      </c>
      <c r="H20" s="129">
        <f>SUM(H18:H19)</f>
        <v>23.983690379616203</v>
      </c>
      <c r="J20" s="141"/>
      <c r="K20" s="127">
        <f>SUM(K18:K19)</f>
        <v>0</v>
      </c>
      <c r="L20" s="127">
        <f>SUM(L18:L19)</f>
        <v>0</v>
      </c>
      <c r="M20" s="127">
        <f>SUM(M18:M19)</f>
        <v>0</v>
      </c>
      <c r="N20" s="127">
        <f>SUM(N18:N19)</f>
        <v>0</v>
      </c>
      <c r="O20" s="127">
        <f>SUM(O18:O19)</f>
        <v>0</v>
      </c>
    </row>
    <row r="21" spans="2:15" x14ac:dyDescent="0.25">
      <c r="B21" s="3" t="s">
        <v>87</v>
      </c>
      <c r="C21" s="138">
        <f>'Proposed Fee'!G8</f>
        <v>10.048294528963584</v>
      </c>
      <c r="D21" s="139">
        <f>D20*D$3</f>
        <v>10.450226310122128</v>
      </c>
      <c r="E21" s="139">
        <f t="shared" ref="E21:H21" si="8">E20*E$3</f>
        <v>10.450226310122128</v>
      </c>
      <c r="F21" s="139">
        <f t="shared" si="8"/>
        <v>10.56517879953347</v>
      </c>
      <c r="G21" s="139">
        <f t="shared" si="8"/>
        <v>10.809572515524277</v>
      </c>
      <c r="H21" s="139">
        <f t="shared" si="8"/>
        <v>11.174639590241696</v>
      </c>
      <c r="J21" s="138"/>
      <c r="K21" s="139">
        <f>K20*K$3</f>
        <v>0</v>
      </c>
      <c r="L21" s="139">
        <f t="shared" ref="L21:O21" si="9">L20*L$3</f>
        <v>0</v>
      </c>
      <c r="M21" s="139">
        <f t="shared" si="9"/>
        <v>0</v>
      </c>
      <c r="N21" s="139">
        <f t="shared" si="9"/>
        <v>0</v>
      </c>
      <c r="O21" s="139">
        <f t="shared" si="9"/>
        <v>0</v>
      </c>
    </row>
    <row r="22" spans="2:15" x14ac:dyDescent="0.25">
      <c r="B22" s="3" t="s">
        <v>88</v>
      </c>
      <c r="C22" s="138">
        <f>'Proposed Fee'!H8</f>
        <v>3.458744727795029</v>
      </c>
      <c r="D22" s="139">
        <f>D20*D$4</f>
        <v>3.59709451690683</v>
      </c>
      <c r="E22" s="139">
        <f t="shared" ref="E22:H22" si="10">E20*E$4</f>
        <v>3.59709451690683</v>
      </c>
      <c r="F22" s="139">
        <f t="shared" si="10"/>
        <v>3.6366625565928046</v>
      </c>
      <c r="G22" s="139">
        <f t="shared" si="10"/>
        <v>3.7207858348519092</v>
      </c>
      <c r="H22" s="139">
        <f t="shared" si="10"/>
        <v>3.8464463453326529</v>
      </c>
      <c r="J22" s="138"/>
      <c r="K22" s="139">
        <f>K20*K$4</f>
        <v>0</v>
      </c>
      <c r="L22" s="139">
        <f t="shared" ref="L22:O22" si="11">L20*L$4</f>
        <v>0</v>
      </c>
      <c r="M22" s="139">
        <f t="shared" si="11"/>
        <v>0</v>
      </c>
      <c r="N22" s="139">
        <f t="shared" si="11"/>
        <v>0</v>
      </c>
      <c r="O22" s="139">
        <f t="shared" si="11"/>
        <v>0</v>
      </c>
    </row>
    <row r="23" spans="2:15" x14ac:dyDescent="0.25">
      <c r="B23" s="3" t="s">
        <v>89</v>
      </c>
      <c r="C23" s="142" t="str">
        <f>'Proposed Fee'!I8</f>
        <v>n/a</v>
      </c>
      <c r="D23" s="143" t="str">
        <f>IF(C23="n/a","n/a",SUM(D20:D22)*D$5)</f>
        <v>n/a</v>
      </c>
      <c r="E23" s="143" t="str">
        <f t="shared" ref="E23:H23" si="12">IF(D23="n/a","n/a",SUM(E20:E22)*E$5)</f>
        <v>n/a</v>
      </c>
      <c r="F23" s="143" t="str">
        <f t="shared" si="12"/>
        <v>n/a</v>
      </c>
      <c r="G23" s="143" t="str">
        <f t="shared" si="12"/>
        <v>n/a</v>
      </c>
      <c r="H23" s="143" t="str">
        <f t="shared" si="12"/>
        <v>n/a</v>
      </c>
      <c r="J23" s="142"/>
      <c r="K23" s="143">
        <f>IF(J23="n/a","n/a",SUM(K20:K22)*K$5)</f>
        <v>0</v>
      </c>
      <c r="L23" s="143">
        <f t="shared" ref="L23" si="13">IF(K23="n/a","n/a",SUM(L20:L22)*L$5)</f>
        <v>0</v>
      </c>
      <c r="M23" s="143">
        <f t="shared" ref="M23:O23" si="14">IF(L23="n/a","n/a",SUM(M20:M22)*M$5)</f>
        <v>0</v>
      </c>
      <c r="N23" s="143">
        <f t="shared" si="14"/>
        <v>0</v>
      </c>
      <c r="O23" s="143">
        <f t="shared" si="14"/>
        <v>0</v>
      </c>
    </row>
    <row r="24" spans="2:15" s="134" customFormat="1" x14ac:dyDescent="0.25">
      <c r="B24" s="144" t="s">
        <v>112</v>
      </c>
      <c r="C24" s="145">
        <f>'Proposed Fee'!J8</f>
        <v>37.297648087511099</v>
      </c>
      <c r="D24" s="146">
        <f>SUM(D20:D23)</f>
        <v>36.476231414691782</v>
      </c>
      <c r="E24" s="146">
        <f t="shared" ref="E24:H24" si="15">SUM(E20:E23)</f>
        <v>36.476231414691782</v>
      </c>
      <c r="F24" s="146">
        <f t="shared" si="15"/>
        <v>36.877469960253386</v>
      </c>
      <c r="G24" s="146">
        <f t="shared" si="15"/>
        <v>37.73051959537397</v>
      </c>
      <c r="H24" s="146">
        <f t="shared" si="15"/>
        <v>39.004776315190554</v>
      </c>
      <c r="J24" s="145"/>
      <c r="K24" s="146">
        <f>SUM(K20:K23)</f>
        <v>0</v>
      </c>
      <c r="L24" s="146">
        <f t="shared" ref="L24:O24" si="16">SUM(L20:L23)</f>
        <v>0</v>
      </c>
      <c r="M24" s="146">
        <f t="shared" si="16"/>
        <v>0</v>
      </c>
      <c r="N24" s="146">
        <f t="shared" si="16"/>
        <v>0</v>
      </c>
      <c r="O24" s="146">
        <f t="shared" si="16"/>
        <v>0</v>
      </c>
    </row>
    <row r="25" spans="2:15" x14ac:dyDescent="0.25">
      <c r="B25" s="147" t="s">
        <v>113</v>
      </c>
      <c r="C25" s="139"/>
      <c r="D25" s="148">
        <f>'Forecast Revenue - Costs'!D11</f>
        <v>2500</v>
      </c>
      <c r="E25" s="148">
        <f>'Forecast Revenue - Costs'!E11</f>
        <v>2400</v>
      </c>
      <c r="F25" s="148">
        <f>'Forecast Revenue - Costs'!F11</f>
        <v>2304</v>
      </c>
      <c r="G25" s="148">
        <f>'Forecast Revenue - Costs'!G11</f>
        <v>2211.84</v>
      </c>
      <c r="H25" s="148">
        <f>'Forecast Revenue - Costs'!H11</f>
        <v>2123.3664000000003</v>
      </c>
      <c r="J25" s="139"/>
      <c r="K25" s="148"/>
      <c r="L25" s="148"/>
      <c r="M25" s="148"/>
      <c r="N25" s="148"/>
      <c r="O25" s="148"/>
    </row>
    <row r="26" spans="2:15" s="134" customFormat="1" x14ac:dyDescent="0.25">
      <c r="B26" s="132" t="s">
        <v>114</v>
      </c>
      <c r="C26" s="129"/>
      <c r="D26" s="130">
        <f>D24*D25</f>
        <v>91190.578536729459</v>
      </c>
      <c r="E26" s="130">
        <f t="shared" ref="E26:H26" si="17">E24*E25</f>
        <v>87542.955395260273</v>
      </c>
      <c r="F26" s="130">
        <f t="shared" si="17"/>
        <v>84965.690788423803</v>
      </c>
      <c r="G26" s="130">
        <f t="shared" si="17"/>
        <v>83453.872461831968</v>
      </c>
      <c r="H26" s="130">
        <f t="shared" si="17"/>
        <v>82821.431467191447</v>
      </c>
      <c r="J26" s="129"/>
      <c r="K26" s="130"/>
      <c r="L26" s="130"/>
      <c r="M26" s="130"/>
      <c r="N26" s="130"/>
      <c r="O26" s="130"/>
    </row>
  </sheetData>
  <mergeCells count="4">
    <mergeCell ref="D6:H6"/>
    <mergeCell ref="J6:O6"/>
    <mergeCell ref="D17:H17"/>
    <mergeCell ref="K17:O1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B36" sqref="B36"/>
    </sheetView>
  </sheetViews>
  <sheetFormatPr defaultRowHeight="15" x14ac:dyDescent="0.25"/>
  <cols>
    <col min="1" max="1" width="3.28515625" customWidth="1"/>
    <col min="2" max="2" width="66.42578125" customWidth="1"/>
    <col min="3" max="3" width="65.140625" customWidth="1"/>
    <col min="4" max="4" width="11.85546875" customWidth="1"/>
    <col min="5" max="8" width="12.140625" bestFit="1" customWidth="1"/>
    <col min="9" max="9" width="13.28515625" bestFit="1" customWidth="1"/>
  </cols>
  <sheetData>
    <row r="2" spans="2:9" x14ac:dyDescent="0.25">
      <c r="B2" s="20" t="s">
        <v>47</v>
      </c>
      <c r="C2" s="21"/>
      <c r="D2" s="21"/>
      <c r="E2" s="21"/>
      <c r="F2" s="21"/>
      <c r="G2" s="21"/>
      <c r="H2" s="21"/>
      <c r="I2" s="21"/>
    </row>
    <row r="3" spans="2:9" x14ac:dyDescent="0.25">
      <c r="B3" s="1"/>
      <c r="C3" s="1"/>
      <c r="D3" s="1"/>
      <c r="E3" s="1"/>
      <c r="F3" s="1"/>
      <c r="G3" s="1"/>
      <c r="H3" s="1"/>
      <c r="I3" s="1"/>
    </row>
    <row r="4" spans="2:9" x14ac:dyDescent="0.25">
      <c r="B4" s="113" t="s">
        <v>70</v>
      </c>
      <c r="C4" s="113" t="s">
        <v>3</v>
      </c>
      <c r="D4" s="42" t="s">
        <v>56</v>
      </c>
      <c r="E4" s="42" t="s">
        <v>57</v>
      </c>
      <c r="F4" s="42" t="s">
        <v>58</v>
      </c>
      <c r="G4" s="42" t="s">
        <v>69</v>
      </c>
      <c r="H4" s="42" t="s">
        <v>59</v>
      </c>
      <c r="I4" s="114" t="s">
        <v>1</v>
      </c>
    </row>
    <row r="5" spans="2:9" x14ac:dyDescent="0.25">
      <c r="B5" s="3" t="s">
        <v>75</v>
      </c>
      <c r="C5" s="4" t="str">
        <f>'AER Summary'!$C$3</f>
        <v>Disconnection / Reconnections - Vacant Premise (site visit only)</v>
      </c>
      <c r="D5" s="23">
        <f>'Forecasts by year'!D14</f>
        <v>91190.578536729459</v>
      </c>
      <c r="E5" s="23">
        <f>'Forecasts by year'!E14</f>
        <v>87542.955395260287</v>
      </c>
      <c r="F5" s="23">
        <f>'Forecasts by year'!F14</f>
        <v>84965.690788423803</v>
      </c>
      <c r="G5" s="23">
        <f>'Forecasts by year'!G14</f>
        <v>83453.872461831968</v>
      </c>
      <c r="H5" s="23">
        <f>'Forecasts by year'!H14</f>
        <v>82821.431467191447</v>
      </c>
      <c r="I5" s="118">
        <f>SUM(D5:H5)</f>
        <v>429974.52864943695</v>
      </c>
    </row>
    <row r="6" spans="2:9" x14ac:dyDescent="0.25">
      <c r="B6" s="14" t="s">
        <v>1</v>
      </c>
      <c r="C6" s="14"/>
      <c r="D6" s="112">
        <f>SUM(D5:D5)</f>
        <v>91190.578536729459</v>
      </c>
      <c r="E6" s="112">
        <f>SUM(E5:E5)</f>
        <v>87542.955395260287</v>
      </c>
      <c r="F6" s="112">
        <f>SUM(F5:F5)</f>
        <v>84965.690788423803</v>
      </c>
      <c r="G6" s="112">
        <f>SUM(G5:G5)</f>
        <v>83453.872461831968</v>
      </c>
      <c r="H6" s="112">
        <f>SUM(H5:H5)</f>
        <v>82821.431467191447</v>
      </c>
      <c r="I6" s="112">
        <f>SUM(I5:I5)</f>
        <v>429974.52864943695</v>
      </c>
    </row>
    <row r="7" spans="2:9" x14ac:dyDescent="0.25">
      <c r="B7" s="1"/>
      <c r="C7" s="1"/>
      <c r="D7" s="1"/>
      <c r="E7" s="1"/>
      <c r="F7" s="1"/>
      <c r="G7" s="1"/>
      <c r="H7" s="1"/>
      <c r="I7" s="1"/>
    </row>
    <row r="8" spans="2:9" x14ac:dyDescent="0.25">
      <c r="B8" s="20" t="s">
        <v>27</v>
      </c>
      <c r="C8" s="21"/>
      <c r="D8" s="21"/>
      <c r="E8" s="21"/>
      <c r="F8" s="21"/>
      <c r="G8" s="21"/>
      <c r="H8" s="21"/>
      <c r="I8" s="21"/>
    </row>
    <row r="9" spans="2:9" x14ac:dyDescent="0.25">
      <c r="B9" s="1"/>
      <c r="C9" s="1"/>
      <c r="D9" s="1"/>
      <c r="E9" s="1"/>
      <c r="F9" s="1"/>
      <c r="G9" s="1"/>
      <c r="H9" s="1"/>
      <c r="I9" s="1"/>
    </row>
    <row r="10" spans="2:9" x14ac:dyDescent="0.25">
      <c r="B10" s="113" t="s">
        <v>70</v>
      </c>
      <c r="C10" s="113" t="s">
        <v>3</v>
      </c>
      <c r="D10" s="42" t="s">
        <v>56</v>
      </c>
      <c r="E10" s="42" t="s">
        <v>57</v>
      </c>
      <c r="F10" s="42" t="s">
        <v>58</v>
      </c>
      <c r="G10" s="42" t="s">
        <v>69</v>
      </c>
      <c r="H10" s="42" t="s">
        <v>59</v>
      </c>
      <c r="I10" s="114" t="s">
        <v>1</v>
      </c>
    </row>
    <row r="11" spans="2:9" x14ac:dyDescent="0.25">
      <c r="B11" s="4" t="s">
        <v>75</v>
      </c>
      <c r="C11" s="4" t="str">
        <f>C5</f>
        <v>Disconnection / Reconnections - Vacant Premise (site visit only)</v>
      </c>
      <c r="D11" s="49">
        <v>2500</v>
      </c>
      <c r="E11" s="49">
        <f>D11-(D11*4%)</f>
        <v>2400</v>
      </c>
      <c r="F11" s="49">
        <f t="shared" ref="F11:H11" si="0">E11-(E11*4%)</f>
        <v>2304</v>
      </c>
      <c r="G11" s="49">
        <f t="shared" si="0"/>
        <v>2211.84</v>
      </c>
      <c r="H11" s="49">
        <f t="shared" si="0"/>
        <v>2123.3664000000003</v>
      </c>
      <c r="I11" s="119">
        <f>SUM(D11:H11)</f>
        <v>11539.206400000001</v>
      </c>
    </row>
    <row r="12" spans="2:9" x14ac:dyDescent="0.25">
      <c r="B12" s="14" t="s">
        <v>18</v>
      </c>
      <c r="C12" s="14"/>
      <c r="D12" s="117">
        <f>SUM(D11:D11)</f>
        <v>2500</v>
      </c>
      <c r="E12" s="117">
        <f>SUM(E11:E11)</f>
        <v>2400</v>
      </c>
      <c r="F12" s="117">
        <f>SUM(F11:F11)</f>
        <v>2304</v>
      </c>
      <c r="G12" s="117">
        <f>SUM(G11:G11)</f>
        <v>2211.84</v>
      </c>
      <c r="H12" s="117">
        <f>SUM(H11:H11)</f>
        <v>2123.3664000000003</v>
      </c>
      <c r="I12" s="117">
        <f>SUM(I11:I11)</f>
        <v>11539.206400000001</v>
      </c>
    </row>
    <row r="13" spans="2:9" x14ac:dyDescent="0.25">
      <c r="B13" s="1"/>
      <c r="C13" s="1"/>
      <c r="D13" s="8"/>
      <c r="E13" s="8"/>
      <c r="F13" s="8"/>
      <c r="G13" s="8"/>
      <c r="H13" s="8"/>
      <c r="I13" s="8"/>
    </row>
    <row r="14" spans="2:9" x14ac:dyDescent="0.25">
      <c r="B14" s="9" t="s">
        <v>6</v>
      </c>
      <c r="C14" s="1"/>
      <c r="D14" s="8"/>
      <c r="E14" s="8"/>
      <c r="F14" s="8"/>
      <c r="G14" s="8"/>
      <c r="H14" s="8"/>
      <c r="I14" s="8"/>
    </row>
    <row r="15" spans="2:9" x14ac:dyDescent="0.25">
      <c r="B15" s="244"/>
      <c r="C15" s="244"/>
      <c r="D15" s="244"/>
      <c r="E15" s="244"/>
      <c r="F15" s="244"/>
      <c r="G15" s="244"/>
      <c r="H15" s="244"/>
      <c r="I15" s="244"/>
    </row>
    <row r="16" spans="2:9" x14ac:dyDescent="0.25">
      <c r="B16" s="245"/>
      <c r="C16" s="245"/>
      <c r="D16" s="245"/>
      <c r="E16" s="245"/>
      <c r="F16" s="245"/>
      <c r="G16" s="245"/>
      <c r="H16" s="245"/>
      <c r="I16" s="245"/>
    </row>
    <row r="17" spans="2:9" x14ac:dyDescent="0.25">
      <c r="B17" s="1"/>
      <c r="C17" s="1"/>
      <c r="D17" s="8"/>
      <c r="E17" s="8"/>
      <c r="F17" s="8"/>
      <c r="G17" s="8"/>
      <c r="H17" s="8"/>
      <c r="I17" s="8"/>
    </row>
    <row r="18" spans="2:9" x14ac:dyDescent="0.25">
      <c r="B18" s="20" t="s">
        <v>28</v>
      </c>
      <c r="C18" s="21"/>
      <c r="D18" s="21"/>
      <c r="E18" s="21"/>
      <c r="F18" s="21"/>
      <c r="G18" s="21"/>
      <c r="H18" s="21"/>
      <c r="I18" s="21"/>
    </row>
    <row r="19" spans="2:9" x14ac:dyDescent="0.25">
      <c r="B19" s="1"/>
      <c r="C19" s="1"/>
      <c r="D19" s="1"/>
      <c r="E19" s="1"/>
      <c r="F19" s="1"/>
      <c r="G19" s="1"/>
      <c r="H19" s="1"/>
      <c r="I19" s="1"/>
    </row>
    <row r="20" spans="2:9" x14ac:dyDescent="0.25">
      <c r="B20" s="10" t="s">
        <v>26</v>
      </c>
      <c r="C20" s="11"/>
      <c r="D20" s="11"/>
      <c r="E20" s="11"/>
      <c r="F20" s="11"/>
      <c r="G20" s="11"/>
      <c r="H20" s="11"/>
      <c r="I20" s="11"/>
    </row>
    <row r="21" spans="2:9" x14ac:dyDescent="0.25">
      <c r="B21" s="247" t="s">
        <v>141</v>
      </c>
      <c r="C21" s="238"/>
      <c r="D21" s="238"/>
      <c r="E21" s="238"/>
      <c r="F21" s="238"/>
      <c r="G21" s="238"/>
      <c r="H21" s="238"/>
      <c r="I21" s="238"/>
    </row>
    <row r="22" spans="2:9" x14ac:dyDescent="0.25">
      <c r="B22" s="239"/>
      <c r="C22" s="239"/>
      <c r="D22" s="239"/>
      <c r="E22" s="239"/>
      <c r="F22" s="239"/>
      <c r="G22" s="239"/>
      <c r="H22" s="239"/>
      <c r="I22" s="239"/>
    </row>
    <row r="23" spans="2:9" x14ac:dyDescent="0.25">
      <c r="B23" s="12"/>
      <c r="C23" s="13"/>
      <c r="D23" s="13"/>
      <c r="E23" s="13"/>
      <c r="F23" s="13"/>
      <c r="G23" s="13"/>
      <c r="H23" s="13"/>
      <c r="I23" s="13"/>
    </row>
    <row r="24" spans="2:9" x14ac:dyDescent="0.25">
      <c r="B24" s="1"/>
      <c r="C24" s="1"/>
      <c r="D24" s="1"/>
      <c r="E24" s="1"/>
      <c r="F24" s="1"/>
      <c r="G24" s="1"/>
      <c r="H24" s="1"/>
      <c r="I24" s="1"/>
    </row>
    <row r="25" spans="2:9" s="120" customFormat="1" x14ac:dyDescent="0.25">
      <c r="B25" s="25" t="s">
        <v>46</v>
      </c>
      <c r="C25" s="26"/>
      <c r="D25" s="26"/>
      <c r="E25" s="26"/>
      <c r="F25" s="26"/>
      <c r="G25" s="26"/>
      <c r="H25" s="26"/>
      <c r="I25" s="26"/>
    </row>
    <row r="26" spans="2:9" s="120" customFormat="1" x14ac:dyDescent="0.25">
      <c r="B26" s="2" t="s">
        <v>20</v>
      </c>
      <c r="C26" s="14" t="s">
        <v>3</v>
      </c>
      <c r="D26" s="43" t="s">
        <v>56</v>
      </c>
      <c r="E26" s="43" t="s">
        <v>57</v>
      </c>
      <c r="F26" s="43" t="s">
        <v>58</v>
      </c>
      <c r="G26" s="43" t="s">
        <v>69</v>
      </c>
      <c r="H26" s="43" t="s">
        <v>59</v>
      </c>
      <c r="I26" s="15" t="s">
        <v>1</v>
      </c>
    </row>
    <row r="27" spans="2:9" s="120" customFormat="1" x14ac:dyDescent="0.25">
      <c r="B27" s="150" t="s">
        <v>115</v>
      </c>
      <c r="C27" s="4" t="s">
        <v>71</v>
      </c>
      <c r="D27" s="85">
        <f>'Forecasts by year'!D10</f>
        <v>56072.27646915707</v>
      </c>
      <c r="E27" s="85">
        <f>'Forecasts by year'!E10</f>
        <v>53829.385410390787</v>
      </c>
      <c r="F27" s="85">
        <f>'Forecasts by year'!F10</f>
        <v>52244.648303908878</v>
      </c>
      <c r="G27" s="85">
        <f>'Forecasts by year'!G10</f>
        <v>51315.044648135903</v>
      </c>
      <c r="H27" s="85">
        <f>'Forecasts by year'!H10</f>
        <v>50926.162300080301</v>
      </c>
      <c r="I27" s="151">
        <f>SUM(D27:H27)</f>
        <v>264387.51713167294</v>
      </c>
    </row>
    <row r="28" spans="2:9" s="120" customFormat="1" x14ac:dyDescent="0.25">
      <c r="B28" s="150" t="s">
        <v>116</v>
      </c>
      <c r="C28" s="6"/>
      <c r="D28" s="85"/>
      <c r="E28" s="85"/>
      <c r="F28" s="85"/>
      <c r="G28" s="85"/>
      <c r="H28" s="85"/>
      <c r="I28" s="151">
        <f t="shared" ref="I28:I33" si="1">SUM(D28:H28)</f>
        <v>0</v>
      </c>
    </row>
    <row r="29" spans="2:9" s="120" customFormat="1" x14ac:dyDescent="0.25">
      <c r="B29" s="150" t="s">
        <v>117</v>
      </c>
      <c r="C29" s="4"/>
      <c r="D29" s="85"/>
      <c r="E29" s="85"/>
      <c r="F29" s="85"/>
      <c r="G29" s="85"/>
      <c r="H29" s="85"/>
      <c r="I29" s="151">
        <f t="shared" si="1"/>
        <v>0</v>
      </c>
    </row>
    <row r="30" spans="2:9" s="120" customFormat="1" x14ac:dyDescent="0.25">
      <c r="B30" s="152" t="s">
        <v>118</v>
      </c>
      <c r="C30" s="4"/>
      <c r="D30" s="153">
        <f>SUM(D27:D29)</f>
        <v>56072.27646915707</v>
      </c>
      <c r="E30" s="153">
        <f t="shared" ref="E30:H30" si="2">SUM(E27:E29)</f>
        <v>53829.385410390787</v>
      </c>
      <c r="F30" s="153">
        <f t="shared" si="2"/>
        <v>52244.648303908878</v>
      </c>
      <c r="G30" s="153">
        <f t="shared" si="2"/>
        <v>51315.044648135903</v>
      </c>
      <c r="H30" s="153">
        <f t="shared" si="2"/>
        <v>50926.162300080301</v>
      </c>
      <c r="I30" s="151">
        <f t="shared" si="1"/>
        <v>264387.51713167294</v>
      </c>
    </row>
    <row r="31" spans="2:9" s="120" customFormat="1" x14ac:dyDescent="0.25">
      <c r="B31" s="5" t="s">
        <v>87</v>
      </c>
      <c r="C31" s="4"/>
      <c r="D31" s="154">
        <f>'Forecasts by year'!D11</f>
        <v>26125.56577530532</v>
      </c>
      <c r="E31" s="154">
        <f>'Forecasts by year'!E11</f>
        <v>25080.543144293108</v>
      </c>
      <c r="F31" s="154">
        <f>'Forecasts by year'!F11</f>
        <v>24342.171954125115</v>
      </c>
      <c r="G31" s="154">
        <f>'Forecasts by year'!G11</f>
        <v>23909.044872737217</v>
      </c>
      <c r="H31" s="154">
        <f>'Forecasts by year'!H11</f>
        <v>23727.854238028991</v>
      </c>
      <c r="I31" s="151">
        <f t="shared" si="1"/>
        <v>123185.17998448973</v>
      </c>
    </row>
    <row r="32" spans="2:9" s="120" customFormat="1" x14ac:dyDescent="0.25">
      <c r="B32" s="5" t="s">
        <v>88</v>
      </c>
      <c r="C32" s="4"/>
      <c r="D32" s="154">
        <f>'Forecasts by year'!D12</f>
        <v>8992.7362922670745</v>
      </c>
      <c r="E32" s="154">
        <f>'Forecasts by year'!E12</f>
        <v>8633.0268405763927</v>
      </c>
      <c r="F32" s="154">
        <f>'Forecasts by year'!F12</f>
        <v>8378.8705303898223</v>
      </c>
      <c r="G32" s="154">
        <f>'Forecasts by year'!G12</f>
        <v>8229.7829409588467</v>
      </c>
      <c r="H32" s="154">
        <f>'Forecasts by year'!H12</f>
        <v>8167.4149290821533</v>
      </c>
      <c r="I32" s="151">
        <f t="shared" si="1"/>
        <v>42401.831533274286</v>
      </c>
    </row>
    <row r="33" spans="2:9" s="120" customFormat="1" x14ac:dyDescent="0.25">
      <c r="B33" s="5" t="s">
        <v>107</v>
      </c>
      <c r="C33" s="4"/>
      <c r="D33" s="154" t="str">
        <f>'Forecasts by year'!D13</f>
        <v>n/a</v>
      </c>
      <c r="E33" s="154" t="str">
        <f>'Forecasts by year'!E13</f>
        <v>n/a</v>
      </c>
      <c r="F33" s="154" t="str">
        <f>'Forecasts by year'!F13</f>
        <v>n/a</v>
      </c>
      <c r="G33" s="154" t="str">
        <f>'Forecasts by year'!G13</f>
        <v>n/a</v>
      </c>
      <c r="H33" s="154" t="str">
        <f>'Forecasts by year'!H13</f>
        <v>n/a</v>
      </c>
      <c r="I33" s="151">
        <f t="shared" si="1"/>
        <v>0</v>
      </c>
    </row>
    <row r="34" spans="2:9" s="120" customFormat="1" x14ac:dyDescent="0.25">
      <c r="B34" s="16" t="s">
        <v>1</v>
      </c>
      <c r="C34" s="17"/>
      <c r="D34" s="18">
        <f>SUM(D30:D33)</f>
        <v>91190.578536729459</v>
      </c>
      <c r="E34" s="18">
        <f t="shared" ref="E34:I34" si="3">SUM(E30:E33)</f>
        <v>87542.955395260287</v>
      </c>
      <c r="F34" s="18">
        <f t="shared" si="3"/>
        <v>84965.690788423803</v>
      </c>
      <c r="G34" s="18">
        <f t="shared" si="3"/>
        <v>83453.872461831968</v>
      </c>
      <c r="H34" s="18">
        <f t="shared" si="3"/>
        <v>82821.431467191447</v>
      </c>
      <c r="I34" s="18">
        <f t="shared" si="3"/>
        <v>429974.52864943695</v>
      </c>
    </row>
  </sheetData>
  <mergeCells count="2">
    <mergeCell ref="B15:I16"/>
    <mergeCell ref="B21:I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Fee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2018-04-18T01:46:38Z</dcterms:modified>
</cp:coreProperties>
</file>