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_Design Related Services\"/>
    </mc:Choice>
  </mc:AlternateContent>
  <xr:revisionPtr revIDLastSave="0" documentId="13_ncr:1_{BD4055F1-85B8-46AD-A428-010337E77543}"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8" r:id="rId6"/>
    <sheet name="Forecast Revenue - Costs" sheetId="16" r:id="rId7"/>
  </sheets>
  <externalReferences>
    <externalReference r:id="rId8"/>
  </externalReferences>
  <calcPr calcId="171027" calcMode="autoNoTable" iterateCount="1000" iterateDelta="9.9999999999999995E-7" calcOnSave="0"/>
  <fileRecoveryPr autoRecover="0"/>
</workbook>
</file>

<file path=xl/calcChain.xml><?xml version="1.0" encoding="utf-8"?>
<calcChain xmlns="http://schemas.openxmlformats.org/spreadsheetml/2006/main">
  <c r="I14" i="15" l="1"/>
  <c r="B20" i="9"/>
  <c r="D4" i="18" l="1"/>
  <c r="D3" i="18"/>
  <c r="E7" i="13" l="1"/>
  <c r="E105" i="18" l="1"/>
  <c r="F105" i="18"/>
  <c r="G105" i="18" s="1"/>
  <c r="H105" i="18" s="1"/>
  <c r="H5" i="18" l="1"/>
  <c r="G5" i="18"/>
  <c r="F5" i="18"/>
  <c r="E5" i="18"/>
  <c r="D5" i="18"/>
  <c r="H4" i="18"/>
  <c r="G4" i="18"/>
  <c r="F4" i="18"/>
  <c r="E4" i="18"/>
  <c r="H3" i="18"/>
  <c r="G3" i="18"/>
  <c r="F3" i="18"/>
  <c r="E3" i="18"/>
  <c r="H2" i="18"/>
  <c r="G2" i="18"/>
  <c r="F2" i="18"/>
  <c r="E2" i="18"/>
  <c r="D2" i="18"/>
  <c r="H1" i="18"/>
  <c r="G1" i="18"/>
  <c r="F1" i="18"/>
  <c r="E1" i="18"/>
  <c r="D1" i="18"/>
  <c r="I53" i="11"/>
  <c r="H53" i="11"/>
  <c r="I52" i="11"/>
  <c r="H52" i="11"/>
  <c r="I51" i="11"/>
  <c r="H51" i="11"/>
  <c r="I50" i="11"/>
  <c r="H50" i="11"/>
  <c r="I49" i="11"/>
  <c r="H49" i="11"/>
  <c r="I48" i="11"/>
  <c r="H48" i="11"/>
  <c r="I47" i="11"/>
  <c r="H47" i="11"/>
  <c r="I46" i="11"/>
  <c r="H46" i="11"/>
  <c r="I45" i="11"/>
  <c r="H45" i="11"/>
  <c r="I40" i="11"/>
  <c r="H40" i="11"/>
  <c r="I39" i="11"/>
  <c r="H39" i="11"/>
  <c r="I38" i="11"/>
  <c r="H38" i="11"/>
  <c r="I37" i="11"/>
  <c r="H37" i="11"/>
  <c r="I36" i="11"/>
  <c r="H36" i="11"/>
  <c r="I35" i="11"/>
  <c r="H35" i="11"/>
  <c r="I34" i="11"/>
  <c r="H34" i="11"/>
  <c r="I33" i="11"/>
  <c r="H33" i="11"/>
  <c r="I32" i="11"/>
  <c r="H32" i="11"/>
  <c r="I27" i="11"/>
  <c r="H27" i="11"/>
  <c r="I26" i="11"/>
  <c r="H26" i="11"/>
  <c r="I25" i="11"/>
  <c r="H25" i="11"/>
  <c r="I24" i="11"/>
  <c r="H24" i="11"/>
  <c r="I23" i="11"/>
  <c r="H23" i="11"/>
  <c r="I22" i="11"/>
  <c r="H22" i="11"/>
  <c r="I21" i="11"/>
  <c r="H21" i="11"/>
  <c r="I20" i="11"/>
  <c r="H20" i="11"/>
  <c r="I19" i="11"/>
  <c r="H19" i="11"/>
  <c r="BY7" i="11"/>
  <c r="BX7" i="11"/>
  <c r="BH7" i="11"/>
  <c r="BG7" i="11"/>
  <c r="AQ7" i="11"/>
  <c r="AP7" i="11"/>
  <c r="Z7" i="11"/>
  <c r="Y7" i="11"/>
  <c r="I14" i="11"/>
  <c r="H14" i="11"/>
  <c r="I13" i="11"/>
  <c r="H13" i="11"/>
  <c r="I12" i="11"/>
  <c r="H12" i="11"/>
  <c r="I11" i="11"/>
  <c r="H11" i="11"/>
  <c r="I10" i="11"/>
  <c r="H10" i="11"/>
  <c r="I9" i="11"/>
  <c r="H9" i="11"/>
  <c r="I8" i="11"/>
  <c r="H8" i="11"/>
  <c r="I7" i="11"/>
  <c r="H7" i="11"/>
  <c r="D63" i="8" l="1"/>
  <c r="E63" i="8"/>
  <c r="F63" i="8"/>
  <c r="G63" i="8"/>
  <c r="C63" i="8"/>
  <c r="I27" i="16"/>
  <c r="E26" i="16"/>
  <c r="F26" i="16"/>
  <c r="G26" i="16"/>
  <c r="H26" i="16"/>
  <c r="D26" i="16"/>
  <c r="I12" i="13" l="1"/>
  <c r="I13" i="13"/>
  <c r="G14" i="13"/>
  <c r="H14" i="13"/>
  <c r="I11" i="13"/>
  <c r="K20" i="18" l="1"/>
  <c r="L20" i="18" s="1"/>
  <c r="M20" i="18" s="1"/>
  <c r="N20" i="18" s="1"/>
  <c r="O20" i="18" s="1"/>
  <c r="BL7" i="11" l="1"/>
  <c r="F7" i="11"/>
  <c r="AD7" i="11"/>
  <c r="AU7" i="11"/>
  <c r="F8" i="11"/>
  <c r="F9" i="11"/>
  <c r="F10" i="11"/>
  <c r="F11" i="11"/>
  <c r="F12" i="11"/>
  <c r="F13" i="11"/>
  <c r="F14" i="11"/>
  <c r="J15" i="11"/>
  <c r="F19" i="11"/>
  <c r="F20" i="11"/>
  <c r="F21" i="11"/>
  <c r="F22" i="11"/>
  <c r="F23" i="11"/>
  <c r="F24" i="11"/>
  <c r="F25" i="11"/>
  <c r="F26" i="11"/>
  <c r="F27" i="11"/>
  <c r="J28" i="11"/>
  <c r="F32" i="11"/>
  <c r="F33" i="11"/>
  <c r="F34" i="11"/>
  <c r="F35" i="11"/>
  <c r="F36" i="11"/>
  <c r="M36" i="11"/>
  <c r="F37" i="11"/>
  <c r="F38" i="11"/>
  <c r="M38" i="11"/>
  <c r="F39" i="11"/>
  <c r="F40" i="11"/>
  <c r="M40" i="11"/>
  <c r="J41" i="11"/>
  <c r="F45" i="11"/>
  <c r="F46" i="11"/>
  <c r="F47" i="11"/>
  <c r="F48" i="11"/>
  <c r="F49" i="11"/>
  <c r="F50" i="11"/>
  <c r="F51" i="11"/>
  <c r="F52" i="11"/>
  <c r="F53" i="11"/>
  <c r="J54" i="11"/>
  <c r="N36" i="11" l="1"/>
  <c r="O36" i="11"/>
  <c r="AV7" i="11"/>
  <c r="AW7" i="11"/>
  <c r="O38" i="11"/>
  <c r="N38" i="11"/>
  <c r="AF7" i="11"/>
  <c r="AE7" i="11"/>
  <c r="N40" i="11"/>
  <c r="O40" i="11"/>
  <c r="BN7" i="11"/>
  <c r="BM7" i="11"/>
  <c r="M34" i="11"/>
  <c r="M12" i="11"/>
  <c r="CC7" i="11"/>
  <c r="M48" i="11"/>
  <c r="M32" i="11"/>
  <c r="M11" i="11"/>
  <c r="M53" i="11"/>
  <c r="M52" i="11"/>
  <c r="M50" i="11"/>
  <c r="I15" i="11"/>
  <c r="M9" i="11"/>
  <c r="M7" i="11"/>
  <c r="M51" i="11"/>
  <c r="M49" i="11"/>
  <c r="M47" i="11"/>
  <c r="M46" i="11"/>
  <c r="F41" i="11"/>
  <c r="M14" i="11"/>
  <c r="M13" i="11"/>
  <c r="M8" i="11"/>
  <c r="F15" i="11"/>
  <c r="H28" i="11"/>
  <c r="H54" i="11"/>
  <c r="M26" i="11"/>
  <c r="M24" i="11"/>
  <c r="M22" i="11"/>
  <c r="M20" i="11"/>
  <c r="I41" i="11"/>
  <c r="F28" i="11"/>
  <c r="M27" i="11"/>
  <c r="M25" i="11"/>
  <c r="M23" i="11"/>
  <c r="M21" i="11"/>
  <c r="H15" i="11"/>
  <c r="F54" i="11"/>
  <c r="M45" i="11"/>
  <c r="M39" i="11"/>
  <c r="M37" i="11"/>
  <c r="M35" i="11"/>
  <c r="M33" i="11"/>
  <c r="AG7" i="11" l="1"/>
  <c r="BO7" i="11"/>
  <c r="P38" i="11"/>
  <c r="AX7" i="11"/>
  <c r="P40" i="11"/>
  <c r="P36" i="11"/>
  <c r="O27" i="11"/>
  <c r="N27" i="11"/>
  <c r="N22" i="11"/>
  <c r="O22" i="11"/>
  <c r="O14" i="11"/>
  <c r="N14" i="11"/>
  <c r="O49" i="11"/>
  <c r="N49" i="11"/>
  <c r="O11" i="11"/>
  <c r="N11" i="11"/>
  <c r="N12" i="11"/>
  <c r="O12" i="11"/>
  <c r="O21" i="11"/>
  <c r="N21" i="11"/>
  <c r="O24" i="11"/>
  <c r="N24" i="11"/>
  <c r="O51" i="11"/>
  <c r="N51" i="11"/>
  <c r="N50" i="11"/>
  <c r="O50" i="11"/>
  <c r="N32" i="11"/>
  <c r="O32" i="11"/>
  <c r="O34" i="11"/>
  <c r="N34" i="11"/>
  <c r="O33" i="11"/>
  <c r="N33" i="11"/>
  <c r="O45" i="11"/>
  <c r="N45" i="11"/>
  <c r="O23" i="11"/>
  <c r="N23" i="11"/>
  <c r="N26" i="11"/>
  <c r="O26" i="11"/>
  <c r="N8" i="11"/>
  <c r="O8" i="11"/>
  <c r="N46" i="11"/>
  <c r="O46" i="11"/>
  <c r="N7" i="11"/>
  <c r="O7" i="11"/>
  <c r="O52" i="11"/>
  <c r="N52" i="11"/>
  <c r="O48" i="11"/>
  <c r="N48" i="11"/>
  <c r="O37" i="11"/>
  <c r="N37" i="11"/>
  <c r="O39" i="11"/>
  <c r="N39" i="11"/>
  <c r="O35" i="11"/>
  <c r="N35" i="11"/>
  <c r="O25" i="11"/>
  <c r="N25" i="11"/>
  <c r="O20" i="11"/>
  <c r="N20" i="11"/>
  <c r="O13" i="11"/>
  <c r="N13" i="11"/>
  <c r="O47" i="11"/>
  <c r="N47" i="11"/>
  <c r="O9" i="11"/>
  <c r="N9" i="11"/>
  <c r="O53" i="11"/>
  <c r="N53" i="11"/>
  <c r="CE7" i="11"/>
  <c r="CD7" i="11"/>
  <c r="M10" i="11"/>
  <c r="I54" i="11"/>
  <c r="M41" i="11"/>
  <c r="H41" i="11"/>
  <c r="I28" i="11"/>
  <c r="C32" i="18" s="1"/>
  <c r="D32" i="18" s="1"/>
  <c r="E32" i="18" s="1"/>
  <c r="F32" i="18" s="1"/>
  <c r="G32" i="18" s="1"/>
  <c r="H32" i="18" s="1"/>
  <c r="M54" i="11"/>
  <c r="M19" i="11"/>
  <c r="P37" i="11" l="1"/>
  <c r="P52" i="11"/>
  <c r="P26" i="11"/>
  <c r="P34" i="11"/>
  <c r="CF7" i="11"/>
  <c r="P9" i="11"/>
  <c r="P39" i="11"/>
  <c r="P23" i="11"/>
  <c r="P33" i="11"/>
  <c r="P21" i="11"/>
  <c r="P12" i="11"/>
  <c r="P49" i="11"/>
  <c r="P24" i="11"/>
  <c r="P13" i="11"/>
  <c r="P25" i="11"/>
  <c r="P48" i="11"/>
  <c r="P8" i="11"/>
  <c r="P53" i="11"/>
  <c r="P35" i="11"/>
  <c r="P46" i="11"/>
  <c r="P45" i="11"/>
  <c r="P47" i="11"/>
  <c r="P20" i="11"/>
  <c r="P32" i="11"/>
  <c r="P51" i="11"/>
  <c r="P22" i="11"/>
  <c r="P7" i="11"/>
  <c r="P50" i="11"/>
  <c r="P11" i="11"/>
  <c r="P14" i="11"/>
  <c r="P27" i="11"/>
  <c r="O10" i="11"/>
  <c r="N10" i="11"/>
  <c r="O19" i="11"/>
  <c r="N19" i="11"/>
  <c r="M15" i="11"/>
  <c r="M28" i="11"/>
  <c r="P19" i="11" l="1"/>
  <c r="P10" i="11"/>
  <c r="K81" i="18"/>
  <c r="L81" i="18" s="1"/>
  <c r="M81" i="18" s="1"/>
  <c r="N81" i="18" s="1"/>
  <c r="O81" i="18" s="1"/>
  <c r="K69" i="18"/>
  <c r="L69" i="18" s="1"/>
  <c r="M69" i="18" s="1"/>
  <c r="N69" i="18" s="1"/>
  <c r="O69" i="18" s="1"/>
  <c r="K45" i="18"/>
  <c r="L45" i="18" s="1"/>
  <c r="M45" i="18" s="1"/>
  <c r="N45" i="18" s="1"/>
  <c r="O45" i="18" s="1"/>
  <c r="K21" i="18"/>
  <c r="L21" i="18" s="1"/>
  <c r="M21" i="18" s="1"/>
  <c r="N21" i="18" s="1"/>
  <c r="O21" i="18" s="1"/>
  <c r="K93" i="18"/>
  <c r="L93" i="18" s="1"/>
  <c r="M93" i="18" s="1"/>
  <c r="N93" i="18" s="1"/>
  <c r="O93" i="18" s="1"/>
  <c r="K105" i="18"/>
  <c r="L105" i="18" s="1"/>
  <c r="M105" i="18" s="1"/>
  <c r="N105" i="18" s="1"/>
  <c r="O105" i="18" s="1"/>
  <c r="K57" i="18"/>
  <c r="L57" i="18" s="1"/>
  <c r="M57" i="18" s="1"/>
  <c r="N57" i="18" s="1"/>
  <c r="O57" i="18" s="1"/>
  <c r="K33" i="18"/>
  <c r="L33" i="18" s="1"/>
  <c r="M33" i="18" s="1"/>
  <c r="N33" i="18" s="1"/>
  <c r="O33" i="18" s="1"/>
  <c r="E111" i="18"/>
  <c r="F111" i="18"/>
  <c r="G111" i="18"/>
  <c r="H111" i="18"/>
  <c r="D111" i="18"/>
  <c r="C105" i="18"/>
  <c r="D105" i="18" s="1"/>
  <c r="E99" i="18"/>
  <c r="F99" i="18"/>
  <c r="G99" i="18"/>
  <c r="H99" i="18"/>
  <c r="D99" i="18"/>
  <c r="C94" i="18"/>
  <c r="C93" i="18"/>
  <c r="D93" i="18" s="1"/>
  <c r="E93" i="18" s="1"/>
  <c r="F93" i="18" s="1"/>
  <c r="G93" i="18" s="1"/>
  <c r="H93" i="18" s="1"/>
  <c r="E87" i="18"/>
  <c r="F87" i="18"/>
  <c r="G87" i="18"/>
  <c r="H87" i="18"/>
  <c r="D87" i="18"/>
  <c r="C81" i="18"/>
  <c r="D81" i="18" s="1"/>
  <c r="E81" i="18" s="1"/>
  <c r="F81" i="18" s="1"/>
  <c r="G81" i="18" s="1"/>
  <c r="H81" i="18" s="1"/>
  <c r="E75" i="18"/>
  <c r="F75" i="18"/>
  <c r="G75" i="18"/>
  <c r="H75" i="18"/>
  <c r="D75" i="18"/>
  <c r="C69" i="18"/>
  <c r="D69" i="18" s="1"/>
  <c r="E69" i="18" s="1"/>
  <c r="F69" i="18" s="1"/>
  <c r="G69" i="18" s="1"/>
  <c r="H69" i="18" s="1"/>
  <c r="E63" i="18"/>
  <c r="F63" i="18"/>
  <c r="G63" i="18"/>
  <c r="H63" i="18"/>
  <c r="D63" i="18"/>
  <c r="E51" i="18"/>
  <c r="F51" i="18"/>
  <c r="G51" i="18"/>
  <c r="H51" i="18"/>
  <c r="D51" i="18"/>
  <c r="E39" i="18"/>
  <c r="F39" i="18"/>
  <c r="G39" i="18"/>
  <c r="H39" i="18"/>
  <c r="D39" i="18"/>
  <c r="E27" i="18" l="1"/>
  <c r="F27" i="18"/>
  <c r="G27" i="18"/>
  <c r="H27" i="18"/>
  <c r="D27" i="18"/>
  <c r="L1" i="18"/>
  <c r="K1" i="18" l="1"/>
  <c r="C57" i="18"/>
  <c r="D57" i="18" s="1"/>
  <c r="E57" i="18" s="1"/>
  <c r="F57" i="18" s="1"/>
  <c r="G57" i="18" s="1"/>
  <c r="H57" i="18" s="1"/>
  <c r="C45" i="18"/>
  <c r="D45" i="18" s="1"/>
  <c r="E45" i="18" s="1"/>
  <c r="F45" i="18" s="1"/>
  <c r="G45" i="18" s="1"/>
  <c r="H45" i="18" s="1"/>
  <c r="C33" i="18" l="1"/>
  <c r="D33" i="18" s="1"/>
  <c r="E33" i="18" s="1"/>
  <c r="F33" i="18" s="1"/>
  <c r="G33" i="18" s="1"/>
  <c r="H33" i="18" s="1"/>
  <c r="C21" i="18"/>
  <c r="D21" i="18" s="1"/>
  <c r="E21" i="18" l="1"/>
  <c r="D10" i="18"/>
  <c r="D43" i="16" s="1"/>
  <c r="F21" i="18" l="1"/>
  <c r="E10" i="18"/>
  <c r="E43" i="16" s="1"/>
  <c r="G21" i="18" l="1"/>
  <c r="F10" i="18"/>
  <c r="F43" i="16" s="1"/>
  <c r="I13" i="15"/>
  <c r="I15" i="15" s="1"/>
  <c r="G15" i="15"/>
  <c r="H15" i="15"/>
  <c r="H21" i="18" l="1"/>
  <c r="H10" i="18" s="1"/>
  <c r="H43" i="16" s="1"/>
  <c r="G10" i="18"/>
  <c r="G43" i="16" s="1"/>
  <c r="D61" i="16"/>
  <c r="I43" i="16" l="1"/>
  <c r="H5" i="15"/>
  <c r="I5" i="15" s="1"/>
  <c r="H6" i="15"/>
  <c r="I6" i="15" s="1"/>
  <c r="H7" i="15"/>
  <c r="I7" i="15" s="1"/>
  <c r="H8" i="15"/>
  <c r="I8" i="15" s="1"/>
  <c r="H4" i="15"/>
  <c r="I4" i="15" s="1"/>
  <c r="H6" i="13"/>
  <c r="I6" i="13" s="1"/>
  <c r="G9" i="15"/>
  <c r="G7" i="13"/>
  <c r="H7" i="13" l="1"/>
  <c r="H9" i="15"/>
  <c r="D9" i="15" l="1"/>
  <c r="I19" i="16" l="1"/>
  <c r="I20" i="16"/>
  <c r="I21" i="16"/>
  <c r="I22" i="16"/>
  <c r="I23" i="16"/>
  <c r="I24" i="16"/>
  <c r="I25" i="16"/>
  <c r="F7" i="13" l="1"/>
  <c r="I18" i="16" l="1"/>
  <c r="F9" i="15"/>
  <c r="E9" i="15"/>
  <c r="F15" i="15" l="1"/>
  <c r="E15" i="15"/>
  <c r="D15" i="15"/>
  <c r="I26" i="16" l="1"/>
  <c r="F14" i="13"/>
  <c r="E14" i="13"/>
  <c r="D14" i="13"/>
  <c r="D7" i="13"/>
  <c r="I7" i="13" l="1"/>
  <c r="I14" i="13"/>
  <c r="D3" i="9" l="1"/>
  <c r="H63" i="8" l="1"/>
  <c r="I9" i="15" l="1"/>
  <c r="M1" i="18" l="1"/>
  <c r="N1" i="18" l="1"/>
  <c r="O1" i="18" l="1"/>
  <c r="K5" i="18" l="1"/>
  <c r="N5" i="18"/>
  <c r="M5" i="18"/>
  <c r="L5" i="18"/>
  <c r="O5" i="18"/>
  <c r="C103" i="18" l="1"/>
  <c r="D103" i="18" s="1"/>
  <c r="E103" i="18" s="1"/>
  <c r="F103" i="18" s="1"/>
  <c r="G103" i="18" s="1"/>
  <c r="H103" i="18" s="1"/>
  <c r="C43" i="18"/>
  <c r="D43" i="18" s="1"/>
  <c r="E43" i="18" s="1"/>
  <c r="F43" i="18" s="1"/>
  <c r="G43" i="18" s="1"/>
  <c r="H43" i="18" s="1"/>
  <c r="C31" i="18"/>
  <c r="D31" i="18" s="1"/>
  <c r="E31" i="18" s="1"/>
  <c r="F31" i="18" s="1"/>
  <c r="G31" i="18" s="1"/>
  <c r="H31" i="18" s="1"/>
  <c r="C67" i="18"/>
  <c r="D67" i="18" s="1"/>
  <c r="E67" i="18" s="1"/>
  <c r="F67" i="18" s="1"/>
  <c r="G67" i="18" s="1"/>
  <c r="H67" i="18" s="1"/>
  <c r="C79" i="18"/>
  <c r="D79" i="18" s="1"/>
  <c r="E79" i="18" s="1"/>
  <c r="F79" i="18" s="1"/>
  <c r="G79" i="18" s="1"/>
  <c r="H79" i="18" s="1"/>
  <c r="C19" i="18"/>
  <c r="D19" i="18" s="1"/>
  <c r="C55" i="18"/>
  <c r="D55" i="18" s="1"/>
  <c r="E55" i="18" s="1"/>
  <c r="F55" i="18" s="1"/>
  <c r="G55" i="18" s="1"/>
  <c r="H55" i="18" s="1"/>
  <c r="C91" i="18"/>
  <c r="D91" i="18" s="1"/>
  <c r="E91" i="18" s="1"/>
  <c r="F91" i="18" s="1"/>
  <c r="G91" i="18" s="1"/>
  <c r="H91" i="18" s="1"/>
  <c r="K91" i="18" l="1"/>
  <c r="E19" i="18"/>
  <c r="D8" i="18"/>
  <c r="D41" i="16" s="1"/>
  <c r="K67" i="18"/>
  <c r="K43" i="18"/>
  <c r="K19" i="18"/>
  <c r="K79" i="18"/>
  <c r="K31" i="18"/>
  <c r="L31" i="18" s="1"/>
  <c r="K55" i="18"/>
  <c r="L55" i="18" s="1"/>
  <c r="K103" i="18"/>
  <c r="L103" i="18" l="1"/>
  <c r="M31" i="18"/>
  <c r="L19" i="18"/>
  <c r="L67" i="18"/>
  <c r="L91" i="18"/>
  <c r="M55" i="18"/>
  <c r="L79" i="18"/>
  <c r="L43" i="18"/>
  <c r="E8" i="18"/>
  <c r="E41" i="16" s="1"/>
  <c r="F19" i="18"/>
  <c r="M43" i="18" l="1"/>
  <c r="M67" i="18"/>
  <c r="N55" i="18"/>
  <c r="N31" i="18"/>
  <c r="F8" i="18"/>
  <c r="F41" i="16" s="1"/>
  <c r="G19" i="18"/>
  <c r="M79" i="18"/>
  <c r="M91" i="18"/>
  <c r="M19" i="18"/>
  <c r="M103" i="18"/>
  <c r="O31" i="18" l="1"/>
  <c r="N103" i="18"/>
  <c r="G8" i="18"/>
  <c r="G41" i="16" s="1"/>
  <c r="H19" i="18"/>
  <c r="N19" i="18"/>
  <c r="N79" i="18"/>
  <c r="N67" i="18"/>
  <c r="N91" i="18"/>
  <c r="O55" i="18"/>
  <c r="N43" i="18"/>
  <c r="O103" i="18" l="1"/>
  <c r="O43" i="18"/>
  <c r="O79" i="18"/>
  <c r="O67" i="18"/>
  <c r="O19" i="18"/>
  <c r="O91" i="18"/>
  <c r="H8" i="18"/>
  <c r="H41" i="16" s="1"/>
  <c r="I41" i="16" s="1"/>
  <c r="C20" i="18" l="1"/>
  <c r="D20" i="18" s="1"/>
  <c r="C80" i="18"/>
  <c r="D80" i="18" s="1"/>
  <c r="C56" i="18"/>
  <c r="D56" i="18" s="1"/>
  <c r="C44" i="18"/>
  <c r="D44" i="18" s="1"/>
  <c r="C68" i="18"/>
  <c r="D68" i="18" s="1"/>
  <c r="C92" i="18"/>
  <c r="D92" i="18" s="1"/>
  <c r="C104" i="18"/>
  <c r="D104" i="18" s="1"/>
  <c r="D46" i="18" l="1"/>
  <c r="E44" i="18"/>
  <c r="F44" i="18" s="1"/>
  <c r="G44" i="18" s="1"/>
  <c r="H44" i="18" s="1"/>
  <c r="H46" i="18" s="1"/>
  <c r="D106" i="18"/>
  <c r="E104" i="18"/>
  <c r="F104" i="18" s="1"/>
  <c r="G104" i="18" s="1"/>
  <c r="H104" i="18" s="1"/>
  <c r="H106" i="18" s="1"/>
  <c r="D58" i="18"/>
  <c r="E56" i="18"/>
  <c r="F56" i="18" s="1"/>
  <c r="G56" i="18" s="1"/>
  <c r="H56" i="18" s="1"/>
  <c r="H58" i="18" s="1"/>
  <c r="D94" i="18"/>
  <c r="E92" i="18"/>
  <c r="F92" i="18" s="1"/>
  <c r="G92" i="18" s="1"/>
  <c r="H92" i="18" s="1"/>
  <c r="H94" i="18" s="1"/>
  <c r="D82" i="18"/>
  <c r="E80" i="18"/>
  <c r="F80" i="18" s="1"/>
  <c r="G80" i="18" s="1"/>
  <c r="H80" i="18" s="1"/>
  <c r="H82" i="18" s="1"/>
  <c r="D70" i="18"/>
  <c r="E68" i="18"/>
  <c r="F68" i="18" s="1"/>
  <c r="G68" i="18" s="1"/>
  <c r="H68" i="18" s="1"/>
  <c r="H70" i="18" s="1"/>
  <c r="K32" i="18"/>
  <c r="K56" i="18"/>
  <c r="E20" i="18"/>
  <c r="D22" i="18"/>
  <c r="C70" i="18"/>
  <c r="C106" i="18"/>
  <c r="K68" i="18"/>
  <c r="E70" i="18"/>
  <c r="H34" i="18"/>
  <c r="D34" i="18"/>
  <c r="G34" i="18"/>
  <c r="F34" i="18"/>
  <c r="E34" i="18"/>
  <c r="C46" i="18"/>
  <c r="C82" i="18"/>
  <c r="K104" i="18"/>
  <c r="K44" i="18"/>
  <c r="K80" i="18"/>
  <c r="K92" i="18"/>
  <c r="C34" i="18"/>
  <c r="C58" i="18"/>
  <c r="C22" i="18"/>
  <c r="F70" i="18" l="1"/>
  <c r="G46" i="18"/>
  <c r="F46" i="18"/>
  <c r="F58" i="18"/>
  <c r="E46" i="18"/>
  <c r="E82" i="18"/>
  <c r="G58" i="18"/>
  <c r="G82" i="18"/>
  <c r="E58" i="18"/>
  <c r="F106" i="18"/>
  <c r="G106" i="18"/>
  <c r="F94" i="18"/>
  <c r="G70" i="18"/>
  <c r="E106" i="18"/>
  <c r="E94" i="18"/>
  <c r="F82" i="18"/>
  <c r="G94" i="18"/>
  <c r="D9" i="18"/>
  <c r="D42" i="16" s="1"/>
  <c r="L80" i="18"/>
  <c r="K82" i="18"/>
  <c r="L104" i="18"/>
  <c r="K106" i="18"/>
  <c r="E9" i="18"/>
  <c r="E42" i="16" s="1"/>
  <c r="F20" i="18"/>
  <c r="E22" i="18"/>
  <c r="L92" i="18"/>
  <c r="K94" i="18"/>
  <c r="D11" i="18"/>
  <c r="K34" i="18"/>
  <c r="L32" i="18"/>
  <c r="K22" i="18"/>
  <c r="L44" i="18"/>
  <c r="K46" i="18"/>
  <c r="K58" i="18"/>
  <c r="L56" i="18"/>
  <c r="L68" i="18"/>
  <c r="K70" i="18"/>
  <c r="D44" i="16" l="1"/>
  <c r="M104" i="18"/>
  <c r="L106" i="18"/>
  <c r="M56" i="18"/>
  <c r="L58" i="18"/>
  <c r="M32" i="18"/>
  <c r="L34" i="18"/>
  <c r="M92" i="18"/>
  <c r="L94" i="18"/>
  <c r="M68" i="18"/>
  <c r="L70" i="18"/>
  <c r="E11" i="18"/>
  <c r="M44" i="18"/>
  <c r="L46" i="18"/>
  <c r="L22" i="18"/>
  <c r="G20" i="18"/>
  <c r="F9" i="18"/>
  <c r="F42" i="16" s="1"/>
  <c r="F22" i="18"/>
  <c r="M80" i="18"/>
  <c r="L82" i="18"/>
  <c r="C47" i="8" l="1"/>
  <c r="N92" i="18"/>
  <c r="M94" i="18"/>
  <c r="N104" i="18"/>
  <c r="M106" i="18"/>
  <c r="N80" i="18"/>
  <c r="M82" i="18"/>
  <c r="N44" i="18"/>
  <c r="M46" i="18"/>
  <c r="M22" i="18"/>
  <c r="E44" i="16"/>
  <c r="N32" i="18"/>
  <c r="M34" i="18"/>
  <c r="F11" i="18"/>
  <c r="H20" i="18"/>
  <c r="G9" i="18"/>
  <c r="G42" i="16" s="1"/>
  <c r="G22" i="18"/>
  <c r="N68" i="18"/>
  <c r="M70" i="18"/>
  <c r="N56" i="18"/>
  <c r="M58" i="18"/>
  <c r="O56" i="18" l="1"/>
  <c r="O58" i="18" s="1"/>
  <c r="N58" i="18"/>
  <c r="H9" i="18"/>
  <c r="H42" i="16" s="1"/>
  <c r="H22" i="18"/>
  <c r="O22" i="18"/>
  <c r="N22" i="18"/>
  <c r="O32" i="18"/>
  <c r="O34" i="18" s="1"/>
  <c r="N34" i="18"/>
  <c r="O104" i="18"/>
  <c r="O106" i="18" s="1"/>
  <c r="N106" i="18"/>
  <c r="O44" i="18"/>
  <c r="O46" i="18" s="1"/>
  <c r="N46" i="18"/>
  <c r="O80" i="18"/>
  <c r="O82" i="18" s="1"/>
  <c r="N82" i="18"/>
  <c r="O68" i="18"/>
  <c r="O70" i="18" s="1"/>
  <c r="N70" i="18"/>
  <c r="O92" i="18"/>
  <c r="O94" i="18" s="1"/>
  <c r="N94" i="18"/>
  <c r="F44" i="16"/>
  <c r="G11" i="18"/>
  <c r="D47" i="8"/>
  <c r="E47" i="8" l="1"/>
  <c r="H11" i="18"/>
  <c r="I42" i="16"/>
  <c r="G44" i="16"/>
  <c r="F47" i="8" l="1"/>
  <c r="H44" i="16"/>
  <c r="I44" i="16" l="1"/>
  <c r="G47" i="8"/>
  <c r="H47" i="8" l="1"/>
  <c r="K3" i="18" l="1"/>
  <c r="D23" i="18"/>
  <c r="D107" i="18"/>
  <c r="D35" i="18"/>
  <c r="D47" i="18"/>
  <c r="D83" i="18"/>
  <c r="D95" i="18"/>
  <c r="D71" i="18"/>
  <c r="D59" i="18"/>
  <c r="C107" i="18"/>
  <c r="H107" i="18"/>
  <c r="H83" i="18"/>
  <c r="H95" i="18"/>
  <c r="H35" i="18"/>
  <c r="O3" i="18"/>
  <c r="H23" i="18"/>
  <c r="H47" i="18"/>
  <c r="H59" i="18"/>
  <c r="H71" i="18"/>
  <c r="N41" i="11"/>
  <c r="C47" i="18" s="1"/>
  <c r="C95" i="18"/>
  <c r="N28" i="11"/>
  <c r="C35" i="18" s="1"/>
  <c r="G35" i="18"/>
  <c r="G47" i="18"/>
  <c r="N3" i="18"/>
  <c r="G95" i="18"/>
  <c r="G59" i="18"/>
  <c r="G71" i="18"/>
  <c r="G83" i="18"/>
  <c r="G107" i="18"/>
  <c r="G23" i="18"/>
  <c r="N15" i="11"/>
  <c r="C23" i="18" s="1"/>
  <c r="C83" i="18"/>
  <c r="F59" i="18"/>
  <c r="F83" i="18"/>
  <c r="F71" i="18"/>
  <c r="F35" i="18"/>
  <c r="F107" i="18"/>
  <c r="F23" i="18"/>
  <c r="F47" i="18"/>
  <c r="M3" i="18"/>
  <c r="F95" i="18"/>
  <c r="N54" i="11"/>
  <c r="C59" i="18" s="1"/>
  <c r="C71" i="18"/>
  <c r="E59" i="18"/>
  <c r="E83" i="18"/>
  <c r="E71" i="18"/>
  <c r="E107" i="18"/>
  <c r="E47" i="18"/>
  <c r="E23" i="18"/>
  <c r="L3" i="18"/>
  <c r="E95" i="18"/>
  <c r="E35" i="18"/>
  <c r="E12" i="18" l="1"/>
  <c r="D12" i="18"/>
  <c r="M35" i="18"/>
  <c r="M95" i="18"/>
  <c r="M83" i="18"/>
  <c r="M107" i="18"/>
  <c r="M23" i="18"/>
  <c r="M59" i="18"/>
  <c r="M47" i="18"/>
  <c r="M71" i="18"/>
  <c r="G12" i="18"/>
  <c r="K47" i="18"/>
  <c r="K71" i="18"/>
  <c r="K35" i="18"/>
  <c r="K23" i="18"/>
  <c r="K107" i="18"/>
  <c r="K83" i="18"/>
  <c r="K95" i="18"/>
  <c r="K59" i="18"/>
  <c r="H12" i="18"/>
  <c r="L107" i="18"/>
  <c r="L59" i="18"/>
  <c r="L83" i="18"/>
  <c r="L95" i="18"/>
  <c r="L71" i="18"/>
  <c r="L47" i="18"/>
  <c r="L35" i="18"/>
  <c r="L23" i="18"/>
  <c r="F12" i="18"/>
  <c r="N83" i="18"/>
  <c r="N23" i="18"/>
  <c r="N59" i="18"/>
  <c r="N71" i="18"/>
  <c r="N95" i="18"/>
  <c r="N35" i="18"/>
  <c r="N107" i="18"/>
  <c r="N47" i="18"/>
  <c r="O47" i="18"/>
  <c r="O107" i="18"/>
  <c r="O59" i="18"/>
  <c r="O95" i="18"/>
  <c r="O83" i="18"/>
  <c r="O23" i="18"/>
  <c r="O35" i="18"/>
  <c r="O71" i="18"/>
  <c r="D45" i="16" l="1"/>
  <c r="F45" i="16"/>
  <c r="E45" i="16"/>
  <c r="H45" i="16"/>
  <c r="G45" i="16"/>
  <c r="I45" i="16" l="1"/>
  <c r="Q23" i="11" l="1"/>
  <c r="Q48" i="11"/>
  <c r="Q46" i="11"/>
  <c r="Q49" i="11"/>
  <c r="Q25" i="11"/>
  <c r="Q37" i="11"/>
  <c r="Q21" i="11"/>
  <c r="Q12" i="11"/>
  <c r="Q33" i="11"/>
  <c r="Q39" i="11"/>
  <c r="Q51" i="11"/>
  <c r="Q13" i="11"/>
  <c r="Q24" i="11"/>
  <c r="Q10" i="11"/>
  <c r="Q26" i="11"/>
  <c r="Q35" i="11"/>
  <c r="H24" i="18" l="1"/>
  <c r="H84" i="18"/>
  <c r="H85" i="18" s="1"/>
  <c r="H86" i="18" s="1"/>
  <c r="H88" i="18" s="1"/>
  <c r="H11" i="16" s="1"/>
  <c r="H36" i="18"/>
  <c r="H37" i="18" s="1"/>
  <c r="H38" i="18" s="1"/>
  <c r="H40" i="18" s="1"/>
  <c r="H7" i="16" s="1"/>
  <c r="H48" i="18"/>
  <c r="H49" i="18" s="1"/>
  <c r="H50" i="18" s="1"/>
  <c r="H52" i="18" s="1"/>
  <c r="H8" i="16" s="1"/>
  <c r="H72" i="18"/>
  <c r="H73" i="18" s="1"/>
  <c r="H74" i="18" s="1"/>
  <c r="H76" i="18" s="1"/>
  <c r="H10" i="16" s="1"/>
  <c r="H60" i="18"/>
  <c r="H61" i="18" s="1"/>
  <c r="H62" i="18" s="1"/>
  <c r="H64" i="18" s="1"/>
  <c r="H9" i="16" s="1"/>
  <c r="O4" i="18"/>
  <c r="H108" i="18"/>
  <c r="H109" i="18" s="1"/>
  <c r="H110" i="18" s="1"/>
  <c r="H112" i="18" s="1"/>
  <c r="H13" i="16" s="1"/>
  <c r="H96" i="18"/>
  <c r="H97" i="18" s="1"/>
  <c r="H98" i="18" s="1"/>
  <c r="H100" i="18" s="1"/>
  <c r="H12" i="16" s="1"/>
  <c r="O15" i="11"/>
  <c r="C24" i="18" s="1"/>
  <c r="Q7" i="11"/>
  <c r="Q52" i="11"/>
  <c r="Q36" i="11"/>
  <c r="F48" i="18"/>
  <c r="F49" i="18" s="1"/>
  <c r="F50" i="18" s="1"/>
  <c r="F52" i="18" s="1"/>
  <c r="F8" i="16" s="1"/>
  <c r="F84" i="18"/>
  <c r="F85" i="18" s="1"/>
  <c r="F86" i="18" s="1"/>
  <c r="F88" i="18" s="1"/>
  <c r="F11" i="16" s="1"/>
  <c r="F36" i="18"/>
  <c r="F37" i="18" s="1"/>
  <c r="F38" i="18" s="1"/>
  <c r="F40" i="18" s="1"/>
  <c r="F7" i="16" s="1"/>
  <c r="F72" i="18"/>
  <c r="F73" i="18" s="1"/>
  <c r="F74" i="18" s="1"/>
  <c r="F76" i="18" s="1"/>
  <c r="F10" i="16" s="1"/>
  <c r="F60" i="18"/>
  <c r="F61" i="18" s="1"/>
  <c r="F62" i="18" s="1"/>
  <c r="F64" i="18" s="1"/>
  <c r="F9" i="16" s="1"/>
  <c r="M4" i="18"/>
  <c r="F24" i="18"/>
  <c r="F108" i="18"/>
  <c r="F109" i="18" s="1"/>
  <c r="F110" i="18" s="1"/>
  <c r="F112" i="18" s="1"/>
  <c r="F13" i="16" s="1"/>
  <c r="F96" i="18"/>
  <c r="F97" i="18" s="1"/>
  <c r="F98" i="18" s="1"/>
  <c r="F100" i="18" s="1"/>
  <c r="F12" i="16" s="1"/>
  <c r="Q40" i="11"/>
  <c r="O28" i="11"/>
  <c r="C36" i="18" s="1"/>
  <c r="Q20" i="11"/>
  <c r="O41" i="11"/>
  <c r="C48" i="18" s="1"/>
  <c r="Q32" i="11"/>
  <c r="Q11" i="11"/>
  <c r="Q27" i="11"/>
  <c r="Q34" i="11"/>
  <c r="E84" i="18"/>
  <c r="E85" i="18" s="1"/>
  <c r="E86" i="18" s="1"/>
  <c r="E88" i="18" s="1"/>
  <c r="E11" i="16" s="1"/>
  <c r="L4" i="18"/>
  <c r="E24" i="18"/>
  <c r="E48" i="18"/>
  <c r="E49" i="18" s="1"/>
  <c r="E50" i="18" s="1"/>
  <c r="E52" i="18" s="1"/>
  <c r="E8" i="16" s="1"/>
  <c r="E36" i="18"/>
  <c r="E37" i="18" s="1"/>
  <c r="E38" i="18" s="1"/>
  <c r="E40" i="18" s="1"/>
  <c r="E7" i="16" s="1"/>
  <c r="E108" i="18"/>
  <c r="E109" i="18" s="1"/>
  <c r="E110" i="18" s="1"/>
  <c r="E112" i="18" s="1"/>
  <c r="E13" i="16" s="1"/>
  <c r="E96" i="18"/>
  <c r="E97" i="18" s="1"/>
  <c r="E98" i="18" s="1"/>
  <c r="E100" i="18" s="1"/>
  <c r="E12" i="16" s="1"/>
  <c r="E60" i="18"/>
  <c r="E61" i="18" s="1"/>
  <c r="E62" i="18" s="1"/>
  <c r="E64" i="18" s="1"/>
  <c r="E9" i="16" s="1"/>
  <c r="E72" i="18"/>
  <c r="E73" i="18" s="1"/>
  <c r="E74" i="18" s="1"/>
  <c r="E76" i="18" s="1"/>
  <c r="E10" i="16" s="1"/>
  <c r="O54" i="11"/>
  <c r="C60" i="18" s="1"/>
  <c r="Q38" i="11"/>
  <c r="Q22" i="11"/>
  <c r="C85" i="18"/>
  <c r="C84" i="18"/>
  <c r="AY7" i="11"/>
  <c r="Q9" i="11"/>
  <c r="G72" i="18"/>
  <c r="G73" i="18" s="1"/>
  <c r="G74" i="18" s="1"/>
  <c r="G76" i="18" s="1"/>
  <c r="G10" i="16" s="1"/>
  <c r="G84" i="18"/>
  <c r="G85" i="18" s="1"/>
  <c r="G86" i="18" s="1"/>
  <c r="G88" i="18" s="1"/>
  <c r="G11" i="16" s="1"/>
  <c r="G60" i="18"/>
  <c r="G61" i="18" s="1"/>
  <c r="G62" i="18" s="1"/>
  <c r="G64" i="18" s="1"/>
  <c r="G9" i="16" s="1"/>
  <c r="G96" i="18"/>
  <c r="G97" i="18" s="1"/>
  <c r="G98" i="18" s="1"/>
  <c r="G100" i="18" s="1"/>
  <c r="G12" i="16" s="1"/>
  <c r="G48" i="18"/>
  <c r="G49" i="18" s="1"/>
  <c r="G50" i="18" s="1"/>
  <c r="G52" i="18" s="1"/>
  <c r="G8" i="16" s="1"/>
  <c r="G108" i="18"/>
  <c r="G109" i="18" s="1"/>
  <c r="G110" i="18" s="1"/>
  <c r="G112" i="18" s="1"/>
  <c r="G13" i="16" s="1"/>
  <c r="N4" i="18"/>
  <c r="G24" i="18"/>
  <c r="G36" i="18"/>
  <c r="G37" i="18" s="1"/>
  <c r="G38" i="18" s="1"/>
  <c r="G40" i="18" s="1"/>
  <c r="G7" i="16" s="1"/>
  <c r="K4" i="18"/>
  <c r="D96" i="18"/>
  <c r="D97" i="18" s="1"/>
  <c r="D98" i="18" s="1"/>
  <c r="D100" i="18" s="1"/>
  <c r="D12" i="16" s="1"/>
  <c r="D48" i="18"/>
  <c r="D49" i="18" s="1"/>
  <c r="D50" i="18" s="1"/>
  <c r="D52" i="18" s="1"/>
  <c r="D8" i="16" s="1"/>
  <c r="D36" i="18"/>
  <c r="D37" i="18" s="1"/>
  <c r="D38" i="18" s="1"/>
  <c r="D40" i="18" s="1"/>
  <c r="D7" i="16" s="1"/>
  <c r="D108" i="18"/>
  <c r="D109" i="18" s="1"/>
  <c r="D110" i="18" s="1"/>
  <c r="D112" i="18" s="1"/>
  <c r="D13" i="16" s="1"/>
  <c r="D24" i="18"/>
  <c r="D84" i="18"/>
  <c r="D85" i="18" s="1"/>
  <c r="D86" i="18" s="1"/>
  <c r="D88" i="18" s="1"/>
  <c r="D11" i="16" s="1"/>
  <c r="D60" i="18"/>
  <c r="D61" i="18" s="1"/>
  <c r="D62" i="18" s="1"/>
  <c r="D64" i="18" s="1"/>
  <c r="D9" i="16" s="1"/>
  <c r="D72" i="18"/>
  <c r="D73" i="18" s="1"/>
  <c r="D74" i="18" s="1"/>
  <c r="D76" i="18" s="1"/>
  <c r="D10" i="16" s="1"/>
  <c r="Q8" i="11"/>
  <c r="Q53" i="11"/>
  <c r="Q50" i="11"/>
  <c r="C72" i="18"/>
  <c r="C73" i="18"/>
  <c r="Q47" i="11"/>
  <c r="C96" i="18"/>
  <c r="C97" i="18"/>
  <c r="Q14" i="11"/>
  <c r="C109" i="18"/>
  <c r="C108" i="18"/>
  <c r="I10" i="16" l="1"/>
  <c r="I13" i="16"/>
  <c r="I9" i="16"/>
  <c r="P54" i="11"/>
  <c r="C61" i="18" s="1"/>
  <c r="CG7" i="11"/>
  <c r="C110" i="18" s="1"/>
  <c r="F10" i="8"/>
  <c r="C86" i="18"/>
  <c r="E25" i="18"/>
  <c r="E14" i="18" s="1"/>
  <c r="E47" i="16" s="1"/>
  <c r="E13" i="18"/>
  <c r="Q45" i="11"/>
  <c r="Q54" i="11" s="1"/>
  <c r="L48" i="18"/>
  <c r="L49" i="18" s="1"/>
  <c r="L50" i="18" s="1"/>
  <c r="L84" i="18"/>
  <c r="L85" i="18" s="1"/>
  <c r="L86" i="18" s="1"/>
  <c r="L60" i="18"/>
  <c r="L61" i="18" s="1"/>
  <c r="L62" i="18" s="1"/>
  <c r="L72" i="18"/>
  <c r="L73" i="18" s="1"/>
  <c r="L74" i="18" s="1"/>
  <c r="L108" i="18"/>
  <c r="L109" i="18" s="1"/>
  <c r="L110" i="18" s="1"/>
  <c r="L24" i="18"/>
  <c r="L25" i="18" s="1"/>
  <c r="L26" i="18" s="1"/>
  <c r="L36" i="18"/>
  <c r="L37" i="18" s="1"/>
  <c r="L38" i="18" s="1"/>
  <c r="L96" i="18"/>
  <c r="L97" i="18" s="1"/>
  <c r="L98" i="18" s="1"/>
  <c r="Q41" i="11"/>
  <c r="M36" i="18"/>
  <c r="M37" i="18" s="1"/>
  <c r="M38" i="18" s="1"/>
  <c r="M108" i="18"/>
  <c r="M109" i="18" s="1"/>
  <c r="M110" i="18" s="1"/>
  <c r="M84" i="18"/>
  <c r="M85" i="18" s="1"/>
  <c r="M86" i="18" s="1"/>
  <c r="M24" i="18"/>
  <c r="M25" i="18" s="1"/>
  <c r="M26" i="18" s="1"/>
  <c r="M60" i="18"/>
  <c r="M61" i="18" s="1"/>
  <c r="M62" i="18" s="1"/>
  <c r="M48" i="18"/>
  <c r="M49" i="18" s="1"/>
  <c r="M50" i="18" s="1"/>
  <c r="M72" i="18"/>
  <c r="M73" i="18" s="1"/>
  <c r="M74" i="18" s="1"/>
  <c r="M96" i="18"/>
  <c r="M97" i="18" s="1"/>
  <c r="M98" i="18" s="1"/>
  <c r="I11" i="16"/>
  <c r="BP7" i="11"/>
  <c r="AH7" i="11"/>
  <c r="D13" i="18"/>
  <c r="D25" i="18"/>
  <c r="D14" i="18" s="1"/>
  <c r="D47" i="16" s="1"/>
  <c r="I12" i="16"/>
  <c r="N108" i="18"/>
  <c r="N109" i="18" s="1"/>
  <c r="N110" i="18" s="1"/>
  <c r="N24" i="18"/>
  <c r="N25" i="18" s="1"/>
  <c r="N26" i="18" s="1"/>
  <c r="N48" i="18"/>
  <c r="N49" i="18" s="1"/>
  <c r="N50" i="18" s="1"/>
  <c r="N72" i="18"/>
  <c r="N73" i="18" s="1"/>
  <c r="N74" i="18" s="1"/>
  <c r="N60" i="18"/>
  <c r="N61" i="18" s="1"/>
  <c r="N62" i="18" s="1"/>
  <c r="N84" i="18"/>
  <c r="N85" i="18" s="1"/>
  <c r="N86" i="18" s="1"/>
  <c r="N96" i="18"/>
  <c r="N97" i="18" s="1"/>
  <c r="N98" i="18" s="1"/>
  <c r="N36" i="18"/>
  <c r="N37" i="18" s="1"/>
  <c r="N38" i="18" s="1"/>
  <c r="P41" i="11"/>
  <c r="C49" i="18" s="1"/>
  <c r="P15" i="11"/>
  <c r="C25" i="18" s="1"/>
  <c r="K72" i="18"/>
  <c r="K73" i="18" s="1"/>
  <c r="K74" i="18" s="1"/>
  <c r="K84" i="18"/>
  <c r="K85" i="18" s="1"/>
  <c r="K86" i="18" s="1"/>
  <c r="K108" i="18"/>
  <c r="K109" i="18" s="1"/>
  <c r="K110" i="18" s="1"/>
  <c r="K36" i="18"/>
  <c r="K37" i="18" s="1"/>
  <c r="K38" i="18" s="1"/>
  <c r="K96" i="18"/>
  <c r="K97" i="18" s="1"/>
  <c r="K98" i="18" s="1"/>
  <c r="K48" i="18"/>
  <c r="K49" i="18" s="1"/>
  <c r="K50" i="18" s="1"/>
  <c r="K24" i="18"/>
  <c r="K25" i="18" s="1"/>
  <c r="K26" i="18" s="1"/>
  <c r="K60" i="18"/>
  <c r="K61" i="18" s="1"/>
  <c r="K62" i="18" s="1"/>
  <c r="F13" i="18"/>
  <c r="F25" i="18"/>
  <c r="F14" i="18" s="1"/>
  <c r="F47" i="16" s="1"/>
  <c r="Q15" i="11"/>
  <c r="O96" i="18"/>
  <c r="O97" i="18" s="1"/>
  <c r="O98" i="18" s="1"/>
  <c r="O108" i="18"/>
  <c r="O109" i="18" s="1"/>
  <c r="O110" i="18" s="1"/>
  <c r="O36" i="18"/>
  <c r="O37" i="18" s="1"/>
  <c r="O38" i="18" s="1"/>
  <c r="O60" i="18"/>
  <c r="O61" i="18" s="1"/>
  <c r="O62" i="18" s="1"/>
  <c r="O24" i="18"/>
  <c r="O25" i="18" s="1"/>
  <c r="O26" i="18" s="1"/>
  <c r="O84" i="18"/>
  <c r="O85" i="18" s="1"/>
  <c r="O86" i="18" s="1"/>
  <c r="O48" i="18"/>
  <c r="O49" i="18" s="1"/>
  <c r="O50" i="18" s="1"/>
  <c r="O72" i="18"/>
  <c r="O73" i="18" s="1"/>
  <c r="O74" i="18" s="1"/>
  <c r="I7" i="16"/>
  <c r="I8" i="16"/>
  <c r="G13" i="18"/>
  <c r="G25" i="18"/>
  <c r="G14" i="18" s="1"/>
  <c r="G47" i="16" s="1"/>
  <c r="Q19" i="11"/>
  <c r="Q28" i="11" s="1"/>
  <c r="P28" i="11"/>
  <c r="C37" i="18" s="1"/>
  <c r="H13" i="18"/>
  <c r="H25" i="18"/>
  <c r="H14" i="18" s="1"/>
  <c r="H47" i="16" s="1"/>
  <c r="H10" i="8" l="1"/>
  <c r="G26" i="18"/>
  <c r="G28" i="18" s="1"/>
  <c r="G6" i="16" s="1"/>
  <c r="G14" i="16" s="1"/>
  <c r="F26" i="18"/>
  <c r="F28" i="18" s="1"/>
  <c r="F6" i="16" s="1"/>
  <c r="F14" i="16" s="1"/>
  <c r="D12" i="8"/>
  <c r="C50" i="18"/>
  <c r="C74" i="18"/>
  <c r="E10" i="8"/>
  <c r="H26" i="18"/>
  <c r="H28" i="18" s="1"/>
  <c r="C38" i="18"/>
  <c r="D11" i="8"/>
  <c r="C26" i="18"/>
  <c r="D10" i="8"/>
  <c r="I47" i="16"/>
  <c r="E15" i="18"/>
  <c r="E46" i="16"/>
  <c r="E48" i="16" s="1"/>
  <c r="D46" i="16"/>
  <c r="D48" i="16" s="1"/>
  <c r="D15" i="18"/>
  <c r="H46" i="16"/>
  <c r="H48" i="16" s="1"/>
  <c r="H15" i="18"/>
  <c r="C62" i="18"/>
  <c r="D13" i="8"/>
  <c r="G15" i="18"/>
  <c r="G16" i="18" s="1"/>
  <c r="G46" i="16"/>
  <c r="G48" i="16" s="1"/>
  <c r="F46" i="16"/>
  <c r="F48" i="16" s="1"/>
  <c r="F15" i="18"/>
  <c r="D26" i="18"/>
  <c r="D28" i="18" s="1"/>
  <c r="D6" i="16" s="1"/>
  <c r="C98" i="18"/>
  <c r="G10" i="8"/>
  <c r="E26" i="18"/>
  <c r="E28" i="18" s="1"/>
  <c r="E6" i="16" s="1"/>
  <c r="E14" i="16" s="1"/>
  <c r="F16" i="18" l="1"/>
  <c r="E16" i="18"/>
  <c r="F49" i="8"/>
  <c r="F51" i="8" s="1"/>
  <c r="G49" i="8"/>
  <c r="G51" i="8" s="1"/>
  <c r="D49" i="8"/>
  <c r="D51" i="8" s="1"/>
  <c r="D14" i="16"/>
  <c r="D16" i="18"/>
  <c r="E49" i="8"/>
  <c r="E51" i="8" s="1"/>
  <c r="I46" i="16"/>
  <c r="I48" i="16" s="1"/>
  <c r="C49" i="8"/>
  <c r="H6" i="16"/>
  <c r="H14" i="16" s="1"/>
  <c r="H16" i="18"/>
  <c r="I6" i="16" l="1"/>
  <c r="I14" i="16" s="1"/>
  <c r="C51" i="8"/>
  <c r="H49" i="8"/>
  <c r="H51" i="8" s="1"/>
</calcChain>
</file>

<file path=xl/sharedStrings.xml><?xml version="1.0" encoding="utf-8"?>
<sst xmlns="http://schemas.openxmlformats.org/spreadsheetml/2006/main" count="587" uniqueCount="200">
  <si>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</si>
  <si>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</si>
  <si>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</si>
  <si>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</si>
  <si>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</si>
  <si>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</si>
  <si>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</si>
  <si>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</si>
  <si>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</si>
  <si>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</si>
  <si>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</si>
  <si>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</si>
  <si>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</si>
  <si>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</si>
  <si>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</si>
  <si>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</si>
  <si>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</si>
  <si>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</si>
  <si>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</si>
  <si>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</si>
  <si>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</si>
  <si>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</si>
  <si>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</si>
  <si>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</si>
  <si>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</si>
  <si>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</si>
  <si>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</si>
  <si>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</si>
  <si>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</si>
  <si>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</si>
  <si>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</si>
  <si>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</si>
  <si>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</si>
  <si>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</si>
  <si>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</si>
  <si>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</si>
  <si>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</si>
  <si>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</si>
  <si>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</si>
  <si>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</si>
  <si>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</si>
  <si>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</si>
  <si>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Design Information - Underground urban residential subdivision (Vacant lots)</t>
  </si>
  <si>
    <t>Changes to Service or Pricing since prior Reg period</t>
  </si>
  <si>
    <t>AER Framework and Approach paper 1 July 2019</t>
  </si>
  <si>
    <t xml:space="preserve">Design related services
Activities includes:
· provision of design information, design rechecking services in relation to connection and relocation works provided contestably
· work of an administrative nature relating to work performed by Level 1 and Level 3 ASPs, including processing work
· the provision of engineering consulting (related to the shared distribution network). </t>
  </si>
  <si>
    <t>Detailed Service Description (2019-24)</t>
  </si>
  <si>
    <t xml:space="preserve">
The provision of information by a DNSP to enable an ASP accredited for level 3 work to prepare a design drawing and to submit it for certification.
This may include without limitation:
1.  deriving the estimated loading on the system, technically known as the ADMD (after diversity maximum demand). This estimate depends on such factors as the number of customers served and specific features of the customer’s demand
2.  copying drawings that show existing low and high voltage circuitry geographically and schematically) and adjacent project drawings
3.  specifying the preferred sizes for overhead wires (conductors) or underground wires (cables)
4.  specifying switchgear configuration type, number of pillars, lights etc
5.  determining the special requirements of the DNSP’s planning departments necessary to make electrical supply available to a development and cater for future projects 
6.  any necessary liaison with designers associated with assistance in sourcing design information and developing designs
7.  nominating network connection points.</t>
  </si>
  <si>
    <t>Operating costs</t>
  </si>
  <si>
    <t>Bottum Up cost estimation</t>
  </si>
  <si>
    <t>Fixed Fee</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</si>
  <si>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</si>
  <si>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</si>
  <si>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</si>
  <si>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</si>
  <si>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</si>
  <si>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</si>
  <si>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Design Information - Rural overhead subdivisions and rural extensions</t>
  </si>
  <si>
    <t>R2a</t>
  </si>
  <si>
    <t>Design Information - Underground commercial &amp; Industrial or rural subdivision (vacant lots)</t>
  </si>
  <si>
    <t>Alternative Control Service - Bottom Up Estimation</t>
  </si>
  <si>
    <t>Design Info up to 5 lots (fixed fee)</t>
  </si>
  <si>
    <t>Design Info 6 to 10 lots (fixed fee)</t>
  </si>
  <si>
    <t>Design Info 11 to 40 lots (fixed fee)</t>
  </si>
  <si>
    <t>Design Info over 40 lots (fixed fee)</t>
  </si>
  <si>
    <t>Design Info - All poles (hourly rate)</t>
  </si>
  <si>
    <t>Design Info - All lots (hourly rate)</t>
  </si>
  <si>
    <t xml:space="preserve">Design Information </t>
  </si>
  <si>
    <t>Underground urban residential subdivision</t>
  </si>
  <si>
    <t>Rural overhead subdivision &amp; rural extensions</t>
  </si>
  <si>
    <t>Upto 5 lots /poles</t>
  </si>
  <si>
    <t>6 to 10 lots / poles</t>
  </si>
  <si>
    <t>Over 40 lots / poles</t>
  </si>
  <si>
    <t>Upto 5 lots / poles</t>
  </si>
  <si>
    <t>Underground commercial &amp; industrial or rural subdivisions (vacant lots)</t>
  </si>
  <si>
    <t>Hrly Rate</t>
  </si>
  <si>
    <t>Network Service:</t>
  </si>
  <si>
    <t>FY16/17</t>
  </si>
  <si>
    <t>FY15/16</t>
  </si>
  <si>
    <t>FY14/15</t>
  </si>
  <si>
    <t>FY19/20</t>
  </si>
  <si>
    <t>FY20/21</t>
  </si>
  <si>
    <t>FY21/22</t>
  </si>
  <si>
    <t>FY23/24</t>
  </si>
  <si>
    <t>Commercial /  Industrial developments and Subtransmission</t>
  </si>
  <si>
    <t>Service description - Subtransmission added to Commercial and Industrial category.</t>
  </si>
  <si>
    <t>Populate assessment folder, notify team leader ready to assess</t>
  </si>
  <si>
    <t>Team leader job assessment, assign to appropriate officer</t>
  </si>
  <si>
    <t>Assess load &amp; network, determine appropriate method of supply, linkage point and funding principles</t>
  </si>
  <si>
    <t>Prepare and send HV Con/NCARR form</t>
  </si>
  <si>
    <t>Visit site to assess (average incl travel)</t>
  </si>
  <si>
    <t>Extract environmental GIS report &amp; import into DWG for ASP</t>
  </si>
  <si>
    <t>Extract supporting GIS views (LV/HV geographical, UG detail etc.)</t>
  </si>
  <si>
    <t>Prepare DIP document - no substation involved</t>
  </si>
  <si>
    <t>Technical liaison with designer re design</t>
  </si>
  <si>
    <t>Time on Task (Hours)</t>
  </si>
  <si>
    <t>Design Information - Commercial / Industrial developments and Subtransmission</t>
  </si>
  <si>
    <t>Design Information - Asset Relocation or Streetlighting</t>
  </si>
  <si>
    <t>Asset relocation or streetlighting (not forming part of other categories)</t>
  </si>
  <si>
    <t xml:space="preserve">11 to 40 lots </t>
  </si>
  <si>
    <t>Service description - Asset relocation or streetlighting - (not forming part of other categories) added into description.</t>
  </si>
  <si>
    <t xml:space="preserve">Design Info </t>
  </si>
  <si>
    <t xml:space="preserve">Existing Service Description (2014 - 19) </t>
  </si>
  <si>
    <t>$150.59 or $193.22</t>
  </si>
  <si>
    <t>Bottom Up Estimation</t>
  </si>
  <si>
    <t>6 to 10 lots</t>
  </si>
  <si>
    <t>11 to 40 lots</t>
  </si>
  <si>
    <t>Over 40 lots</t>
  </si>
  <si>
    <t>Per Job</t>
  </si>
  <si>
    <t>Project Code</t>
  </si>
  <si>
    <t>ACSW 30300</t>
  </si>
  <si>
    <t>Forecast Revenue</t>
  </si>
  <si>
    <t>FY22/23</t>
  </si>
  <si>
    <t>Projected Volumes for FY2019-24 Regulatory Period</t>
  </si>
  <si>
    <t>Operating Costs (on IO's, work orders, cost objects, cost centres)</t>
  </si>
  <si>
    <t>ANS P&amp;L</t>
  </si>
  <si>
    <t>RIN</t>
  </si>
  <si>
    <t xml:space="preserve">Operating Costs - </t>
  </si>
  <si>
    <t xml:space="preserve">Historical Operating Costs referenced from ANS P&amp;L Report. </t>
  </si>
  <si>
    <t xml:space="preserve">Historical revenue referenced from ANS P&amp;L Report. </t>
  </si>
  <si>
    <t>Design Officer</t>
  </si>
  <si>
    <t>Underground Residential - Upto 5 Lots</t>
  </si>
  <si>
    <t>Underground Residential - 6 to 10 Lots</t>
  </si>
  <si>
    <t>Underground Residential - 11 to 40 Lots</t>
  </si>
  <si>
    <t>Underground Residential - Over 40 Lots</t>
  </si>
  <si>
    <t>ACSW 30300 - Design Information</t>
  </si>
  <si>
    <t>FY16/17 Completed Volumes</t>
  </si>
  <si>
    <t>Volume</t>
  </si>
  <si>
    <t>1 UG Urban residential subdivision (Vacant Lots)</t>
  </si>
  <si>
    <t>Up to 5 lots</t>
  </si>
  <si>
    <t>2 Rural OH subdivisions and Rural extensions</t>
  </si>
  <si>
    <t>3 UG Commercial or Rural Subdivisions (Vacant Lots)</t>
  </si>
  <si>
    <t>4 Commercial and Industrial developments</t>
  </si>
  <si>
    <t>5 Asset Relocation and Streetlighting</t>
  </si>
  <si>
    <t>Grand Total</t>
  </si>
  <si>
    <t>R2 Hourly Rate</t>
  </si>
  <si>
    <t>Rural OH Subdivisions &amp; Rural Extensions</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</si>
  <si>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</si>
  <si>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Bottom up Estimation time input consistent with 2014-19 submission.</t>
  </si>
  <si>
    <t xml:space="preserve">
Design Information
The provision of information by a DNSP to enable an ASP accredited for level 3 work to prepare a design drawing and to submit it for certification.
This may include without limitation:
1.  deriving the estimated loading on the system, technically known as the ADMD (after diversity maximum demand). This estimate depends on such factors as the number of customers served and specific features of the customer’s demand
2.  copying drawings that show existing low and high voltage circuitry geographically and schematically) and adjacent project drawings
3.  specifying the preferred sizes for overhead wires (conductors) or underground wires (cables)
4.  specifying switchgear configuration type, number of pillars, lights etc
5.  determining the special requirements of the DNSP’s planning departments necessary to make electrical supply available to a development and cater for future projects 
6.  any necessary liaison with designers associated with assistance in sourcing design information and developing designs
7.  nominating network connection points.</t>
  </si>
  <si>
    <t xml:space="preserve"> - </t>
  </si>
  <si>
    <t>FY17/18</t>
  </si>
  <si>
    <t>FY18/19</t>
  </si>
  <si>
    <t>FY14/15 operating costs  - N/A</t>
  </si>
  <si>
    <t>FY15/16 operating costs  - Actuals</t>
  </si>
  <si>
    <t>FY17/18 operating costs  - Pro rata based on YTD Dec17 values</t>
  </si>
  <si>
    <t>FY14/15 revenue  - N/A</t>
  </si>
  <si>
    <t>FY15/16 revenue  - Actuals</t>
  </si>
  <si>
    <t>FY16/17 revenue  - Actuals</t>
  </si>
  <si>
    <t>FY17/18 revenue  - Pro rata based on YTD Dec17 values</t>
  </si>
  <si>
    <t>FY16/17 operating costs  - Actuals</t>
  </si>
  <si>
    <t>FY18/19 revenue  - Estimated of FY17/18 * 2.5% CPI</t>
  </si>
  <si>
    <t>FY18/19 operating costs  - Estimated of FY17/18 * 2.5% CPI</t>
  </si>
  <si>
    <t>Rural OH Subdivisions &amp; Rural Extensions - Hrs</t>
  </si>
  <si>
    <t>Underground commercial &amp; industrial or rural subdivisions (vacant lots) - Hrs</t>
  </si>
  <si>
    <t>Commercial /  Industrial developments and Subtransmission - Hrs</t>
  </si>
  <si>
    <t>Asset relocation or streetlighting (not forming part of other categories) - Hrs</t>
  </si>
  <si>
    <t>Real $2018-19</t>
  </si>
  <si>
    <t>Profit margin (WACC FY20) per service</t>
  </si>
  <si>
    <t>FY2019 Fully Loaded Cost per service</t>
  </si>
  <si>
    <t>Fleet rate</t>
  </si>
  <si>
    <t>Non-system charge</t>
  </si>
  <si>
    <t>Direct cost per service</t>
  </si>
  <si>
    <t>Overheads</t>
  </si>
  <si>
    <t>Direct Labour Rate (incl on-costs)</t>
  </si>
  <si>
    <t>Materials</t>
  </si>
  <si>
    <t>Per service</t>
  </si>
  <si>
    <t>Proposed Fee ($2018/19 - Excl GST)</t>
  </si>
  <si>
    <t>Profit margin</t>
  </si>
  <si>
    <t>Real 2018-19 (including labour escalation)</t>
  </si>
  <si>
    <t>Fully Loaded Cost per service</t>
  </si>
  <si>
    <t>2019-20</t>
  </si>
  <si>
    <t>2020-21</t>
  </si>
  <si>
    <t>2021-22</t>
  </si>
  <si>
    <t>2022-23</t>
  </si>
  <si>
    <t>2023-24</t>
  </si>
  <si>
    <t>Labour escalation</t>
  </si>
  <si>
    <t>Overhead rate</t>
  </si>
  <si>
    <t>Average non-system charge</t>
  </si>
  <si>
    <t>WACC rate</t>
  </si>
  <si>
    <t>Forecast volumes</t>
  </si>
  <si>
    <t>Forecast revenue</t>
  </si>
  <si>
    <t>Real 2018-19 including escalation</t>
  </si>
  <si>
    <t>Fully Loaded Costs</t>
  </si>
  <si>
    <t>1.1 Design information</t>
  </si>
  <si>
    <t>Forecast revenue (check)</t>
  </si>
  <si>
    <t>ORDINARY LABOUR TIME</t>
  </si>
  <si>
    <t>OVERTIME</t>
  </si>
  <si>
    <t>Labour</t>
  </si>
  <si>
    <t>Fleet</t>
  </si>
  <si>
    <t>Total before OHDs, non-system &amp; margin</t>
  </si>
  <si>
    <t>Overtime loading?
0 = No
1 = Yes</t>
  </si>
  <si>
    <t>Total costs before OHDs, non-system and margin</t>
  </si>
  <si>
    <t>Contractor rate increase</t>
  </si>
  <si>
    <t>Material Price</t>
  </si>
  <si>
    <t>Material Price Oncost %</t>
  </si>
  <si>
    <t>Total Direct Costs $2018/19</t>
  </si>
  <si>
    <t>Total Indirect Costs $2018/19</t>
  </si>
  <si>
    <t>TOTAL COSTS $2018/19</t>
  </si>
  <si>
    <t xml:space="preserve">Estimates have been provided on the work effort that will be required to complete each service.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</si>
</sst>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2" formatCode="#,##0_ ;\-#,##0\ "/>
    <numFmt numFmtId="173" formatCode="_(* #,##0_);_(* \(#,##0\);_(* &quot;-&quot;??_);_(@_)"/>
  </numFmts>
  <fonts count="4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sz val="10"/>
      <color theme="1"/>
      <name val="Calibri"/>
      <family val="2"/>
      <scheme val="minor"/>
    </font>
    <font>
      <b/>
      <sz val="10"/>
      <color theme="0"/>
      <name val="Arial"/>
      <family val="2"/>
    </font>
    <font>
      <sz val="10"/>
      <color theme="0"/>
      <name val="Arial"/>
      <family val="2"/>
    </font>
    <font>
      <b/>
      <sz val="10"/>
      <name val="Arial"/>
      <family val="2"/>
    </font>
    <font>
      <sz val="10"/>
      <color theme="1"/>
      <name val="Arial"/>
      <family val="2"/>
    </font>
    <font>
      <b/>
      <sz val="10"/>
      <color theme="1"/>
      <name val="Arial"/>
      <family val="2"/>
    </font>
    <font>
      <sz val="10"/>
      <name val="Arial"/>
      <family val="2"/>
    </font>
    <font>
      <sz val="10"/>
      <color rgb="FFFF0000"/>
      <name val="Arial"/>
      <family val="2"/>
    </font>
    <font>
      <b/>
      <sz val="11"/>
      <color theme="1"/>
      <name val="Calibri"/>
      <family val="2"/>
      <scheme val="minor"/>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sz val="10"/>
      <color theme="0"/>
      <name val="Arial"/>
      <family val="2"/>
    </font>
    <font>
      <sz val="11"/>
      <color theme="1"/>
      <name val="Calibri"/>
      <family val="2"/>
      <scheme val="minor"/>
    </font>
    <font>
      <b/>
      <sz val="12"/>
      <color theme="1"/>
      <name val="Calibri"/>
      <family val="2"/>
      <scheme val="minor"/>
    </font>
    <font>
      <b/>
      <sz val="10"/>
      <color theme="0"/>
      <name val="Arial"/>
      <family val="2"/>
    </font>
    <font>
      <sz val="10"/>
      <color theme="1"/>
      <name val="Arial"/>
      <family val="2"/>
    </font>
    <font>
      <b/>
      <sz val="10"/>
      <color theme="1"/>
      <name val="Arial"/>
      <family val="2"/>
    </font>
    <font>
      <b/>
      <sz val="11"/>
      <color theme="1"/>
      <name val="Calibri"/>
      <family val="2"/>
      <scheme val="minor"/>
    </font>
    <font>
      <b/>
      <sz val="10"/>
      <name val="Arial"/>
      <family val="2"/>
    </font>
    <font>
      <b/>
      <sz val="11"/>
      <color theme="1"/>
      <name val="Arial"/>
      <family val="2"/>
    </font>
    <font>
      <sz val="10"/>
      <color theme="3"/>
      <name val="Arial"/>
      <family val="2"/>
    </font>
    <font>
      <b/>
      <sz val="10"/>
      <color theme="3"/>
      <name val="Arial"/>
      <family val="2"/>
    </font>
  </fonts>
  <fills count="17">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4" tint="0.79998168889431442"/>
        <bgColor theme="4" tint="0.79998168889431442"/>
      </patternFill>
    </fill>
    <fill>
      <patternFill patternType="solid">
        <fgColor rgb="FF002060"/>
        <bgColor indexed="64"/>
      </patternFill>
    </fill>
    <fill>
      <patternFill patternType="solid">
        <fgColor theme="1" tint="4.9989318521683403E-2"/>
        <bgColor indexed="64"/>
      </patternFill>
    </fill>
    <fill>
      <patternFill patternType="solid">
        <fgColor theme="1" tint="0.499984740745262"/>
        <bgColor indexed="64"/>
      </patternFill>
    </fill>
    <fill>
      <patternFill patternType="solid">
        <fgColor theme="5"/>
        <bgColor indexed="64"/>
      </patternFill>
    </fill>
  </fills>
  <borders count="1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auto="1"/>
      </left>
      <right style="thin">
        <color auto="1"/>
      </right>
      <top style="thin">
        <color auto="1"/>
      </top>
      <bottom style="thin">
        <color auto="1"/>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4" fillId="0" borderId="0"/>
  </cellStyleXfs>
  <cellXfs count="347">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applyAlignment="1">
      <alignment horizontal="lef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6" fontId="7" fillId="5" borderId="8" xfId="2" applyNumberFormat="1" applyFont="1" applyFill="1" applyBorder="1"/>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6" fontId="7" fillId="5" borderId="9" xfId="2" applyNumberFormat="1" applyFont="1" applyFill="1" applyBorder="1"/>
    <xf numFmtId="166" fontId="7" fillId="5" borderId="10" xfId="2" applyNumberFormat="1" applyFont="1" applyFill="1" applyBorder="1"/>
    <xf numFmtId="0" fontId="5" fillId="8" borderId="0" xfId="0" applyFont="1" applyFill="1"/>
    <xf numFmtId="0" fontId="8" fillId="8" borderId="0" xfId="0" applyFont="1" applyFill="1"/>
    <xf numFmtId="0" fontId="2" fillId="10" borderId="4" xfId="0" applyFont="1" applyFill="1" applyBorder="1"/>
    <xf numFmtId="166" fontId="2" fillId="10" borderId="4" xfId="2" applyNumberFormat="1" applyFont="1" applyFill="1" applyBorder="1"/>
    <xf numFmtId="0" fontId="5" fillId="8" borderId="12" xfId="0" applyFont="1" applyFill="1" applyBorder="1"/>
    <xf numFmtId="0" fontId="8" fillId="8" borderId="12"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8" borderId="0" xfId="0" applyFont="1" applyFill="1" applyAlignment="1">
      <alignment horizontal="left"/>
    </xf>
    <xf numFmtId="0" fontId="7" fillId="9" borderId="6" xfId="0" applyFont="1" applyFill="1" applyBorder="1" applyAlignment="1">
      <alignment horizontal="left"/>
    </xf>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7" fillId="5" borderId="7" xfId="0" applyFont="1" applyFill="1" applyBorder="1" applyAlignment="1">
      <alignment horizontal="center"/>
    </xf>
    <xf numFmtId="3" fontId="2" fillId="10" borderId="4" xfId="0" applyNumberFormat="1" applyFont="1" applyFill="1" applyBorder="1"/>
    <xf numFmtId="166" fontId="2" fillId="10" borderId="5" xfId="2" applyNumberFormat="1" applyFont="1" applyFill="1" applyBorder="1" applyAlignment="1">
      <alignment horizontal="center"/>
    </xf>
    <xf numFmtId="0" fontId="2" fillId="10" borderId="4" xfId="0" applyFont="1" applyFill="1" applyBorder="1" applyAlignment="1">
      <alignment horizontal="left"/>
    </xf>
    <xf numFmtId="0" fontId="7" fillId="5" borderId="8" xfId="0" applyFont="1" applyFill="1" applyBorder="1" applyAlignment="1">
      <alignment horizontal="center"/>
    </xf>
    <xf numFmtId="164" fontId="6" fillId="0" borderId="0" xfId="0" applyNumberFormat="1" applyFont="1"/>
    <xf numFmtId="168" fontId="6" fillId="0" borderId="0" xfId="0" applyNumberFormat="1" applyFont="1"/>
    <xf numFmtId="0" fontId="12" fillId="0" borderId="0" xfId="0" applyFont="1"/>
    <xf numFmtId="0" fontId="13" fillId="8" borderId="11" xfId="0" applyFont="1" applyFill="1" applyBorder="1"/>
    <xf numFmtId="0" fontId="14" fillId="8" borderId="12" xfId="0" applyFont="1" applyFill="1" applyBorder="1"/>
    <xf numFmtId="0" fontId="12" fillId="0" borderId="0" xfId="0" applyFont="1" applyAlignment="1">
      <alignment horizontal="center"/>
    </xf>
    <xf numFmtId="0" fontId="15" fillId="5" borderId="4" xfId="0" applyFont="1" applyFill="1" applyBorder="1"/>
    <xf numFmtId="0" fontId="15" fillId="5" borderId="4" xfId="0" applyFont="1" applyFill="1" applyBorder="1" applyAlignment="1">
      <alignment horizontal="center"/>
    </xf>
    <xf numFmtId="0" fontId="16" fillId="4" borderId="4" xfId="0" applyFont="1" applyFill="1" applyBorder="1"/>
    <xf numFmtId="10" fontId="12" fillId="0" borderId="0" xfId="0" applyNumberFormat="1" applyFont="1" applyAlignment="1">
      <alignment horizontal="center"/>
    </xf>
    <xf numFmtId="0" fontId="15" fillId="0" borderId="0" xfId="0" applyFont="1" applyFill="1" applyBorder="1"/>
    <xf numFmtId="0" fontId="15" fillId="0" borderId="0" xfId="0" applyFont="1" applyFill="1" applyBorder="1" applyAlignment="1">
      <alignment horizontal="right"/>
    </xf>
    <xf numFmtId="166" fontId="15" fillId="0" borderId="0" xfId="2" applyNumberFormat="1" applyFont="1" applyFill="1" applyBorder="1"/>
    <xf numFmtId="166" fontId="15" fillId="0" borderId="0" xfId="2" applyNumberFormat="1" applyFont="1" applyFill="1" applyBorder="1" applyAlignment="1">
      <alignment horizontal="center"/>
    </xf>
    <xf numFmtId="0" fontId="13" fillId="8" borderId="8" xfId="0" applyFont="1" applyFill="1" applyBorder="1"/>
    <xf numFmtId="0" fontId="14" fillId="8" borderId="0" xfId="0" applyFont="1" applyFill="1"/>
    <xf numFmtId="3" fontId="16" fillId="10" borderId="4" xfId="0" applyNumberFormat="1" applyFont="1" applyFill="1" applyBorder="1" applyAlignment="1">
      <alignment horizontal="right"/>
    </xf>
    <xf numFmtId="3" fontId="16" fillId="4" borderId="4" xfId="0" applyNumberFormat="1" applyFont="1" applyFill="1" applyBorder="1" applyAlignment="1">
      <alignment horizontal="right"/>
    </xf>
    <xf numFmtId="0" fontId="12" fillId="0" borderId="6" xfId="0" applyFont="1" applyBorder="1"/>
    <xf numFmtId="172" fontId="15" fillId="0" borderId="0" xfId="2" applyNumberFormat="1" applyFont="1" applyFill="1" applyBorder="1"/>
    <xf numFmtId="0" fontId="15" fillId="5" borderId="6" xfId="0" applyFont="1" applyFill="1" applyBorder="1" applyAlignment="1">
      <alignment horizontal="left"/>
    </xf>
    <xf numFmtId="0" fontId="16" fillId="0" borderId="0" xfId="0" applyFont="1"/>
    <xf numFmtId="0" fontId="17" fillId="0" borderId="0" xfId="0" applyFont="1"/>
    <xf numFmtId="0" fontId="19" fillId="4" borderId="0" xfId="0" applyFont="1" applyFill="1" applyBorder="1" applyAlignment="1">
      <alignment horizontal="left" vertical="top" wrapText="1"/>
    </xf>
    <xf numFmtId="0" fontId="15" fillId="5" borderId="11" xfId="0" applyFont="1" applyFill="1" applyBorder="1"/>
    <xf numFmtId="0" fontId="18" fillId="5" borderId="12" xfId="0" applyFont="1" applyFill="1" applyBorder="1"/>
    <xf numFmtId="0" fontId="16" fillId="4" borderId="8" xfId="0" quotePrefix="1" applyFont="1" applyFill="1" applyBorder="1" applyAlignment="1">
      <alignment vertical="top"/>
    </xf>
    <xf numFmtId="0" fontId="16" fillId="4" borderId="0" xfId="0" applyFont="1" applyFill="1" applyBorder="1" applyAlignment="1">
      <alignment vertical="top"/>
    </xf>
    <xf numFmtId="0" fontId="2" fillId="4" borderId="3" xfId="0" applyFont="1" applyFill="1" applyBorder="1" applyAlignment="1">
      <alignment horizontal="left"/>
    </xf>
    <xf numFmtId="0" fontId="6" fillId="0" borderId="0" xfId="0" applyFont="1" applyBorder="1" applyAlignment="1">
      <alignment horizontal="left"/>
    </xf>
    <xf numFmtId="0" fontId="6" fillId="0" borderId="13" xfId="0" applyNumberFormat="1" applyFont="1" applyBorder="1" applyAlignment="1">
      <alignment horizontal="center"/>
    </xf>
    <xf numFmtId="0" fontId="0" fillId="0" borderId="13" xfId="0" applyBorder="1" applyAlignment="1"/>
    <xf numFmtId="0" fontId="6" fillId="0" borderId="13" xfId="0" applyFont="1" applyBorder="1" applyAlignment="1">
      <alignment horizontal="left" vertical="center" wrapText="1"/>
    </xf>
    <xf numFmtId="0" fontId="0" fillId="0" borderId="13" xfId="0" applyBorder="1" applyAlignment="1">
      <alignment vertical="center"/>
    </xf>
    <xf numFmtId="0" fontId="6" fillId="12" borderId="0" xfId="0" applyFont="1" applyFill="1" applyBorder="1" applyAlignment="1">
      <alignment horizontal="left"/>
    </xf>
    <xf numFmtId="0" fontId="6" fillId="0" borderId="13" xfId="0" applyFont="1" applyBorder="1" applyAlignment="1">
      <alignment horizontal="left" wrapText="1"/>
    </xf>
    <xf numFmtId="1" fontId="0" fillId="0" borderId="13" xfId="0" applyNumberFormat="1" applyBorder="1" applyAlignment="1">
      <alignment horizontal="center"/>
    </xf>
    <xf numFmtId="1" fontId="0" fillId="0" borderId="13" xfId="0" applyNumberFormat="1" applyBorder="1" applyAlignment="1">
      <alignment horizontal="center" vertical="center"/>
    </xf>
    <xf numFmtId="1" fontId="6" fillId="12" borderId="0" xfId="0" applyNumberFormat="1" applyFont="1" applyFill="1" applyBorder="1" applyAlignment="1">
      <alignment horizontal="center"/>
    </xf>
    <xf numFmtId="166" fontId="2" fillId="10" borderId="4" xfId="2" applyNumberFormat="1" applyFont="1" applyFill="1" applyBorder="1" applyAlignment="1">
      <alignment horizontal="right"/>
    </xf>
    <xf numFmtId="0" fontId="19" fillId="4" borderId="0" xfId="0" applyFont="1" applyFill="1" applyBorder="1" applyAlignment="1">
      <alignment horizontal="left" vertical="top" wrapText="1"/>
    </xf>
    <xf numFmtId="0" fontId="7" fillId="5" borderId="4" xfId="0" applyFont="1" applyFill="1" applyBorder="1" applyAlignment="1">
      <alignment horizontal="center"/>
    </xf>
    <xf numFmtId="0" fontId="19" fillId="4" borderId="1" xfId="0" applyFont="1" applyFill="1" applyBorder="1" applyAlignment="1">
      <alignment vertical="top" wrapText="1"/>
    </xf>
    <xf numFmtId="0" fontId="19" fillId="4" borderId="0" xfId="0" applyFont="1" applyFill="1" applyBorder="1" applyAlignment="1">
      <alignment vertical="top" wrapText="1"/>
    </xf>
    <xf numFmtId="0" fontId="9" fillId="4" borderId="10" xfId="0" applyFont="1" applyFill="1" applyBorder="1" applyAlignment="1">
      <alignment vertical="top" wrapText="1"/>
    </xf>
    <xf numFmtId="0" fontId="9" fillId="4" borderId="8" xfId="0" applyFont="1" applyFill="1" applyBorder="1" applyAlignment="1">
      <alignment vertical="top" wrapText="1"/>
    </xf>
    <xf numFmtId="0" fontId="9" fillId="4" borderId="8" xfId="0" applyFont="1" applyFill="1" applyBorder="1" applyAlignment="1">
      <alignment horizontal="left" vertical="top" wrapText="1"/>
    </xf>
    <xf numFmtId="0" fontId="9" fillId="4" borderId="1" xfId="0" applyFont="1" applyFill="1" applyBorder="1" applyAlignment="1">
      <alignment vertical="top" wrapText="1"/>
    </xf>
    <xf numFmtId="0" fontId="9" fillId="4" borderId="0" xfId="0" applyFont="1" applyFill="1" applyBorder="1" applyAlignment="1">
      <alignment vertical="top" wrapText="1"/>
    </xf>
    <xf numFmtId="0" fontId="13" fillId="8" borderId="4" xfId="0" applyFont="1" applyFill="1" applyBorder="1"/>
    <xf numFmtId="0" fontId="14" fillId="8" borderId="4" xfId="0" applyFont="1" applyFill="1" applyBorder="1"/>
    <xf numFmtId="0" fontId="15" fillId="5" borderId="4" xfId="0" applyFont="1" applyFill="1" applyBorder="1" applyAlignment="1">
      <alignment horizontal="left"/>
    </xf>
    <xf numFmtId="0" fontId="16" fillId="4" borderId="4" xfId="0" quotePrefix="1" applyFont="1" applyFill="1" applyBorder="1"/>
    <xf numFmtId="0" fontId="15" fillId="11" borderId="4" xfId="0" applyFont="1" applyFill="1" applyBorder="1"/>
    <xf numFmtId="3" fontId="15" fillId="5" borderId="4" xfId="0" applyNumberFormat="1" applyFont="1" applyFill="1" applyBorder="1"/>
    <xf numFmtId="0" fontId="15" fillId="5" borderId="4" xfId="0" applyFont="1" applyFill="1" applyBorder="1" applyAlignment="1">
      <alignment horizontal="right"/>
    </xf>
    <xf numFmtId="3" fontId="2" fillId="4" borderId="4" xfId="0" applyNumberFormat="1" applyFont="1" applyFill="1" applyBorder="1" applyAlignment="1">
      <alignment horizontal="right"/>
    </xf>
    <xf numFmtId="10" fontId="12" fillId="0" borderId="0" xfId="0" applyNumberFormat="1" applyFont="1"/>
    <xf numFmtId="0" fontId="0" fillId="0" borderId="0" xfId="0" applyFill="1"/>
    <xf numFmtId="0" fontId="7" fillId="0" borderId="0" xfId="0" applyFont="1" applyFill="1" applyBorder="1"/>
    <xf numFmtId="0" fontId="4" fillId="0" borderId="0" xfId="0" applyFont="1" applyFill="1" applyBorder="1"/>
    <xf numFmtId="166" fontId="7" fillId="0" borderId="0" xfId="2" applyNumberFormat="1" applyFont="1" applyFill="1" applyBorder="1"/>
    <xf numFmtId="0" fontId="20" fillId="0" borderId="0" xfId="0" applyFont="1"/>
    <xf numFmtId="0" fontId="6" fillId="4" borderId="3" xfId="0" applyFont="1" applyFill="1" applyBorder="1"/>
    <xf numFmtId="0" fontId="6" fillId="4" borderId="4" xfId="0" applyFont="1" applyFill="1" applyBorder="1"/>
    <xf numFmtId="166" fontId="6" fillId="5" borderId="5" xfId="2" applyNumberFormat="1" applyFont="1" applyFill="1" applyBorder="1" applyAlignment="1">
      <alignment horizontal="center"/>
    </xf>
    <xf numFmtId="3" fontId="2" fillId="5" borderId="4" xfId="0" applyNumberFormat="1" applyFont="1" applyFill="1" applyBorder="1"/>
    <xf numFmtId="166" fontId="2" fillId="5" borderId="4" xfId="2" applyNumberFormat="1" applyFont="1" applyFill="1" applyBorder="1"/>
    <xf numFmtId="0" fontId="6" fillId="4" borderId="5" xfId="0" applyFont="1" applyFill="1" applyBorder="1"/>
    <xf numFmtId="0" fontId="21" fillId="8" borderId="11" xfId="0" applyFont="1" applyFill="1" applyBorder="1"/>
    <xf numFmtId="0" fontId="22" fillId="8" borderId="0" xfId="0" applyFont="1" applyFill="1"/>
    <xf numFmtId="0" fontId="23" fillId="0" borderId="0" xfId="0" applyFont="1"/>
    <xf numFmtId="0" fontId="23" fillId="0" borderId="0" xfId="0" applyFont="1" applyFill="1"/>
    <xf numFmtId="0" fontId="24" fillId="9" borderId="4" xfId="0" applyFont="1" applyFill="1" applyBorder="1"/>
    <xf numFmtId="0" fontId="23" fillId="6" borderId="0" xfId="0" applyFont="1" applyFill="1"/>
    <xf numFmtId="0" fontId="24" fillId="9" borderId="9" xfId="0" applyFont="1" applyFill="1" applyBorder="1"/>
    <xf numFmtId="0" fontId="23" fillId="2" borderId="1" xfId="0" applyFont="1" applyFill="1" applyBorder="1" applyAlignment="1">
      <alignment horizontal="center"/>
    </xf>
    <xf numFmtId="0" fontId="26" fillId="2" borderId="4" xfId="0" applyFont="1" applyFill="1" applyBorder="1" applyAlignment="1">
      <alignment horizontal="center" vertical="center" wrapText="1"/>
    </xf>
    <xf numFmtId="0" fontId="26" fillId="2" borderId="1" xfId="0" applyFont="1" applyFill="1" applyBorder="1" applyAlignment="1">
      <alignment horizontal="center"/>
    </xf>
    <xf numFmtId="0" fontId="27" fillId="2" borderId="4" xfId="0" applyFont="1" applyFill="1" applyBorder="1" applyAlignment="1">
      <alignment horizontal="center" vertical="center"/>
    </xf>
    <xf numFmtId="168" fontId="23" fillId="7" borderId="5" xfId="0" applyNumberFormat="1" applyFont="1" applyFill="1" applyBorder="1" applyAlignment="1">
      <alignment horizontal="center"/>
    </xf>
    <xf numFmtId="168" fontId="23" fillId="7" borderId="10" xfId="0" applyNumberFormat="1" applyFont="1" applyFill="1" applyBorder="1" applyAlignment="1">
      <alignment horizontal="center"/>
    </xf>
    <xf numFmtId="168" fontId="23" fillId="7" borderId="9" xfId="0" applyNumberFormat="1" applyFont="1" applyFill="1" applyBorder="1" applyAlignment="1">
      <alignment horizontal="center" vertical="center"/>
    </xf>
    <xf numFmtId="0" fontId="23" fillId="7" borderId="9" xfId="0" applyFont="1" applyFill="1" applyBorder="1" applyAlignment="1">
      <alignment horizontal="center" vertical="center" wrapText="1"/>
    </xf>
    <xf numFmtId="168" fontId="23" fillId="7" borderId="1" xfId="0" applyNumberFormat="1" applyFont="1" applyFill="1" applyBorder="1" applyAlignment="1">
      <alignment horizontal="center"/>
    </xf>
    <xf numFmtId="168" fontId="23" fillId="7" borderId="4" xfId="0" applyNumberFormat="1" applyFont="1" applyFill="1" applyBorder="1" applyAlignment="1">
      <alignment horizontal="center"/>
    </xf>
    <xf numFmtId="168" fontId="23" fillId="7" borderId="7" xfId="0" applyNumberFormat="1" applyFont="1" applyFill="1" applyBorder="1" applyAlignment="1">
      <alignment horizontal="center" vertical="center"/>
    </xf>
    <xf numFmtId="0" fontId="23" fillId="7" borderId="7" xfId="0" applyFont="1" applyFill="1" applyBorder="1" applyAlignment="1">
      <alignment horizontal="center" vertical="center" wrapText="1"/>
    </xf>
    <xf numFmtId="168" fontId="23" fillId="7" borderId="9" xfId="0" applyNumberFormat="1" applyFont="1" applyFill="1" applyBorder="1" applyAlignment="1">
      <alignment horizontal="center"/>
    </xf>
    <xf numFmtId="168" fontId="23" fillId="7" borderId="14" xfId="0" applyNumberFormat="1" applyFont="1" applyFill="1" applyBorder="1" applyAlignment="1">
      <alignment horizontal="center" vertical="center"/>
    </xf>
    <xf numFmtId="0" fontId="23" fillId="7" borderId="14" xfId="0" applyFont="1" applyFill="1" applyBorder="1" applyAlignment="1">
      <alignment horizontal="center" vertical="center" wrapText="1"/>
    </xf>
    <xf numFmtId="168" fontId="23" fillId="7" borderId="3" xfId="0" applyNumberFormat="1" applyFont="1" applyFill="1" applyBorder="1" applyAlignment="1">
      <alignment horizontal="center"/>
    </xf>
    <xf numFmtId="168" fontId="23" fillId="3" borderId="3" xfId="0" applyNumberFormat="1" applyFont="1" applyFill="1" applyBorder="1" applyAlignment="1">
      <alignment horizontal="center"/>
    </xf>
    <xf numFmtId="168" fontId="23" fillId="3" borderId="9" xfId="0" applyNumberFormat="1" applyFont="1" applyFill="1" applyBorder="1" applyAlignment="1">
      <alignment horizontal="center" vertical="center"/>
    </xf>
    <xf numFmtId="168" fontId="23" fillId="3" borderId="7" xfId="0" applyNumberFormat="1" applyFont="1" applyFill="1" applyBorder="1" applyAlignment="1">
      <alignment horizontal="center" vertical="center"/>
    </xf>
    <xf numFmtId="168" fontId="23" fillId="3" borderId="4" xfId="0" applyNumberFormat="1" applyFont="1" applyFill="1" applyBorder="1" applyAlignment="1">
      <alignment horizontal="center"/>
    </xf>
    <xf numFmtId="168" fontId="23" fillId="3" borderId="14" xfId="0" applyNumberFormat="1" applyFont="1" applyFill="1" applyBorder="1" applyAlignment="1">
      <alignment horizontal="center" vertical="center"/>
    </xf>
    <xf numFmtId="0" fontId="24" fillId="9" borderId="8" xfId="0" applyFont="1" applyFill="1" applyBorder="1" applyAlignment="1">
      <alignment horizontal="left" vertical="center"/>
    </xf>
    <xf numFmtId="0" fontId="25" fillId="7" borderId="8" xfId="0" applyFont="1" applyFill="1" applyBorder="1" applyAlignment="1">
      <alignment horizontal="left"/>
    </xf>
    <xf numFmtId="0" fontId="25" fillId="7" borderId="0" xfId="0" applyFont="1" applyFill="1" applyBorder="1" applyAlignment="1">
      <alignment horizontal="left"/>
    </xf>
    <xf numFmtId="0" fontId="21" fillId="8" borderId="10" xfId="0" applyFont="1" applyFill="1" applyBorder="1"/>
    <xf numFmtId="0" fontId="22" fillId="8" borderId="0" xfId="0" applyFont="1" applyFill="1" applyBorder="1"/>
    <xf numFmtId="0" fontId="22" fillId="8" borderId="2" xfId="0" applyFont="1" applyFill="1" applyBorder="1"/>
    <xf numFmtId="0" fontId="23" fillId="7" borderId="0" xfId="0" applyFont="1" applyFill="1" applyBorder="1" applyAlignment="1">
      <alignment horizontal="left" vertical="top" wrapText="1"/>
    </xf>
    <xf numFmtId="0" fontId="21" fillId="8" borderId="0" xfId="0" applyFont="1" applyFill="1"/>
    <xf numFmtId="0" fontId="23" fillId="7" borderId="0" xfId="0" applyFont="1" applyFill="1" applyBorder="1" applyAlignment="1">
      <alignment horizontal="left"/>
    </xf>
    <xf numFmtId="0" fontId="23" fillId="0" borderId="0" xfId="0" applyFont="1" applyAlignment="1">
      <alignment horizontal="left"/>
    </xf>
    <xf numFmtId="0" fontId="23" fillId="7" borderId="0" xfId="0" applyFont="1" applyFill="1" applyBorder="1" applyAlignment="1">
      <alignment horizontal="left" wrapText="1"/>
    </xf>
    <xf numFmtId="0" fontId="23" fillId="0" borderId="0" xfId="0" applyFont="1" applyFill="1" applyBorder="1" applyAlignment="1">
      <alignment horizontal="left"/>
    </xf>
    <xf numFmtId="0" fontId="24" fillId="2" borderId="3" xfId="0" applyFont="1" applyFill="1" applyBorder="1"/>
    <xf numFmtId="0" fontId="23"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66" fontId="28" fillId="0" borderId="0" xfId="2" applyNumberFormat="1" applyFont="1"/>
    <xf numFmtId="166" fontId="24" fillId="2" borderId="7" xfId="2" applyNumberFormat="1" applyFont="1" applyFill="1" applyBorder="1"/>
    <xf numFmtId="10" fontId="23" fillId="0" borderId="0" xfId="1" applyNumberFormat="1" applyFont="1"/>
    <xf numFmtId="10" fontId="23" fillId="0" borderId="0" xfId="0" applyNumberFormat="1" applyFont="1"/>
    <xf numFmtId="0" fontId="21" fillId="8" borderId="6" xfId="0" applyFont="1" applyFill="1" applyBorder="1" applyAlignment="1">
      <alignment horizontal="left"/>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67" fontId="28" fillId="0" borderId="0" xfId="3" applyNumberFormat="1" applyFont="1" applyAlignment="1"/>
    <xf numFmtId="170" fontId="24" fillId="2" borderId="7" xfId="2" applyNumberFormat="1" applyFont="1" applyFill="1" applyBorder="1" applyAlignment="1"/>
    <xf numFmtId="167" fontId="30" fillId="0" borderId="0" xfId="3" applyNumberFormat="1" applyFont="1" applyAlignment="1">
      <alignment horizontal="right"/>
    </xf>
    <xf numFmtId="167" fontId="30" fillId="0" borderId="0" xfId="3" applyNumberFormat="1" applyFont="1" applyAlignment="1">
      <alignment horizontal="center" vertical="center"/>
    </xf>
    <xf numFmtId="0" fontId="2" fillId="4" borderId="3" xfId="0" applyFont="1" applyFill="1" applyBorder="1" applyAlignment="1">
      <alignment horizontal="left" indent="1"/>
    </xf>
    <xf numFmtId="166" fontId="6" fillId="10" borderId="5" xfId="2" applyNumberFormat="1" applyFont="1" applyFill="1" applyBorder="1" applyAlignment="1">
      <alignment horizontal="center"/>
    </xf>
    <xf numFmtId="0" fontId="31" fillId="0" borderId="0" xfId="0" applyFont="1"/>
    <xf numFmtId="0" fontId="32" fillId="8" borderId="8" xfId="0" applyFont="1" applyFill="1" applyBorder="1" applyAlignment="1"/>
    <xf numFmtId="0" fontId="32" fillId="8" borderId="0" xfId="0" applyFont="1" applyFill="1" applyBorder="1" applyAlignment="1"/>
    <xf numFmtId="0" fontId="32" fillId="8" borderId="8" xfId="0" applyFont="1" applyFill="1" applyBorder="1" applyAlignment="1">
      <alignment horizontal="left"/>
    </xf>
    <xf numFmtId="0" fontId="32" fillId="8" borderId="0" xfId="0" applyFont="1" applyFill="1" applyBorder="1" applyAlignment="1">
      <alignment horizontal="left"/>
    </xf>
    <xf numFmtId="0" fontId="33" fillId="8" borderId="8" xfId="0" applyNumberFormat="1" applyFont="1" applyFill="1" applyBorder="1" applyAlignment="1">
      <alignment horizontal="left"/>
    </xf>
    <xf numFmtId="0" fontId="32" fillId="8" borderId="0" xfId="0" applyFont="1" applyFill="1" applyAlignment="1">
      <alignment horizontal="center"/>
    </xf>
    <xf numFmtId="2" fontId="32" fillId="8" borderId="0" xfId="0" applyNumberFormat="1" applyFont="1" applyFill="1" applyAlignment="1">
      <alignment horizontal="center"/>
    </xf>
    <xf numFmtId="1" fontId="32" fillId="8" borderId="0" xfId="0" applyNumberFormat="1" applyFont="1" applyFill="1" applyAlignment="1">
      <alignment horizontal="left"/>
    </xf>
    <xf numFmtId="2" fontId="32" fillId="8" borderId="0" xfId="0" applyNumberFormat="1" applyFont="1" applyFill="1" applyAlignment="1">
      <alignment horizontal="left"/>
    </xf>
    <xf numFmtId="0" fontId="32" fillId="8" borderId="0" xfId="0" applyFont="1" applyFill="1" applyAlignment="1">
      <alignment horizontal="left"/>
    </xf>
    <xf numFmtId="0" fontId="31" fillId="0" borderId="0" xfId="0" applyFont="1" applyFill="1"/>
    <xf numFmtId="0" fontId="32" fillId="0" borderId="0" xfId="0" applyFont="1" applyFill="1" applyAlignment="1">
      <alignment horizontal="left"/>
    </xf>
    <xf numFmtId="0" fontId="32" fillId="0" borderId="0" xfId="0" applyFont="1" applyFill="1" applyAlignment="1">
      <alignment horizontal="center"/>
    </xf>
    <xf numFmtId="2" fontId="32" fillId="0" borderId="0" xfId="0" applyNumberFormat="1" applyFont="1" applyFill="1" applyAlignment="1">
      <alignment horizontal="center"/>
    </xf>
    <xf numFmtId="1" fontId="32" fillId="0" borderId="0" xfId="0" applyNumberFormat="1" applyFont="1" applyFill="1" applyAlignment="1">
      <alignment horizontal="left"/>
    </xf>
    <xf numFmtId="2" fontId="32" fillId="0" borderId="0" xfId="0" applyNumberFormat="1" applyFont="1" applyFill="1" applyAlignment="1">
      <alignment horizontal="left"/>
    </xf>
    <xf numFmtId="0" fontId="32" fillId="8" borderId="9" xfId="0" applyFont="1" applyFill="1" applyBorder="1" applyAlignment="1">
      <alignment horizontal="center" vertical="center"/>
    </xf>
    <xf numFmtId="2" fontId="32" fillId="8" borderId="9" xfId="0" applyNumberFormat="1" applyFont="1" applyFill="1" applyBorder="1" applyAlignment="1">
      <alignment horizontal="center" vertical="center" wrapText="1"/>
    </xf>
    <xf numFmtId="1" fontId="32" fillId="8" borderId="9" xfId="0" applyNumberFormat="1" applyFont="1" applyFill="1" applyBorder="1" applyAlignment="1">
      <alignment horizontal="center" vertical="center" wrapText="1"/>
    </xf>
    <xf numFmtId="0" fontId="31" fillId="0" borderId="8" xfId="0" applyFont="1" applyBorder="1"/>
    <xf numFmtId="0" fontId="32" fillId="8" borderId="9" xfId="0" applyFont="1" applyFill="1" applyBorder="1" applyAlignment="1">
      <alignment horizontal="center" vertical="center" wrapText="1"/>
    </xf>
    <xf numFmtId="168" fontId="34" fillId="9" borderId="5" xfId="0" applyNumberFormat="1" applyFont="1" applyFill="1" applyBorder="1" applyAlignment="1"/>
    <xf numFmtId="168" fontId="34" fillId="9" borderId="2" xfId="0" applyNumberFormat="1" applyFont="1" applyFill="1" applyBorder="1" applyAlignment="1"/>
    <xf numFmtId="0" fontId="31" fillId="0" borderId="0" xfId="0" applyFont="1" applyBorder="1"/>
    <xf numFmtId="168" fontId="34" fillId="9" borderId="3" xfId="0" applyNumberFormat="1" applyFont="1" applyFill="1" applyBorder="1" applyAlignment="1">
      <alignment horizontal="left"/>
    </xf>
    <xf numFmtId="168" fontId="34" fillId="9" borderId="5" xfId="0" applyNumberFormat="1" applyFont="1" applyFill="1" applyBorder="1" applyAlignment="1">
      <alignment horizontal="left"/>
    </xf>
    <xf numFmtId="168" fontId="34" fillId="9" borderId="2" xfId="0" applyNumberFormat="1" applyFont="1" applyFill="1" applyBorder="1" applyAlignment="1">
      <alignment horizontal="left"/>
    </xf>
    <xf numFmtId="0" fontId="35" fillId="10" borderId="14" xfId="0" applyFont="1" applyFill="1" applyBorder="1" applyAlignment="1">
      <alignment horizontal="left" vertical="center"/>
    </xf>
    <xf numFmtId="0" fontId="35" fillId="10" borderId="14" xfId="0" applyFont="1" applyFill="1" applyBorder="1" applyAlignment="1">
      <alignment horizontal="center"/>
    </xf>
    <xf numFmtId="2" fontId="35" fillId="10" borderId="6" xfId="0" applyNumberFormat="1" applyFont="1" applyFill="1" applyBorder="1" applyAlignment="1">
      <alignment horizontal="center"/>
    </xf>
    <xf numFmtId="1" fontId="35" fillId="10" borderId="8" xfId="0" applyNumberFormat="1" applyFont="1" applyFill="1" applyBorder="1" applyAlignment="1">
      <alignment horizontal="center"/>
    </xf>
    <xf numFmtId="2" fontId="35" fillId="10" borderId="8" xfId="3" applyNumberFormat="1" applyFont="1" applyFill="1" applyBorder="1" applyAlignment="1">
      <alignment horizontal="center"/>
    </xf>
    <xf numFmtId="1" fontId="35" fillId="10" borderId="8" xfId="3" applyNumberFormat="1" applyFont="1" applyFill="1" applyBorder="1" applyAlignment="1">
      <alignment horizontal="center"/>
    </xf>
    <xf numFmtId="2" fontId="35" fillId="10" borderId="4" xfId="3" applyNumberFormat="1" applyFont="1" applyFill="1" applyBorder="1" applyAlignment="1">
      <alignment horizontal="center"/>
    </xf>
    <xf numFmtId="0" fontId="35" fillId="10" borderId="14" xfId="0" applyFont="1" applyFill="1" applyBorder="1"/>
    <xf numFmtId="168" fontId="35" fillId="10" borderId="6" xfId="0" applyNumberFormat="1" applyFont="1" applyFill="1" applyBorder="1" applyAlignment="1">
      <alignment horizontal="center"/>
    </xf>
    <xf numFmtId="168" fontId="35" fillId="10" borderId="8" xfId="0" applyNumberFormat="1" applyFont="1" applyFill="1" applyBorder="1" applyAlignment="1">
      <alignment horizontal="center"/>
    </xf>
    <xf numFmtId="4" fontId="35" fillId="10" borderId="8" xfId="3" applyNumberFormat="1" applyFont="1" applyFill="1" applyBorder="1" applyAlignment="1">
      <alignment horizontal="center"/>
    </xf>
    <xf numFmtId="3" fontId="35" fillId="10" borderId="8" xfId="3" applyNumberFormat="1" applyFont="1" applyFill="1" applyBorder="1" applyAlignment="1">
      <alignment horizontal="center"/>
    </xf>
    <xf numFmtId="0" fontId="35" fillId="10" borderId="4" xfId="0" applyFont="1" applyFill="1" applyBorder="1" applyAlignment="1">
      <alignment horizontal="left" vertical="center"/>
    </xf>
    <xf numFmtId="0" fontId="35" fillId="10" borderId="4" xfId="0" applyFont="1" applyFill="1" applyBorder="1" applyAlignment="1">
      <alignment horizontal="center"/>
    </xf>
    <xf numFmtId="2" fontId="35" fillId="10" borderId="9" xfId="0" applyNumberFormat="1" applyFont="1" applyFill="1" applyBorder="1" applyAlignment="1">
      <alignment horizontal="center"/>
    </xf>
    <xf numFmtId="1" fontId="35" fillId="10" borderId="10" xfId="0" applyNumberFormat="1" applyFont="1" applyFill="1" applyBorder="1" applyAlignment="1">
      <alignment horizontal="center"/>
    </xf>
    <xf numFmtId="1" fontId="35" fillId="10" borderId="4" xfId="3" applyNumberFormat="1" applyFont="1" applyFill="1" applyBorder="1" applyAlignment="1">
      <alignment horizontal="center"/>
    </xf>
    <xf numFmtId="0" fontId="35" fillId="11" borderId="4" xfId="0" applyFont="1" applyFill="1" applyBorder="1"/>
    <xf numFmtId="0" fontId="35" fillId="11" borderId="9" xfId="0" applyFont="1" applyFill="1" applyBorder="1"/>
    <xf numFmtId="168" fontId="35" fillId="11" borderId="4" xfId="0" applyNumberFormat="1" applyFont="1" applyFill="1" applyBorder="1" applyAlignment="1">
      <alignment horizontal="center"/>
    </xf>
    <xf numFmtId="0" fontId="34" fillId="11" borderId="5" xfId="0" applyFont="1" applyFill="1" applyBorder="1" applyAlignment="1">
      <alignment horizontal="left" vertical="center"/>
    </xf>
    <xf numFmtId="0" fontId="34" fillId="11" borderId="2" xfId="0" applyFont="1" applyFill="1" applyBorder="1" applyAlignment="1">
      <alignment horizontal="left" vertical="center"/>
    </xf>
    <xf numFmtId="0" fontId="34" fillId="11" borderId="3" xfId="0" applyFont="1" applyFill="1" applyBorder="1" applyAlignment="1">
      <alignment horizontal="left" vertical="center"/>
    </xf>
    <xf numFmtId="0" fontId="31" fillId="0" borderId="6" xfId="0" applyFont="1" applyBorder="1"/>
    <xf numFmtId="0" fontId="35" fillId="10" borderId="1" xfId="0" applyFont="1" applyFill="1" applyBorder="1" applyAlignment="1">
      <alignment horizontal="left" vertical="center" wrapText="1"/>
    </xf>
    <xf numFmtId="2" fontId="35" fillId="10" borderId="4" xfId="0" applyNumberFormat="1" applyFont="1" applyFill="1" applyBorder="1" applyAlignment="1">
      <alignment horizontal="center"/>
    </xf>
    <xf numFmtId="2" fontId="35" fillId="10" borderId="10" xfId="3" applyNumberFormat="1" applyFont="1" applyFill="1" applyBorder="1" applyAlignment="1">
      <alignment horizontal="center"/>
    </xf>
    <xf numFmtId="1" fontId="35" fillId="10" borderId="10" xfId="3" applyNumberFormat="1" applyFont="1" applyFill="1" applyBorder="1" applyAlignment="1">
      <alignment horizontal="center"/>
    </xf>
    <xf numFmtId="0" fontId="36" fillId="0" borderId="0" xfId="0" applyFont="1"/>
    <xf numFmtId="0" fontId="36" fillId="0" borderId="0" xfId="0" applyFont="1" applyBorder="1"/>
    <xf numFmtId="0" fontId="36" fillId="0" borderId="2" xfId="0" applyFont="1" applyBorder="1"/>
    <xf numFmtId="0" fontId="36" fillId="0" borderId="1" xfId="0" applyFont="1" applyBorder="1"/>
    <xf numFmtId="168" fontId="36" fillId="0" borderId="1" xfId="0" applyNumberFormat="1" applyFont="1" applyBorder="1" applyAlignment="1">
      <alignment horizontal="center"/>
    </xf>
    <xf numFmtId="0" fontId="31" fillId="0" borderId="1" xfId="0" applyFont="1" applyBorder="1"/>
    <xf numFmtId="0" fontId="35" fillId="10" borderId="4" xfId="0" applyFont="1" applyFill="1" applyBorder="1" applyAlignment="1">
      <alignment horizontal="left" vertical="center" wrapText="1"/>
    </xf>
    <xf numFmtId="2" fontId="35" fillId="10" borderId="8" xfId="0" applyNumberFormat="1" applyFont="1" applyFill="1" applyBorder="1" applyAlignment="1">
      <alignment horizontal="center"/>
    </xf>
    <xf numFmtId="2" fontId="35" fillId="10" borderId="10" xfId="0" applyNumberFormat="1" applyFont="1" applyFill="1" applyBorder="1" applyAlignment="1">
      <alignment horizontal="center"/>
    </xf>
    <xf numFmtId="0" fontId="31" fillId="0" borderId="11" xfId="0" applyFont="1" applyBorder="1"/>
    <xf numFmtId="2" fontId="34" fillId="11" borderId="4" xfId="0" applyNumberFormat="1" applyFont="1" applyFill="1" applyBorder="1" applyAlignment="1">
      <alignment horizontal="center"/>
    </xf>
    <xf numFmtId="0" fontId="36" fillId="0" borderId="0" xfId="0" applyFont="1" applyAlignment="1">
      <alignment horizontal="center"/>
    </xf>
    <xf numFmtId="2" fontId="36" fillId="0" borderId="0" xfId="0" applyNumberFormat="1" applyFont="1" applyBorder="1" applyAlignment="1">
      <alignment horizontal="center"/>
    </xf>
    <xf numFmtId="1" fontId="36" fillId="0" borderId="0" xfId="0" applyNumberFormat="1" applyFont="1"/>
    <xf numFmtId="2" fontId="36" fillId="0" borderId="0" xfId="0" applyNumberFormat="1" applyFont="1" applyBorder="1"/>
    <xf numFmtId="1" fontId="35" fillId="10" borderId="1" xfId="0" applyNumberFormat="1" applyFont="1" applyFill="1" applyBorder="1" applyAlignment="1">
      <alignment horizontal="center"/>
    </xf>
    <xf numFmtId="1" fontId="35" fillId="10" borderId="4" xfId="0" applyNumberFormat="1" applyFont="1" applyFill="1" applyBorder="1" applyAlignment="1">
      <alignment horizontal="center"/>
    </xf>
    <xf numFmtId="0" fontId="35" fillId="10" borderId="4" xfId="0" applyFont="1" applyFill="1" applyBorder="1"/>
    <xf numFmtId="2" fontId="35" fillId="10" borderId="5" xfId="3" applyNumberFormat="1" applyFont="1" applyFill="1" applyBorder="1" applyAlignment="1">
      <alignment horizontal="center"/>
    </xf>
    <xf numFmtId="0" fontId="31" fillId="0" borderId="0" xfId="0" applyFont="1" applyAlignment="1">
      <alignment horizontal="center"/>
    </xf>
    <xf numFmtId="2" fontId="31" fillId="0" borderId="0" xfId="0" applyNumberFormat="1" applyFont="1" applyAlignment="1">
      <alignment horizontal="center"/>
    </xf>
    <xf numFmtId="1" fontId="31" fillId="0" borderId="0" xfId="0" applyNumberFormat="1" applyFont="1"/>
    <xf numFmtId="2" fontId="31" fillId="0" borderId="0" xfId="0" applyNumberFormat="1" applyFont="1"/>
    <xf numFmtId="0" fontId="5" fillId="8" borderId="9" xfId="0" applyFont="1" applyFill="1" applyBorder="1" applyAlignment="1">
      <alignment horizontal="center" vertical="center" wrapText="1"/>
    </xf>
    <xf numFmtId="168" fontId="2" fillId="7" borderId="9" xfId="0" applyNumberFormat="1" applyFont="1" applyFill="1" applyBorder="1" applyAlignment="1">
      <alignment horizontal="center"/>
    </xf>
    <xf numFmtId="0" fontId="7" fillId="2" borderId="6" xfId="0" applyFont="1" applyFill="1" applyBorder="1"/>
    <xf numFmtId="169" fontId="29" fillId="0" borderId="0" xfId="1" applyNumberFormat="1" applyFont="1" applyFill="1"/>
    <xf numFmtId="3" fontId="17" fillId="11" borderId="4" xfId="0" applyNumberFormat="1" applyFont="1" applyFill="1" applyBorder="1"/>
    <xf numFmtId="0" fontId="7" fillId="5" borderId="5" xfId="0" applyFont="1" applyFill="1" applyBorder="1"/>
    <xf numFmtId="0" fontId="7" fillId="5" borderId="2" xfId="0" applyFont="1" applyFill="1" applyBorder="1"/>
    <xf numFmtId="3" fontId="7" fillId="5" borderId="4" xfId="0" applyNumberFormat="1" applyFont="1" applyFill="1" applyBorder="1"/>
    <xf numFmtId="0" fontId="37" fillId="0" borderId="0" xfId="0" applyFont="1"/>
    <xf numFmtId="10" fontId="37" fillId="0" borderId="0" xfId="1" applyNumberFormat="1" applyFont="1"/>
    <xf numFmtId="10" fontId="37" fillId="0" borderId="0" xfId="0" applyNumberFormat="1" applyFont="1"/>
    <xf numFmtId="0" fontId="38" fillId="0" borderId="0" xfId="0" applyFont="1"/>
    <xf numFmtId="165" fontId="39" fillId="15" borderId="4" xfId="3" applyFont="1" applyFill="1" applyBorder="1" applyAlignment="1">
      <alignment horizontal="left"/>
    </xf>
    <xf numFmtId="165" fontId="39" fillId="15" borderId="4" xfId="3" applyFont="1" applyFill="1" applyBorder="1" applyAlignment="1">
      <alignment horizontal="center"/>
    </xf>
    <xf numFmtId="165" fontId="40" fillId="5" borderId="4" xfId="3" applyFont="1" applyFill="1" applyBorder="1" applyAlignment="1">
      <alignment horizontal="left" indent="2"/>
    </xf>
    <xf numFmtId="165" fontId="40" fillId="5" borderId="4" xfId="3" applyFont="1" applyFill="1" applyBorder="1"/>
    <xf numFmtId="173" fontId="40" fillId="5" borderId="4" xfId="3" applyNumberFormat="1" applyFont="1" applyFill="1" applyBorder="1"/>
    <xf numFmtId="165" fontId="41" fillId="5" borderId="4" xfId="3" applyFont="1" applyFill="1" applyBorder="1"/>
    <xf numFmtId="173" fontId="41" fillId="5" borderId="4" xfId="3" applyNumberFormat="1" applyFont="1" applyFill="1" applyBorder="1"/>
    <xf numFmtId="0" fontId="41" fillId="5" borderId="5" xfId="0" applyFont="1" applyFill="1" applyBorder="1"/>
    <xf numFmtId="0" fontId="41" fillId="5" borderId="0" xfId="0" applyFont="1" applyFill="1" applyBorder="1"/>
    <xf numFmtId="0" fontId="42" fillId="0" borderId="0" xfId="0" applyFont="1"/>
    <xf numFmtId="0" fontId="43" fillId="0" borderId="8" xfId="0" applyFont="1" applyFill="1" applyBorder="1"/>
    <xf numFmtId="0" fontId="44" fillId="4" borderId="5" xfId="0" applyFont="1" applyFill="1" applyBorder="1"/>
    <xf numFmtId="0" fontId="41" fillId="4" borderId="5" xfId="0" applyFont="1" applyFill="1" applyBorder="1"/>
    <xf numFmtId="0" fontId="40" fillId="4" borderId="4" xfId="0" applyFont="1" applyFill="1" applyBorder="1" applyAlignment="1">
      <alignment horizontal="left"/>
    </xf>
    <xf numFmtId="165" fontId="45" fillId="10" borderId="4" xfId="3" applyFont="1" applyFill="1" applyBorder="1"/>
    <xf numFmtId="165" fontId="40" fillId="10" borderId="4" xfId="3" applyFont="1" applyFill="1" applyBorder="1"/>
    <xf numFmtId="165" fontId="41" fillId="5" borderId="4" xfId="3" applyFont="1" applyFill="1" applyBorder="1" applyAlignment="1">
      <alignment horizontal="left"/>
    </xf>
    <xf numFmtId="165" fontId="45" fillId="5" borderId="4" xfId="3" applyFont="1" applyFill="1" applyBorder="1"/>
    <xf numFmtId="0" fontId="41" fillId="4" borderId="4" xfId="0" applyFont="1" applyFill="1" applyBorder="1" applyAlignment="1">
      <alignment horizontal="left"/>
    </xf>
    <xf numFmtId="165" fontId="46" fillId="10" borderId="4" xfId="3" applyFont="1" applyFill="1" applyBorder="1"/>
    <xf numFmtId="165" fontId="41" fillId="10" borderId="4" xfId="3" applyFont="1" applyFill="1" applyBorder="1"/>
    <xf numFmtId="0" fontId="40" fillId="4" borderId="7" xfId="0" applyFont="1" applyFill="1" applyBorder="1" applyAlignment="1">
      <alignment horizontal="left"/>
    </xf>
    <xf numFmtId="173" fontId="40" fillId="10" borderId="4" xfId="3" applyNumberFormat="1" applyFont="1" applyFill="1" applyBorder="1"/>
    <xf numFmtId="3" fontId="6" fillId="11" borderId="4" xfId="0" applyNumberFormat="1" applyFont="1" applyFill="1" applyBorder="1"/>
    <xf numFmtId="0" fontId="7" fillId="11" borderId="4" xfId="0" applyFont="1" applyFill="1" applyBorder="1" applyAlignment="1">
      <alignment horizontal="left"/>
    </xf>
    <xf numFmtId="0" fontId="7" fillId="11" borderId="4" xfId="0" applyFont="1" applyFill="1" applyBorder="1" applyAlignment="1">
      <alignment horizontal="center"/>
    </xf>
    <xf numFmtId="0" fontId="7" fillId="11" borderId="4" xfId="0" applyFont="1" applyFill="1" applyBorder="1" applyAlignment="1">
      <alignment horizontal="right"/>
    </xf>
    <xf numFmtId="0" fontId="2" fillId="4" borderId="4" xfId="0" quotePrefix="1" applyFont="1" applyFill="1" applyBorder="1"/>
    <xf numFmtId="0" fontId="7" fillId="11" borderId="4" xfId="0" applyFont="1" applyFill="1" applyBorder="1"/>
    <xf numFmtId="0" fontId="24" fillId="9" borderId="9" xfId="0" applyFont="1" applyFill="1" applyBorder="1" applyAlignment="1">
      <alignment horizontal="left" vertical="center"/>
    </xf>
    <xf numFmtId="0" fontId="24" fillId="9" borderId="7" xfId="0" applyFont="1" applyFill="1" applyBorder="1" applyAlignment="1">
      <alignment horizontal="left" vertical="center"/>
    </xf>
    <xf numFmtId="0" fontId="24" fillId="9" borderId="14" xfId="0" applyFont="1" applyFill="1" applyBorder="1" applyAlignment="1">
      <alignment horizontal="left" vertical="center"/>
    </xf>
    <xf numFmtId="168" fontId="28" fillId="7" borderId="2" xfId="0" applyNumberFormat="1" applyFont="1" applyFill="1" applyBorder="1" applyAlignment="1">
      <alignment horizontal="left"/>
    </xf>
    <xf numFmtId="168" fontId="28" fillId="7" borderId="3" xfId="0" applyNumberFormat="1" applyFont="1" applyFill="1" applyBorder="1" applyAlignment="1">
      <alignment horizontal="left"/>
    </xf>
    <xf numFmtId="0" fontId="25" fillId="7" borderId="5" xfId="0" applyNumberFormat="1" applyFont="1" applyFill="1" applyBorder="1" applyAlignment="1">
      <alignment horizontal="left" wrapText="1"/>
    </xf>
    <xf numFmtId="0" fontId="25" fillId="7" borderId="2" xfId="0" applyNumberFormat="1" applyFont="1" applyFill="1" applyBorder="1" applyAlignment="1">
      <alignment horizontal="left" wrapText="1"/>
    </xf>
    <xf numFmtId="0" fontId="23" fillId="7" borderId="0" xfId="0" applyFont="1" applyFill="1" applyBorder="1" applyAlignment="1">
      <alignment horizontal="left" wrapText="1"/>
    </xf>
    <xf numFmtId="0" fontId="23" fillId="7" borderId="1" xfId="0" applyFont="1" applyFill="1" applyBorder="1" applyAlignment="1">
      <alignment horizontal="left" vertical="top" wrapText="1"/>
    </xf>
    <xf numFmtId="0" fontId="23" fillId="7" borderId="0" xfId="0" quotePrefix="1" applyFont="1" applyFill="1" applyBorder="1" applyAlignment="1">
      <alignment horizontal="left" vertical="top" wrapText="1"/>
    </xf>
    <xf numFmtId="0" fontId="23" fillId="7" borderId="1" xfId="0" applyFont="1" applyFill="1" applyBorder="1" applyAlignment="1">
      <alignment horizontal="left" wrapText="1"/>
    </xf>
    <xf numFmtId="0" fontId="23"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34" fillId="11" borderId="5" xfId="0" applyFont="1" applyFill="1" applyBorder="1" applyAlignment="1">
      <alignment horizontal="left" vertical="center"/>
    </xf>
    <xf numFmtId="0" fontId="34" fillId="11" borderId="2" xfId="0" applyFont="1" applyFill="1" applyBorder="1" applyAlignment="1">
      <alignment horizontal="left" vertical="center"/>
    </xf>
    <xf numFmtId="0" fontId="34" fillId="11" borderId="3" xfId="0" applyFont="1" applyFill="1" applyBorder="1" applyAlignment="1">
      <alignment horizontal="left" vertical="center"/>
    </xf>
    <xf numFmtId="168" fontId="34" fillId="9" borderId="5" xfId="0" applyNumberFormat="1" applyFont="1" applyFill="1" applyBorder="1" applyAlignment="1">
      <alignment horizontal="left"/>
    </xf>
    <xf numFmtId="168" fontId="34" fillId="9" borderId="2" xfId="0" applyNumberFormat="1" applyFont="1" applyFill="1" applyBorder="1" applyAlignment="1">
      <alignment horizontal="left"/>
    </xf>
    <xf numFmtId="0" fontId="32" fillId="14" borderId="0" xfId="0" applyFont="1" applyFill="1" applyBorder="1" applyAlignment="1">
      <alignment horizontal="center"/>
    </xf>
    <xf numFmtId="2" fontId="32" fillId="13" borderId="0" xfId="0" applyNumberFormat="1" applyFont="1" applyFill="1" applyAlignment="1">
      <alignment horizontal="center"/>
    </xf>
    <xf numFmtId="0" fontId="2" fillId="4" borderId="1"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16" fillId="4" borderId="10" xfId="0" quotePrefix="1" applyFont="1" applyFill="1" applyBorder="1" applyAlignment="1">
      <alignment horizontal="left" vertical="top" wrapText="1"/>
    </xf>
    <xf numFmtId="0" fontId="16" fillId="4" borderId="1" xfId="0" quotePrefix="1" applyFont="1" applyFill="1" applyBorder="1" applyAlignment="1">
      <alignment horizontal="left" vertical="top" wrapText="1"/>
    </xf>
    <xf numFmtId="0" fontId="16" fillId="4" borderId="8"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0" fontId="41" fillId="4" borderId="5" xfId="0" applyFont="1" applyFill="1" applyBorder="1" applyAlignment="1">
      <alignment horizontal="center"/>
    </xf>
    <xf numFmtId="0" fontId="41" fillId="4" borderId="2" xfId="0" applyFont="1" applyFill="1" applyBorder="1" applyAlignment="1">
      <alignment horizontal="center"/>
    </xf>
    <xf numFmtId="10" fontId="38" fillId="16" borderId="12" xfId="0" applyNumberFormat="1" applyFont="1" applyFill="1" applyBorder="1" applyAlignment="1">
      <alignment horizontal="center"/>
    </xf>
    <xf numFmtId="10" fontId="38" fillId="16" borderId="0" xfId="0" applyNumberFormat="1"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6" fillId="0" borderId="13" xfId="0" applyFont="1" applyBorder="1" applyAlignment="1">
      <alignment horizontal="left" vertical="center" wrapText="1"/>
    </xf>
    <xf numFmtId="0" fontId="5" fillId="8" borderId="12" xfId="0" applyFont="1" applyFill="1" applyBorder="1" applyAlignment="1">
      <alignment horizontal="center"/>
    </xf>
    <xf numFmtId="0" fontId="8" fillId="8" borderId="0" xfId="0" applyFont="1" applyFill="1" applyAlignment="1">
      <alignment horizontal="center"/>
    </xf>
    <xf numFmtId="165" fontId="46" fillId="5" borderId="4" xfId="3" applyFont="1" applyFill="1" applyBorder="1"/>
    <xf numFmtId="165" fontId="6" fillId="5" borderId="4" xfId="3" applyFont="1" applyFill="1" applyBorder="1"/>
    <xf numFmtId="0" fontId="1" fillId="4" borderId="1" xfId="0" quotePrefix="1" applyFont="1" applyFill="1" applyBorder="1" applyAlignment="1">
      <alignment horizontal="left" vertical="top" wrapText="1"/>
    </xf>
    <xf numFmtId="166" fontId="16" fillId="10" borderId="4" xfId="2" applyNumberFormat="1" applyFont="1" applyFill="1" applyBorder="1" applyAlignment="1">
      <alignment horizontal="center"/>
    </xf>
    <xf numFmtId="166" fontId="17" fillId="11" borderId="4" xfId="2" applyNumberFormat="1" applyFont="1" applyFill="1" applyBorder="1"/>
    <xf numFmtId="0" fontId="18" fillId="5" borderId="4" xfId="0" applyFont="1" applyFill="1" applyBorder="1"/>
    <xf numFmtId="166" fontId="15" fillId="5" borderId="4" xfId="2" applyNumberFormat="1" applyFont="1" applyFill="1" applyBorder="1"/>
    <xf numFmtId="166" fontId="15" fillId="11" borderId="4" xfId="2" applyNumberFormat="1" applyFont="1" applyFill="1" applyBorder="1"/>
    <xf numFmtId="166" fontId="6" fillId="11" borderId="4" xfId="2" applyNumberFormat="1" applyFont="1" applyFill="1" applyBorder="1"/>
    <xf numFmtId="166" fontId="7" fillId="5" borderId="4" xfId="2" applyNumberFormat="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4"/>
  <sheetViews>
    <sheetView showGridLines="0" tabSelected="1" zoomScaleNormal="100" workbookViewId="0">
      <selection activeCell="H63" sqref="H63"/>
    </sheetView>
  </sheetViews>
  <sheetFormatPr defaultColWidth="9.140625" defaultRowHeight="12.75" x14ac:dyDescent="0.2"/>
  <cols>
    <col min="1" max="1" width="2.42578125" style="116" customWidth="1"/>
    <col min="2" max="2" width="41.85546875" style="116" customWidth="1"/>
    <col min="3" max="3" width="17.7109375" style="116" customWidth="1"/>
    <col min="4" max="4" width="14.28515625" style="116" customWidth="1"/>
    <col min="5" max="5" width="13.85546875" style="116" customWidth="1"/>
    <col min="6" max="6" width="14" style="116" customWidth="1"/>
    <col min="7" max="7" width="12.85546875" style="116" customWidth="1"/>
    <col min="8" max="8" width="19.28515625" style="116" customWidth="1"/>
    <col min="9" max="9" width="11.5703125" style="116" customWidth="1"/>
    <col min="10" max="16384" width="9.140625" style="116"/>
  </cols>
  <sheetData>
    <row r="2" spans="2:19" x14ac:dyDescent="0.2">
      <c r="B2" s="114" t="s">
        <v>7</v>
      </c>
      <c r="C2" s="115"/>
      <c r="D2" s="115"/>
      <c r="E2" s="115"/>
      <c r="F2" s="115"/>
      <c r="G2" s="115"/>
      <c r="H2" s="115"/>
      <c r="O2" s="117"/>
      <c r="P2" s="117"/>
      <c r="Q2" s="117"/>
      <c r="R2" s="117"/>
      <c r="S2" s="117"/>
    </row>
    <row r="3" spans="2:19" ht="75.75" customHeight="1" x14ac:dyDescent="0.2">
      <c r="B3" s="118" t="s">
        <v>76</v>
      </c>
      <c r="C3" s="300" t="s">
        <v>67</v>
      </c>
      <c r="D3" s="301"/>
      <c r="E3" s="301"/>
      <c r="F3" s="301"/>
      <c r="G3" s="301"/>
      <c r="H3" s="301"/>
      <c r="M3" s="119"/>
      <c r="N3" s="119"/>
      <c r="O3" s="117"/>
      <c r="P3" s="117"/>
      <c r="Q3" s="117"/>
      <c r="R3" s="117"/>
      <c r="S3" s="117"/>
    </row>
    <row r="4" spans="2:19" ht="55.5" customHeight="1" x14ac:dyDescent="0.2">
      <c r="B4" s="120"/>
      <c r="C4" s="121"/>
      <c r="D4" s="122" t="s">
        <v>68</v>
      </c>
      <c r="E4" s="122" t="s">
        <v>69</v>
      </c>
      <c r="F4" s="122" t="s">
        <v>74</v>
      </c>
      <c r="G4" s="122" t="s">
        <v>84</v>
      </c>
      <c r="H4" s="122" t="s">
        <v>98</v>
      </c>
      <c r="M4" s="119"/>
      <c r="N4" s="119"/>
      <c r="O4" s="117"/>
      <c r="P4" s="117"/>
      <c r="Q4" s="117"/>
      <c r="R4" s="117"/>
      <c r="S4" s="117"/>
    </row>
    <row r="5" spans="2:19" x14ac:dyDescent="0.2">
      <c r="B5" s="118" t="s">
        <v>13</v>
      </c>
      <c r="C5" s="123" t="s">
        <v>108</v>
      </c>
      <c r="D5" s="124" t="s">
        <v>50</v>
      </c>
      <c r="E5" s="124" t="s">
        <v>75</v>
      </c>
      <c r="F5" s="124" t="s">
        <v>75</v>
      </c>
      <c r="G5" s="124" t="s">
        <v>75</v>
      </c>
      <c r="H5" s="124" t="s">
        <v>75</v>
      </c>
      <c r="M5" s="119"/>
      <c r="N5" s="119"/>
      <c r="O5" s="117"/>
      <c r="P5" s="117"/>
      <c r="Q5" s="117"/>
      <c r="R5" s="117"/>
      <c r="S5" s="117"/>
    </row>
    <row r="6" spans="2:19" ht="12.75" customHeight="1" x14ac:dyDescent="0.2">
      <c r="B6" s="295" t="s">
        <v>41</v>
      </c>
      <c r="C6" s="125" t="s">
        <v>70</v>
      </c>
      <c r="D6" s="126">
        <v>451.77</v>
      </c>
      <c r="E6" s="127">
        <v>150.59</v>
      </c>
      <c r="F6" s="127">
        <v>150.59</v>
      </c>
      <c r="G6" s="127">
        <v>150.59</v>
      </c>
      <c r="H6" s="128" t="s">
        <v>103</v>
      </c>
      <c r="M6" s="119"/>
      <c r="N6" s="119"/>
      <c r="O6" s="117"/>
      <c r="P6" s="117"/>
      <c r="Q6" s="117"/>
      <c r="R6" s="117"/>
      <c r="S6" s="117"/>
    </row>
    <row r="7" spans="2:19" x14ac:dyDescent="0.2">
      <c r="B7" s="296"/>
      <c r="C7" s="129" t="s">
        <v>71</v>
      </c>
      <c r="D7" s="130">
        <v>602.36</v>
      </c>
      <c r="E7" s="131"/>
      <c r="F7" s="131"/>
      <c r="G7" s="131"/>
      <c r="H7" s="132"/>
      <c r="M7" s="119"/>
      <c r="N7" s="119"/>
      <c r="O7" s="117"/>
      <c r="P7" s="117"/>
      <c r="Q7" s="117"/>
      <c r="R7" s="117"/>
      <c r="S7" s="117"/>
    </row>
    <row r="8" spans="2:19" x14ac:dyDescent="0.2">
      <c r="B8" s="296"/>
      <c r="C8" s="129" t="s">
        <v>99</v>
      </c>
      <c r="D8" s="130">
        <v>1054.1300000000001</v>
      </c>
      <c r="E8" s="131"/>
      <c r="F8" s="131"/>
      <c r="G8" s="131"/>
      <c r="H8" s="132"/>
      <c r="M8" s="119"/>
      <c r="N8" s="119"/>
      <c r="O8" s="117"/>
      <c r="P8" s="117"/>
      <c r="Q8" s="117"/>
      <c r="R8" s="117"/>
      <c r="S8" s="117"/>
    </row>
    <row r="9" spans="2:19" x14ac:dyDescent="0.2">
      <c r="B9" s="297"/>
      <c r="C9" s="255" t="s">
        <v>72</v>
      </c>
      <c r="D9" s="130">
        <v>1355.31</v>
      </c>
      <c r="E9" s="134"/>
      <c r="F9" s="134"/>
      <c r="G9" s="134"/>
      <c r="H9" s="135"/>
      <c r="M9" s="119"/>
      <c r="N9" s="119"/>
      <c r="O9" s="117"/>
      <c r="P9" s="117"/>
      <c r="Q9" s="117"/>
      <c r="R9" s="117"/>
      <c r="S9" s="117"/>
    </row>
    <row r="10" spans="2:19" x14ac:dyDescent="0.2">
      <c r="B10" s="295" t="s">
        <v>167</v>
      </c>
      <c r="C10" s="136" t="s">
        <v>73</v>
      </c>
      <c r="D10" s="137">
        <f>'Proposed price'!Q15</f>
        <v>535.75038960641621</v>
      </c>
      <c r="E10" s="138">
        <f>'Proposed price'!AH7</f>
        <v>178.58346320213872</v>
      </c>
      <c r="F10" s="138">
        <f>'Proposed price'!AY7</f>
        <v>178.58346320213872</v>
      </c>
      <c r="G10" s="138">
        <f>'Proposed price'!BP7</f>
        <v>178.58346320213872</v>
      </c>
      <c r="H10" s="138">
        <f>'Proposed price'!CG7</f>
        <v>178.58346320213872</v>
      </c>
      <c r="O10" s="117"/>
      <c r="P10" s="117"/>
      <c r="Q10" s="117"/>
      <c r="R10" s="117"/>
      <c r="S10" s="117"/>
    </row>
    <row r="11" spans="2:19" x14ac:dyDescent="0.2">
      <c r="B11" s="296"/>
      <c r="C11" s="130" t="s">
        <v>71</v>
      </c>
      <c r="D11" s="137">
        <f>'Proposed price'!Q28</f>
        <v>714.33385280855487</v>
      </c>
      <c r="E11" s="139"/>
      <c r="F11" s="139"/>
      <c r="G11" s="139"/>
      <c r="H11" s="139"/>
      <c r="O11" s="117"/>
      <c r="P11" s="117"/>
      <c r="Q11" s="117"/>
      <c r="R11" s="117"/>
      <c r="S11" s="117"/>
    </row>
    <row r="12" spans="2:19" x14ac:dyDescent="0.2">
      <c r="B12" s="296"/>
      <c r="C12" s="133" t="s">
        <v>99</v>
      </c>
      <c r="D12" s="137">
        <f>'Proposed price'!Q41</f>
        <v>1250.0842424149712</v>
      </c>
      <c r="E12" s="139"/>
      <c r="F12" s="139"/>
      <c r="G12" s="139"/>
      <c r="H12" s="139"/>
      <c r="O12" s="117"/>
      <c r="P12" s="117"/>
      <c r="Q12" s="117"/>
      <c r="R12" s="117"/>
      <c r="S12" s="117"/>
    </row>
    <row r="13" spans="2:19" x14ac:dyDescent="0.2">
      <c r="B13" s="297"/>
      <c r="C13" s="133" t="s">
        <v>72</v>
      </c>
      <c r="D13" s="140">
        <f>'Proposed price'!Q54</f>
        <v>1607.2511688192483</v>
      </c>
      <c r="E13" s="141"/>
      <c r="F13" s="141"/>
      <c r="G13" s="141"/>
      <c r="H13" s="141"/>
      <c r="O13" s="117"/>
      <c r="P13" s="117"/>
      <c r="Q13" s="117"/>
      <c r="R13" s="117"/>
      <c r="S13" s="117"/>
    </row>
    <row r="14" spans="2:19" x14ac:dyDescent="0.2">
      <c r="B14" s="142"/>
      <c r="C14" s="298" t="s">
        <v>104</v>
      </c>
      <c r="D14" s="299"/>
      <c r="E14" s="143"/>
      <c r="F14" s="144"/>
      <c r="G14" s="144"/>
      <c r="H14" s="144"/>
      <c r="O14" s="117"/>
      <c r="P14" s="117"/>
      <c r="Q14" s="117"/>
      <c r="R14" s="117"/>
      <c r="S14" s="117"/>
    </row>
    <row r="15" spans="2:19" x14ac:dyDescent="0.2">
      <c r="B15" s="145" t="s">
        <v>5</v>
      </c>
      <c r="C15" s="146"/>
      <c r="D15" s="146"/>
      <c r="E15" s="147"/>
      <c r="F15" s="147"/>
      <c r="G15" s="147"/>
      <c r="H15" s="147"/>
      <c r="O15" s="117"/>
      <c r="P15" s="117"/>
      <c r="Q15" s="117"/>
      <c r="R15" s="117"/>
      <c r="S15" s="117"/>
    </row>
    <row r="16" spans="2:19" ht="207.75" customHeight="1" x14ac:dyDescent="0.2">
      <c r="B16" s="303" t="s">
        <v>139</v>
      </c>
      <c r="C16" s="303"/>
      <c r="D16" s="303"/>
      <c r="E16" s="303"/>
      <c r="F16" s="303"/>
      <c r="G16" s="303"/>
      <c r="H16" s="303"/>
      <c r="O16" s="117"/>
      <c r="P16" s="117"/>
      <c r="Q16" s="117"/>
      <c r="R16" s="117"/>
      <c r="S16" s="117"/>
    </row>
    <row r="17" spans="2:19" x14ac:dyDescent="0.2">
      <c r="B17" s="148"/>
      <c r="C17" s="148"/>
      <c r="D17" s="148"/>
      <c r="E17" s="148"/>
      <c r="F17" s="148"/>
      <c r="G17" s="148"/>
      <c r="H17" s="148"/>
      <c r="O17" s="117"/>
      <c r="P17" s="117"/>
      <c r="Q17" s="117"/>
      <c r="R17" s="117"/>
      <c r="S17" s="117"/>
    </row>
    <row r="18" spans="2:19" x14ac:dyDescent="0.2">
      <c r="O18" s="117"/>
      <c r="P18" s="117"/>
      <c r="Q18" s="117"/>
      <c r="R18" s="117"/>
      <c r="S18" s="117"/>
    </row>
    <row r="19" spans="2:19" x14ac:dyDescent="0.2">
      <c r="B19" s="149" t="s">
        <v>34</v>
      </c>
      <c r="C19" s="115"/>
      <c r="D19" s="115"/>
      <c r="E19" s="115"/>
      <c r="F19" s="115"/>
      <c r="G19" s="115"/>
      <c r="H19" s="115"/>
      <c r="O19" s="117"/>
      <c r="P19" s="117"/>
      <c r="Q19" s="117"/>
      <c r="R19" s="117"/>
      <c r="S19" s="117"/>
    </row>
    <row r="20" spans="2:19" x14ac:dyDescent="0.2">
      <c r="B20" s="302"/>
      <c r="C20" s="302"/>
      <c r="D20" s="302"/>
      <c r="E20" s="302"/>
      <c r="F20" s="302"/>
      <c r="G20" s="302"/>
      <c r="H20" s="302"/>
    </row>
    <row r="21" spans="2:19" ht="157.5" customHeight="1" x14ac:dyDescent="0.2">
      <c r="B21" s="304" t="s">
        <v>137</v>
      </c>
      <c r="C21" s="304"/>
      <c r="D21" s="304"/>
      <c r="E21" s="304"/>
      <c r="F21" s="304"/>
      <c r="G21" s="304"/>
      <c r="H21" s="304"/>
      <c r="I21" s="117"/>
    </row>
    <row r="22" spans="2:19" x14ac:dyDescent="0.2">
      <c r="B22" s="150"/>
      <c r="C22" s="150"/>
      <c r="D22" s="150"/>
      <c r="E22" s="150"/>
      <c r="F22" s="150"/>
      <c r="G22" s="150"/>
      <c r="H22" s="150"/>
    </row>
    <row r="23" spans="2:19" x14ac:dyDescent="0.2">
      <c r="B23" s="151"/>
      <c r="C23" s="151"/>
      <c r="D23" s="151"/>
      <c r="E23" s="151"/>
      <c r="F23" s="151"/>
      <c r="G23" s="151"/>
      <c r="H23" s="151"/>
    </row>
    <row r="24" spans="2:19" x14ac:dyDescent="0.2">
      <c r="B24" s="149" t="s">
        <v>43</v>
      </c>
      <c r="C24" s="115"/>
      <c r="D24" s="115"/>
      <c r="E24" s="115"/>
      <c r="F24" s="115"/>
      <c r="G24" s="115"/>
      <c r="H24" s="115"/>
    </row>
    <row r="25" spans="2:19" x14ac:dyDescent="0.2">
      <c r="B25" s="302" t="s">
        <v>85</v>
      </c>
      <c r="C25" s="302"/>
      <c r="D25" s="302"/>
      <c r="E25" s="302"/>
      <c r="F25" s="302"/>
      <c r="G25" s="302"/>
      <c r="H25" s="302"/>
    </row>
    <row r="26" spans="2:19" x14ac:dyDescent="0.2">
      <c r="B26" s="302" t="s">
        <v>100</v>
      </c>
      <c r="C26" s="302"/>
      <c r="D26" s="302"/>
      <c r="E26" s="302"/>
      <c r="F26" s="302"/>
      <c r="G26" s="302"/>
      <c r="H26" s="302"/>
    </row>
    <row r="27" spans="2:19" x14ac:dyDescent="0.2">
      <c r="B27" s="304" t="s">
        <v>138</v>
      </c>
      <c r="C27" s="304"/>
      <c r="D27" s="304"/>
      <c r="E27" s="304"/>
      <c r="F27" s="304"/>
      <c r="G27" s="304"/>
      <c r="H27" s="304"/>
    </row>
    <row r="28" spans="2:19" x14ac:dyDescent="0.2">
      <c r="B28" s="304"/>
      <c r="C28" s="306"/>
      <c r="D28" s="306"/>
      <c r="E28" s="306"/>
      <c r="F28" s="306"/>
      <c r="G28" s="306"/>
      <c r="H28" s="306"/>
    </row>
    <row r="29" spans="2:19" x14ac:dyDescent="0.2">
      <c r="B29" s="152"/>
      <c r="C29" s="152"/>
      <c r="D29" s="152"/>
      <c r="E29" s="152"/>
      <c r="F29" s="152"/>
      <c r="G29" s="152"/>
      <c r="H29" s="152"/>
    </row>
    <row r="30" spans="2:19" x14ac:dyDescent="0.2">
      <c r="B30" s="302"/>
      <c r="C30" s="302"/>
      <c r="D30" s="302"/>
      <c r="E30" s="302"/>
      <c r="F30" s="302"/>
      <c r="G30" s="302"/>
      <c r="H30" s="302"/>
    </row>
    <row r="31" spans="2:19" x14ac:dyDescent="0.2">
      <c r="B31" s="150"/>
      <c r="C31" s="150"/>
      <c r="D31" s="150"/>
      <c r="E31" s="150"/>
      <c r="F31" s="150"/>
      <c r="G31" s="150"/>
      <c r="H31" s="150"/>
    </row>
    <row r="32" spans="2:19" x14ac:dyDescent="0.2">
      <c r="B32" s="150"/>
      <c r="C32" s="150"/>
      <c r="D32" s="150"/>
      <c r="E32" s="150"/>
      <c r="F32" s="150"/>
      <c r="G32" s="150"/>
      <c r="H32" s="150"/>
    </row>
    <row r="33" spans="2:9" x14ac:dyDescent="0.2">
      <c r="B33" s="150"/>
      <c r="C33" s="150"/>
      <c r="D33" s="150"/>
      <c r="E33" s="150"/>
      <c r="F33" s="150"/>
      <c r="G33" s="150"/>
      <c r="H33" s="150"/>
    </row>
    <row r="34" spans="2:9" x14ac:dyDescent="0.2">
      <c r="B34" s="150"/>
      <c r="C34" s="150"/>
      <c r="D34" s="150"/>
      <c r="E34" s="150"/>
      <c r="F34" s="150"/>
      <c r="G34" s="150"/>
      <c r="H34" s="150"/>
    </row>
    <row r="35" spans="2:9" x14ac:dyDescent="0.2">
      <c r="B35" s="153"/>
      <c r="C35" s="153"/>
      <c r="D35" s="153"/>
      <c r="E35" s="153"/>
      <c r="F35" s="153"/>
      <c r="G35" s="153"/>
      <c r="H35" s="153"/>
      <c r="I35" s="117"/>
    </row>
    <row r="36" spans="2:9" x14ac:dyDescent="0.2">
      <c r="B36" s="149" t="s">
        <v>6</v>
      </c>
    </row>
    <row r="37" spans="2:9" x14ac:dyDescent="0.2">
      <c r="B37" s="154" t="s">
        <v>14</v>
      </c>
      <c r="C37" s="155" t="s">
        <v>29</v>
      </c>
      <c r="D37" s="155"/>
      <c r="E37" s="155"/>
      <c r="F37" s="155"/>
      <c r="G37" s="155"/>
      <c r="H37" s="155"/>
    </row>
    <row r="38" spans="2:9" x14ac:dyDescent="0.2">
      <c r="B38" s="156" t="s">
        <v>48</v>
      </c>
      <c r="C38" s="155" t="s">
        <v>54</v>
      </c>
      <c r="D38" s="155"/>
      <c r="E38" s="155"/>
      <c r="F38" s="155"/>
      <c r="G38" s="155"/>
      <c r="H38" s="155"/>
    </row>
    <row r="39" spans="2:9" x14ac:dyDescent="0.2">
      <c r="B39" s="156" t="s">
        <v>49</v>
      </c>
      <c r="C39" s="155" t="s">
        <v>55</v>
      </c>
      <c r="D39" s="155"/>
      <c r="E39" s="155"/>
      <c r="F39" s="155"/>
      <c r="G39" s="155"/>
      <c r="H39" s="155"/>
    </row>
    <row r="40" spans="2:9" x14ac:dyDescent="0.2">
      <c r="B40" s="156" t="s">
        <v>15</v>
      </c>
      <c r="C40" s="155" t="s">
        <v>30</v>
      </c>
      <c r="D40" s="155"/>
      <c r="E40" s="155"/>
      <c r="F40" s="155"/>
      <c r="G40" s="155"/>
      <c r="H40" s="155"/>
    </row>
    <row r="43" spans="2:9" x14ac:dyDescent="0.2">
      <c r="B43" s="149" t="s">
        <v>35</v>
      </c>
      <c r="C43" s="115"/>
      <c r="D43" s="115"/>
      <c r="E43" s="115"/>
      <c r="F43" s="115"/>
      <c r="G43" s="115"/>
      <c r="H43" s="115"/>
    </row>
    <row r="45" spans="2:9" x14ac:dyDescent="0.2">
      <c r="B45" s="157"/>
      <c r="C45" s="158" t="s">
        <v>36</v>
      </c>
      <c r="D45" s="158" t="s">
        <v>37</v>
      </c>
      <c r="E45" s="158" t="s">
        <v>38</v>
      </c>
      <c r="F45" s="158" t="s">
        <v>40</v>
      </c>
      <c r="G45" s="158" t="s">
        <v>39</v>
      </c>
      <c r="H45" s="159" t="s">
        <v>1</v>
      </c>
    </row>
    <row r="46" spans="2:9" x14ac:dyDescent="0.2">
      <c r="C46" s="160"/>
      <c r="D46" s="160"/>
      <c r="E46" s="160"/>
      <c r="F46" s="160"/>
      <c r="G46" s="160"/>
      <c r="H46" s="160"/>
    </row>
    <row r="47" spans="2:9" x14ac:dyDescent="0.2">
      <c r="B47" s="256" t="s">
        <v>196</v>
      </c>
      <c r="C47" s="161">
        <f>'Forecast Revenue - Costs'!D44</f>
        <v>593694.7408050712</v>
      </c>
      <c r="D47" s="161">
        <f>'Forecast Revenue - Costs'!E44</f>
        <v>593694.7408050712</v>
      </c>
      <c r="E47" s="161">
        <f>'Forecast Revenue - Costs'!F44</f>
        <v>600225.38295392692</v>
      </c>
      <c r="F47" s="161">
        <f>'Forecast Revenue - Costs'!G44</f>
        <v>614109.79651241715</v>
      </c>
      <c r="G47" s="161">
        <f>'Forecast Revenue - Costs'!H44</f>
        <v>634849.8643223258</v>
      </c>
      <c r="H47" s="161">
        <f>SUM(C47:G47)</f>
        <v>3036574.5253988123</v>
      </c>
    </row>
    <row r="48" spans="2:9" x14ac:dyDescent="0.2">
      <c r="C48" s="162"/>
      <c r="D48" s="163"/>
      <c r="E48" s="162"/>
      <c r="F48" s="162"/>
      <c r="G48" s="162"/>
    </row>
    <row r="49" spans="2:9" x14ac:dyDescent="0.2">
      <c r="B49" s="256" t="s">
        <v>197</v>
      </c>
      <c r="C49" s="161">
        <f>SUM('Forecast Revenue - Costs'!D45:D47)</f>
        <v>433067.30920636124</v>
      </c>
      <c r="D49" s="161">
        <f>SUM('Forecast Revenue - Costs'!E45:E47)</f>
        <v>433067.30920636124</v>
      </c>
      <c r="E49" s="161">
        <f>SUM('Forecast Revenue - Costs'!F45:F47)</f>
        <v>437831.04960763105</v>
      </c>
      <c r="F49" s="161">
        <f>SUM('Forecast Revenue - Costs'!G45:G47)</f>
        <v>447958.95744715485</v>
      </c>
      <c r="G49" s="161">
        <f>SUM('Forecast Revenue - Costs'!H45:H47)</f>
        <v>463087.68394895084</v>
      </c>
      <c r="H49" s="161">
        <f>SUM(C49:G49)</f>
        <v>2215012.3094164594</v>
      </c>
    </row>
    <row r="50" spans="2:9" x14ac:dyDescent="0.2">
      <c r="C50" s="162"/>
      <c r="D50" s="163"/>
      <c r="E50" s="162"/>
      <c r="F50" s="162"/>
      <c r="G50" s="162"/>
    </row>
    <row r="51" spans="2:9" x14ac:dyDescent="0.2">
      <c r="B51" s="256" t="s">
        <v>198</v>
      </c>
      <c r="C51" s="161">
        <f>+C47+C49</f>
        <v>1026762.0500114325</v>
      </c>
      <c r="D51" s="161">
        <f t="shared" ref="D51:H51" si="0">+D47+D49</f>
        <v>1026762.0500114325</v>
      </c>
      <c r="E51" s="161">
        <f t="shared" si="0"/>
        <v>1038056.432561558</v>
      </c>
      <c r="F51" s="161">
        <f t="shared" si="0"/>
        <v>1062068.7539595719</v>
      </c>
      <c r="G51" s="161">
        <f t="shared" si="0"/>
        <v>1097937.5482712765</v>
      </c>
      <c r="H51" s="161">
        <f t="shared" si="0"/>
        <v>5251586.8348152712</v>
      </c>
    </row>
    <row r="52" spans="2:9" x14ac:dyDescent="0.2">
      <c r="C52" s="257"/>
      <c r="D52" s="257"/>
      <c r="E52" s="257"/>
      <c r="F52" s="257"/>
      <c r="G52" s="257"/>
    </row>
    <row r="53" spans="2:9" x14ac:dyDescent="0.2">
      <c r="B53" s="164" t="s">
        <v>6</v>
      </c>
    </row>
    <row r="54" spans="2:9" ht="14.25" customHeight="1" x14ac:dyDescent="0.2">
      <c r="B54" s="305"/>
      <c r="C54" s="305"/>
      <c r="D54" s="305"/>
      <c r="E54" s="305"/>
      <c r="F54" s="305"/>
      <c r="G54" s="305"/>
      <c r="H54" s="305"/>
    </row>
    <row r="55" spans="2:9" x14ac:dyDescent="0.2">
      <c r="B55" s="302"/>
      <c r="C55" s="302"/>
      <c r="D55" s="302"/>
      <c r="E55" s="302"/>
      <c r="F55" s="302"/>
      <c r="G55" s="302"/>
      <c r="H55" s="302"/>
      <c r="I55" s="117"/>
    </row>
    <row r="56" spans="2:9" ht="27.75" customHeight="1" x14ac:dyDescent="0.2">
      <c r="B56" s="302"/>
      <c r="C56" s="302"/>
      <c r="D56" s="302"/>
      <c r="E56" s="302"/>
      <c r="F56" s="302"/>
      <c r="G56" s="302"/>
      <c r="H56" s="302"/>
    </row>
    <row r="59" spans="2:9" x14ac:dyDescent="0.2">
      <c r="B59" s="149" t="s">
        <v>113</v>
      </c>
      <c r="C59" s="115"/>
      <c r="D59" s="115"/>
      <c r="E59" s="115"/>
      <c r="F59" s="115"/>
      <c r="G59" s="115"/>
      <c r="H59" s="115"/>
    </row>
    <row r="60" spans="2:9" x14ac:dyDescent="0.2">
      <c r="B60" s="165"/>
    </row>
    <row r="61" spans="2:9" x14ac:dyDescent="0.2">
      <c r="B61" s="166"/>
      <c r="C61" s="167" t="s">
        <v>36</v>
      </c>
      <c r="D61" s="167" t="s">
        <v>37</v>
      </c>
      <c r="E61" s="167" t="s">
        <v>38</v>
      </c>
      <c r="F61" s="167" t="s">
        <v>40</v>
      </c>
      <c r="G61" s="167" t="s">
        <v>39</v>
      </c>
      <c r="H61" s="168" t="s">
        <v>1</v>
      </c>
    </row>
    <row r="62" spans="2:9" x14ac:dyDescent="0.2">
      <c r="C62" s="169"/>
      <c r="D62" s="169"/>
      <c r="E62" s="169"/>
      <c r="F62" s="169"/>
      <c r="G62" s="169"/>
      <c r="H62" s="169"/>
    </row>
    <row r="63" spans="2:9" x14ac:dyDescent="0.2">
      <c r="B63" s="166" t="s">
        <v>12</v>
      </c>
      <c r="C63" s="170">
        <f>'Forecast Revenue - Costs'!D27</f>
        <v>2500</v>
      </c>
      <c r="D63" s="170">
        <f>'Forecast Revenue - Costs'!E27</f>
        <v>2500</v>
      </c>
      <c r="E63" s="170">
        <f>'Forecast Revenue - Costs'!F27</f>
        <v>2500</v>
      </c>
      <c r="F63" s="170">
        <f>'Forecast Revenue - Costs'!G27</f>
        <v>2500</v>
      </c>
      <c r="G63" s="170">
        <f>'Forecast Revenue - Costs'!H27</f>
        <v>2500</v>
      </c>
      <c r="H63" s="170">
        <f>SUM(C63:G63)</f>
        <v>12500</v>
      </c>
    </row>
    <row r="64" spans="2:9" x14ac:dyDescent="0.2">
      <c r="C64" s="171"/>
      <c r="D64" s="171"/>
      <c r="E64" s="171"/>
      <c r="F64" s="171"/>
      <c r="G64" s="171"/>
      <c r="H64" s="172"/>
    </row>
  </sheetData>
  <mergeCells count="13">
    <mergeCell ref="B21:H21"/>
    <mergeCell ref="B54:H56"/>
    <mergeCell ref="B25:H25"/>
    <mergeCell ref="B26:H26"/>
    <mergeCell ref="B27:H27"/>
    <mergeCell ref="B28:H28"/>
    <mergeCell ref="B30:H30"/>
    <mergeCell ref="B6:B9"/>
    <mergeCell ref="B10:B13"/>
    <mergeCell ref="C14:D14"/>
    <mergeCell ref="C3:H3"/>
    <mergeCell ref="B20:H20"/>
    <mergeCell ref="B16:H16"/>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topLeftCell="A10" zoomScaleNormal="100" workbookViewId="0">
      <selection activeCell="B21" sqref="B21:K21"/>
    </sheetView>
  </sheetViews>
  <sheetFormatPr defaultColWidth="9.140625" defaultRowHeight="12.75" x14ac:dyDescent="0.2"/>
  <cols>
    <col min="1" max="1" width="2.28515625" style="1" customWidth="1"/>
    <col min="2" max="2" width="2.42578125" style="37" customWidth="1"/>
    <col min="3" max="3" width="10.140625" style="37" customWidth="1"/>
    <col min="4" max="9" width="13.140625" style="37" customWidth="1"/>
    <col min="10" max="11" width="9.140625" style="37"/>
    <col min="12" max="12" width="5.28515625" style="37" customWidth="1"/>
    <col min="13" max="13" width="2.42578125" style="1" customWidth="1"/>
    <col min="14" max="16384" width="9.140625" style="1"/>
  </cols>
  <sheetData>
    <row r="1" spans="2:14" ht="9" customHeight="1" x14ac:dyDescent="0.2"/>
    <row r="2" spans="2:14" ht="18" customHeight="1" x14ac:dyDescent="0.2">
      <c r="B2" s="35" t="s">
        <v>16</v>
      </c>
      <c r="C2" s="35"/>
      <c r="D2" s="35"/>
      <c r="E2" s="35"/>
      <c r="F2" s="35"/>
      <c r="G2" s="35"/>
      <c r="H2" s="35"/>
      <c r="I2" s="35"/>
      <c r="J2" s="35"/>
      <c r="K2" s="35"/>
    </row>
    <row r="3" spans="2:14" x14ac:dyDescent="0.2">
      <c r="B3" s="34" t="s">
        <v>0</v>
      </c>
      <c r="C3" s="36"/>
      <c r="D3" s="309" t="str">
        <f>'AER Summary'!C3</f>
        <v xml:space="preserve">Design Information </v>
      </c>
      <c r="E3" s="310"/>
      <c r="F3" s="310"/>
      <c r="G3" s="310"/>
      <c r="H3" s="310"/>
      <c r="I3" s="310"/>
      <c r="J3" s="310"/>
      <c r="K3" s="310"/>
      <c r="N3" s="32"/>
    </row>
    <row r="4" spans="2:14" x14ac:dyDescent="0.2">
      <c r="N4" s="32"/>
    </row>
    <row r="5" spans="2:14" x14ac:dyDescent="0.2">
      <c r="B5" s="311" t="s">
        <v>102</v>
      </c>
      <c r="C5" s="311"/>
      <c r="D5" s="311"/>
      <c r="E5" s="311"/>
      <c r="F5" s="311"/>
      <c r="G5" s="311"/>
      <c r="H5" s="311"/>
      <c r="I5" s="311"/>
      <c r="J5" s="311"/>
      <c r="K5" s="311"/>
      <c r="N5" s="32"/>
    </row>
    <row r="6" spans="2:14" ht="186.75" customHeight="1" x14ac:dyDescent="0.2">
      <c r="B6" s="312" t="s">
        <v>47</v>
      </c>
      <c r="C6" s="313"/>
      <c r="D6" s="313"/>
      <c r="E6" s="313"/>
      <c r="F6" s="313"/>
      <c r="G6" s="313"/>
      <c r="H6" s="313"/>
      <c r="I6" s="313"/>
      <c r="J6" s="313"/>
      <c r="K6" s="313"/>
      <c r="N6" s="32"/>
    </row>
    <row r="9" spans="2:14" x14ac:dyDescent="0.2">
      <c r="B9" s="311" t="s">
        <v>44</v>
      </c>
      <c r="C9" s="311"/>
      <c r="D9" s="311"/>
      <c r="E9" s="311"/>
      <c r="F9" s="311"/>
      <c r="G9" s="311"/>
      <c r="H9" s="311"/>
      <c r="I9" s="311"/>
      <c r="J9" s="311"/>
      <c r="K9" s="311"/>
    </row>
    <row r="10" spans="2:14" ht="15" customHeight="1" x14ac:dyDescent="0.2">
      <c r="B10" s="308" t="s">
        <v>45</v>
      </c>
      <c r="C10" s="308"/>
      <c r="D10" s="308"/>
      <c r="E10" s="308"/>
      <c r="F10" s="308"/>
      <c r="G10" s="308"/>
      <c r="H10" s="308"/>
      <c r="I10" s="308"/>
      <c r="J10" s="308"/>
      <c r="K10" s="308"/>
    </row>
    <row r="11" spans="2:14" ht="24.75" customHeight="1" x14ac:dyDescent="0.2">
      <c r="B11" s="314"/>
      <c r="C11" s="314"/>
      <c r="D11" s="314"/>
      <c r="E11" s="314"/>
      <c r="F11" s="314"/>
      <c r="G11" s="314"/>
      <c r="H11" s="314"/>
      <c r="I11" s="314"/>
      <c r="J11" s="314"/>
      <c r="K11" s="314"/>
      <c r="L11" s="38"/>
      <c r="M11" s="33"/>
      <c r="N11" s="33"/>
    </row>
    <row r="12" spans="2:14" x14ac:dyDescent="0.2">
      <c r="B12" s="314"/>
      <c r="C12" s="314"/>
      <c r="D12" s="314"/>
      <c r="E12" s="314"/>
      <c r="F12" s="314"/>
      <c r="G12" s="314"/>
      <c r="H12" s="314"/>
      <c r="I12" s="314"/>
      <c r="J12" s="314"/>
      <c r="K12" s="314"/>
      <c r="L12" s="38"/>
      <c r="M12" s="33"/>
      <c r="N12" s="33"/>
    </row>
    <row r="13" spans="2:14" x14ac:dyDescent="0.2">
      <c r="B13" s="314"/>
      <c r="C13" s="314"/>
      <c r="D13" s="314"/>
      <c r="E13" s="314"/>
      <c r="F13" s="314"/>
      <c r="G13" s="314"/>
      <c r="H13" s="314"/>
      <c r="I13" s="314"/>
      <c r="J13" s="314"/>
      <c r="K13" s="314"/>
      <c r="L13" s="38"/>
      <c r="M13" s="33"/>
      <c r="N13" s="33"/>
    </row>
    <row r="14" spans="2:14" ht="21" customHeight="1" x14ac:dyDescent="0.2">
      <c r="B14" s="314"/>
      <c r="C14" s="314"/>
      <c r="D14" s="314"/>
      <c r="E14" s="314"/>
      <c r="F14" s="314"/>
      <c r="G14" s="314"/>
      <c r="H14" s="314"/>
      <c r="I14" s="314"/>
      <c r="J14" s="314"/>
      <c r="K14" s="314"/>
      <c r="L14" s="38"/>
      <c r="M14" s="33"/>
      <c r="N14" s="33"/>
    </row>
    <row r="15" spans="2:14" x14ac:dyDescent="0.2">
      <c r="B15" s="314"/>
      <c r="C15" s="314"/>
      <c r="D15" s="314"/>
      <c r="E15" s="314"/>
      <c r="F15" s="314"/>
      <c r="G15" s="314"/>
      <c r="H15" s="314"/>
      <c r="I15" s="314"/>
      <c r="J15" s="314"/>
      <c r="K15" s="314"/>
      <c r="L15" s="38"/>
      <c r="M15" s="33"/>
      <c r="N15" s="33"/>
    </row>
    <row r="16" spans="2:14" x14ac:dyDescent="0.2">
      <c r="B16" s="314"/>
      <c r="C16" s="314"/>
      <c r="D16" s="314"/>
      <c r="E16" s="314"/>
      <c r="F16" s="314"/>
      <c r="G16" s="314"/>
      <c r="H16" s="314"/>
      <c r="I16" s="314"/>
      <c r="J16" s="314"/>
      <c r="K16" s="314"/>
      <c r="L16" s="38"/>
      <c r="M16" s="33"/>
      <c r="N16" s="33"/>
    </row>
    <row r="17" spans="2:14" x14ac:dyDescent="0.2">
      <c r="L17" s="38"/>
      <c r="M17" s="33"/>
      <c r="N17" s="33"/>
    </row>
    <row r="18" spans="2:14" x14ac:dyDescent="0.2">
      <c r="L18" s="38"/>
      <c r="M18" s="33"/>
      <c r="N18" s="33"/>
    </row>
    <row r="19" spans="2:14" x14ac:dyDescent="0.2">
      <c r="B19" s="311" t="s">
        <v>46</v>
      </c>
      <c r="C19" s="311"/>
      <c r="D19" s="311"/>
      <c r="E19" s="311"/>
      <c r="F19" s="311"/>
      <c r="G19" s="311"/>
      <c r="H19" s="311"/>
      <c r="I19" s="311"/>
      <c r="J19" s="311"/>
      <c r="K19" s="311"/>
      <c r="L19" s="38"/>
      <c r="M19" s="33"/>
      <c r="N19" s="33"/>
    </row>
    <row r="20" spans="2:14" ht="213" customHeight="1" x14ac:dyDescent="0.2">
      <c r="B20" s="308" t="str">
        <f>'AER Summary'!B16:H16</f>
        <v xml:space="preserve">
Design Information
The provision of information by a DNSP to enable an ASP accredited for level 3 work to prepare a design drawing and to submit it for certification.
This may include without limitation:
1.  deriving the estimated loading on the system, technically known as the ADMD (after diversity maximum demand). This estimate depends on such factors as the number of customers served and specific features of the customer’s demand
2.  copying drawings that show existing low and high voltage circuitry geographically and schematically) and adjacent project drawings
3.  specifying the preferred sizes for overhead wires (conductors) or underground wires (cables)
4.  specifying switchgear configuration type, number of pillars, lights etc
5.  determining the special requirements of the DNSP’s planning departments necessary to make electrical supply available to a development and cater for future projects 
6.  any necessary liaison with designers associated with assistance in sourcing design information and developing designs
7.  nominating network connection points.</v>
      </c>
      <c r="C20" s="308"/>
      <c r="D20" s="308"/>
      <c r="E20" s="308"/>
      <c r="F20" s="308"/>
      <c r="G20" s="308"/>
      <c r="H20" s="308"/>
      <c r="I20" s="308"/>
      <c r="J20" s="308"/>
      <c r="K20" s="308"/>
    </row>
    <row r="21" spans="2:14" x14ac:dyDescent="0.2">
      <c r="B21" s="307"/>
      <c r="C21" s="307"/>
      <c r="D21" s="307"/>
      <c r="E21" s="307"/>
      <c r="F21" s="307"/>
      <c r="G21" s="307"/>
      <c r="H21" s="307"/>
      <c r="I21" s="307"/>
      <c r="J21" s="307"/>
      <c r="K21" s="307"/>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K28"/>
  <sheetViews>
    <sheetView showGridLines="0" workbookViewId="0">
      <selection activeCell="C35" sqref="C35"/>
    </sheetView>
  </sheetViews>
  <sheetFormatPr defaultColWidth="9.140625" defaultRowHeight="12.75" x14ac:dyDescent="0.2"/>
  <cols>
    <col min="1" max="1" width="3.5703125" style="47" customWidth="1"/>
    <col min="2" max="2" width="60.28515625" style="47" customWidth="1"/>
    <col min="3" max="3" width="65.140625" style="47" customWidth="1"/>
    <col min="4" max="4" width="12.140625" style="47" customWidth="1"/>
    <col min="5" max="8" width="11.28515625" style="47" customWidth="1"/>
    <col min="9" max="9" width="11.28515625" style="47" bestFit="1" customWidth="1"/>
    <col min="10" max="10" width="6.7109375" style="50" bestFit="1" customWidth="1"/>
    <col min="11" max="16384" width="9.140625" style="47"/>
  </cols>
  <sheetData>
    <row r="2" spans="1:11" x14ac:dyDescent="0.2">
      <c r="B2" s="48" t="s">
        <v>114</v>
      </c>
      <c r="C2" s="49"/>
      <c r="D2" s="49"/>
      <c r="E2" s="49"/>
      <c r="F2" s="49"/>
      <c r="G2" s="49"/>
      <c r="H2" s="49"/>
      <c r="I2" s="49"/>
    </row>
    <row r="3" spans="1:11" x14ac:dyDescent="0.2">
      <c r="B3" s="51" t="s">
        <v>20</v>
      </c>
      <c r="C3" s="51" t="s">
        <v>3</v>
      </c>
      <c r="D3" s="52" t="s">
        <v>79</v>
      </c>
      <c r="E3" s="52" t="s">
        <v>78</v>
      </c>
      <c r="F3" s="52" t="s">
        <v>77</v>
      </c>
      <c r="G3" s="86" t="s">
        <v>141</v>
      </c>
      <c r="H3" s="86" t="s">
        <v>142</v>
      </c>
      <c r="I3" s="100" t="s">
        <v>1</v>
      </c>
    </row>
    <row r="4" spans="1:11" x14ac:dyDescent="0.2">
      <c r="B4" s="53" t="s">
        <v>21</v>
      </c>
      <c r="C4" s="6" t="s">
        <v>120</v>
      </c>
      <c r="D4" s="84" t="s">
        <v>140</v>
      </c>
      <c r="E4" s="340">
        <v>353856</v>
      </c>
      <c r="F4" s="340">
        <v>694466.71</v>
      </c>
      <c r="G4" s="340">
        <v>815370.08</v>
      </c>
      <c r="H4" s="340">
        <f>G4*102.5%</f>
        <v>835754.33199999994</v>
      </c>
      <c r="I4" s="341">
        <f>SUM(D4:H4)</f>
        <v>2699447.122</v>
      </c>
      <c r="J4" s="54"/>
      <c r="K4" s="102"/>
    </row>
    <row r="5" spans="1:11" x14ac:dyDescent="0.2">
      <c r="B5" s="53" t="s">
        <v>23</v>
      </c>
      <c r="C5" s="53"/>
      <c r="D5" s="340"/>
      <c r="E5" s="340">
        <v>0</v>
      </c>
      <c r="F5" s="340">
        <v>0</v>
      </c>
      <c r="G5" s="340">
        <v>0</v>
      </c>
      <c r="H5" s="340">
        <f t="shared" ref="H5:H8" si="0">G5*102.5%</f>
        <v>0</v>
      </c>
      <c r="I5" s="341">
        <f t="shared" ref="I5:I8" si="1">SUM(D5:H5)</f>
        <v>0</v>
      </c>
      <c r="J5" s="54"/>
      <c r="K5" s="102"/>
    </row>
    <row r="6" spans="1:11" x14ac:dyDescent="0.2">
      <c r="B6" s="53" t="s">
        <v>24</v>
      </c>
      <c r="C6" s="53"/>
      <c r="D6" s="340"/>
      <c r="E6" s="340">
        <v>48864</v>
      </c>
      <c r="F6" s="340">
        <v>21919</v>
      </c>
      <c r="G6" s="340">
        <v>29749.82</v>
      </c>
      <c r="H6" s="340">
        <f t="shared" si="0"/>
        <v>30493.565499999997</v>
      </c>
      <c r="I6" s="341">
        <f t="shared" si="1"/>
        <v>131026.3855</v>
      </c>
      <c r="J6" s="54"/>
      <c r="K6" s="102"/>
    </row>
    <row r="7" spans="1:11" x14ac:dyDescent="0.2">
      <c r="B7" s="53" t="s">
        <v>25</v>
      </c>
      <c r="C7" s="53"/>
      <c r="D7" s="340"/>
      <c r="E7" s="340">
        <v>0</v>
      </c>
      <c r="F7" s="340">
        <v>1468</v>
      </c>
      <c r="G7" s="340">
        <v>0</v>
      </c>
      <c r="H7" s="340">
        <f t="shared" si="0"/>
        <v>0</v>
      </c>
      <c r="I7" s="341">
        <f t="shared" si="1"/>
        <v>1468</v>
      </c>
      <c r="J7" s="54"/>
      <c r="K7" s="102"/>
    </row>
    <row r="8" spans="1:11" x14ac:dyDescent="0.2">
      <c r="B8" s="53" t="s">
        <v>22</v>
      </c>
      <c r="C8" s="53"/>
      <c r="D8" s="340"/>
      <c r="E8" s="340">
        <v>166408</v>
      </c>
      <c r="F8" s="340">
        <v>451342</v>
      </c>
      <c r="G8" s="340">
        <v>509653.06</v>
      </c>
      <c r="H8" s="340">
        <f t="shared" si="0"/>
        <v>522394.38649999996</v>
      </c>
      <c r="I8" s="341">
        <f t="shared" si="1"/>
        <v>1649797.4465000001</v>
      </c>
      <c r="J8" s="54"/>
    </row>
    <row r="9" spans="1:11" x14ac:dyDescent="0.2">
      <c r="B9" s="51" t="s">
        <v>1</v>
      </c>
      <c r="C9" s="342"/>
      <c r="D9" s="343">
        <f>SUM(D4:D8)</f>
        <v>0</v>
      </c>
      <c r="E9" s="343">
        <f>SUM(E4:E8)</f>
        <v>569128</v>
      </c>
      <c r="F9" s="344">
        <f>SUM(F4:F8)</f>
        <v>1169195.71</v>
      </c>
      <c r="G9" s="344">
        <f t="shared" ref="G9:H9" si="2">SUM(G4:G8)</f>
        <v>1354772.96</v>
      </c>
      <c r="H9" s="344">
        <f t="shared" si="2"/>
        <v>1388642.284</v>
      </c>
      <c r="I9" s="343">
        <f t="shared" ref="I9" si="3">SUM(I4:I8)</f>
        <v>4481738.9539999999</v>
      </c>
    </row>
    <row r="10" spans="1:11" x14ac:dyDescent="0.2">
      <c r="B10" s="55"/>
      <c r="C10" s="56"/>
      <c r="D10" s="57"/>
      <c r="E10" s="57"/>
      <c r="F10" s="58"/>
      <c r="G10" s="58"/>
      <c r="H10" s="58"/>
      <c r="I10" s="57"/>
    </row>
    <row r="11" spans="1:11" x14ac:dyDescent="0.2">
      <c r="B11" s="94" t="s">
        <v>10</v>
      </c>
      <c r="C11" s="95"/>
      <c r="D11" s="95"/>
      <c r="E11" s="95"/>
      <c r="F11" s="95"/>
      <c r="G11" s="95"/>
      <c r="H11" s="95"/>
      <c r="I11" s="95"/>
    </row>
    <row r="12" spans="1:11" x14ac:dyDescent="0.2">
      <c r="B12" s="96" t="s">
        <v>4</v>
      </c>
      <c r="C12" s="96" t="s">
        <v>9</v>
      </c>
      <c r="D12" s="52" t="s">
        <v>79</v>
      </c>
      <c r="E12" s="52" t="s">
        <v>78</v>
      </c>
      <c r="F12" s="52" t="s">
        <v>77</v>
      </c>
      <c r="G12" s="86" t="s">
        <v>141</v>
      </c>
      <c r="H12" s="86" t="s">
        <v>142</v>
      </c>
      <c r="I12" s="100" t="s">
        <v>1</v>
      </c>
    </row>
    <row r="13" spans="1:11" x14ac:dyDescent="0.2">
      <c r="B13" s="53" t="s">
        <v>19</v>
      </c>
      <c r="C13" s="97" t="s">
        <v>116</v>
      </c>
      <c r="D13" s="101" t="s">
        <v>140</v>
      </c>
      <c r="E13" s="62">
        <v>3137</v>
      </c>
      <c r="F13" s="61">
        <v>2252</v>
      </c>
      <c r="G13" s="61">
        <v>2250</v>
      </c>
      <c r="H13" s="61">
        <v>2250</v>
      </c>
      <c r="I13" s="258">
        <f>SUM(D13:H13)</f>
        <v>9889</v>
      </c>
    </row>
    <row r="14" spans="1:11" x14ac:dyDescent="0.2">
      <c r="B14" s="53"/>
      <c r="C14" s="97"/>
      <c r="D14" s="62"/>
      <c r="E14" s="62"/>
      <c r="F14" s="61"/>
      <c r="G14" s="61"/>
      <c r="H14" s="61"/>
      <c r="I14" s="258">
        <f>SUM(D14:H14)</f>
        <v>0</v>
      </c>
    </row>
    <row r="15" spans="1:11" x14ac:dyDescent="0.2">
      <c r="A15" s="63"/>
      <c r="B15" s="98" t="s">
        <v>56</v>
      </c>
      <c r="C15" s="51"/>
      <c r="D15" s="99">
        <f t="shared" ref="D15:I15" si="4">SUM(D13:D14)</f>
        <v>0</v>
      </c>
      <c r="E15" s="99">
        <f>SUM(E13:E14)</f>
        <v>3137</v>
      </c>
      <c r="F15" s="99">
        <f t="shared" si="4"/>
        <v>2252</v>
      </c>
      <c r="G15" s="99">
        <f t="shared" si="4"/>
        <v>2250</v>
      </c>
      <c r="H15" s="99">
        <f t="shared" si="4"/>
        <v>2250</v>
      </c>
      <c r="I15" s="99">
        <f t="shared" si="4"/>
        <v>9889</v>
      </c>
    </row>
    <row r="16" spans="1:11" x14ac:dyDescent="0.2">
      <c r="C16" s="56"/>
      <c r="D16" s="64"/>
      <c r="E16" s="64"/>
      <c r="F16" s="64"/>
      <c r="G16" s="64"/>
      <c r="H16" s="64"/>
    </row>
    <row r="17" spans="1:9" x14ac:dyDescent="0.2">
      <c r="A17" s="63"/>
      <c r="B17" s="65" t="s">
        <v>6</v>
      </c>
      <c r="C17" s="66"/>
      <c r="D17" s="67"/>
      <c r="E17" s="67"/>
      <c r="F17" s="67"/>
      <c r="G17" s="67"/>
      <c r="H17" s="67"/>
      <c r="I17" s="67"/>
    </row>
    <row r="18" spans="1:9" x14ac:dyDescent="0.2">
      <c r="B18" s="89" t="s">
        <v>143</v>
      </c>
      <c r="C18" s="87"/>
      <c r="D18" s="87"/>
      <c r="E18" s="87"/>
      <c r="F18" s="87"/>
      <c r="G18" s="87"/>
      <c r="H18" s="87"/>
      <c r="I18" s="87"/>
    </row>
    <row r="19" spans="1:9" x14ac:dyDescent="0.2">
      <c r="B19" s="90" t="s">
        <v>144</v>
      </c>
      <c r="C19" s="88"/>
      <c r="D19" s="88"/>
      <c r="E19" s="88"/>
      <c r="F19" s="88"/>
      <c r="G19" s="88"/>
      <c r="H19" s="88"/>
      <c r="I19" s="88"/>
    </row>
    <row r="20" spans="1:9" x14ac:dyDescent="0.2">
      <c r="B20" s="90" t="s">
        <v>150</v>
      </c>
      <c r="C20" s="88"/>
      <c r="D20" s="88"/>
      <c r="E20" s="88"/>
      <c r="F20" s="88"/>
      <c r="G20" s="88"/>
      <c r="H20" s="88"/>
      <c r="I20" s="88"/>
    </row>
    <row r="21" spans="1:9" x14ac:dyDescent="0.2">
      <c r="B21" s="90" t="s">
        <v>145</v>
      </c>
      <c r="C21" s="88"/>
      <c r="D21" s="88"/>
      <c r="E21" s="88"/>
      <c r="F21" s="88"/>
      <c r="G21" s="88"/>
      <c r="H21" s="88"/>
      <c r="I21" s="88"/>
    </row>
    <row r="22" spans="1:9" x14ac:dyDescent="0.2">
      <c r="B22" s="91" t="s">
        <v>152</v>
      </c>
      <c r="C22" s="68"/>
      <c r="D22" s="68"/>
      <c r="E22" s="68"/>
      <c r="F22" s="68"/>
      <c r="G22" s="85"/>
      <c r="H22" s="85"/>
      <c r="I22" s="68"/>
    </row>
    <row r="23" spans="1:9" x14ac:dyDescent="0.2">
      <c r="B23" s="66"/>
      <c r="C23" s="66"/>
      <c r="D23" s="67"/>
      <c r="E23" s="67"/>
      <c r="F23" s="67"/>
      <c r="G23" s="67"/>
      <c r="H23" s="67"/>
      <c r="I23" s="67"/>
    </row>
    <row r="24" spans="1:9" x14ac:dyDescent="0.2">
      <c r="B24" s="59" t="s">
        <v>117</v>
      </c>
      <c r="C24" s="60"/>
      <c r="D24" s="60"/>
      <c r="E24" s="60"/>
      <c r="F24" s="60"/>
      <c r="G24" s="60"/>
      <c r="H24" s="60"/>
      <c r="I24" s="60"/>
    </row>
    <row r="25" spans="1:9" x14ac:dyDescent="0.2">
      <c r="B25" s="69" t="s">
        <v>11</v>
      </c>
      <c r="C25" s="70"/>
      <c r="D25" s="70"/>
      <c r="E25" s="70"/>
      <c r="F25" s="70"/>
      <c r="G25" s="70"/>
      <c r="H25" s="70"/>
      <c r="I25" s="70"/>
    </row>
    <row r="26" spans="1:9" x14ac:dyDescent="0.2">
      <c r="B26" s="324" t="s">
        <v>118</v>
      </c>
      <c r="C26" s="325"/>
      <c r="D26" s="325"/>
      <c r="E26" s="325"/>
      <c r="F26" s="325"/>
      <c r="G26" s="325"/>
      <c r="H26" s="325"/>
      <c r="I26" s="325"/>
    </row>
    <row r="27" spans="1:9" x14ac:dyDescent="0.2">
      <c r="B27" s="326"/>
      <c r="C27" s="327"/>
      <c r="D27" s="327"/>
      <c r="E27" s="327"/>
      <c r="F27" s="327"/>
      <c r="G27" s="327"/>
      <c r="H27" s="327"/>
      <c r="I27" s="327"/>
    </row>
    <row r="28" spans="1:9" x14ac:dyDescent="0.2">
      <c r="B28" s="71"/>
      <c r="C28" s="72"/>
      <c r="D28" s="72"/>
      <c r="E28" s="72"/>
      <c r="F28" s="72"/>
      <c r="G28" s="72"/>
      <c r="H28" s="72"/>
      <c r="I28" s="72"/>
    </row>
  </sheetData>
  <mergeCells count="1">
    <mergeCell ref="B26:I27"/>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B41" sqref="B41"/>
    </sheetView>
  </sheetViews>
  <sheetFormatPr defaultColWidth="9.140625" defaultRowHeight="12.75" x14ac:dyDescent="0.2"/>
  <cols>
    <col min="1" max="1" width="3.140625" style="39" customWidth="1"/>
    <col min="2" max="2" width="80" style="39" bestFit="1" customWidth="1"/>
    <col min="3" max="3" width="65.140625" style="39" customWidth="1"/>
    <col min="4" max="4" width="12.85546875" style="39" customWidth="1"/>
    <col min="5" max="8" width="11.28515625" style="39" customWidth="1"/>
    <col min="9" max="9" width="12.7109375" style="39" customWidth="1"/>
    <col min="10" max="16384" width="9.140625" style="39"/>
  </cols>
  <sheetData>
    <row r="2" spans="2:9" x14ac:dyDescent="0.2">
      <c r="B2" s="26" t="s">
        <v>8</v>
      </c>
      <c r="C2" s="27"/>
      <c r="D2" s="27"/>
      <c r="E2" s="27"/>
      <c r="F2" s="27"/>
      <c r="G2" s="27"/>
      <c r="H2" s="27"/>
      <c r="I2" s="27"/>
    </row>
    <row r="3" spans="2:9" x14ac:dyDescent="0.2">
      <c r="B3" s="1"/>
      <c r="C3" s="1"/>
      <c r="D3" s="1"/>
      <c r="E3" s="1"/>
      <c r="F3" s="1"/>
      <c r="G3" s="1"/>
      <c r="H3" s="1"/>
      <c r="I3" s="1"/>
    </row>
    <row r="4" spans="2:9" x14ac:dyDescent="0.2">
      <c r="B4" s="26" t="s">
        <v>2</v>
      </c>
      <c r="C4" s="27"/>
      <c r="D4" s="27"/>
      <c r="E4" s="27"/>
      <c r="F4" s="27"/>
      <c r="G4" s="27"/>
      <c r="H4" s="27"/>
      <c r="I4" s="27"/>
    </row>
    <row r="5" spans="2:9" x14ac:dyDescent="0.2">
      <c r="B5" s="290" t="s">
        <v>109</v>
      </c>
      <c r="C5" s="290" t="s">
        <v>9</v>
      </c>
      <c r="D5" s="291" t="s">
        <v>79</v>
      </c>
      <c r="E5" s="291" t="s">
        <v>78</v>
      </c>
      <c r="F5" s="291" t="s">
        <v>77</v>
      </c>
      <c r="G5" s="291" t="s">
        <v>141</v>
      </c>
      <c r="H5" s="291" t="s">
        <v>142</v>
      </c>
      <c r="I5" s="292" t="s">
        <v>1</v>
      </c>
    </row>
    <row r="6" spans="2:9" x14ac:dyDescent="0.2">
      <c r="B6" s="43" t="s">
        <v>110</v>
      </c>
      <c r="C6" s="28" t="s">
        <v>115</v>
      </c>
      <c r="D6" s="84" t="s">
        <v>140</v>
      </c>
      <c r="E6" s="29">
        <v>649813.98</v>
      </c>
      <c r="F6" s="29">
        <v>1072037.8999999999</v>
      </c>
      <c r="G6" s="29">
        <v>1078372.74</v>
      </c>
      <c r="H6" s="29">
        <f>G6*102.5%</f>
        <v>1105332.0584999998</v>
      </c>
      <c r="I6" s="345">
        <f>SUM(D6:H6)</f>
        <v>3905556.6784999999</v>
      </c>
    </row>
    <row r="7" spans="2:9" x14ac:dyDescent="0.2">
      <c r="B7" s="20" t="s">
        <v>1</v>
      </c>
      <c r="C7" s="20"/>
      <c r="D7" s="346">
        <f>SUM(D6:D6)</f>
        <v>0</v>
      </c>
      <c r="E7" s="346">
        <f>E6</f>
        <v>649813.98</v>
      </c>
      <c r="F7" s="346">
        <f>F6</f>
        <v>1072037.8999999999</v>
      </c>
      <c r="G7" s="346">
        <f>G6</f>
        <v>1078372.74</v>
      </c>
      <c r="H7" s="346">
        <f>H6</f>
        <v>1105332.0584999998</v>
      </c>
      <c r="I7" s="346">
        <f>SUM(I6:I6)</f>
        <v>3905556.6784999999</v>
      </c>
    </row>
    <row r="8" spans="2:9" x14ac:dyDescent="0.2">
      <c r="B8" s="1"/>
      <c r="C8" s="1"/>
      <c r="D8" s="1"/>
      <c r="E8" s="1"/>
      <c r="F8" s="1"/>
      <c r="G8" s="1"/>
      <c r="H8" s="1"/>
      <c r="I8" s="1"/>
    </row>
    <row r="9" spans="2:9" x14ac:dyDescent="0.2">
      <c r="B9" s="26" t="s">
        <v>10</v>
      </c>
      <c r="C9" s="27"/>
      <c r="D9" s="27"/>
      <c r="E9" s="27"/>
      <c r="F9" s="27"/>
      <c r="G9" s="27"/>
      <c r="H9" s="27"/>
      <c r="I9" s="27"/>
    </row>
    <row r="10" spans="2:9" x14ac:dyDescent="0.2">
      <c r="B10" s="290" t="s">
        <v>4</v>
      </c>
      <c r="C10" s="290" t="s">
        <v>9</v>
      </c>
      <c r="D10" s="291" t="s">
        <v>79</v>
      </c>
      <c r="E10" s="291" t="s">
        <v>78</v>
      </c>
      <c r="F10" s="291" t="s">
        <v>77</v>
      </c>
      <c r="G10" s="291" t="s">
        <v>141</v>
      </c>
      <c r="H10" s="291" t="s">
        <v>142</v>
      </c>
      <c r="I10" s="292" t="s">
        <v>1</v>
      </c>
    </row>
    <row r="11" spans="2:9" x14ac:dyDescent="0.2">
      <c r="B11" s="6" t="s">
        <v>19</v>
      </c>
      <c r="C11" s="293" t="s">
        <v>116</v>
      </c>
      <c r="D11" s="41">
        <v>2343</v>
      </c>
      <c r="E11" s="12">
        <v>3137</v>
      </c>
      <c r="F11" s="41">
        <v>2252</v>
      </c>
      <c r="G11" s="61">
        <v>2250</v>
      </c>
      <c r="H11" s="61">
        <v>2250</v>
      </c>
      <c r="I11" s="289">
        <f>SUM(D11:H11)</f>
        <v>12232</v>
      </c>
    </row>
    <row r="12" spans="2:9" x14ac:dyDescent="0.2">
      <c r="B12" s="6"/>
      <c r="C12" s="293"/>
      <c r="D12" s="41"/>
      <c r="E12" s="12"/>
      <c r="F12" s="41"/>
      <c r="G12" s="41"/>
      <c r="H12" s="41"/>
      <c r="I12" s="289">
        <f t="shared" ref="I12:I13" si="0">SUM(D12:H12)</f>
        <v>0</v>
      </c>
    </row>
    <row r="13" spans="2:9" x14ac:dyDescent="0.2">
      <c r="B13" s="6"/>
      <c r="C13" s="6"/>
      <c r="D13" s="12"/>
      <c r="E13" s="12"/>
      <c r="F13" s="12"/>
      <c r="G13" s="12"/>
      <c r="H13" s="12"/>
      <c r="I13" s="289">
        <f t="shared" si="0"/>
        <v>0</v>
      </c>
    </row>
    <row r="14" spans="2:9" x14ac:dyDescent="0.2">
      <c r="B14" s="294" t="s">
        <v>17</v>
      </c>
      <c r="C14" s="20"/>
      <c r="D14" s="261">
        <f t="shared" ref="D14:H14" si="1">SUM(D11:D13)</f>
        <v>2343</v>
      </c>
      <c r="E14" s="261">
        <f t="shared" si="1"/>
        <v>3137</v>
      </c>
      <c r="F14" s="261">
        <f t="shared" si="1"/>
        <v>2252</v>
      </c>
      <c r="G14" s="261">
        <f t="shared" si="1"/>
        <v>2250</v>
      </c>
      <c r="H14" s="261">
        <f t="shared" si="1"/>
        <v>2250</v>
      </c>
      <c r="I14" s="261">
        <f>SUM(I11:I13)</f>
        <v>12232</v>
      </c>
    </row>
    <row r="15" spans="2:9" x14ac:dyDescent="0.2">
      <c r="B15" s="1"/>
      <c r="C15" s="1"/>
      <c r="D15" s="46"/>
      <c r="E15" s="45"/>
      <c r="F15" s="45"/>
      <c r="G15" s="45"/>
      <c r="H15" s="45"/>
      <c r="I15" s="46"/>
    </row>
    <row r="16" spans="2:9" x14ac:dyDescent="0.2">
      <c r="B16" s="15" t="s">
        <v>6</v>
      </c>
      <c r="C16" s="1"/>
      <c r="D16" s="14"/>
      <c r="E16" s="14"/>
      <c r="F16" s="14"/>
      <c r="G16" s="14"/>
      <c r="H16" s="14"/>
      <c r="I16" s="14"/>
    </row>
    <row r="17" spans="2:9" ht="12.75" customHeight="1" x14ac:dyDescent="0.2">
      <c r="B17" s="92" t="s">
        <v>146</v>
      </c>
      <c r="C17" s="92"/>
      <c r="D17" s="92"/>
      <c r="E17" s="92"/>
      <c r="F17" s="92"/>
      <c r="G17" s="92"/>
      <c r="H17" s="92"/>
      <c r="I17" s="92"/>
    </row>
    <row r="18" spans="2:9" x14ac:dyDescent="0.2">
      <c r="B18" s="93" t="s">
        <v>147</v>
      </c>
      <c r="C18" s="93"/>
      <c r="D18" s="93"/>
      <c r="E18" s="93"/>
      <c r="F18" s="93"/>
      <c r="G18" s="93"/>
      <c r="H18" s="93"/>
      <c r="I18" s="93"/>
    </row>
    <row r="19" spans="2:9" x14ac:dyDescent="0.2">
      <c r="B19" s="93" t="s">
        <v>148</v>
      </c>
      <c r="C19" s="93"/>
      <c r="D19" s="93"/>
      <c r="E19" s="93"/>
      <c r="F19" s="93"/>
      <c r="G19" s="93"/>
      <c r="H19" s="93"/>
      <c r="I19" s="93"/>
    </row>
    <row r="20" spans="2:9" x14ac:dyDescent="0.2">
      <c r="B20" s="93" t="s">
        <v>149</v>
      </c>
      <c r="C20" s="93"/>
      <c r="D20" s="93"/>
      <c r="E20" s="93"/>
      <c r="F20" s="93"/>
      <c r="G20" s="93"/>
      <c r="H20" s="93"/>
      <c r="I20" s="93"/>
    </row>
    <row r="21" spans="2:9" x14ac:dyDescent="0.2">
      <c r="B21" s="93" t="s">
        <v>151</v>
      </c>
      <c r="C21" s="93"/>
      <c r="D21" s="93"/>
      <c r="E21" s="93"/>
      <c r="F21" s="93"/>
      <c r="G21" s="93"/>
      <c r="H21" s="93"/>
      <c r="I21" s="93"/>
    </row>
    <row r="22" spans="2:9" x14ac:dyDescent="0.2">
      <c r="B22" s="1"/>
      <c r="C22" s="1"/>
      <c r="D22" s="14"/>
      <c r="E22" s="14"/>
      <c r="F22" s="14"/>
      <c r="G22" s="14"/>
      <c r="H22" s="14"/>
      <c r="I22" s="14"/>
    </row>
    <row r="23" spans="2:9" x14ac:dyDescent="0.2">
      <c r="B23" s="26" t="s">
        <v>2</v>
      </c>
      <c r="C23" s="27"/>
      <c r="D23" s="27"/>
      <c r="E23" s="27"/>
      <c r="F23" s="27"/>
      <c r="G23" s="27"/>
      <c r="H23" s="27"/>
      <c r="I23" s="27"/>
    </row>
    <row r="24" spans="2:9" x14ac:dyDescent="0.2">
      <c r="B24" s="16" t="s">
        <v>11</v>
      </c>
      <c r="C24" s="17"/>
      <c r="D24" s="17"/>
      <c r="E24" s="17"/>
      <c r="F24" s="17"/>
      <c r="G24" s="17"/>
      <c r="H24" s="17"/>
      <c r="I24" s="17"/>
    </row>
    <row r="25" spans="2:9" x14ac:dyDescent="0.2">
      <c r="B25" s="322" t="s">
        <v>119</v>
      </c>
      <c r="C25" s="322"/>
      <c r="D25" s="322"/>
      <c r="E25" s="322"/>
      <c r="F25" s="322"/>
      <c r="G25" s="322"/>
      <c r="H25" s="322"/>
      <c r="I25" s="322"/>
    </row>
    <row r="26" spans="2:9" x14ac:dyDescent="0.2">
      <c r="B26" s="323"/>
      <c r="C26" s="323"/>
      <c r="D26" s="323"/>
      <c r="E26" s="323"/>
      <c r="F26" s="323"/>
      <c r="G26" s="323"/>
      <c r="H26" s="323"/>
      <c r="I26" s="323"/>
    </row>
    <row r="27" spans="2:9" x14ac:dyDescent="0.2">
      <c r="B27" s="18"/>
      <c r="C27" s="19"/>
      <c r="D27" s="19"/>
      <c r="E27" s="19"/>
      <c r="F27" s="19"/>
      <c r="G27" s="19"/>
      <c r="H27" s="19"/>
      <c r="I27" s="19"/>
    </row>
  </sheetData>
  <mergeCells count="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CG54"/>
  <sheetViews>
    <sheetView showGridLines="0" zoomScale="90" zoomScaleNormal="90" workbookViewId="0">
      <pane ySplit="4" topLeftCell="A5" activePane="bottomLeft" state="frozen"/>
      <selection pane="bottomLeft" activeCell="N7" sqref="N7"/>
    </sheetView>
  </sheetViews>
  <sheetFormatPr defaultColWidth="9.140625" defaultRowHeight="12.75" x14ac:dyDescent="0.2"/>
  <cols>
    <col min="1" max="1" width="2.28515625" style="175" customWidth="1"/>
    <col min="2" max="2" width="87.42578125" style="175" bestFit="1" customWidth="1"/>
    <col min="3" max="3" width="15.140625" style="250" bestFit="1" customWidth="1"/>
    <col min="4" max="4" width="9.140625" style="251"/>
    <col min="5" max="5" width="9.140625" style="252"/>
    <col min="6" max="7" width="9.140625" style="253"/>
    <col min="8" max="8" width="11.28515625" style="253" bestFit="1" customWidth="1"/>
    <col min="9" max="13" width="9.140625" style="253"/>
    <col min="14" max="14" width="11.85546875" style="253" customWidth="1"/>
    <col min="15" max="15" width="9.140625" style="253"/>
    <col min="16" max="16" width="10.42578125" style="253" customWidth="1"/>
    <col min="17" max="17" width="9.140625" style="253"/>
    <col min="18" max="18" width="2.85546875" style="175" customWidth="1"/>
    <col min="19" max="19" width="53.7109375" style="175" customWidth="1"/>
    <col min="20" max="20" width="15.7109375" style="175" customWidth="1"/>
    <col min="21" max="31" width="9.140625" style="175"/>
    <col min="32" max="32" width="11.28515625" style="175" customWidth="1"/>
    <col min="33" max="34" width="9.140625" style="175"/>
    <col min="35" max="35" width="3.28515625" style="175" customWidth="1"/>
    <col min="36" max="36" width="53.7109375" style="175" customWidth="1"/>
    <col min="37" max="37" width="15.7109375" style="175" customWidth="1"/>
    <col min="38" max="51" width="9.140625" style="175"/>
    <col min="52" max="52" width="4" style="175" customWidth="1"/>
    <col min="53" max="53" width="53.7109375" style="175" customWidth="1"/>
    <col min="54" max="54" width="15.7109375" style="175" customWidth="1"/>
    <col min="55" max="68" width="9.140625" style="175"/>
    <col min="69" max="69" width="4" style="175" customWidth="1"/>
    <col min="70" max="70" width="53.7109375" style="175" customWidth="1"/>
    <col min="71" max="71" width="15.7109375" style="175" customWidth="1"/>
    <col min="72" max="16384" width="9.140625" style="175"/>
  </cols>
  <sheetData>
    <row r="2" spans="1:85" x14ac:dyDescent="0.2">
      <c r="B2" s="176" t="s">
        <v>60</v>
      </c>
      <c r="C2" s="177"/>
      <c r="D2" s="177"/>
      <c r="E2" s="177"/>
      <c r="F2" s="177"/>
      <c r="G2" s="177"/>
      <c r="H2" s="320" t="s">
        <v>157</v>
      </c>
      <c r="I2" s="320"/>
      <c r="J2" s="320"/>
      <c r="K2" s="320"/>
      <c r="L2" s="320"/>
      <c r="M2" s="320"/>
      <c r="N2" s="320"/>
      <c r="O2" s="320"/>
      <c r="P2" s="320"/>
      <c r="Q2" s="320"/>
      <c r="S2" s="176" t="s">
        <v>52</v>
      </c>
      <c r="T2" s="177"/>
      <c r="U2" s="177"/>
      <c r="V2" s="177"/>
      <c r="W2" s="177"/>
      <c r="X2" s="177"/>
      <c r="Y2" s="320" t="s">
        <v>157</v>
      </c>
      <c r="Z2" s="320"/>
      <c r="AA2" s="320"/>
      <c r="AB2" s="320"/>
      <c r="AC2" s="320"/>
      <c r="AD2" s="320"/>
      <c r="AE2" s="320"/>
      <c r="AF2" s="320"/>
      <c r="AG2" s="320"/>
      <c r="AH2" s="320"/>
      <c r="AJ2" s="178" t="s">
        <v>60</v>
      </c>
      <c r="AK2" s="179"/>
      <c r="AL2" s="179"/>
      <c r="AM2" s="179"/>
      <c r="AN2" s="179"/>
      <c r="AO2" s="179"/>
      <c r="AP2" s="320" t="s">
        <v>157</v>
      </c>
      <c r="AQ2" s="320"/>
      <c r="AR2" s="320"/>
      <c r="AS2" s="320"/>
      <c r="AT2" s="320"/>
      <c r="AU2" s="320"/>
      <c r="AV2" s="320"/>
      <c r="AW2" s="320"/>
      <c r="AX2" s="320"/>
      <c r="AY2" s="320"/>
      <c r="BA2" s="176" t="s">
        <v>60</v>
      </c>
      <c r="BB2" s="177"/>
      <c r="BC2" s="177"/>
      <c r="BD2" s="177"/>
      <c r="BE2" s="177"/>
      <c r="BF2" s="177"/>
      <c r="BG2" s="320" t="s">
        <v>157</v>
      </c>
      <c r="BH2" s="320"/>
      <c r="BI2" s="320"/>
      <c r="BJ2" s="320"/>
      <c r="BK2" s="320"/>
      <c r="BL2" s="320"/>
      <c r="BM2" s="320"/>
      <c r="BN2" s="320"/>
      <c r="BO2" s="320"/>
      <c r="BP2" s="320"/>
      <c r="BR2" s="176" t="s">
        <v>60</v>
      </c>
      <c r="BS2" s="177"/>
      <c r="BT2" s="177"/>
      <c r="BU2" s="177"/>
      <c r="BV2" s="177"/>
      <c r="BW2" s="177"/>
      <c r="BX2" s="320" t="s">
        <v>157</v>
      </c>
      <c r="BY2" s="320"/>
      <c r="BZ2" s="320"/>
      <c r="CA2" s="320"/>
      <c r="CB2" s="320"/>
      <c r="CC2" s="320"/>
      <c r="CD2" s="320"/>
      <c r="CE2" s="320"/>
      <c r="CF2" s="320"/>
      <c r="CG2" s="320"/>
    </row>
    <row r="3" spans="1:85" ht="15.75" x14ac:dyDescent="0.25">
      <c r="B3" s="180" t="s">
        <v>42</v>
      </c>
      <c r="C3" s="181"/>
      <c r="D3" s="182"/>
      <c r="E3" s="183"/>
      <c r="F3" s="184"/>
      <c r="G3" s="184"/>
      <c r="H3" s="321" t="s">
        <v>166</v>
      </c>
      <c r="I3" s="321"/>
      <c r="J3" s="321"/>
      <c r="K3" s="321"/>
      <c r="L3" s="321"/>
      <c r="M3" s="321"/>
      <c r="N3" s="321"/>
      <c r="O3" s="321"/>
      <c r="P3" s="321"/>
      <c r="Q3" s="321"/>
      <c r="S3" s="180" t="s">
        <v>57</v>
      </c>
      <c r="T3" s="185"/>
      <c r="U3" s="185"/>
      <c r="V3" s="185"/>
      <c r="W3" s="185"/>
      <c r="X3" s="185"/>
      <c r="Y3" s="321" t="s">
        <v>166</v>
      </c>
      <c r="Z3" s="321"/>
      <c r="AA3" s="321"/>
      <c r="AB3" s="321"/>
      <c r="AC3" s="321"/>
      <c r="AD3" s="321"/>
      <c r="AE3" s="321"/>
      <c r="AF3" s="321"/>
      <c r="AG3" s="321"/>
      <c r="AH3" s="321"/>
      <c r="AJ3" s="180" t="s">
        <v>59</v>
      </c>
      <c r="AK3" s="185"/>
      <c r="AL3" s="185"/>
      <c r="AM3" s="185"/>
      <c r="AN3" s="185"/>
      <c r="AO3" s="185"/>
      <c r="AP3" s="321" t="s">
        <v>166</v>
      </c>
      <c r="AQ3" s="321"/>
      <c r="AR3" s="321"/>
      <c r="AS3" s="321"/>
      <c r="AT3" s="321"/>
      <c r="AU3" s="321"/>
      <c r="AV3" s="321"/>
      <c r="AW3" s="321"/>
      <c r="AX3" s="321"/>
      <c r="AY3" s="321"/>
      <c r="BA3" s="180" t="s">
        <v>96</v>
      </c>
      <c r="BB3" s="185"/>
      <c r="BC3" s="185"/>
      <c r="BD3" s="185"/>
      <c r="BE3" s="185"/>
      <c r="BF3" s="185"/>
      <c r="BG3" s="321" t="s">
        <v>166</v>
      </c>
      <c r="BH3" s="321"/>
      <c r="BI3" s="321"/>
      <c r="BJ3" s="321"/>
      <c r="BK3" s="321"/>
      <c r="BL3" s="321"/>
      <c r="BM3" s="321"/>
      <c r="BN3" s="321"/>
      <c r="BO3" s="321"/>
      <c r="BP3" s="321"/>
      <c r="BR3" s="180" t="s">
        <v>97</v>
      </c>
      <c r="BS3" s="185"/>
      <c r="BT3" s="185"/>
      <c r="BU3" s="185"/>
      <c r="BV3" s="185"/>
      <c r="BW3" s="185"/>
      <c r="BX3" s="321" t="s">
        <v>166</v>
      </c>
      <c r="BY3" s="321"/>
      <c r="BZ3" s="321"/>
      <c r="CA3" s="321"/>
      <c r="CB3" s="321"/>
      <c r="CC3" s="321"/>
      <c r="CD3" s="321"/>
      <c r="CE3" s="321"/>
      <c r="CF3" s="321"/>
      <c r="CG3" s="321"/>
    </row>
    <row r="4" spans="1:85" s="186" customFormat="1" ht="3" customHeight="1" x14ac:dyDescent="0.2">
      <c r="B4" s="187"/>
      <c r="C4" s="188"/>
      <c r="D4" s="189"/>
      <c r="E4" s="190"/>
      <c r="F4" s="191"/>
      <c r="G4" s="191"/>
      <c r="H4" s="191"/>
      <c r="I4" s="191"/>
      <c r="J4" s="191"/>
      <c r="K4" s="191"/>
      <c r="L4" s="191"/>
      <c r="M4" s="191"/>
      <c r="N4" s="191"/>
      <c r="O4" s="191"/>
      <c r="P4" s="191"/>
      <c r="Q4" s="191"/>
      <c r="S4" s="187"/>
      <c r="T4" s="187"/>
      <c r="U4" s="187"/>
      <c r="V4" s="187"/>
      <c r="W4" s="187"/>
      <c r="X4" s="187"/>
      <c r="Y4" s="191"/>
      <c r="Z4" s="191"/>
      <c r="AA4" s="191"/>
      <c r="AB4" s="191"/>
      <c r="AC4" s="191"/>
      <c r="AD4" s="191"/>
      <c r="AE4" s="191"/>
      <c r="AF4" s="191"/>
      <c r="AG4" s="191"/>
      <c r="AH4" s="191"/>
      <c r="AJ4" s="187"/>
      <c r="AK4" s="187"/>
      <c r="AL4" s="187"/>
      <c r="AM4" s="187"/>
      <c r="AN4" s="187"/>
      <c r="AO4" s="187"/>
      <c r="AP4" s="191"/>
      <c r="AQ4" s="191"/>
      <c r="AR4" s="191"/>
      <c r="AS4" s="191"/>
      <c r="AT4" s="191"/>
      <c r="AU4" s="191"/>
      <c r="AV4" s="191"/>
      <c r="AW4" s="191"/>
      <c r="AX4" s="191"/>
      <c r="AY4" s="191"/>
      <c r="BA4" s="187"/>
      <c r="BB4" s="187"/>
      <c r="BC4" s="187"/>
      <c r="BD4" s="187"/>
      <c r="BE4" s="187"/>
      <c r="BF4" s="187"/>
      <c r="BG4" s="187"/>
      <c r="BH4" s="187"/>
      <c r="BI4" s="187"/>
      <c r="BJ4" s="187"/>
      <c r="BK4" s="187"/>
      <c r="BL4" s="187"/>
      <c r="BM4" s="187"/>
      <c r="BN4" s="187"/>
      <c r="BO4" s="187"/>
      <c r="BP4" s="187"/>
      <c r="BR4" s="187"/>
      <c r="BS4" s="187"/>
      <c r="BT4" s="187"/>
      <c r="BU4" s="187"/>
      <c r="BV4" s="187"/>
      <c r="BW4" s="187"/>
      <c r="BX4" s="187"/>
      <c r="BY4" s="187"/>
      <c r="BZ4" s="187"/>
      <c r="CA4" s="187"/>
      <c r="CB4" s="187"/>
      <c r="CC4" s="187"/>
      <c r="CD4" s="187"/>
      <c r="CE4" s="187"/>
      <c r="CF4" s="187"/>
      <c r="CG4" s="187"/>
    </row>
    <row r="5" spans="1:85" ht="76.5" x14ac:dyDescent="0.2">
      <c r="B5" s="192" t="s">
        <v>18</v>
      </c>
      <c r="C5" s="192" t="s">
        <v>31</v>
      </c>
      <c r="D5" s="193" t="s">
        <v>95</v>
      </c>
      <c r="E5" s="194" t="s">
        <v>33</v>
      </c>
      <c r="F5" s="193" t="s">
        <v>32</v>
      </c>
      <c r="G5" s="193" t="s">
        <v>191</v>
      </c>
      <c r="H5" s="193" t="s">
        <v>164</v>
      </c>
      <c r="I5" s="193" t="s">
        <v>160</v>
      </c>
      <c r="J5" s="193" t="s">
        <v>165</v>
      </c>
      <c r="K5" s="254" t="s">
        <v>194</v>
      </c>
      <c r="L5" s="254" t="s">
        <v>195</v>
      </c>
      <c r="M5" s="193" t="s">
        <v>162</v>
      </c>
      <c r="N5" s="193" t="s">
        <v>163</v>
      </c>
      <c r="O5" s="193" t="s">
        <v>161</v>
      </c>
      <c r="P5" s="193" t="s">
        <v>158</v>
      </c>
      <c r="Q5" s="193" t="s">
        <v>159</v>
      </c>
      <c r="R5" s="195"/>
      <c r="S5" s="192" t="s">
        <v>18</v>
      </c>
      <c r="T5" s="192" t="s">
        <v>31</v>
      </c>
      <c r="U5" s="196" t="s">
        <v>95</v>
      </c>
      <c r="V5" s="196" t="s">
        <v>33</v>
      </c>
      <c r="W5" s="196" t="s">
        <v>32</v>
      </c>
      <c r="X5" s="193" t="s">
        <v>191</v>
      </c>
      <c r="Y5" s="193" t="s">
        <v>164</v>
      </c>
      <c r="Z5" s="193" t="s">
        <v>160</v>
      </c>
      <c r="AA5" s="193" t="s">
        <v>165</v>
      </c>
      <c r="AB5" s="254" t="s">
        <v>194</v>
      </c>
      <c r="AC5" s="254" t="s">
        <v>195</v>
      </c>
      <c r="AD5" s="193" t="s">
        <v>162</v>
      </c>
      <c r="AE5" s="193" t="s">
        <v>163</v>
      </c>
      <c r="AF5" s="193" t="s">
        <v>161</v>
      </c>
      <c r="AG5" s="193" t="s">
        <v>158</v>
      </c>
      <c r="AH5" s="193" t="s">
        <v>159</v>
      </c>
      <c r="AJ5" s="192" t="s">
        <v>18</v>
      </c>
      <c r="AK5" s="192" t="s">
        <v>31</v>
      </c>
      <c r="AL5" s="196" t="s">
        <v>95</v>
      </c>
      <c r="AM5" s="196" t="s">
        <v>33</v>
      </c>
      <c r="AN5" s="196" t="s">
        <v>32</v>
      </c>
      <c r="AO5" s="193" t="s">
        <v>191</v>
      </c>
      <c r="AP5" s="193" t="s">
        <v>164</v>
      </c>
      <c r="AQ5" s="193" t="s">
        <v>160</v>
      </c>
      <c r="AR5" s="193" t="s">
        <v>165</v>
      </c>
      <c r="AS5" s="254" t="s">
        <v>194</v>
      </c>
      <c r="AT5" s="254" t="s">
        <v>195</v>
      </c>
      <c r="AU5" s="193" t="s">
        <v>162</v>
      </c>
      <c r="AV5" s="193" t="s">
        <v>163</v>
      </c>
      <c r="AW5" s="193" t="s">
        <v>161</v>
      </c>
      <c r="AX5" s="193" t="s">
        <v>158</v>
      </c>
      <c r="AY5" s="193" t="s">
        <v>159</v>
      </c>
      <c r="BA5" s="192" t="s">
        <v>18</v>
      </c>
      <c r="BB5" s="192" t="s">
        <v>31</v>
      </c>
      <c r="BC5" s="196" t="s">
        <v>95</v>
      </c>
      <c r="BD5" s="196" t="s">
        <v>33</v>
      </c>
      <c r="BE5" s="196" t="s">
        <v>32</v>
      </c>
      <c r="BF5" s="193" t="s">
        <v>191</v>
      </c>
      <c r="BG5" s="193" t="s">
        <v>164</v>
      </c>
      <c r="BH5" s="193" t="s">
        <v>160</v>
      </c>
      <c r="BI5" s="193" t="s">
        <v>165</v>
      </c>
      <c r="BJ5" s="254" t="s">
        <v>194</v>
      </c>
      <c r="BK5" s="254" t="s">
        <v>195</v>
      </c>
      <c r="BL5" s="193" t="s">
        <v>162</v>
      </c>
      <c r="BM5" s="193" t="s">
        <v>163</v>
      </c>
      <c r="BN5" s="193" t="s">
        <v>161</v>
      </c>
      <c r="BO5" s="193" t="s">
        <v>158</v>
      </c>
      <c r="BP5" s="193" t="s">
        <v>159</v>
      </c>
      <c r="BR5" s="192" t="s">
        <v>18</v>
      </c>
      <c r="BS5" s="192" t="s">
        <v>31</v>
      </c>
      <c r="BT5" s="196" t="s">
        <v>95</v>
      </c>
      <c r="BU5" s="196" t="s">
        <v>33</v>
      </c>
      <c r="BV5" s="196" t="s">
        <v>32</v>
      </c>
      <c r="BW5" s="193" t="s">
        <v>191</v>
      </c>
      <c r="BX5" s="193" t="s">
        <v>164</v>
      </c>
      <c r="BY5" s="193" t="s">
        <v>160</v>
      </c>
      <c r="BZ5" s="193" t="s">
        <v>165</v>
      </c>
      <c r="CA5" s="254" t="s">
        <v>194</v>
      </c>
      <c r="CB5" s="254" t="s">
        <v>195</v>
      </c>
      <c r="CC5" s="193" t="s">
        <v>162</v>
      </c>
      <c r="CD5" s="193" t="s">
        <v>163</v>
      </c>
      <c r="CE5" s="193" t="s">
        <v>161</v>
      </c>
      <c r="CF5" s="193" t="s">
        <v>158</v>
      </c>
      <c r="CG5" s="193" t="s">
        <v>159</v>
      </c>
    </row>
    <row r="6" spans="1:85" x14ac:dyDescent="0.2">
      <c r="B6" s="197" t="s">
        <v>61</v>
      </c>
      <c r="C6" s="198"/>
      <c r="D6" s="198"/>
      <c r="E6" s="198"/>
      <c r="F6" s="198"/>
      <c r="G6" s="198"/>
      <c r="H6" s="198"/>
      <c r="I6" s="198"/>
      <c r="J6" s="198"/>
      <c r="K6" s="198"/>
      <c r="L6" s="198"/>
      <c r="M6" s="198"/>
      <c r="N6" s="198"/>
      <c r="O6" s="198"/>
      <c r="P6" s="198"/>
      <c r="Q6" s="198"/>
      <c r="R6" s="199"/>
      <c r="S6" s="318" t="s">
        <v>65</v>
      </c>
      <c r="T6" s="319"/>
      <c r="U6" s="319"/>
      <c r="V6" s="319"/>
      <c r="W6" s="319"/>
      <c r="X6" s="319"/>
      <c r="Y6" s="319"/>
      <c r="Z6" s="319"/>
      <c r="AA6" s="319"/>
      <c r="AB6" s="319"/>
      <c r="AC6" s="319"/>
      <c r="AD6" s="319"/>
      <c r="AE6" s="319"/>
      <c r="AF6" s="319"/>
      <c r="AG6" s="319"/>
      <c r="AH6" s="200"/>
      <c r="AJ6" s="201" t="s">
        <v>66</v>
      </c>
      <c r="AK6" s="202"/>
      <c r="AL6" s="202"/>
      <c r="AM6" s="202"/>
      <c r="AN6" s="202"/>
      <c r="AO6" s="202"/>
      <c r="AP6" s="202"/>
      <c r="AQ6" s="202"/>
      <c r="AR6" s="202"/>
      <c r="AS6" s="202"/>
      <c r="AT6" s="202"/>
      <c r="AU6" s="202"/>
      <c r="AV6" s="202"/>
      <c r="AW6" s="202"/>
      <c r="AX6" s="202"/>
      <c r="AY6" s="200"/>
      <c r="BA6" s="318" t="s">
        <v>66</v>
      </c>
      <c r="BB6" s="319"/>
      <c r="BC6" s="319"/>
      <c r="BD6" s="319"/>
      <c r="BE6" s="319"/>
      <c r="BF6" s="319"/>
      <c r="BG6" s="319"/>
      <c r="BH6" s="319"/>
      <c r="BI6" s="319"/>
      <c r="BJ6" s="319"/>
      <c r="BK6" s="319"/>
      <c r="BL6" s="319"/>
      <c r="BM6" s="319"/>
      <c r="BN6" s="319"/>
      <c r="BO6" s="319"/>
      <c r="BP6" s="200"/>
      <c r="BR6" s="318" t="s">
        <v>66</v>
      </c>
      <c r="BS6" s="319"/>
      <c r="BT6" s="319"/>
      <c r="BU6" s="319"/>
      <c r="BV6" s="319"/>
      <c r="BW6" s="319"/>
      <c r="BX6" s="319"/>
      <c r="BY6" s="319"/>
      <c r="BZ6" s="319"/>
      <c r="CA6" s="319"/>
      <c r="CB6" s="319"/>
      <c r="CC6" s="319"/>
      <c r="CD6" s="319"/>
      <c r="CE6" s="319"/>
      <c r="CF6" s="319"/>
      <c r="CG6" s="200"/>
    </row>
    <row r="7" spans="1:85" x14ac:dyDescent="0.2">
      <c r="B7" s="203" t="s">
        <v>86</v>
      </c>
      <c r="C7" s="204" t="s">
        <v>58</v>
      </c>
      <c r="D7" s="205">
        <v>0.2</v>
      </c>
      <c r="E7" s="206">
        <v>1</v>
      </c>
      <c r="F7" s="207">
        <f>E7*D7</f>
        <v>0.2</v>
      </c>
      <c r="G7" s="208">
        <v>0</v>
      </c>
      <c r="H7" s="209">
        <f>IF(G7=0,VLOOKUP(C:C,[1]Inputs!$B$20:$H$25,7,FALSE)*F7,VLOOKUP(C:C,[1]Inputs!$B$20:$I$25,8,FALSE)*F7)</f>
        <v>20.652119524029001</v>
      </c>
      <c r="I7" s="207">
        <f>VLOOKUP(C:C,[1]Inputs!$C$54:$G$59,5,FALSE)*F7</f>
        <v>0</v>
      </c>
      <c r="J7" s="207"/>
      <c r="K7" s="207"/>
      <c r="L7" s="207"/>
      <c r="M7" s="207">
        <f>SUM(H7:J7)</f>
        <v>20.652119524029001</v>
      </c>
      <c r="N7" s="207">
        <f>[1]Inputs!$M$43*M7</f>
        <v>9.6223720704699591</v>
      </c>
      <c r="O7" s="207">
        <f>[1]Inputs!$M$48*M7</f>
        <v>3.3121370568596236</v>
      </c>
      <c r="P7" s="209">
        <f>[1]Inputs!$H$13*SUM(M7:O7)</f>
        <v>2.1300639890691619</v>
      </c>
      <c r="Q7" s="207">
        <f t="shared" ref="Q7:Q14" si="0">SUM(M7:P7)</f>
        <v>35.716692640427752</v>
      </c>
      <c r="S7" s="210" t="s">
        <v>101</v>
      </c>
      <c r="T7" s="204" t="s">
        <v>58</v>
      </c>
      <c r="U7" s="211"/>
      <c r="V7" s="212"/>
      <c r="W7" s="213">
        <v>1</v>
      </c>
      <c r="X7" s="214">
        <v>0</v>
      </c>
      <c r="Y7" s="209">
        <f>IF(X7=0,VLOOKUP(T:T,[1]Inputs!$B$20:$H$25,7,FALSE)*W7,VLOOKUP(T:T,[1]Inputs!$B$20:$I$25,8,FALSE)*W7)</f>
        <v>103.26059762014499</v>
      </c>
      <c r="Z7" s="207">
        <f>VLOOKUP(T:T,[1]Inputs!$C$54:$G$59,5,FALSE)*W7</f>
        <v>0</v>
      </c>
      <c r="AA7" s="207"/>
      <c r="AB7" s="207"/>
      <c r="AC7" s="207"/>
      <c r="AD7" s="207">
        <f>SUM(Y7:AA7)</f>
        <v>103.26059762014499</v>
      </c>
      <c r="AE7" s="207">
        <f>[1]Inputs!$M$43*AD7</f>
        <v>48.111860352349787</v>
      </c>
      <c r="AF7" s="207">
        <f>[1]Inputs!$M$48*AD7</f>
        <v>16.560685284298117</v>
      </c>
      <c r="AG7" s="209">
        <f>[1]Inputs!$H$13*SUM(AD7:AF7)</f>
        <v>10.650319945345807</v>
      </c>
      <c r="AH7" s="207">
        <f t="shared" ref="AH7" si="1">SUM(AD7:AG7)</f>
        <v>178.58346320213872</v>
      </c>
      <c r="AJ7" s="210" t="s">
        <v>101</v>
      </c>
      <c r="AK7" s="204" t="s">
        <v>58</v>
      </c>
      <c r="AL7" s="211"/>
      <c r="AM7" s="212"/>
      <c r="AN7" s="213">
        <v>1</v>
      </c>
      <c r="AO7" s="214">
        <v>0</v>
      </c>
      <c r="AP7" s="209">
        <f>IF(AO7=0,VLOOKUP(AK:AK,[1]Inputs!$B$20:$H$25,7,FALSE)*AN7,VLOOKUP(AK:AK,[1]Inputs!$B$20:$I$25,8,FALSE)*AN7)</f>
        <v>103.26059762014499</v>
      </c>
      <c r="AQ7" s="207">
        <f>VLOOKUP(AK:AK,[1]Inputs!$C$54:$G$59,5,FALSE)*AN7</f>
        <v>0</v>
      </c>
      <c r="AR7" s="207"/>
      <c r="AS7" s="207"/>
      <c r="AT7" s="207"/>
      <c r="AU7" s="207">
        <f>SUM(AP7:AR7)</f>
        <v>103.26059762014499</v>
      </c>
      <c r="AV7" s="207">
        <f>[1]Inputs!$M$43*AU7</f>
        <v>48.111860352349787</v>
      </c>
      <c r="AW7" s="207">
        <f>[1]Inputs!$M$48*AU7</f>
        <v>16.560685284298117</v>
      </c>
      <c r="AX7" s="209">
        <f>[1]Inputs!$H$13*SUM(AU7:AW7)</f>
        <v>10.650319945345807</v>
      </c>
      <c r="AY7" s="207">
        <f t="shared" ref="AY7" si="2">SUM(AU7:AX7)</f>
        <v>178.58346320213872</v>
      </c>
      <c r="BA7" s="210" t="s">
        <v>101</v>
      </c>
      <c r="BB7" s="204" t="s">
        <v>58</v>
      </c>
      <c r="BC7" s="211"/>
      <c r="BD7" s="212"/>
      <c r="BE7" s="213">
        <v>1</v>
      </c>
      <c r="BF7" s="214">
        <v>0</v>
      </c>
      <c r="BG7" s="209">
        <f>IF(BF7=0,VLOOKUP(BB:BB,[1]Inputs!$B$20:$H$25,7,FALSE)*BE7,VLOOKUP(BB:BB,[1]Inputs!$B$20:$I$25,8,FALSE)*BE7)</f>
        <v>103.26059762014499</v>
      </c>
      <c r="BH7" s="207">
        <f>VLOOKUP(BB:BB,[1]Inputs!$C$54:$G$59,5,FALSE)*BE7</f>
        <v>0</v>
      </c>
      <c r="BI7" s="207"/>
      <c r="BJ7" s="207"/>
      <c r="BK7" s="207"/>
      <c r="BL7" s="207">
        <f>SUM(BG7:BI7)</f>
        <v>103.26059762014499</v>
      </c>
      <c r="BM7" s="207">
        <f>[1]Inputs!$M$43*BL7</f>
        <v>48.111860352349787</v>
      </c>
      <c r="BN7" s="207">
        <f>[1]Inputs!$M$48*BL7</f>
        <v>16.560685284298117</v>
      </c>
      <c r="BO7" s="209">
        <f>[1]Inputs!$H$13*SUM(BL7:BN7)</f>
        <v>10.650319945345807</v>
      </c>
      <c r="BP7" s="207">
        <f t="shared" ref="BP7" si="3">SUM(BL7:BO7)</f>
        <v>178.58346320213872</v>
      </c>
      <c r="BR7" s="210" t="s">
        <v>101</v>
      </c>
      <c r="BS7" s="204" t="s">
        <v>58</v>
      </c>
      <c r="BT7" s="211"/>
      <c r="BU7" s="212"/>
      <c r="BV7" s="213">
        <v>1</v>
      </c>
      <c r="BW7" s="214">
        <v>0</v>
      </c>
      <c r="BX7" s="209">
        <f>IF(BW7=0,VLOOKUP(BS:BS,[1]Inputs!$B$20:$H$25,7,FALSE)*BV7,VLOOKUP(BS:BS,[1]Inputs!$B$20:$I$25,8,FALSE)*BV7)</f>
        <v>103.26059762014499</v>
      </c>
      <c r="BY7" s="207">
        <f>VLOOKUP(BS:BS,[1]Inputs!$C$54:$G$59,5,FALSE)*BV7</f>
        <v>0</v>
      </c>
      <c r="BZ7" s="207"/>
      <c r="CA7" s="207"/>
      <c r="CB7" s="207"/>
      <c r="CC7" s="207">
        <f>SUM(BX7:BZ7)</f>
        <v>103.26059762014499</v>
      </c>
      <c r="CD7" s="207">
        <f>[1]Inputs!$M$43*CC7</f>
        <v>48.111860352349787</v>
      </c>
      <c r="CE7" s="207">
        <f>[1]Inputs!$M$48*CC7</f>
        <v>16.560685284298117</v>
      </c>
      <c r="CF7" s="209">
        <f>[1]Inputs!$H$13*SUM(CC7:CE7)</f>
        <v>10.650319945345807</v>
      </c>
      <c r="CG7" s="207">
        <f t="shared" ref="CG7" si="4">SUM(CC7:CF7)</f>
        <v>178.58346320213872</v>
      </c>
    </row>
    <row r="8" spans="1:85" x14ac:dyDescent="0.2">
      <c r="B8" s="215" t="s">
        <v>87</v>
      </c>
      <c r="C8" s="216" t="s">
        <v>58</v>
      </c>
      <c r="D8" s="217">
        <v>0.1</v>
      </c>
      <c r="E8" s="218">
        <v>1</v>
      </c>
      <c r="F8" s="209">
        <f t="shared" ref="F8:F14" si="5">E8*D8</f>
        <v>0.1</v>
      </c>
      <c r="G8" s="219">
        <v>0</v>
      </c>
      <c r="H8" s="209">
        <f>IF(G8=0,VLOOKUP(C:C,[1]Inputs!$B$20:$H$25,7,FALSE)*F8,VLOOKUP(C:C,[1]Inputs!$B$20:$I$25,8,FALSE)*F8)</f>
        <v>10.3260597620145</v>
      </c>
      <c r="I8" s="209">
        <f>VLOOKUP(C:C,[1]Inputs!$C$54:$G$59,5,FALSE)*F8</f>
        <v>0</v>
      </c>
      <c r="J8" s="209"/>
      <c r="K8" s="209"/>
      <c r="L8" s="209"/>
      <c r="M8" s="209">
        <f t="shared" ref="M8:M14" si="6">SUM(H8:J8)</f>
        <v>10.3260597620145</v>
      </c>
      <c r="N8" s="209">
        <f>[1]Inputs!$M$43*M8</f>
        <v>4.8111860352349796</v>
      </c>
      <c r="O8" s="209">
        <f>[1]Inputs!$M$48*M8</f>
        <v>1.6560685284298118</v>
      </c>
      <c r="P8" s="209">
        <f>[1]Inputs!$H$13*SUM(M8:O8)</f>
        <v>1.065031994534581</v>
      </c>
      <c r="Q8" s="209">
        <f t="shared" si="0"/>
        <v>17.858346320213876</v>
      </c>
      <c r="R8" s="195"/>
      <c r="S8" s="315" t="s">
        <v>1</v>
      </c>
      <c r="T8" s="316"/>
      <c r="U8" s="316"/>
      <c r="V8" s="317"/>
      <c r="W8" s="220"/>
      <c r="X8" s="221"/>
      <c r="Y8" s="221"/>
      <c r="Z8" s="221"/>
      <c r="AA8" s="221"/>
      <c r="AB8" s="221"/>
      <c r="AC8" s="221"/>
      <c r="AD8" s="221"/>
      <c r="AE8" s="221"/>
      <c r="AF8" s="221"/>
      <c r="AG8" s="222"/>
      <c r="AH8" s="222"/>
      <c r="AJ8" s="223" t="s">
        <v>1</v>
      </c>
      <c r="AK8" s="224"/>
      <c r="AL8" s="224"/>
      <c r="AM8" s="225"/>
      <c r="AN8" s="220"/>
      <c r="AO8" s="221"/>
      <c r="AP8" s="221"/>
      <c r="AQ8" s="221"/>
      <c r="AR8" s="221"/>
      <c r="AS8" s="221"/>
      <c r="AT8" s="221"/>
      <c r="AU8" s="221"/>
      <c r="AV8" s="221"/>
      <c r="AW8" s="221"/>
      <c r="AX8" s="222"/>
      <c r="AY8" s="222"/>
      <c r="BA8" s="315" t="s">
        <v>1</v>
      </c>
      <c r="BB8" s="316"/>
      <c r="BC8" s="316"/>
      <c r="BD8" s="317"/>
      <c r="BE8" s="220"/>
      <c r="BF8" s="220"/>
      <c r="BG8" s="220"/>
      <c r="BH8" s="220"/>
      <c r="BI8" s="220"/>
      <c r="BJ8" s="220"/>
      <c r="BK8" s="220"/>
      <c r="BL8" s="220"/>
      <c r="BM8" s="220"/>
      <c r="BN8" s="220"/>
      <c r="BO8" s="222"/>
      <c r="BP8" s="222"/>
      <c r="BR8" s="315" t="s">
        <v>1</v>
      </c>
      <c r="BS8" s="316"/>
      <c r="BT8" s="316"/>
      <c r="BU8" s="317"/>
      <c r="BV8" s="220"/>
      <c r="BW8" s="220"/>
      <c r="BX8" s="220"/>
      <c r="BY8" s="220"/>
      <c r="BZ8" s="220"/>
      <c r="CA8" s="220"/>
      <c r="CB8" s="220"/>
      <c r="CC8" s="220"/>
      <c r="CD8" s="220"/>
      <c r="CE8" s="220"/>
      <c r="CF8" s="222"/>
      <c r="CG8" s="222"/>
    </row>
    <row r="9" spans="1:85" x14ac:dyDescent="0.2">
      <c r="A9" s="226"/>
      <c r="B9" s="227" t="s">
        <v>88</v>
      </c>
      <c r="C9" s="216" t="s">
        <v>58</v>
      </c>
      <c r="D9" s="228">
        <v>0.2</v>
      </c>
      <c r="E9" s="218">
        <v>1</v>
      </c>
      <c r="F9" s="229">
        <f t="shared" si="5"/>
        <v>0.2</v>
      </c>
      <c r="G9" s="230">
        <v>0</v>
      </c>
      <c r="H9" s="209">
        <f>IF(G9=0,VLOOKUP(C:C,[1]Inputs!$B$20:$H$25,7,FALSE)*F9,VLOOKUP(C:C,[1]Inputs!$B$20:$I$25,8,FALSE)*F9)</f>
        <v>20.652119524029001</v>
      </c>
      <c r="I9" s="229">
        <f>VLOOKUP(C:C,[1]Inputs!$C$54:$G$59,5,FALSE)*F9</f>
        <v>0</v>
      </c>
      <c r="J9" s="229"/>
      <c r="K9" s="229"/>
      <c r="L9" s="229"/>
      <c r="M9" s="229">
        <f t="shared" si="6"/>
        <v>20.652119524029001</v>
      </c>
      <c r="N9" s="229">
        <f>[1]Inputs!$M$43*M9</f>
        <v>9.6223720704699591</v>
      </c>
      <c r="O9" s="229">
        <f>[1]Inputs!$M$48*M9</f>
        <v>3.3121370568596236</v>
      </c>
      <c r="P9" s="209">
        <f>[1]Inputs!$H$13*SUM(M9:O9)</f>
        <v>2.1300639890691619</v>
      </c>
      <c r="Q9" s="229">
        <f t="shared" si="0"/>
        <v>35.716692640427752</v>
      </c>
      <c r="R9" s="195"/>
      <c r="S9" s="231"/>
      <c r="T9" s="231"/>
      <c r="U9" s="232"/>
      <c r="V9" s="231"/>
      <c r="W9" s="232"/>
      <c r="X9" s="232"/>
      <c r="Y9" s="233"/>
      <c r="Z9" s="234"/>
      <c r="AA9" s="234"/>
      <c r="AB9" s="234"/>
      <c r="AC9" s="234"/>
      <c r="AD9" s="234"/>
      <c r="AE9" s="234"/>
      <c r="AF9" s="234"/>
      <c r="AG9" s="235"/>
      <c r="AH9" s="235"/>
      <c r="AP9" s="236"/>
      <c r="AQ9" s="199"/>
      <c r="AR9" s="199"/>
      <c r="AS9" s="199"/>
      <c r="AT9" s="199"/>
      <c r="AU9" s="199"/>
      <c r="AV9" s="199"/>
      <c r="AW9" s="199"/>
    </row>
    <row r="10" spans="1:85" x14ac:dyDescent="0.2">
      <c r="B10" s="237" t="s">
        <v>89</v>
      </c>
      <c r="C10" s="216" t="s">
        <v>58</v>
      </c>
      <c r="D10" s="238">
        <v>0.2</v>
      </c>
      <c r="E10" s="218">
        <v>1</v>
      </c>
      <c r="F10" s="229">
        <f t="shared" si="5"/>
        <v>0.2</v>
      </c>
      <c r="G10" s="230">
        <v>0</v>
      </c>
      <c r="H10" s="209">
        <f>IF(G10=0,VLOOKUP(C:C,[1]Inputs!$B$20:$H$25,7,FALSE)*F10,VLOOKUP(C:C,[1]Inputs!$B$20:$I$25,8,FALSE)*F10)</f>
        <v>20.652119524029001</v>
      </c>
      <c r="I10" s="229">
        <f>VLOOKUP(C:C,[1]Inputs!$C$54:$G$59,5,FALSE)*F10</f>
        <v>0</v>
      </c>
      <c r="J10" s="229"/>
      <c r="K10" s="229"/>
      <c r="L10" s="229"/>
      <c r="M10" s="229">
        <f t="shared" si="6"/>
        <v>20.652119524029001</v>
      </c>
      <c r="N10" s="229">
        <f>[1]Inputs!$M$43*M10</f>
        <v>9.6223720704699591</v>
      </c>
      <c r="O10" s="229">
        <f>[1]Inputs!$M$48*M10</f>
        <v>3.3121370568596236</v>
      </c>
      <c r="P10" s="209">
        <f>[1]Inputs!$H$13*SUM(M10:O10)</f>
        <v>2.1300639890691619</v>
      </c>
      <c r="Q10" s="229">
        <f t="shared" si="0"/>
        <v>35.716692640427752</v>
      </c>
    </row>
    <row r="11" spans="1:85" x14ac:dyDescent="0.2">
      <c r="B11" s="215" t="s">
        <v>90</v>
      </c>
      <c r="C11" s="216" t="s">
        <v>58</v>
      </c>
      <c r="D11" s="239">
        <v>1.5</v>
      </c>
      <c r="E11" s="218">
        <v>1</v>
      </c>
      <c r="F11" s="229">
        <f t="shared" si="5"/>
        <v>1.5</v>
      </c>
      <c r="G11" s="230">
        <v>0</v>
      </c>
      <c r="H11" s="209">
        <f>IF(G11=0,VLOOKUP(C:C,[1]Inputs!$B$20:$H$25,7,FALSE)*F11,VLOOKUP(C:C,[1]Inputs!$B$20:$I$25,8,FALSE)*F11)</f>
        <v>154.89089643021748</v>
      </c>
      <c r="I11" s="229">
        <f>VLOOKUP(C:C,[1]Inputs!$C$54:$G$59,5,FALSE)*F11</f>
        <v>0</v>
      </c>
      <c r="J11" s="229"/>
      <c r="K11" s="229"/>
      <c r="L11" s="229"/>
      <c r="M11" s="229">
        <f t="shared" si="6"/>
        <v>154.89089643021748</v>
      </c>
      <c r="N11" s="229">
        <f>[1]Inputs!$M$43*M11</f>
        <v>72.167790528524677</v>
      </c>
      <c r="O11" s="229">
        <f>[1]Inputs!$M$48*M11</f>
        <v>24.841027926447172</v>
      </c>
      <c r="P11" s="209">
        <f>[1]Inputs!$H$13*SUM(M11:O11)</f>
        <v>15.975479918018708</v>
      </c>
      <c r="Q11" s="229">
        <f t="shared" si="0"/>
        <v>267.87519480320805</v>
      </c>
    </row>
    <row r="12" spans="1:85" x14ac:dyDescent="0.2">
      <c r="B12" s="215" t="s">
        <v>91</v>
      </c>
      <c r="C12" s="216" t="s">
        <v>58</v>
      </c>
      <c r="D12" s="239">
        <v>0.2</v>
      </c>
      <c r="E12" s="218">
        <v>1</v>
      </c>
      <c r="F12" s="229">
        <f t="shared" si="5"/>
        <v>0.2</v>
      </c>
      <c r="G12" s="230">
        <v>0</v>
      </c>
      <c r="H12" s="209">
        <f>IF(G12=0,VLOOKUP(C:C,[1]Inputs!$B$20:$H$25,7,FALSE)*F12,VLOOKUP(C:C,[1]Inputs!$B$20:$I$25,8,FALSE)*F12)</f>
        <v>20.652119524029001</v>
      </c>
      <c r="I12" s="229">
        <f>VLOOKUP(C:C,[1]Inputs!$C$54:$G$59,5,FALSE)*F12</f>
        <v>0</v>
      </c>
      <c r="J12" s="229"/>
      <c r="K12" s="229"/>
      <c r="L12" s="229"/>
      <c r="M12" s="229">
        <f t="shared" si="6"/>
        <v>20.652119524029001</v>
      </c>
      <c r="N12" s="229">
        <f>[1]Inputs!$M$43*M12</f>
        <v>9.6223720704699591</v>
      </c>
      <c r="O12" s="229">
        <f>[1]Inputs!$M$48*M12</f>
        <v>3.3121370568596236</v>
      </c>
      <c r="P12" s="209">
        <f>[1]Inputs!$H$13*SUM(M12:O12)</f>
        <v>2.1300639890691619</v>
      </c>
      <c r="Q12" s="229">
        <f t="shared" si="0"/>
        <v>35.716692640427752</v>
      </c>
      <c r="R12" s="240"/>
    </row>
    <row r="13" spans="1:85" x14ac:dyDescent="0.2">
      <c r="B13" s="215" t="s">
        <v>92</v>
      </c>
      <c r="C13" s="216" t="s">
        <v>58</v>
      </c>
      <c r="D13" s="239">
        <v>0.15</v>
      </c>
      <c r="E13" s="218">
        <v>1</v>
      </c>
      <c r="F13" s="229">
        <f t="shared" si="5"/>
        <v>0.15</v>
      </c>
      <c r="G13" s="230">
        <v>0</v>
      </c>
      <c r="H13" s="209">
        <f>IF(G13=0,VLOOKUP(C:C,[1]Inputs!$B$20:$H$25,7,FALSE)*F13,VLOOKUP(C:C,[1]Inputs!$B$20:$I$25,8,FALSE)*F13)</f>
        <v>15.489089643021748</v>
      </c>
      <c r="I13" s="229">
        <f>VLOOKUP(C:C,[1]Inputs!$C$54:$G$59,5,FALSE)*F13</f>
        <v>0</v>
      </c>
      <c r="J13" s="229"/>
      <c r="K13" s="229"/>
      <c r="L13" s="229"/>
      <c r="M13" s="229">
        <f t="shared" si="6"/>
        <v>15.489089643021748</v>
      </c>
      <c r="N13" s="229">
        <f>[1]Inputs!$M$43*M13</f>
        <v>7.2167790528524671</v>
      </c>
      <c r="O13" s="229">
        <f>[1]Inputs!$M$48*M13</f>
        <v>2.4841027926447175</v>
      </c>
      <c r="P13" s="209">
        <f>[1]Inputs!$H$13*SUM(M13:O13)</f>
        <v>1.5975479918018707</v>
      </c>
      <c r="Q13" s="229">
        <f>SUM(M13:P13)</f>
        <v>26.787519480320803</v>
      </c>
    </row>
    <row r="14" spans="1:85" x14ac:dyDescent="0.2">
      <c r="B14" s="215" t="s">
        <v>93</v>
      </c>
      <c r="C14" s="216" t="s">
        <v>58</v>
      </c>
      <c r="D14" s="228">
        <v>0.45</v>
      </c>
      <c r="E14" s="218">
        <v>1</v>
      </c>
      <c r="F14" s="229">
        <f t="shared" si="5"/>
        <v>0.45</v>
      </c>
      <c r="G14" s="230">
        <v>0</v>
      </c>
      <c r="H14" s="209">
        <f>IF(G14=0,VLOOKUP(C:C,[1]Inputs!$B$20:$H$25,7,FALSE)*F14,VLOOKUP(C:C,[1]Inputs!$B$20:$I$25,8,FALSE)*F14)</f>
        <v>46.467268929065249</v>
      </c>
      <c r="I14" s="229">
        <f>VLOOKUP(C:C,[1]Inputs!$C$54:$G$59,5,FALSE)*F14</f>
        <v>0</v>
      </c>
      <c r="J14" s="229"/>
      <c r="K14" s="229"/>
      <c r="L14" s="229"/>
      <c r="M14" s="229">
        <f t="shared" si="6"/>
        <v>46.467268929065249</v>
      </c>
      <c r="N14" s="229">
        <f>[1]Inputs!$M$43*M14</f>
        <v>21.650337158557406</v>
      </c>
      <c r="O14" s="229">
        <f>[1]Inputs!$M$48*M14</f>
        <v>7.4523083779341528</v>
      </c>
      <c r="P14" s="209">
        <f>[1]Inputs!$H$13*SUM(M14:O14)</f>
        <v>4.7926439754056132</v>
      </c>
      <c r="Q14" s="229">
        <f t="shared" si="0"/>
        <v>80.362558440962417</v>
      </c>
    </row>
    <row r="15" spans="1:85" x14ac:dyDescent="0.2">
      <c r="B15" s="315" t="s">
        <v>1</v>
      </c>
      <c r="C15" s="316"/>
      <c r="D15" s="316"/>
      <c r="E15" s="317"/>
      <c r="F15" s="241">
        <f>SUM(F7:F14)</f>
        <v>3.0000000000000004</v>
      </c>
      <c r="G15" s="241"/>
      <c r="H15" s="241">
        <f t="shared" ref="H15:P15" si="7">SUM(H7:H14)</f>
        <v>309.78179286043502</v>
      </c>
      <c r="I15" s="241">
        <f t="shared" si="7"/>
        <v>0</v>
      </c>
      <c r="J15" s="241">
        <f t="shared" si="7"/>
        <v>0</v>
      </c>
      <c r="K15" s="241"/>
      <c r="L15" s="241"/>
      <c r="M15" s="241">
        <f>SUM(M7:M14)</f>
        <v>309.78179286043502</v>
      </c>
      <c r="N15" s="241">
        <f t="shared" si="7"/>
        <v>144.33558105704935</v>
      </c>
      <c r="O15" s="241">
        <f t="shared" si="7"/>
        <v>49.682055852894351</v>
      </c>
      <c r="P15" s="241">
        <f t="shared" si="7"/>
        <v>31.950959836037423</v>
      </c>
      <c r="Q15" s="241">
        <f>SUM(Q7:Q14)</f>
        <v>535.75038960641621</v>
      </c>
      <c r="R15" s="195"/>
    </row>
    <row r="16" spans="1:85" x14ac:dyDescent="0.2">
      <c r="B16" s="231"/>
      <c r="C16" s="242"/>
      <c r="D16" s="243"/>
      <c r="E16" s="244"/>
      <c r="F16" s="245"/>
      <c r="G16" s="245"/>
      <c r="H16" s="245"/>
      <c r="I16" s="245"/>
      <c r="J16" s="245"/>
      <c r="K16" s="245"/>
      <c r="L16" s="245"/>
      <c r="M16" s="245"/>
      <c r="N16" s="245"/>
      <c r="O16" s="245"/>
      <c r="P16" s="245"/>
      <c r="Q16" s="245"/>
    </row>
    <row r="17" spans="2:18" ht="63.75" x14ac:dyDescent="0.2">
      <c r="B17" s="192" t="s">
        <v>18</v>
      </c>
      <c r="C17" s="192" t="s">
        <v>31</v>
      </c>
      <c r="D17" s="193" t="s">
        <v>95</v>
      </c>
      <c r="E17" s="194" t="s">
        <v>33</v>
      </c>
      <c r="F17" s="193" t="s">
        <v>32</v>
      </c>
      <c r="G17" s="193" t="s">
        <v>191</v>
      </c>
      <c r="H17" s="193" t="s">
        <v>164</v>
      </c>
      <c r="I17" s="193" t="s">
        <v>160</v>
      </c>
      <c r="J17" s="193" t="s">
        <v>165</v>
      </c>
      <c r="K17" s="254" t="s">
        <v>194</v>
      </c>
      <c r="L17" s="254" t="s">
        <v>195</v>
      </c>
      <c r="M17" s="193" t="s">
        <v>162</v>
      </c>
      <c r="N17" s="193" t="s">
        <v>163</v>
      </c>
      <c r="O17" s="193" t="s">
        <v>161</v>
      </c>
      <c r="P17" s="193" t="s">
        <v>158</v>
      </c>
      <c r="Q17" s="193" t="s">
        <v>159</v>
      </c>
    </row>
    <row r="18" spans="2:18" x14ac:dyDescent="0.2">
      <c r="B18" s="197" t="s">
        <v>62</v>
      </c>
      <c r="C18" s="198"/>
      <c r="D18" s="198"/>
      <c r="E18" s="198"/>
      <c r="F18" s="198"/>
      <c r="G18" s="198"/>
      <c r="H18" s="198"/>
      <c r="I18" s="198"/>
      <c r="J18" s="198"/>
      <c r="K18" s="198"/>
      <c r="L18" s="198"/>
      <c r="M18" s="198"/>
      <c r="N18" s="198"/>
      <c r="O18" s="198"/>
      <c r="P18" s="198"/>
      <c r="Q18" s="198"/>
    </row>
    <row r="19" spans="2:18" x14ac:dyDescent="0.2">
      <c r="B19" s="203" t="s">
        <v>86</v>
      </c>
      <c r="C19" s="204" t="s">
        <v>58</v>
      </c>
      <c r="D19" s="205">
        <v>0.25</v>
      </c>
      <c r="E19" s="206">
        <v>1</v>
      </c>
      <c r="F19" s="207">
        <f>E19*D19</f>
        <v>0.25</v>
      </c>
      <c r="G19" s="208">
        <v>0</v>
      </c>
      <c r="H19" s="209">
        <f>IF(G19=0,VLOOKUP(C:C,[1]Inputs!$B$20:$H$25,7,FALSE)*F19,VLOOKUP(C:C,[1]Inputs!$B$20:$I$25,8,FALSE)*F19)</f>
        <v>25.815149405036248</v>
      </c>
      <c r="I19" s="207">
        <f>VLOOKUP(C:C,[1]Inputs!$C$54:$G$59,5,FALSE)*F19</f>
        <v>0</v>
      </c>
      <c r="J19" s="207"/>
      <c r="K19" s="207"/>
      <c r="L19" s="207"/>
      <c r="M19" s="207">
        <f t="shared" ref="M19:M27" si="8">SUM(H19:J19)</f>
        <v>25.815149405036248</v>
      </c>
      <c r="N19" s="207">
        <f>[1]Inputs!$M$43*M19</f>
        <v>12.027965088087447</v>
      </c>
      <c r="O19" s="207">
        <f>[1]Inputs!$M$48*M19</f>
        <v>4.1401713210745292</v>
      </c>
      <c r="P19" s="209">
        <f>[1]Inputs!$H$13*SUM(M19:O19)</f>
        <v>2.6625799863364517</v>
      </c>
      <c r="Q19" s="207">
        <f t="shared" ref="Q19:Q26" si="9">SUM(M19:P19)</f>
        <v>44.645865800534679</v>
      </c>
    </row>
    <row r="20" spans="2:18" x14ac:dyDescent="0.2">
      <c r="B20" s="215" t="s">
        <v>87</v>
      </c>
      <c r="C20" s="216" t="s">
        <v>58</v>
      </c>
      <c r="D20" s="217">
        <v>0.1</v>
      </c>
      <c r="E20" s="246">
        <v>1</v>
      </c>
      <c r="F20" s="229">
        <f t="shared" ref="F20:F27" si="10">E20*D20</f>
        <v>0.1</v>
      </c>
      <c r="G20" s="219">
        <v>0</v>
      </c>
      <c r="H20" s="209">
        <f>IF(G20=0,VLOOKUP(C:C,[1]Inputs!$B$20:$H$25,7,FALSE)*F20,VLOOKUP(C:C,[1]Inputs!$B$20:$I$25,8,FALSE)*F20)</f>
        <v>10.3260597620145</v>
      </c>
      <c r="I20" s="209">
        <f>VLOOKUP(C:C,[1]Inputs!$C$54:$G$59,5,FALSE)*F20</f>
        <v>0</v>
      </c>
      <c r="J20" s="209"/>
      <c r="K20" s="209"/>
      <c r="L20" s="209"/>
      <c r="M20" s="209">
        <f t="shared" si="8"/>
        <v>10.3260597620145</v>
      </c>
      <c r="N20" s="209">
        <f>[1]Inputs!$M$43*M20</f>
        <v>4.8111860352349796</v>
      </c>
      <c r="O20" s="209">
        <f>[1]Inputs!$M$48*M20</f>
        <v>1.6560685284298118</v>
      </c>
      <c r="P20" s="209">
        <f>[1]Inputs!$H$13*SUM(M20:O20)</f>
        <v>1.065031994534581</v>
      </c>
      <c r="Q20" s="209">
        <f t="shared" si="9"/>
        <v>17.858346320213876</v>
      </c>
      <c r="R20" s="195"/>
    </row>
    <row r="21" spans="2:18" x14ac:dyDescent="0.2">
      <c r="B21" s="237" t="s">
        <v>88</v>
      </c>
      <c r="C21" s="216" t="s">
        <v>58</v>
      </c>
      <c r="D21" s="228">
        <v>0.25</v>
      </c>
      <c r="E21" s="218">
        <v>1</v>
      </c>
      <c r="F21" s="229">
        <f t="shared" si="10"/>
        <v>0.25</v>
      </c>
      <c r="G21" s="230">
        <v>0</v>
      </c>
      <c r="H21" s="209">
        <f>IF(G21=0,VLOOKUP(C:C,[1]Inputs!$B$20:$H$25,7,FALSE)*F21,VLOOKUP(C:C,[1]Inputs!$B$20:$I$25,8,FALSE)*F21)</f>
        <v>25.815149405036248</v>
      </c>
      <c r="I21" s="229">
        <f>VLOOKUP(C:C,[1]Inputs!$C$54:$G$59,5,FALSE)*F21</f>
        <v>0</v>
      </c>
      <c r="J21" s="229"/>
      <c r="K21" s="229"/>
      <c r="L21" s="229"/>
      <c r="M21" s="229">
        <f t="shared" si="8"/>
        <v>25.815149405036248</v>
      </c>
      <c r="N21" s="229">
        <f>[1]Inputs!$M$43*M21</f>
        <v>12.027965088087447</v>
      </c>
      <c r="O21" s="229">
        <f>[1]Inputs!$M$48*M21</f>
        <v>4.1401713210745292</v>
      </c>
      <c r="P21" s="209">
        <f>[1]Inputs!$H$13*SUM(M21:O21)</f>
        <v>2.6625799863364517</v>
      </c>
      <c r="Q21" s="229">
        <f t="shared" si="9"/>
        <v>44.645865800534679</v>
      </c>
    </row>
    <row r="22" spans="2:18" x14ac:dyDescent="0.2">
      <c r="B22" s="237" t="s">
        <v>89</v>
      </c>
      <c r="C22" s="216" t="s">
        <v>58</v>
      </c>
      <c r="D22" s="238">
        <v>0.25</v>
      </c>
      <c r="E22" s="247">
        <v>1</v>
      </c>
      <c r="F22" s="229">
        <f t="shared" si="10"/>
        <v>0.25</v>
      </c>
      <c r="G22" s="230">
        <v>0</v>
      </c>
      <c r="H22" s="209">
        <f>IF(G22=0,VLOOKUP(C:C,[1]Inputs!$B$20:$H$25,7,FALSE)*F22,VLOOKUP(C:C,[1]Inputs!$B$20:$I$25,8,FALSE)*F22)</f>
        <v>25.815149405036248</v>
      </c>
      <c r="I22" s="229">
        <f>VLOOKUP(C:C,[1]Inputs!$C$54:$G$59,5,FALSE)*F22</f>
        <v>0</v>
      </c>
      <c r="J22" s="229"/>
      <c r="K22" s="229"/>
      <c r="L22" s="229"/>
      <c r="M22" s="229">
        <f t="shared" si="8"/>
        <v>25.815149405036248</v>
      </c>
      <c r="N22" s="229">
        <f>[1]Inputs!$M$43*M22</f>
        <v>12.027965088087447</v>
      </c>
      <c r="O22" s="229">
        <f>[1]Inputs!$M$48*M22</f>
        <v>4.1401713210745292</v>
      </c>
      <c r="P22" s="209">
        <f>[1]Inputs!$H$13*SUM(M22:O22)</f>
        <v>2.6625799863364517</v>
      </c>
      <c r="Q22" s="229">
        <f t="shared" si="9"/>
        <v>44.645865800534679</v>
      </c>
    </row>
    <row r="23" spans="2:18" x14ac:dyDescent="0.2">
      <c r="B23" s="215" t="s">
        <v>90</v>
      </c>
      <c r="C23" s="216" t="s">
        <v>58</v>
      </c>
      <c r="D23" s="239">
        <v>1.5</v>
      </c>
      <c r="E23" s="218">
        <v>1</v>
      </c>
      <c r="F23" s="229">
        <f t="shared" si="10"/>
        <v>1.5</v>
      </c>
      <c r="G23" s="230">
        <v>0</v>
      </c>
      <c r="H23" s="209">
        <f>IF(G23=0,VLOOKUP(C:C,[1]Inputs!$B$20:$H$25,7,FALSE)*F23,VLOOKUP(C:C,[1]Inputs!$B$20:$I$25,8,FALSE)*F23)</f>
        <v>154.89089643021748</v>
      </c>
      <c r="I23" s="229">
        <f>VLOOKUP(C:C,[1]Inputs!$C$54:$G$59,5,FALSE)*F23</f>
        <v>0</v>
      </c>
      <c r="J23" s="229"/>
      <c r="K23" s="229"/>
      <c r="L23" s="229"/>
      <c r="M23" s="229">
        <f t="shared" si="8"/>
        <v>154.89089643021748</v>
      </c>
      <c r="N23" s="229">
        <f>[1]Inputs!$M$43*M23</f>
        <v>72.167790528524677</v>
      </c>
      <c r="O23" s="229">
        <f>[1]Inputs!$M$48*M23</f>
        <v>24.841027926447172</v>
      </c>
      <c r="P23" s="209">
        <f>[1]Inputs!$H$13*SUM(M23:O23)</f>
        <v>15.975479918018708</v>
      </c>
      <c r="Q23" s="229">
        <f t="shared" si="9"/>
        <v>267.87519480320805</v>
      </c>
    </row>
    <row r="24" spans="2:18" x14ac:dyDescent="0.2">
      <c r="B24" s="215" t="s">
        <v>91</v>
      </c>
      <c r="C24" s="216" t="s">
        <v>58</v>
      </c>
      <c r="D24" s="239">
        <v>0.25</v>
      </c>
      <c r="E24" s="247">
        <v>1</v>
      </c>
      <c r="F24" s="229">
        <f t="shared" si="10"/>
        <v>0.25</v>
      </c>
      <c r="G24" s="230">
        <v>0</v>
      </c>
      <c r="H24" s="209">
        <f>IF(G24=0,VLOOKUP(C:C,[1]Inputs!$B$20:$H$25,7,FALSE)*F24,VLOOKUP(C:C,[1]Inputs!$B$20:$I$25,8,FALSE)*F24)</f>
        <v>25.815149405036248</v>
      </c>
      <c r="I24" s="229">
        <f>VLOOKUP(C:C,[1]Inputs!$C$54:$G$59,5,FALSE)*F24</f>
        <v>0</v>
      </c>
      <c r="J24" s="229"/>
      <c r="K24" s="229"/>
      <c r="L24" s="229"/>
      <c r="M24" s="229">
        <f t="shared" si="8"/>
        <v>25.815149405036248</v>
      </c>
      <c r="N24" s="229">
        <f>[1]Inputs!$M$43*M24</f>
        <v>12.027965088087447</v>
      </c>
      <c r="O24" s="229">
        <f>[1]Inputs!$M$48*M24</f>
        <v>4.1401713210745292</v>
      </c>
      <c r="P24" s="209">
        <f>[1]Inputs!$H$13*SUM(M24:O24)</f>
        <v>2.6625799863364517</v>
      </c>
      <c r="Q24" s="229">
        <f t="shared" si="9"/>
        <v>44.645865800534679</v>
      </c>
    </row>
    <row r="25" spans="2:18" x14ac:dyDescent="0.2">
      <c r="B25" s="215" t="s">
        <v>92</v>
      </c>
      <c r="C25" s="216" t="s">
        <v>58</v>
      </c>
      <c r="D25" s="239">
        <v>0.15</v>
      </c>
      <c r="E25" s="218">
        <v>1</v>
      </c>
      <c r="F25" s="229">
        <f t="shared" si="10"/>
        <v>0.15</v>
      </c>
      <c r="G25" s="230">
        <v>0</v>
      </c>
      <c r="H25" s="209">
        <f>IF(G25=0,VLOOKUP(C:C,[1]Inputs!$B$20:$H$25,7,FALSE)*F25,VLOOKUP(C:C,[1]Inputs!$B$20:$I$25,8,FALSE)*F25)</f>
        <v>15.489089643021748</v>
      </c>
      <c r="I25" s="229">
        <f>VLOOKUP(C:C,[1]Inputs!$C$54:$G$59,5,FALSE)*F25</f>
        <v>0</v>
      </c>
      <c r="J25" s="229"/>
      <c r="K25" s="229"/>
      <c r="L25" s="229"/>
      <c r="M25" s="229">
        <f t="shared" si="8"/>
        <v>15.489089643021748</v>
      </c>
      <c r="N25" s="229">
        <f>[1]Inputs!$M$43*M25</f>
        <v>7.2167790528524671</v>
      </c>
      <c r="O25" s="229">
        <f>[1]Inputs!$M$48*M25</f>
        <v>2.4841027926447175</v>
      </c>
      <c r="P25" s="209">
        <f>[1]Inputs!$H$13*SUM(M25:O25)</f>
        <v>1.5975479918018707</v>
      </c>
      <c r="Q25" s="229">
        <f t="shared" si="9"/>
        <v>26.787519480320803</v>
      </c>
    </row>
    <row r="26" spans="2:18" x14ac:dyDescent="0.2">
      <c r="B26" s="215" t="s">
        <v>93</v>
      </c>
      <c r="C26" s="216" t="s">
        <v>58</v>
      </c>
      <c r="D26" s="228">
        <v>0.5</v>
      </c>
      <c r="E26" s="247">
        <v>1</v>
      </c>
      <c r="F26" s="229">
        <f t="shared" si="10"/>
        <v>0.5</v>
      </c>
      <c r="G26" s="230">
        <v>0</v>
      </c>
      <c r="H26" s="209">
        <f>IF(G26=0,VLOOKUP(C:C,[1]Inputs!$B$20:$H$25,7,FALSE)*F26,VLOOKUP(C:C,[1]Inputs!$B$20:$I$25,8,FALSE)*F26)</f>
        <v>51.630298810072496</v>
      </c>
      <c r="I26" s="229">
        <f>VLOOKUP(C:C,[1]Inputs!$C$54:$G$59,5,FALSE)*F26</f>
        <v>0</v>
      </c>
      <c r="J26" s="229"/>
      <c r="K26" s="229"/>
      <c r="L26" s="229"/>
      <c r="M26" s="229">
        <f t="shared" si="8"/>
        <v>51.630298810072496</v>
      </c>
      <c r="N26" s="229">
        <f>[1]Inputs!$M$43*M26</f>
        <v>24.055930176174893</v>
      </c>
      <c r="O26" s="229">
        <f>[1]Inputs!$M$48*M26</f>
        <v>8.2803426421490585</v>
      </c>
      <c r="P26" s="209">
        <f>[1]Inputs!$H$13*SUM(M26:O26)</f>
        <v>5.3251599726729033</v>
      </c>
      <c r="Q26" s="229">
        <f t="shared" si="9"/>
        <v>89.291731601069358</v>
      </c>
    </row>
    <row r="27" spans="2:18" x14ac:dyDescent="0.2">
      <c r="B27" s="248" t="s">
        <v>94</v>
      </c>
      <c r="C27" s="216" t="s">
        <v>58</v>
      </c>
      <c r="D27" s="228">
        <v>0.75</v>
      </c>
      <c r="E27" s="218">
        <v>1</v>
      </c>
      <c r="F27" s="229">
        <f t="shared" si="10"/>
        <v>0.75</v>
      </c>
      <c r="G27" s="230">
        <v>0</v>
      </c>
      <c r="H27" s="209">
        <f>IF(G27=0,VLOOKUP(C:C,[1]Inputs!$B$20:$H$25,7,FALSE)*F27,VLOOKUP(C:C,[1]Inputs!$B$20:$I$25,8,FALSE)*F27)</f>
        <v>77.44544821510874</v>
      </c>
      <c r="I27" s="229">
        <f>VLOOKUP(C:C,[1]Inputs!$C$54:$G$59,5,FALSE)*F27</f>
        <v>0</v>
      </c>
      <c r="J27" s="229"/>
      <c r="K27" s="229"/>
      <c r="L27" s="229"/>
      <c r="M27" s="229">
        <f t="shared" si="8"/>
        <v>77.44544821510874</v>
      </c>
      <c r="N27" s="229">
        <f>[1]Inputs!$M$43*M27</f>
        <v>36.083895264262338</v>
      </c>
      <c r="O27" s="229">
        <f>[1]Inputs!$M$48*M27</f>
        <v>12.420513963223586</v>
      </c>
      <c r="P27" s="209">
        <f>[1]Inputs!$H$13*SUM(M27:O27)</f>
        <v>7.9877399590093541</v>
      </c>
      <c r="Q27" s="229">
        <f t="shared" ref="Q27" si="11">SUM(M27:P27)</f>
        <v>133.93759740160402</v>
      </c>
    </row>
    <row r="28" spans="2:18" x14ac:dyDescent="0.2">
      <c r="B28" s="315" t="s">
        <v>1</v>
      </c>
      <c r="C28" s="316"/>
      <c r="D28" s="316"/>
      <c r="E28" s="317"/>
      <c r="F28" s="241">
        <f>SUM(F19:F27)</f>
        <v>4</v>
      </c>
      <c r="G28" s="241"/>
      <c r="H28" s="241">
        <f t="shared" ref="H28:P28" si="12">SUM(H19:H27)</f>
        <v>413.04239048057997</v>
      </c>
      <c r="I28" s="241">
        <f t="shared" si="12"/>
        <v>0</v>
      </c>
      <c r="J28" s="241">
        <f t="shared" si="12"/>
        <v>0</v>
      </c>
      <c r="K28" s="241"/>
      <c r="L28" s="241"/>
      <c r="M28" s="241">
        <f t="shared" si="12"/>
        <v>413.04239048057997</v>
      </c>
      <c r="N28" s="241">
        <f t="shared" si="12"/>
        <v>192.44744140939912</v>
      </c>
      <c r="O28" s="241">
        <f t="shared" si="12"/>
        <v>66.242741137192468</v>
      </c>
      <c r="P28" s="241">
        <f t="shared" si="12"/>
        <v>42.601279781383226</v>
      </c>
      <c r="Q28" s="241">
        <f>SUM(Q19:Q27)</f>
        <v>714.33385280855487</v>
      </c>
    </row>
    <row r="30" spans="2:18" ht="63.75" x14ac:dyDescent="0.2">
      <c r="B30" s="192" t="s">
        <v>18</v>
      </c>
      <c r="C30" s="192" t="s">
        <v>31</v>
      </c>
      <c r="D30" s="193" t="s">
        <v>95</v>
      </c>
      <c r="E30" s="194" t="s">
        <v>33</v>
      </c>
      <c r="F30" s="193" t="s">
        <v>32</v>
      </c>
      <c r="G30" s="193" t="s">
        <v>191</v>
      </c>
      <c r="H30" s="193" t="s">
        <v>164</v>
      </c>
      <c r="I30" s="193" t="s">
        <v>160</v>
      </c>
      <c r="J30" s="193" t="s">
        <v>165</v>
      </c>
      <c r="K30" s="193"/>
      <c r="L30" s="193"/>
      <c r="M30" s="193" t="s">
        <v>162</v>
      </c>
      <c r="N30" s="193" t="s">
        <v>163</v>
      </c>
      <c r="O30" s="193" t="s">
        <v>161</v>
      </c>
      <c r="P30" s="193" t="s">
        <v>158</v>
      </c>
      <c r="Q30" s="193" t="s">
        <v>159</v>
      </c>
    </row>
    <row r="31" spans="2:18" x14ac:dyDescent="0.2">
      <c r="B31" s="197" t="s">
        <v>63</v>
      </c>
      <c r="C31" s="198"/>
      <c r="D31" s="198"/>
      <c r="E31" s="198"/>
      <c r="F31" s="198"/>
      <c r="G31" s="198"/>
      <c r="H31" s="198"/>
      <c r="I31" s="198"/>
      <c r="J31" s="198"/>
      <c r="K31" s="198"/>
      <c r="L31" s="198"/>
      <c r="M31" s="198"/>
      <c r="N31" s="198"/>
      <c r="O31" s="198"/>
      <c r="P31" s="198"/>
      <c r="Q31" s="198"/>
    </row>
    <row r="32" spans="2:18" x14ac:dyDescent="0.2">
      <c r="B32" s="203" t="s">
        <v>86</v>
      </c>
      <c r="C32" s="204" t="s">
        <v>58</v>
      </c>
      <c r="D32" s="205">
        <v>0.5</v>
      </c>
      <c r="E32" s="206">
        <v>1</v>
      </c>
      <c r="F32" s="207">
        <f>E32*D32</f>
        <v>0.5</v>
      </c>
      <c r="G32" s="208">
        <v>0</v>
      </c>
      <c r="H32" s="209">
        <f>IF(G32=0,VLOOKUP(C:C,[1]Inputs!$B$20:$H$25,7,FALSE)*F32,VLOOKUP(C:C,[1]Inputs!$B$20:$I$25,8,FALSE)*F32)</f>
        <v>51.630298810072496</v>
      </c>
      <c r="I32" s="207">
        <f>VLOOKUP(C:C,[1]Inputs!$C$54:$G$59,5,FALSE)*F32</f>
        <v>0</v>
      </c>
      <c r="J32" s="207"/>
      <c r="K32" s="207"/>
      <c r="L32" s="207"/>
      <c r="M32" s="207">
        <f t="shared" ref="M32:M40" si="13">SUM(H32:J32)</f>
        <v>51.630298810072496</v>
      </c>
      <c r="N32" s="207">
        <f>[1]Inputs!$M$43*M32</f>
        <v>24.055930176174893</v>
      </c>
      <c r="O32" s="207">
        <f>[1]Inputs!$M$48*M32</f>
        <v>8.2803426421490585</v>
      </c>
      <c r="P32" s="209">
        <f>[1]Inputs!$H$13*SUM(M32:O32)</f>
        <v>5.3251599726729033</v>
      </c>
      <c r="Q32" s="207">
        <f t="shared" ref="Q32:Q40" si="14">SUM(M32:P32)</f>
        <v>89.291731601069358</v>
      </c>
    </row>
    <row r="33" spans="2:18" x14ac:dyDescent="0.2">
      <c r="B33" s="215" t="s">
        <v>87</v>
      </c>
      <c r="C33" s="216" t="s">
        <v>58</v>
      </c>
      <c r="D33" s="217">
        <v>0.25</v>
      </c>
      <c r="E33" s="246">
        <v>1</v>
      </c>
      <c r="F33" s="229">
        <f t="shared" ref="F33:F40" si="15">E33*D33</f>
        <v>0.25</v>
      </c>
      <c r="G33" s="219">
        <v>0</v>
      </c>
      <c r="H33" s="209">
        <f>IF(G33=0,VLOOKUP(C:C,[1]Inputs!$B$20:$H$25,7,FALSE)*F33,VLOOKUP(C:C,[1]Inputs!$B$20:$I$25,8,FALSE)*F33)</f>
        <v>25.815149405036248</v>
      </c>
      <c r="I33" s="209">
        <f>VLOOKUP(C:C,[1]Inputs!$C$54:$G$59,5,FALSE)*F33</f>
        <v>0</v>
      </c>
      <c r="J33" s="209"/>
      <c r="K33" s="209"/>
      <c r="L33" s="209"/>
      <c r="M33" s="209">
        <f t="shared" si="13"/>
        <v>25.815149405036248</v>
      </c>
      <c r="N33" s="209">
        <f>[1]Inputs!$M$43*M33</f>
        <v>12.027965088087447</v>
      </c>
      <c r="O33" s="209">
        <f>[1]Inputs!$M$48*M33</f>
        <v>4.1401713210745292</v>
      </c>
      <c r="P33" s="209">
        <f>[1]Inputs!$H$13*SUM(M33:O33)</f>
        <v>2.6625799863364517</v>
      </c>
      <c r="Q33" s="209">
        <f t="shared" si="14"/>
        <v>44.645865800534679</v>
      </c>
      <c r="R33" s="195"/>
    </row>
    <row r="34" spans="2:18" x14ac:dyDescent="0.2">
      <c r="B34" s="237" t="s">
        <v>88</v>
      </c>
      <c r="C34" s="216" t="s">
        <v>58</v>
      </c>
      <c r="D34" s="228">
        <v>1</v>
      </c>
      <c r="E34" s="218">
        <v>1</v>
      </c>
      <c r="F34" s="229">
        <f t="shared" si="15"/>
        <v>1</v>
      </c>
      <c r="G34" s="230">
        <v>0</v>
      </c>
      <c r="H34" s="209">
        <f>IF(G34=0,VLOOKUP(C:C,[1]Inputs!$B$20:$H$25,7,FALSE)*F34,VLOOKUP(C:C,[1]Inputs!$B$20:$I$25,8,FALSE)*F34)</f>
        <v>103.26059762014499</v>
      </c>
      <c r="I34" s="229">
        <f>VLOOKUP(C:C,[1]Inputs!$C$54:$G$59,5,FALSE)*F34</f>
        <v>0</v>
      </c>
      <c r="J34" s="229"/>
      <c r="K34" s="229"/>
      <c r="L34" s="229"/>
      <c r="M34" s="229">
        <f t="shared" si="13"/>
        <v>103.26059762014499</v>
      </c>
      <c r="N34" s="229">
        <f>[1]Inputs!$M$43*M34</f>
        <v>48.111860352349787</v>
      </c>
      <c r="O34" s="229">
        <f>[1]Inputs!$M$48*M34</f>
        <v>16.560685284298117</v>
      </c>
      <c r="P34" s="209">
        <f>[1]Inputs!$H$13*SUM(M34:O34)</f>
        <v>10.650319945345807</v>
      </c>
      <c r="Q34" s="229">
        <f t="shared" si="14"/>
        <v>178.58346320213872</v>
      </c>
    </row>
    <row r="35" spans="2:18" x14ac:dyDescent="0.2">
      <c r="B35" s="237" t="s">
        <v>89</v>
      </c>
      <c r="C35" s="216" t="s">
        <v>58</v>
      </c>
      <c r="D35" s="238">
        <v>0.5</v>
      </c>
      <c r="E35" s="246">
        <v>1</v>
      </c>
      <c r="F35" s="229">
        <f t="shared" si="15"/>
        <v>0.5</v>
      </c>
      <c r="G35" s="230">
        <v>0</v>
      </c>
      <c r="H35" s="209">
        <f>IF(G35=0,VLOOKUP(C:C,[1]Inputs!$B$20:$H$25,7,FALSE)*F35,VLOOKUP(C:C,[1]Inputs!$B$20:$I$25,8,FALSE)*F35)</f>
        <v>51.630298810072496</v>
      </c>
      <c r="I35" s="229">
        <f>VLOOKUP(C:C,[1]Inputs!$C$54:$G$59,5,FALSE)*F35</f>
        <v>0</v>
      </c>
      <c r="J35" s="229"/>
      <c r="K35" s="229"/>
      <c r="L35" s="229"/>
      <c r="M35" s="229">
        <f t="shared" si="13"/>
        <v>51.630298810072496</v>
      </c>
      <c r="N35" s="229">
        <f>[1]Inputs!$M$43*M35</f>
        <v>24.055930176174893</v>
      </c>
      <c r="O35" s="229">
        <f>[1]Inputs!$M$48*M35</f>
        <v>8.2803426421490585</v>
      </c>
      <c r="P35" s="209">
        <f>[1]Inputs!$H$13*SUM(M35:O35)</f>
        <v>5.3251599726729033</v>
      </c>
      <c r="Q35" s="229">
        <f t="shared" si="14"/>
        <v>89.291731601069358</v>
      </c>
    </row>
    <row r="36" spans="2:18" x14ac:dyDescent="0.2">
      <c r="B36" s="215" t="s">
        <v>90</v>
      </c>
      <c r="C36" s="216" t="s">
        <v>58</v>
      </c>
      <c r="D36" s="239">
        <v>1.5</v>
      </c>
      <c r="E36" s="218">
        <v>1</v>
      </c>
      <c r="F36" s="229">
        <f t="shared" si="15"/>
        <v>1.5</v>
      </c>
      <c r="G36" s="230">
        <v>0</v>
      </c>
      <c r="H36" s="209">
        <f>IF(G36=0,VLOOKUP(C:C,[1]Inputs!$B$20:$H$25,7,FALSE)*F36,VLOOKUP(C:C,[1]Inputs!$B$20:$I$25,8,FALSE)*F36)</f>
        <v>154.89089643021748</v>
      </c>
      <c r="I36" s="229">
        <f>VLOOKUP(C:C,[1]Inputs!$C$54:$G$59,5,FALSE)*F36</f>
        <v>0</v>
      </c>
      <c r="J36" s="229"/>
      <c r="K36" s="229"/>
      <c r="L36" s="229"/>
      <c r="M36" s="229">
        <f t="shared" si="13"/>
        <v>154.89089643021748</v>
      </c>
      <c r="N36" s="229">
        <f>[1]Inputs!$M$43*M36</f>
        <v>72.167790528524677</v>
      </c>
      <c r="O36" s="229">
        <f>[1]Inputs!$M$48*M36</f>
        <v>24.841027926447172</v>
      </c>
      <c r="P36" s="209">
        <f>[1]Inputs!$H$13*SUM(M36:O36)</f>
        <v>15.975479918018708</v>
      </c>
      <c r="Q36" s="229">
        <f t="shared" si="14"/>
        <v>267.87519480320805</v>
      </c>
    </row>
    <row r="37" spans="2:18" x14ac:dyDescent="0.2">
      <c r="B37" s="215" t="s">
        <v>91</v>
      </c>
      <c r="C37" s="216" t="s">
        <v>58</v>
      </c>
      <c r="D37" s="239">
        <v>0.5</v>
      </c>
      <c r="E37" s="247">
        <v>1</v>
      </c>
      <c r="F37" s="229">
        <f t="shared" si="15"/>
        <v>0.5</v>
      </c>
      <c r="G37" s="230">
        <v>0</v>
      </c>
      <c r="H37" s="209">
        <f>IF(G37=0,VLOOKUP(C:C,[1]Inputs!$B$20:$H$25,7,FALSE)*F37,VLOOKUP(C:C,[1]Inputs!$B$20:$I$25,8,FALSE)*F37)</f>
        <v>51.630298810072496</v>
      </c>
      <c r="I37" s="229">
        <f>VLOOKUP(C:C,[1]Inputs!$C$54:$G$59,5,FALSE)*F37</f>
        <v>0</v>
      </c>
      <c r="J37" s="229"/>
      <c r="K37" s="229"/>
      <c r="L37" s="229"/>
      <c r="M37" s="229">
        <f t="shared" si="13"/>
        <v>51.630298810072496</v>
      </c>
      <c r="N37" s="229">
        <f>[1]Inputs!$M$43*M37</f>
        <v>24.055930176174893</v>
      </c>
      <c r="O37" s="229">
        <f>[1]Inputs!$M$48*M37</f>
        <v>8.2803426421490585</v>
      </c>
      <c r="P37" s="209">
        <f>[1]Inputs!$H$13*SUM(M37:O37)</f>
        <v>5.3251599726729033</v>
      </c>
      <c r="Q37" s="229">
        <f t="shared" si="14"/>
        <v>89.291731601069358</v>
      </c>
    </row>
    <row r="38" spans="2:18" x14ac:dyDescent="0.2">
      <c r="B38" s="215" t="s">
        <v>92</v>
      </c>
      <c r="C38" s="216" t="s">
        <v>58</v>
      </c>
      <c r="D38" s="239">
        <v>0.5</v>
      </c>
      <c r="E38" s="218">
        <v>1</v>
      </c>
      <c r="F38" s="229">
        <f t="shared" si="15"/>
        <v>0.5</v>
      </c>
      <c r="G38" s="230">
        <v>0</v>
      </c>
      <c r="H38" s="209">
        <f>IF(G38=0,VLOOKUP(C:C,[1]Inputs!$B$20:$H$25,7,FALSE)*F38,VLOOKUP(C:C,[1]Inputs!$B$20:$I$25,8,FALSE)*F38)</f>
        <v>51.630298810072496</v>
      </c>
      <c r="I38" s="229">
        <f>VLOOKUP(C:C,[1]Inputs!$C$54:$G$59,5,FALSE)*F38</f>
        <v>0</v>
      </c>
      <c r="J38" s="229"/>
      <c r="K38" s="229"/>
      <c r="L38" s="229"/>
      <c r="M38" s="229">
        <f t="shared" si="13"/>
        <v>51.630298810072496</v>
      </c>
      <c r="N38" s="229">
        <f>[1]Inputs!$M$43*M38</f>
        <v>24.055930176174893</v>
      </c>
      <c r="O38" s="229">
        <f>[1]Inputs!$M$48*M38</f>
        <v>8.2803426421490585</v>
      </c>
      <c r="P38" s="209">
        <f>[1]Inputs!$H$13*SUM(M38:O38)</f>
        <v>5.3251599726729033</v>
      </c>
      <c r="Q38" s="229">
        <f t="shared" si="14"/>
        <v>89.291731601069358</v>
      </c>
    </row>
    <row r="39" spans="2:18" x14ac:dyDescent="0.2">
      <c r="B39" s="215" t="s">
        <v>93</v>
      </c>
      <c r="C39" s="216" t="s">
        <v>58</v>
      </c>
      <c r="D39" s="228">
        <v>1.25</v>
      </c>
      <c r="E39" s="247">
        <v>1</v>
      </c>
      <c r="F39" s="229">
        <f t="shared" si="15"/>
        <v>1.25</v>
      </c>
      <c r="G39" s="230">
        <v>0</v>
      </c>
      <c r="H39" s="209">
        <f>IF(G39=0,VLOOKUP(C:C,[1]Inputs!$B$20:$H$25,7,FALSE)*F39,VLOOKUP(C:C,[1]Inputs!$B$20:$I$25,8,FALSE)*F39)</f>
        <v>129.07574702518124</v>
      </c>
      <c r="I39" s="229">
        <f>VLOOKUP(C:C,[1]Inputs!$C$54:$G$59,5,FALSE)*F39</f>
        <v>0</v>
      </c>
      <c r="J39" s="229"/>
      <c r="K39" s="229"/>
      <c r="L39" s="229"/>
      <c r="M39" s="229">
        <f t="shared" si="13"/>
        <v>129.07574702518124</v>
      </c>
      <c r="N39" s="229">
        <f>[1]Inputs!$M$43*M39</f>
        <v>60.139825440437235</v>
      </c>
      <c r="O39" s="229">
        <f>[1]Inputs!$M$48*M39</f>
        <v>20.700856605372646</v>
      </c>
      <c r="P39" s="209">
        <f>[1]Inputs!$H$13*SUM(M39:O39)</f>
        <v>13.312899931682258</v>
      </c>
      <c r="Q39" s="229">
        <f t="shared" si="14"/>
        <v>223.22932900267341</v>
      </c>
    </row>
    <row r="40" spans="2:18" x14ac:dyDescent="0.2">
      <c r="B40" s="248" t="s">
        <v>94</v>
      </c>
      <c r="C40" s="216" t="s">
        <v>58</v>
      </c>
      <c r="D40" s="228">
        <v>1</v>
      </c>
      <c r="E40" s="218">
        <v>1</v>
      </c>
      <c r="F40" s="229">
        <f t="shared" si="15"/>
        <v>1</v>
      </c>
      <c r="G40" s="230">
        <v>0</v>
      </c>
      <c r="H40" s="209">
        <f>IF(G40=0,VLOOKUP(C:C,[1]Inputs!$B$20:$H$25,7,FALSE)*F40,VLOOKUP(C:C,[1]Inputs!$B$20:$I$25,8,FALSE)*F40)</f>
        <v>103.26059762014499</v>
      </c>
      <c r="I40" s="229">
        <f>VLOOKUP(C:C,[1]Inputs!$C$54:$G$59,5,FALSE)*F40</f>
        <v>0</v>
      </c>
      <c r="J40" s="229"/>
      <c r="K40" s="229"/>
      <c r="L40" s="229"/>
      <c r="M40" s="229">
        <f t="shared" si="13"/>
        <v>103.26059762014499</v>
      </c>
      <c r="N40" s="229">
        <f>[1]Inputs!$M$43*M40</f>
        <v>48.111860352349787</v>
      </c>
      <c r="O40" s="229">
        <f>[1]Inputs!$M$48*M40</f>
        <v>16.560685284298117</v>
      </c>
      <c r="P40" s="209">
        <f>[1]Inputs!$H$13*SUM(M40:O40)</f>
        <v>10.650319945345807</v>
      </c>
      <c r="Q40" s="229">
        <f t="shared" si="14"/>
        <v>178.58346320213872</v>
      </c>
    </row>
    <row r="41" spans="2:18" x14ac:dyDescent="0.2">
      <c r="B41" s="315" t="s">
        <v>1</v>
      </c>
      <c r="C41" s="316"/>
      <c r="D41" s="316"/>
      <c r="E41" s="317"/>
      <c r="F41" s="241">
        <f>SUM(F32:F40)</f>
        <v>7</v>
      </c>
      <c r="G41" s="241"/>
      <c r="H41" s="241">
        <f t="shared" ref="H41:P41" si="16">SUM(H32:H40)</f>
        <v>722.82418334101487</v>
      </c>
      <c r="I41" s="241">
        <f t="shared" si="16"/>
        <v>0</v>
      </c>
      <c r="J41" s="241">
        <f t="shared" si="16"/>
        <v>0</v>
      </c>
      <c r="K41" s="241"/>
      <c r="L41" s="241"/>
      <c r="M41" s="241">
        <f t="shared" si="16"/>
        <v>722.82418334101487</v>
      </c>
      <c r="N41" s="241">
        <f t="shared" si="16"/>
        <v>336.78302246644847</v>
      </c>
      <c r="O41" s="241">
        <f t="shared" si="16"/>
        <v>115.92479699008682</v>
      </c>
      <c r="P41" s="241">
        <f t="shared" si="16"/>
        <v>74.552239617420653</v>
      </c>
      <c r="Q41" s="241">
        <f>SUM(Q32:Q40)</f>
        <v>1250.0842424149712</v>
      </c>
    </row>
    <row r="43" spans="2:18" ht="63.75" x14ac:dyDescent="0.2">
      <c r="B43" s="192" t="s">
        <v>18</v>
      </c>
      <c r="C43" s="192" t="s">
        <v>31</v>
      </c>
      <c r="D43" s="193" t="s">
        <v>95</v>
      </c>
      <c r="E43" s="194" t="s">
        <v>33</v>
      </c>
      <c r="F43" s="193" t="s">
        <v>32</v>
      </c>
      <c r="G43" s="193" t="s">
        <v>191</v>
      </c>
      <c r="H43" s="193" t="s">
        <v>164</v>
      </c>
      <c r="I43" s="193" t="s">
        <v>160</v>
      </c>
      <c r="J43" s="193" t="s">
        <v>165</v>
      </c>
      <c r="K43" s="193"/>
      <c r="L43" s="193"/>
      <c r="M43" s="193" t="s">
        <v>162</v>
      </c>
      <c r="N43" s="193" t="s">
        <v>163</v>
      </c>
      <c r="O43" s="193" t="s">
        <v>161</v>
      </c>
      <c r="P43" s="193" t="s">
        <v>158</v>
      </c>
      <c r="Q43" s="193" t="s">
        <v>159</v>
      </c>
    </row>
    <row r="44" spans="2:18" x14ac:dyDescent="0.2">
      <c r="B44" s="197" t="s">
        <v>64</v>
      </c>
      <c r="C44" s="198"/>
      <c r="D44" s="198"/>
      <c r="E44" s="198"/>
      <c r="F44" s="198"/>
      <c r="G44" s="198"/>
      <c r="H44" s="198"/>
      <c r="I44" s="198"/>
      <c r="J44" s="198"/>
      <c r="K44" s="198"/>
      <c r="L44" s="198"/>
      <c r="M44" s="198"/>
      <c r="N44" s="198"/>
      <c r="O44" s="198"/>
      <c r="P44" s="198"/>
      <c r="Q44" s="198"/>
    </row>
    <row r="45" spans="2:18" x14ac:dyDescent="0.2">
      <c r="B45" s="203" t="s">
        <v>86</v>
      </c>
      <c r="C45" s="204" t="s">
        <v>58</v>
      </c>
      <c r="D45" s="205">
        <v>0.5</v>
      </c>
      <c r="E45" s="206">
        <v>1</v>
      </c>
      <c r="F45" s="207">
        <f>E45*D45</f>
        <v>0.5</v>
      </c>
      <c r="G45" s="208">
        <v>0</v>
      </c>
      <c r="H45" s="209">
        <f>IF(G45=0,VLOOKUP(C:C,[1]Inputs!$B$20:$H$25,7,FALSE)*F45,VLOOKUP(C:C,[1]Inputs!$B$20:$I$25,8,FALSE)*F45)</f>
        <v>51.630298810072496</v>
      </c>
      <c r="I45" s="207">
        <f>VLOOKUP(C:C,[1]Inputs!$C$54:$G$59,5,FALSE)*F45</f>
        <v>0</v>
      </c>
      <c r="J45" s="207"/>
      <c r="K45" s="207"/>
      <c r="L45" s="207"/>
      <c r="M45" s="207">
        <f t="shared" ref="M45:M53" si="17">SUM(H45:J45)</f>
        <v>51.630298810072496</v>
      </c>
      <c r="N45" s="207">
        <f>[1]Inputs!$M$43*M45</f>
        <v>24.055930176174893</v>
      </c>
      <c r="O45" s="207">
        <f>[1]Inputs!$M$48*M45</f>
        <v>8.2803426421490585</v>
      </c>
      <c r="P45" s="209">
        <f>[1]Inputs!$H$13*SUM(M45:O45)</f>
        <v>5.3251599726729033</v>
      </c>
      <c r="Q45" s="207">
        <f t="shared" ref="Q45:Q53" si="18">SUM(M45:P45)</f>
        <v>89.291731601069358</v>
      </c>
    </row>
    <row r="46" spans="2:18" x14ac:dyDescent="0.2">
      <c r="B46" s="215" t="s">
        <v>87</v>
      </c>
      <c r="C46" s="216" t="s">
        <v>58</v>
      </c>
      <c r="D46" s="217">
        <v>0.5</v>
      </c>
      <c r="E46" s="246">
        <v>1</v>
      </c>
      <c r="F46" s="209">
        <f t="shared" ref="F46:F53" si="19">E46*D46</f>
        <v>0.5</v>
      </c>
      <c r="G46" s="219">
        <v>0</v>
      </c>
      <c r="H46" s="209">
        <f>IF(G46=0,VLOOKUP(C:C,[1]Inputs!$B$20:$H$25,7,FALSE)*F46,VLOOKUP(C:C,[1]Inputs!$B$20:$I$25,8,FALSE)*F46)</f>
        <v>51.630298810072496</v>
      </c>
      <c r="I46" s="209">
        <f>VLOOKUP(C:C,[1]Inputs!$C$54:$G$59,5,FALSE)*F46</f>
        <v>0</v>
      </c>
      <c r="J46" s="209"/>
      <c r="K46" s="209"/>
      <c r="L46" s="209"/>
      <c r="M46" s="209">
        <f t="shared" si="17"/>
        <v>51.630298810072496</v>
      </c>
      <c r="N46" s="209">
        <f>[1]Inputs!$M$43*M46</f>
        <v>24.055930176174893</v>
      </c>
      <c r="O46" s="209">
        <f>[1]Inputs!$M$48*M46</f>
        <v>8.2803426421490585</v>
      </c>
      <c r="P46" s="209">
        <f>[1]Inputs!$H$13*SUM(M46:O46)</f>
        <v>5.3251599726729033</v>
      </c>
      <c r="Q46" s="209">
        <f t="shared" si="18"/>
        <v>89.291731601069358</v>
      </c>
      <c r="R46" s="195"/>
    </row>
    <row r="47" spans="2:18" x14ac:dyDescent="0.2">
      <c r="B47" s="237" t="s">
        <v>88</v>
      </c>
      <c r="C47" s="216" t="s">
        <v>58</v>
      </c>
      <c r="D47" s="228">
        <v>1.25</v>
      </c>
      <c r="E47" s="218">
        <v>1</v>
      </c>
      <c r="F47" s="229">
        <f t="shared" si="19"/>
        <v>1.25</v>
      </c>
      <c r="G47" s="230">
        <v>0</v>
      </c>
      <c r="H47" s="209">
        <f>IF(G47=0,VLOOKUP(C:C,[1]Inputs!$B$20:$H$25,7,FALSE)*F47,VLOOKUP(C:C,[1]Inputs!$B$20:$I$25,8,FALSE)*F47)</f>
        <v>129.07574702518124</v>
      </c>
      <c r="I47" s="229">
        <f>VLOOKUP(C:C,[1]Inputs!$C$54:$G$59,5,FALSE)*F47</f>
        <v>0</v>
      </c>
      <c r="J47" s="229"/>
      <c r="K47" s="229"/>
      <c r="L47" s="229"/>
      <c r="M47" s="229">
        <f t="shared" si="17"/>
        <v>129.07574702518124</v>
      </c>
      <c r="N47" s="229">
        <f>[1]Inputs!$M$43*M47</f>
        <v>60.139825440437235</v>
      </c>
      <c r="O47" s="229">
        <f>[1]Inputs!$M$48*M47</f>
        <v>20.700856605372646</v>
      </c>
      <c r="P47" s="209">
        <f>[1]Inputs!$H$13*SUM(M47:O47)</f>
        <v>13.312899931682258</v>
      </c>
      <c r="Q47" s="229">
        <f t="shared" si="18"/>
        <v>223.22932900267341</v>
      </c>
    </row>
    <row r="48" spans="2:18" x14ac:dyDescent="0.2">
      <c r="B48" s="237" t="s">
        <v>89</v>
      </c>
      <c r="C48" s="216" t="s">
        <v>58</v>
      </c>
      <c r="D48" s="238">
        <v>1</v>
      </c>
      <c r="E48" s="247">
        <v>1</v>
      </c>
      <c r="F48" s="249">
        <f t="shared" si="19"/>
        <v>1</v>
      </c>
      <c r="G48" s="230">
        <v>0</v>
      </c>
      <c r="H48" s="209">
        <f>IF(G48=0,VLOOKUP(C:C,[1]Inputs!$B$20:$H$25,7,FALSE)*F48,VLOOKUP(C:C,[1]Inputs!$B$20:$I$25,8,FALSE)*F48)</f>
        <v>103.26059762014499</v>
      </c>
      <c r="I48" s="229">
        <f>VLOOKUP(C:C,[1]Inputs!$C$54:$G$59,5,FALSE)*F48</f>
        <v>0</v>
      </c>
      <c r="J48" s="229"/>
      <c r="K48" s="229"/>
      <c r="L48" s="229"/>
      <c r="M48" s="229">
        <f t="shared" si="17"/>
        <v>103.26059762014499</v>
      </c>
      <c r="N48" s="229">
        <f>[1]Inputs!$M$43*M48</f>
        <v>48.111860352349787</v>
      </c>
      <c r="O48" s="229">
        <f>[1]Inputs!$M$48*M48</f>
        <v>16.560685284298117</v>
      </c>
      <c r="P48" s="209">
        <f>[1]Inputs!$H$13*SUM(M48:O48)</f>
        <v>10.650319945345807</v>
      </c>
      <c r="Q48" s="229">
        <f t="shared" si="18"/>
        <v>178.58346320213872</v>
      </c>
    </row>
    <row r="49" spans="2:17" x14ac:dyDescent="0.2">
      <c r="B49" s="215" t="s">
        <v>90</v>
      </c>
      <c r="C49" s="216" t="s">
        <v>58</v>
      </c>
      <c r="D49" s="239">
        <v>1.5</v>
      </c>
      <c r="E49" s="218">
        <v>1</v>
      </c>
      <c r="F49" s="229">
        <f t="shared" si="19"/>
        <v>1.5</v>
      </c>
      <c r="G49" s="230">
        <v>0</v>
      </c>
      <c r="H49" s="209">
        <f>IF(G49=0,VLOOKUP(C:C,[1]Inputs!$B$20:$H$25,7,FALSE)*F49,VLOOKUP(C:C,[1]Inputs!$B$20:$I$25,8,FALSE)*F49)</f>
        <v>154.89089643021748</v>
      </c>
      <c r="I49" s="229">
        <f>VLOOKUP(C:C,[1]Inputs!$C$54:$G$59,5,FALSE)*F49</f>
        <v>0</v>
      </c>
      <c r="J49" s="229"/>
      <c r="K49" s="229"/>
      <c r="L49" s="229"/>
      <c r="M49" s="229">
        <f t="shared" si="17"/>
        <v>154.89089643021748</v>
      </c>
      <c r="N49" s="229">
        <f>[1]Inputs!$M$43*M49</f>
        <v>72.167790528524677</v>
      </c>
      <c r="O49" s="229">
        <f>[1]Inputs!$M$48*M49</f>
        <v>24.841027926447172</v>
      </c>
      <c r="P49" s="209">
        <f>[1]Inputs!$H$13*SUM(M49:O49)</f>
        <v>15.975479918018708</v>
      </c>
      <c r="Q49" s="229">
        <f t="shared" si="18"/>
        <v>267.87519480320805</v>
      </c>
    </row>
    <row r="50" spans="2:17" x14ac:dyDescent="0.2">
      <c r="B50" s="215" t="s">
        <v>91</v>
      </c>
      <c r="C50" s="216" t="s">
        <v>58</v>
      </c>
      <c r="D50" s="239">
        <v>0.5</v>
      </c>
      <c r="E50" s="247">
        <v>1</v>
      </c>
      <c r="F50" s="229">
        <f t="shared" si="19"/>
        <v>0.5</v>
      </c>
      <c r="G50" s="230">
        <v>0</v>
      </c>
      <c r="H50" s="209">
        <f>IF(G50=0,VLOOKUP(C:C,[1]Inputs!$B$20:$H$25,7,FALSE)*F50,VLOOKUP(C:C,[1]Inputs!$B$20:$I$25,8,FALSE)*F50)</f>
        <v>51.630298810072496</v>
      </c>
      <c r="I50" s="229">
        <f>VLOOKUP(C:C,[1]Inputs!$C$54:$G$59,5,FALSE)*F50</f>
        <v>0</v>
      </c>
      <c r="J50" s="229"/>
      <c r="K50" s="229"/>
      <c r="L50" s="229"/>
      <c r="M50" s="229">
        <f t="shared" si="17"/>
        <v>51.630298810072496</v>
      </c>
      <c r="N50" s="229">
        <f>[1]Inputs!$M$43*M50</f>
        <v>24.055930176174893</v>
      </c>
      <c r="O50" s="229">
        <f>[1]Inputs!$M$48*M50</f>
        <v>8.2803426421490585</v>
      </c>
      <c r="P50" s="209">
        <f>[1]Inputs!$H$13*SUM(M50:O50)</f>
        <v>5.3251599726729033</v>
      </c>
      <c r="Q50" s="229">
        <f t="shared" si="18"/>
        <v>89.291731601069358</v>
      </c>
    </row>
    <row r="51" spans="2:17" x14ac:dyDescent="0.2">
      <c r="B51" s="215" t="s">
        <v>92</v>
      </c>
      <c r="C51" s="216" t="s">
        <v>58</v>
      </c>
      <c r="D51" s="239">
        <v>0.5</v>
      </c>
      <c r="E51" s="218">
        <v>1</v>
      </c>
      <c r="F51" s="229">
        <f t="shared" si="19"/>
        <v>0.5</v>
      </c>
      <c r="G51" s="230">
        <v>0</v>
      </c>
      <c r="H51" s="209">
        <f>IF(G51=0,VLOOKUP(C:C,[1]Inputs!$B$20:$H$25,7,FALSE)*F51,VLOOKUP(C:C,[1]Inputs!$B$20:$I$25,8,FALSE)*F51)</f>
        <v>51.630298810072496</v>
      </c>
      <c r="I51" s="229">
        <f>VLOOKUP(C:C,[1]Inputs!$C$54:$G$59,5,FALSE)*F51</f>
        <v>0</v>
      </c>
      <c r="J51" s="229"/>
      <c r="K51" s="229"/>
      <c r="L51" s="229"/>
      <c r="M51" s="229">
        <f t="shared" si="17"/>
        <v>51.630298810072496</v>
      </c>
      <c r="N51" s="229">
        <f>[1]Inputs!$M$43*M51</f>
        <v>24.055930176174893</v>
      </c>
      <c r="O51" s="229">
        <f>[1]Inputs!$M$48*M51</f>
        <v>8.2803426421490585</v>
      </c>
      <c r="P51" s="209">
        <f>[1]Inputs!$H$13*SUM(M51:O51)</f>
        <v>5.3251599726729033</v>
      </c>
      <c r="Q51" s="229">
        <f t="shared" si="18"/>
        <v>89.291731601069358</v>
      </c>
    </row>
    <row r="52" spans="2:17" x14ac:dyDescent="0.2">
      <c r="B52" s="215" t="s">
        <v>93</v>
      </c>
      <c r="C52" s="216" t="s">
        <v>58</v>
      </c>
      <c r="D52" s="228">
        <v>2</v>
      </c>
      <c r="E52" s="246">
        <v>1</v>
      </c>
      <c r="F52" s="229">
        <f t="shared" si="19"/>
        <v>2</v>
      </c>
      <c r="G52" s="230">
        <v>0</v>
      </c>
      <c r="H52" s="209">
        <f>IF(G52=0,VLOOKUP(C:C,[1]Inputs!$B$20:$H$25,7,FALSE)*F52,VLOOKUP(C:C,[1]Inputs!$B$20:$I$25,8,FALSE)*F52)</f>
        <v>206.52119524028998</v>
      </c>
      <c r="I52" s="229">
        <f>VLOOKUP(C:C,[1]Inputs!$C$54:$G$59,5,FALSE)*F52</f>
        <v>0</v>
      </c>
      <c r="J52" s="229"/>
      <c r="K52" s="229"/>
      <c r="L52" s="229"/>
      <c r="M52" s="229">
        <f t="shared" si="17"/>
        <v>206.52119524028998</v>
      </c>
      <c r="N52" s="229">
        <f>[1]Inputs!$M$43*M52</f>
        <v>96.223720704699574</v>
      </c>
      <c r="O52" s="229">
        <f>[1]Inputs!$M$48*M52</f>
        <v>33.121370568596234</v>
      </c>
      <c r="P52" s="209">
        <f>[1]Inputs!$H$13*SUM(M52:O52)</f>
        <v>21.300639890691613</v>
      </c>
      <c r="Q52" s="229">
        <f t="shared" si="18"/>
        <v>357.16692640427743</v>
      </c>
    </row>
    <row r="53" spans="2:17" x14ac:dyDescent="0.2">
      <c r="B53" s="248" t="s">
        <v>94</v>
      </c>
      <c r="C53" s="216" t="s">
        <v>58</v>
      </c>
      <c r="D53" s="228">
        <v>1.25</v>
      </c>
      <c r="E53" s="218">
        <v>1</v>
      </c>
      <c r="F53" s="229">
        <f t="shared" si="19"/>
        <v>1.25</v>
      </c>
      <c r="G53" s="230">
        <v>0</v>
      </c>
      <c r="H53" s="209">
        <f>IF(G53=0,VLOOKUP(C:C,[1]Inputs!$B$20:$H$25,7,FALSE)*F53,VLOOKUP(C:C,[1]Inputs!$B$20:$I$25,8,FALSE)*F53)</f>
        <v>129.07574702518124</v>
      </c>
      <c r="I53" s="229">
        <f>VLOOKUP(C:C,[1]Inputs!$C$54:$G$59,5,FALSE)*F53</f>
        <v>0</v>
      </c>
      <c r="J53" s="229"/>
      <c r="K53" s="229"/>
      <c r="L53" s="229"/>
      <c r="M53" s="229">
        <f t="shared" si="17"/>
        <v>129.07574702518124</v>
      </c>
      <c r="N53" s="229">
        <f>[1]Inputs!$M$43*M53</f>
        <v>60.139825440437235</v>
      </c>
      <c r="O53" s="229">
        <f>[1]Inputs!$M$48*M53</f>
        <v>20.700856605372646</v>
      </c>
      <c r="P53" s="209">
        <f>[1]Inputs!$H$13*SUM(M53:O53)</f>
        <v>13.312899931682258</v>
      </c>
      <c r="Q53" s="229">
        <f t="shared" si="18"/>
        <v>223.22932900267341</v>
      </c>
    </row>
    <row r="54" spans="2:17" x14ac:dyDescent="0.2">
      <c r="B54" s="315" t="s">
        <v>1</v>
      </c>
      <c r="C54" s="316"/>
      <c r="D54" s="316"/>
      <c r="E54" s="317"/>
      <c r="F54" s="241">
        <f>SUM(F45:F53)</f>
        <v>9</v>
      </c>
      <c r="G54" s="241"/>
      <c r="H54" s="241">
        <f t="shared" ref="H54:P54" si="20">SUM(H45:H53)</f>
        <v>929.345378581305</v>
      </c>
      <c r="I54" s="241">
        <f t="shared" si="20"/>
        <v>0</v>
      </c>
      <c r="J54" s="241">
        <f t="shared" si="20"/>
        <v>0</v>
      </c>
      <c r="K54" s="241"/>
      <c r="L54" s="241"/>
      <c r="M54" s="241">
        <f t="shared" si="20"/>
        <v>929.345378581305</v>
      </c>
      <c r="N54" s="241">
        <f t="shared" si="20"/>
        <v>433.00674317114806</v>
      </c>
      <c r="O54" s="241">
        <f t="shared" si="20"/>
        <v>149.04616755868307</v>
      </c>
      <c r="P54" s="241">
        <f t="shared" si="20"/>
        <v>95.852879508112252</v>
      </c>
      <c r="Q54" s="241">
        <f>SUM(Q45:Q53)</f>
        <v>1607.2511688192483</v>
      </c>
    </row>
  </sheetData>
  <mergeCells count="20">
    <mergeCell ref="H2:Q2"/>
    <mergeCell ref="Y2:AH2"/>
    <mergeCell ref="Y3:AH3"/>
    <mergeCell ref="H3:Q3"/>
    <mergeCell ref="BR8:BU8"/>
    <mergeCell ref="BA6:BO6"/>
    <mergeCell ref="BA8:BD8"/>
    <mergeCell ref="BR6:CF6"/>
    <mergeCell ref="BX2:CG2"/>
    <mergeCell ref="BX3:CG3"/>
    <mergeCell ref="AP2:AY2"/>
    <mergeCell ref="BG2:BP2"/>
    <mergeCell ref="AP3:AY3"/>
    <mergeCell ref="BG3:BP3"/>
    <mergeCell ref="B54:E54"/>
    <mergeCell ref="B28:E28"/>
    <mergeCell ref="B41:E41"/>
    <mergeCell ref="S6:AG6"/>
    <mergeCell ref="S8:V8"/>
    <mergeCell ref="B15:E15"/>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9B356-0599-4675-B38D-5BEAB93C000A}">
  <dimension ref="B1:O112"/>
  <sheetViews>
    <sheetView zoomScale="90" zoomScaleNormal="90" workbookViewId="0">
      <pane xSplit="1" ySplit="7" topLeftCell="B53" activePane="bottomRight" state="frozen"/>
      <selection pane="topRight" activeCell="B1" sqref="B1"/>
      <selection pane="bottomLeft" activeCell="A7" sqref="A7"/>
      <selection pane="bottomRight" activeCell="C94" sqref="C94:H94"/>
    </sheetView>
  </sheetViews>
  <sheetFormatPr defaultRowHeight="15" x14ac:dyDescent="0.25"/>
  <cols>
    <col min="1" max="1" width="4.42578125" style="262" customWidth="1"/>
    <col min="2" max="2" width="81" style="262" bestFit="1" customWidth="1"/>
    <col min="3" max="3" width="13.28515625" style="262" customWidth="1"/>
    <col min="4" max="8" width="12.7109375" style="262" bestFit="1" customWidth="1"/>
    <col min="9" max="9" width="9.140625" style="262"/>
    <col min="10" max="15" width="10" style="262" bestFit="1" customWidth="1"/>
    <col min="16" max="16384" width="9.140625" style="262"/>
  </cols>
  <sheetData>
    <row r="1" spans="2:15" x14ac:dyDescent="0.25">
      <c r="B1" s="262" t="s">
        <v>176</v>
      </c>
      <c r="D1" s="263">
        <f>[1]Inputs!H16</f>
        <v>1</v>
      </c>
      <c r="E1" s="263">
        <f>[1]Inputs!I16</f>
        <v>1</v>
      </c>
      <c r="F1" s="263">
        <f>[1]Inputs!J16</f>
        <v>1.0109999999999999</v>
      </c>
      <c r="G1" s="263">
        <f>[1]Inputs!K16</f>
        <v>1.0231319999999999</v>
      </c>
      <c r="H1" s="263">
        <f>[1]Inputs!L16</f>
        <v>1.0337725727999998</v>
      </c>
      <c r="K1" s="264">
        <f>D1</f>
        <v>1</v>
      </c>
      <c r="L1" s="264">
        <f t="shared" ref="L1:O5" si="0">E1</f>
        <v>1</v>
      </c>
      <c r="M1" s="264">
        <f t="shared" si="0"/>
        <v>1.0109999999999999</v>
      </c>
      <c r="N1" s="264">
        <f t="shared" si="0"/>
        <v>1.0231319999999999</v>
      </c>
      <c r="O1" s="264">
        <f t="shared" si="0"/>
        <v>1.0337725727999998</v>
      </c>
    </row>
    <row r="2" spans="2:15" x14ac:dyDescent="0.25">
      <c r="B2" s="262" t="s">
        <v>193</v>
      </c>
      <c r="D2" s="263">
        <f>[1]Inputs!H61</f>
        <v>0.04</v>
      </c>
      <c r="E2" s="263">
        <f>[1]Inputs!I61</f>
        <v>0.04</v>
      </c>
      <c r="F2" s="263">
        <f>[1]Inputs!J61</f>
        <v>0.04</v>
      </c>
      <c r="G2" s="263">
        <f>[1]Inputs!K61</f>
        <v>0.04</v>
      </c>
      <c r="H2" s="263">
        <f>[1]Inputs!L61</f>
        <v>0.04</v>
      </c>
      <c r="K2" s="264"/>
      <c r="L2" s="264"/>
      <c r="M2" s="264"/>
      <c r="N2" s="264"/>
      <c r="O2" s="264"/>
    </row>
    <row r="3" spans="2:15" x14ac:dyDescent="0.25">
      <c r="B3" s="262" t="s">
        <v>177</v>
      </c>
      <c r="D3" s="264">
        <f>[1]Inputs!$M$43</f>
        <v>0.46592661151676018</v>
      </c>
      <c r="E3" s="264">
        <f>[1]Inputs!$M$43</f>
        <v>0.46592661151676018</v>
      </c>
      <c r="F3" s="264">
        <f>[1]Inputs!$M$43</f>
        <v>0.46592661151676018</v>
      </c>
      <c r="G3" s="264">
        <f>[1]Inputs!$M$43</f>
        <v>0.46592661151676018</v>
      </c>
      <c r="H3" s="264">
        <f>[1]Inputs!$M$43</f>
        <v>0.46592661151676018</v>
      </c>
      <c r="K3" s="264">
        <f t="shared" ref="K3:K5" si="1">D3</f>
        <v>0.46592661151676018</v>
      </c>
      <c r="L3" s="264">
        <f t="shared" si="0"/>
        <v>0.46592661151676018</v>
      </c>
      <c r="M3" s="264">
        <f t="shared" si="0"/>
        <v>0.46592661151676018</v>
      </c>
      <c r="N3" s="264">
        <f t="shared" si="0"/>
        <v>0.46592661151676018</v>
      </c>
      <c r="O3" s="264">
        <f t="shared" si="0"/>
        <v>0.46592661151676018</v>
      </c>
    </row>
    <row r="4" spans="2:15" x14ac:dyDescent="0.25">
      <c r="B4" s="262" t="s">
        <v>178</v>
      </c>
      <c r="D4" s="264">
        <f>[1]Inputs!$M$48</f>
        <v>0.16037758511933414</v>
      </c>
      <c r="E4" s="264">
        <f>[1]Inputs!$M$48</f>
        <v>0.16037758511933414</v>
      </c>
      <c r="F4" s="264">
        <f>[1]Inputs!$M$48</f>
        <v>0.16037758511933414</v>
      </c>
      <c r="G4" s="264">
        <f>[1]Inputs!$M$48</f>
        <v>0.16037758511933414</v>
      </c>
      <c r="H4" s="264">
        <f>[1]Inputs!$M$48</f>
        <v>0.16037758511933414</v>
      </c>
      <c r="K4" s="264">
        <f t="shared" si="1"/>
        <v>0.16037758511933414</v>
      </c>
      <c r="L4" s="264">
        <f t="shared" si="0"/>
        <v>0.16037758511933414</v>
      </c>
      <c r="M4" s="264">
        <f t="shared" si="0"/>
        <v>0.16037758511933414</v>
      </c>
      <c r="N4" s="264">
        <f t="shared" si="0"/>
        <v>0.16037758511933414</v>
      </c>
      <c r="O4" s="264">
        <f t="shared" si="0"/>
        <v>0.16037758511933414</v>
      </c>
    </row>
    <row r="5" spans="2:15" x14ac:dyDescent="0.25">
      <c r="B5" s="262" t="s">
        <v>179</v>
      </c>
      <c r="D5" s="264">
        <f>[1]Inputs!$H$13</f>
        <v>6.3420000000000004E-2</v>
      </c>
      <c r="E5" s="264">
        <f>[1]Inputs!$H$13</f>
        <v>6.3420000000000004E-2</v>
      </c>
      <c r="F5" s="264">
        <f>[1]Inputs!$H$13</f>
        <v>6.3420000000000004E-2</v>
      </c>
      <c r="G5" s="264">
        <f>[1]Inputs!$H$13</f>
        <v>6.3420000000000004E-2</v>
      </c>
      <c r="H5" s="264">
        <f>[1]Inputs!$H$13</f>
        <v>6.3420000000000004E-2</v>
      </c>
      <c r="K5" s="264">
        <f t="shared" si="1"/>
        <v>6.3420000000000004E-2</v>
      </c>
      <c r="L5" s="264">
        <f t="shared" si="0"/>
        <v>6.3420000000000004E-2</v>
      </c>
      <c r="M5" s="264">
        <f t="shared" si="0"/>
        <v>6.3420000000000004E-2</v>
      </c>
      <c r="N5" s="264">
        <f t="shared" si="0"/>
        <v>6.3420000000000004E-2</v>
      </c>
      <c r="O5" s="264">
        <f t="shared" si="0"/>
        <v>6.3420000000000004E-2</v>
      </c>
    </row>
    <row r="6" spans="2:15" s="265" customFormat="1" ht="15.75" x14ac:dyDescent="0.25">
      <c r="D6" s="330" t="s">
        <v>186</v>
      </c>
      <c r="E6" s="330"/>
      <c r="F6" s="330"/>
      <c r="G6" s="330"/>
      <c r="H6" s="330"/>
      <c r="J6" s="331" t="s">
        <v>187</v>
      </c>
      <c r="K6" s="331"/>
      <c r="L6" s="331"/>
      <c r="M6" s="331"/>
      <c r="N6" s="331"/>
      <c r="O6" s="331"/>
    </row>
    <row r="7" spans="2:15" x14ac:dyDescent="0.25">
      <c r="B7" s="266" t="s">
        <v>184</v>
      </c>
      <c r="C7" s="267"/>
      <c r="D7" s="267" t="s">
        <v>171</v>
      </c>
      <c r="E7" s="267" t="s">
        <v>172</v>
      </c>
      <c r="F7" s="267" t="s">
        <v>173</v>
      </c>
      <c r="G7" s="267" t="s">
        <v>174</v>
      </c>
      <c r="H7" s="267" t="s">
        <v>175</v>
      </c>
    </row>
    <row r="8" spans="2:15" x14ac:dyDescent="0.25">
      <c r="B8" s="268" t="s">
        <v>164</v>
      </c>
      <c r="C8" s="269"/>
      <c r="D8" s="270">
        <f t="shared" ref="D8:H8" si="2">(D19*D$27)+(D31*D$39)+(D43*D$51)+(D55*D$63)+(D67*D$75)+(D79*D$87)+(D91*D$99)+(D103*D$111)</f>
        <v>593694.7408050712</v>
      </c>
      <c r="E8" s="270">
        <f t="shared" si="2"/>
        <v>593694.7408050712</v>
      </c>
      <c r="F8" s="270">
        <f t="shared" si="2"/>
        <v>600225.38295392692</v>
      </c>
      <c r="G8" s="270">
        <f t="shared" si="2"/>
        <v>614109.79651241715</v>
      </c>
      <c r="H8" s="270">
        <f t="shared" si="2"/>
        <v>634849.8643223258</v>
      </c>
    </row>
    <row r="9" spans="2:15" x14ac:dyDescent="0.25">
      <c r="B9" s="268" t="s">
        <v>160</v>
      </c>
      <c r="C9" s="269"/>
      <c r="D9" s="270">
        <f t="shared" ref="D9:H9" si="3">(D20*D$27)+(D32*D$39)+(D44*D$51)+(D56*D$63)+(D68*D$75)+(D80*D$87)+(D92*D$99)+(D104*D$111)</f>
        <v>0</v>
      </c>
      <c r="E9" s="270">
        <f t="shared" si="3"/>
        <v>0</v>
      </c>
      <c r="F9" s="270">
        <f t="shared" si="3"/>
        <v>0</v>
      </c>
      <c r="G9" s="270">
        <f t="shared" si="3"/>
        <v>0</v>
      </c>
      <c r="H9" s="270">
        <f t="shared" si="3"/>
        <v>0</v>
      </c>
    </row>
    <row r="10" spans="2:15" x14ac:dyDescent="0.25">
      <c r="B10" s="268" t="s">
        <v>165</v>
      </c>
      <c r="C10" s="269"/>
      <c r="D10" s="270">
        <f t="shared" ref="D10:H10" si="4">(D21*D$27)+(D33*D$39)+(D45*D$51)+(D57*D$63)+(D69*D$75)+(D81*D$87)+(D93*D$99)+(D105*D$111)</f>
        <v>0</v>
      </c>
      <c r="E10" s="270">
        <f t="shared" si="4"/>
        <v>0</v>
      </c>
      <c r="F10" s="270">
        <f t="shared" si="4"/>
        <v>0</v>
      </c>
      <c r="G10" s="270">
        <f t="shared" si="4"/>
        <v>0</v>
      </c>
      <c r="H10" s="270">
        <f t="shared" si="4"/>
        <v>0</v>
      </c>
    </row>
    <row r="11" spans="2:15" x14ac:dyDescent="0.25">
      <c r="B11" s="271" t="s">
        <v>190</v>
      </c>
      <c r="C11" s="271"/>
      <c r="D11" s="272">
        <f>(D22*D$27)+(D34*D$39)+(D46*D$51)+(D58*D$63)+(D70*D$75)+(D82*D$87)+(D94*D$99)+(D106*D$111)</f>
        <v>593694.7408050712</v>
      </c>
      <c r="E11" s="272">
        <f t="shared" ref="E11:H11" si="5">(E22*E$27)+(E34*E$39)+(E46*E$51)+(E58*E$63)+(E70*E$75)+(E82*E$87)+(E94*E$99)+(E106*E$111)</f>
        <v>593694.7408050712</v>
      </c>
      <c r="F11" s="272">
        <f t="shared" si="5"/>
        <v>600225.38295392692</v>
      </c>
      <c r="G11" s="272">
        <f t="shared" si="5"/>
        <v>614109.79651241715</v>
      </c>
      <c r="H11" s="272">
        <f t="shared" si="5"/>
        <v>634849.8643223258</v>
      </c>
    </row>
    <row r="12" spans="2:15" x14ac:dyDescent="0.25">
      <c r="B12" s="269" t="s">
        <v>163</v>
      </c>
      <c r="C12" s="269"/>
      <c r="D12" s="270">
        <f>(D23*D$27)+(D35*D$39)+(D47*D$51)+(D59*D$63)+(D71*D$75)+(D83*D$87)+(D95*D$99)+(D107*D$111)</f>
        <v>276618.17885862809</v>
      </c>
      <c r="E12" s="270">
        <f t="shared" ref="D12:H14" si="6">(E23*E$27)+(E35*E$39)+(E47*E$51)+(E59*E$63)+(E71*E$75)+(E83*E$87)+(E95*E$99)+(E107*E$111)</f>
        <v>276618.17885862809</v>
      </c>
      <c r="F12" s="270">
        <f t="shared" si="6"/>
        <v>279660.97882607288</v>
      </c>
      <c r="G12" s="270">
        <f t="shared" si="6"/>
        <v>286130.09658827767</v>
      </c>
      <c r="H12" s="270">
        <f t="shared" si="6"/>
        <v>295793.44610557624</v>
      </c>
    </row>
    <row r="13" spans="2:15" x14ac:dyDescent="0.25">
      <c r="B13" s="269" t="s">
        <v>161</v>
      </c>
      <c r="C13" s="269"/>
      <c r="D13" s="270">
        <f t="shared" si="6"/>
        <v>95215.328828366342</v>
      </c>
      <c r="E13" s="270">
        <f t="shared" si="6"/>
        <v>95215.328828366342</v>
      </c>
      <c r="F13" s="270">
        <f t="shared" si="6"/>
        <v>96262.697445478363</v>
      </c>
      <c r="G13" s="270">
        <f t="shared" si="6"/>
        <v>98489.44616278715</v>
      </c>
      <c r="H13" s="270">
        <f t="shared" si="6"/>
        <v>101815.68815335154</v>
      </c>
    </row>
    <row r="14" spans="2:15" x14ac:dyDescent="0.25">
      <c r="B14" s="269" t="s">
        <v>168</v>
      </c>
      <c r="C14" s="269"/>
      <c r="D14" s="270">
        <f t="shared" si="6"/>
        <v>61233.801519366811</v>
      </c>
      <c r="E14" s="270">
        <f t="shared" si="6"/>
        <v>61233.801519366811</v>
      </c>
      <c r="F14" s="270">
        <f t="shared" si="6"/>
        <v>61907.373336079821</v>
      </c>
      <c r="G14" s="270">
        <f t="shared" si="6"/>
        <v>63339.414696090025</v>
      </c>
      <c r="H14" s="270">
        <f t="shared" si="6"/>
        <v>65478.549690023094</v>
      </c>
    </row>
    <row r="15" spans="2:15" x14ac:dyDescent="0.25">
      <c r="B15" s="273" t="s">
        <v>183</v>
      </c>
      <c r="C15" s="269"/>
      <c r="D15" s="272">
        <f>SUM(D11:D14)</f>
        <v>1026762.0500114325</v>
      </c>
      <c r="E15" s="272">
        <f t="shared" ref="E15:H15" si="7">SUM(E11:E14)</f>
        <v>1026762.0500114325</v>
      </c>
      <c r="F15" s="272">
        <f t="shared" si="7"/>
        <v>1038056.432561558</v>
      </c>
      <c r="G15" s="272">
        <f t="shared" si="7"/>
        <v>1062068.7539595719</v>
      </c>
      <c r="H15" s="272">
        <f t="shared" si="7"/>
        <v>1097937.5482712768</v>
      </c>
    </row>
    <row r="16" spans="2:15" s="275" customFormat="1" x14ac:dyDescent="0.25">
      <c r="B16" s="274" t="s">
        <v>185</v>
      </c>
      <c r="C16" s="271"/>
      <c r="D16" s="272">
        <f>D28+D40+D52+D64+D76+D88+D100+D112-D15</f>
        <v>0</v>
      </c>
      <c r="E16" s="272">
        <f t="shared" ref="E16:H16" si="8">E28+E40+E52+E64+E76+E88+E100+E112-E15</f>
        <v>0</v>
      </c>
      <c r="F16" s="272">
        <f t="shared" si="8"/>
        <v>0</v>
      </c>
      <c r="G16" s="272">
        <f t="shared" si="8"/>
        <v>0</v>
      </c>
      <c r="H16" s="272">
        <f t="shared" si="8"/>
        <v>0</v>
      </c>
    </row>
    <row r="17" spans="2:15" s="275" customFormat="1" x14ac:dyDescent="0.25">
      <c r="C17" s="276"/>
    </row>
    <row r="18" spans="2:15" x14ac:dyDescent="0.25">
      <c r="B18" s="277" t="s">
        <v>121</v>
      </c>
      <c r="C18" s="278"/>
      <c r="D18" s="328" t="s">
        <v>182</v>
      </c>
      <c r="E18" s="329"/>
      <c r="F18" s="329"/>
      <c r="G18" s="329"/>
      <c r="H18" s="329"/>
      <c r="J18" s="278"/>
      <c r="K18" s="328" t="s">
        <v>182</v>
      </c>
      <c r="L18" s="329"/>
      <c r="M18" s="329"/>
      <c r="N18" s="329"/>
      <c r="O18" s="329"/>
    </row>
    <row r="19" spans="2:15" x14ac:dyDescent="0.25">
      <c r="B19" s="279" t="s">
        <v>164</v>
      </c>
      <c r="C19" s="280">
        <f>'Proposed price'!$H$15</f>
        <v>309.78179286043502</v>
      </c>
      <c r="D19" s="281">
        <f>C19*D$1</f>
        <v>309.78179286043502</v>
      </c>
      <c r="E19" s="281">
        <f>D19*E1</f>
        <v>309.78179286043502</v>
      </c>
      <c r="F19" s="281">
        <f>E19*F1</f>
        <v>313.18939258189977</v>
      </c>
      <c r="G19" s="281">
        <f>F19*G1</f>
        <v>320.43408961110424</v>
      </c>
      <c r="H19" s="281">
        <f>G19*H1</f>
        <v>331.25597323009691</v>
      </c>
      <c r="J19" s="280"/>
      <c r="K19" s="281">
        <f>J19*K$1</f>
        <v>0</v>
      </c>
      <c r="L19" s="281">
        <f>K19*L1</f>
        <v>0</v>
      </c>
      <c r="M19" s="281">
        <f>L19*M1</f>
        <v>0</v>
      </c>
      <c r="N19" s="281">
        <f>M19*N1</f>
        <v>0</v>
      </c>
      <c r="O19" s="281">
        <f>N19*O1</f>
        <v>0</v>
      </c>
    </row>
    <row r="20" spans="2:15" x14ac:dyDescent="0.25">
      <c r="B20" s="279" t="s">
        <v>160</v>
      </c>
      <c r="C20" s="280">
        <f>'Proposed price'!$I$15</f>
        <v>0</v>
      </c>
      <c r="D20" s="281">
        <f>C20</f>
        <v>0</v>
      </c>
      <c r="E20" s="281">
        <f t="shared" ref="E20:H20" si="9">D20</f>
        <v>0</v>
      </c>
      <c r="F20" s="281">
        <f t="shared" si="9"/>
        <v>0</v>
      </c>
      <c r="G20" s="281">
        <f t="shared" si="9"/>
        <v>0</v>
      </c>
      <c r="H20" s="281">
        <f t="shared" si="9"/>
        <v>0</v>
      </c>
      <c r="J20" s="280"/>
      <c r="K20" s="281">
        <f>J20</f>
        <v>0</v>
      </c>
      <c r="L20" s="281">
        <f t="shared" ref="L20:O20" si="10">K20</f>
        <v>0</v>
      </c>
      <c r="M20" s="281">
        <f t="shared" si="10"/>
        <v>0</v>
      </c>
      <c r="N20" s="281">
        <f t="shared" si="10"/>
        <v>0</v>
      </c>
      <c r="O20" s="281">
        <f t="shared" si="10"/>
        <v>0</v>
      </c>
    </row>
    <row r="21" spans="2:15" x14ac:dyDescent="0.25">
      <c r="B21" s="279" t="s">
        <v>165</v>
      </c>
      <c r="C21" s="280">
        <f>'Proposed price'!$J$15</f>
        <v>0</v>
      </c>
      <c r="D21" s="281">
        <f>C21</f>
        <v>0</v>
      </c>
      <c r="E21" s="281">
        <f t="shared" ref="E21:H21" si="11">D21</f>
        <v>0</v>
      </c>
      <c r="F21" s="281">
        <f t="shared" si="11"/>
        <v>0</v>
      </c>
      <c r="G21" s="281">
        <f t="shared" si="11"/>
        <v>0</v>
      </c>
      <c r="H21" s="281">
        <f t="shared" si="11"/>
        <v>0</v>
      </c>
      <c r="J21" s="280"/>
      <c r="K21" s="281">
        <f>J21</f>
        <v>0</v>
      </c>
      <c r="L21" s="281">
        <f t="shared" ref="L21:O21" si="12">K21</f>
        <v>0</v>
      </c>
      <c r="M21" s="281">
        <f t="shared" si="12"/>
        <v>0</v>
      </c>
      <c r="N21" s="281">
        <f t="shared" si="12"/>
        <v>0</v>
      </c>
      <c r="O21" s="281">
        <f t="shared" si="12"/>
        <v>0</v>
      </c>
    </row>
    <row r="22" spans="2:15" s="275" customFormat="1" x14ac:dyDescent="0.25">
      <c r="B22" s="282" t="s">
        <v>190</v>
      </c>
      <c r="C22" s="337">
        <f>'Proposed price'!$M$15</f>
        <v>309.78179286043502</v>
      </c>
      <c r="D22" s="338">
        <f>SUM(D19:D21)</f>
        <v>309.78179286043502</v>
      </c>
      <c r="E22" s="338">
        <f t="shared" ref="E22:H22" si="13">SUM(E19:E21)</f>
        <v>309.78179286043502</v>
      </c>
      <c r="F22" s="338">
        <f t="shared" si="13"/>
        <v>313.18939258189977</v>
      </c>
      <c r="G22" s="338">
        <f t="shared" si="13"/>
        <v>320.43408961110424</v>
      </c>
      <c r="H22" s="338">
        <f t="shared" si="13"/>
        <v>331.25597323009691</v>
      </c>
      <c r="J22" s="283"/>
      <c r="K22" s="269">
        <f>SUM(K19:K21)</f>
        <v>0</v>
      </c>
      <c r="L22" s="269">
        <f t="shared" ref="L22" si="14">SUM(L19:L21)</f>
        <v>0</v>
      </c>
      <c r="M22" s="269">
        <f t="shared" ref="M22" si="15">SUM(M19:M21)</f>
        <v>0</v>
      </c>
      <c r="N22" s="269">
        <f t="shared" ref="N22" si="16">SUM(N19:N21)</f>
        <v>0</v>
      </c>
      <c r="O22" s="269">
        <f t="shared" ref="O22" si="17">SUM(O19:O21)</f>
        <v>0</v>
      </c>
    </row>
    <row r="23" spans="2:15" x14ac:dyDescent="0.25">
      <c r="B23" s="279" t="s">
        <v>163</v>
      </c>
      <c r="C23" s="280">
        <f>'Proposed price'!$N$15</f>
        <v>144.33558105704935</v>
      </c>
      <c r="D23" s="281">
        <f>D22*D$3</f>
        <v>144.33558105704938</v>
      </c>
      <c r="E23" s="281">
        <f t="shared" ref="E23:H23" si="18">E22*E$3</f>
        <v>144.33558105704938</v>
      </c>
      <c r="F23" s="281">
        <f t="shared" si="18"/>
        <v>145.9232724486769</v>
      </c>
      <c r="G23" s="281">
        <f t="shared" si="18"/>
        <v>149.29876958695968</v>
      </c>
      <c r="H23" s="281">
        <f t="shared" si="18"/>
        <v>154.34097315178568</v>
      </c>
      <c r="J23" s="280"/>
      <c r="K23" s="281">
        <f>K22*K$3</f>
        <v>0</v>
      </c>
      <c r="L23" s="281">
        <f t="shared" ref="L23:O23" si="19">L22*L$3</f>
        <v>0</v>
      </c>
      <c r="M23" s="281">
        <f t="shared" si="19"/>
        <v>0</v>
      </c>
      <c r="N23" s="281">
        <f t="shared" si="19"/>
        <v>0</v>
      </c>
      <c r="O23" s="281">
        <f t="shared" si="19"/>
        <v>0</v>
      </c>
    </row>
    <row r="24" spans="2:15" x14ac:dyDescent="0.25">
      <c r="B24" s="279" t="s">
        <v>161</v>
      </c>
      <c r="C24" s="280">
        <f>'Proposed price'!$O$15</f>
        <v>49.682055852894351</v>
      </c>
      <c r="D24" s="281">
        <f>D22*D$4</f>
        <v>49.682055852894358</v>
      </c>
      <c r="E24" s="281">
        <f t="shared" ref="E24:H24" si="20">E22*E$4</f>
        <v>49.682055852894358</v>
      </c>
      <c r="F24" s="281">
        <f t="shared" si="20"/>
        <v>50.228558467276187</v>
      </c>
      <c r="G24" s="281">
        <f t="shared" si="20"/>
        <v>51.390445481741217</v>
      </c>
      <c r="H24" s="281">
        <f t="shared" si="20"/>
        <v>53.12603304299774</v>
      </c>
      <c r="J24" s="280"/>
      <c r="K24" s="281">
        <f>K22*K$4</f>
        <v>0</v>
      </c>
      <c r="L24" s="281">
        <f t="shared" ref="L24:O24" si="21">L22*L$4</f>
        <v>0</v>
      </c>
      <c r="M24" s="281">
        <f t="shared" si="21"/>
        <v>0</v>
      </c>
      <c r="N24" s="281">
        <f t="shared" si="21"/>
        <v>0</v>
      </c>
      <c r="O24" s="281">
        <f t="shared" si="21"/>
        <v>0</v>
      </c>
    </row>
    <row r="25" spans="2:15" x14ac:dyDescent="0.25">
      <c r="B25" s="279" t="s">
        <v>158</v>
      </c>
      <c r="C25" s="280">
        <f>'Proposed price'!$P$15</f>
        <v>31.950959836037423</v>
      </c>
      <c r="D25" s="281">
        <f>SUM(D22:D24)*D$5</f>
        <v>31.950959836037423</v>
      </c>
      <c r="E25" s="281">
        <f t="shared" ref="E25:H25" si="22">SUM(E22:E24)*E$5</f>
        <v>31.950959836037423</v>
      </c>
      <c r="F25" s="281">
        <f t="shared" si="22"/>
        <v>32.302420394233827</v>
      </c>
      <c r="G25" s="281">
        <f t="shared" si="22"/>
        <v>33.049639982793245</v>
      </c>
      <c r="H25" s="281">
        <f t="shared" si="22"/>
        <v>34.165811355125911</v>
      </c>
      <c r="J25" s="280"/>
      <c r="K25" s="281">
        <f>SUM(K22:K24)*K$5</f>
        <v>0</v>
      </c>
      <c r="L25" s="281">
        <f t="shared" ref="L25:O25" si="23">SUM(L22:L24)*L$5</f>
        <v>0</v>
      </c>
      <c r="M25" s="281">
        <f t="shared" si="23"/>
        <v>0</v>
      </c>
      <c r="N25" s="281">
        <f t="shared" si="23"/>
        <v>0</v>
      </c>
      <c r="O25" s="281">
        <f t="shared" si="23"/>
        <v>0</v>
      </c>
    </row>
    <row r="26" spans="2:15" s="275" customFormat="1" x14ac:dyDescent="0.25">
      <c r="B26" s="284" t="s">
        <v>170</v>
      </c>
      <c r="C26" s="285">
        <f>'Proposed price'!$Q$15</f>
        <v>535.75038960641621</v>
      </c>
      <c r="D26" s="286">
        <f>SUM(D22:D25)</f>
        <v>535.75038960641621</v>
      </c>
      <c r="E26" s="286">
        <f t="shared" ref="E26:H26" si="24">SUM(E22:E25)</f>
        <v>535.75038960641621</v>
      </c>
      <c r="F26" s="286">
        <f t="shared" si="24"/>
        <v>541.64364389208663</v>
      </c>
      <c r="G26" s="286">
        <f t="shared" si="24"/>
        <v>554.17294466259841</v>
      </c>
      <c r="H26" s="286">
        <f t="shared" si="24"/>
        <v>572.88879078000627</v>
      </c>
      <c r="J26" s="285"/>
      <c r="K26" s="286">
        <f>SUM(K22:K25)</f>
        <v>0</v>
      </c>
      <c r="L26" s="286">
        <f t="shared" ref="L26" si="25">SUM(L22:L25)</f>
        <v>0</v>
      </c>
      <c r="M26" s="286">
        <f t="shared" ref="M26" si="26">SUM(M22:M25)</f>
        <v>0</v>
      </c>
      <c r="N26" s="286">
        <f t="shared" ref="N26" si="27">SUM(N22:N25)</f>
        <v>0</v>
      </c>
      <c r="O26" s="286">
        <f t="shared" ref="O26" si="28">SUM(O22:O25)</f>
        <v>0</v>
      </c>
    </row>
    <row r="27" spans="2:15" x14ac:dyDescent="0.25">
      <c r="B27" s="287" t="s">
        <v>180</v>
      </c>
      <c r="C27" s="281"/>
      <c r="D27" s="288">
        <f>'Forecast Revenue - Costs'!D18</f>
        <v>180</v>
      </c>
      <c r="E27" s="288">
        <f>'Forecast Revenue - Costs'!E18</f>
        <v>180</v>
      </c>
      <c r="F27" s="288">
        <f>'Forecast Revenue - Costs'!F18</f>
        <v>180</v>
      </c>
      <c r="G27" s="288">
        <f>'Forecast Revenue - Costs'!G18</f>
        <v>180</v>
      </c>
      <c r="H27" s="288">
        <f>'Forecast Revenue - Costs'!H18</f>
        <v>180</v>
      </c>
      <c r="J27" s="281"/>
      <c r="K27" s="288"/>
      <c r="L27" s="288"/>
      <c r="M27" s="288"/>
      <c r="N27" s="288"/>
      <c r="O27" s="288"/>
    </row>
    <row r="28" spans="2:15" s="275" customFormat="1" x14ac:dyDescent="0.25">
      <c r="B28" s="273" t="s">
        <v>181</v>
      </c>
      <c r="C28" s="271"/>
      <c r="D28" s="272">
        <f>D26*D27</f>
        <v>96435.070129154919</v>
      </c>
      <c r="E28" s="272">
        <f t="shared" ref="E28:H28" si="29">E26*E27</f>
        <v>96435.070129154919</v>
      </c>
      <c r="F28" s="272">
        <f t="shared" si="29"/>
        <v>97495.855900575596</v>
      </c>
      <c r="G28" s="272">
        <f t="shared" si="29"/>
        <v>99751.130039267708</v>
      </c>
      <c r="H28" s="272">
        <f t="shared" si="29"/>
        <v>103119.98234040113</v>
      </c>
      <c r="J28" s="271"/>
      <c r="K28" s="272"/>
      <c r="L28" s="272"/>
      <c r="M28" s="272"/>
      <c r="N28" s="272"/>
      <c r="O28" s="272"/>
    </row>
    <row r="30" spans="2:15" x14ac:dyDescent="0.25">
      <c r="B30" s="277" t="s">
        <v>122</v>
      </c>
      <c r="C30" s="278"/>
      <c r="D30" s="328" t="s">
        <v>182</v>
      </c>
      <c r="E30" s="329"/>
      <c r="F30" s="329"/>
      <c r="G30" s="329"/>
      <c r="H30" s="329"/>
      <c r="J30" s="278"/>
      <c r="K30" s="328" t="s">
        <v>182</v>
      </c>
      <c r="L30" s="329"/>
      <c r="M30" s="329"/>
      <c r="N30" s="329"/>
      <c r="O30" s="329"/>
    </row>
    <row r="31" spans="2:15" x14ac:dyDescent="0.25">
      <c r="B31" s="279" t="s">
        <v>164</v>
      </c>
      <c r="C31" s="280">
        <f>'Proposed price'!$H$28</f>
        <v>413.04239048057997</v>
      </c>
      <c r="D31" s="281">
        <f>C31*D$1</f>
        <v>413.04239048057997</v>
      </c>
      <c r="E31" s="281">
        <f t="shared" ref="E31:H31" si="30">D31*E$1</f>
        <v>413.04239048057997</v>
      </c>
      <c r="F31" s="281">
        <f t="shared" si="30"/>
        <v>417.58585677586632</v>
      </c>
      <c r="G31" s="281">
        <f t="shared" si="30"/>
        <v>427.24545281480562</v>
      </c>
      <c r="H31" s="281">
        <f t="shared" si="30"/>
        <v>441.67463097346251</v>
      </c>
      <c r="J31" s="280"/>
      <c r="K31" s="281">
        <f>J31*K$1</f>
        <v>0</v>
      </c>
      <c r="L31" s="281">
        <f t="shared" ref="L31:O31" si="31">K31*L$1</f>
        <v>0</v>
      </c>
      <c r="M31" s="281">
        <f t="shared" si="31"/>
        <v>0</v>
      </c>
      <c r="N31" s="281">
        <f t="shared" si="31"/>
        <v>0</v>
      </c>
      <c r="O31" s="281">
        <f t="shared" si="31"/>
        <v>0</v>
      </c>
    </row>
    <row r="32" spans="2:15" x14ac:dyDescent="0.25">
      <c r="B32" s="279" t="s">
        <v>160</v>
      </c>
      <c r="C32" s="280">
        <f>'Proposed price'!$I$28</f>
        <v>0</v>
      </c>
      <c r="D32" s="280">
        <f>C32</f>
        <v>0</v>
      </c>
      <c r="E32" s="280">
        <f t="shared" ref="E32:H32" si="32">D32</f>
        <v>0</v>
      </c>
      <c r="F32" s="280">
        <f t="shared" si="32"/>
        <v>0</v>
      </c>
      <c r="G32" s="280">
        <f t="shared" si="32"/>
        <v>0</v>
      </c>
      <c r="H32" s="280">
        <f t="shared" si="32"/>
        <v>0</v>
      </c>
      <c r="J32" s="280"/>
      <c r="K32" s="281">
        <f>J32</f>
        <v>0</v>
      </c>
      <c r="L32" s="281">
        <f t="shared" ref="L32:O32" si="33">K32</f>
        <v>0</v>
      </c>
      <c r="M32" s="281">
        <f t="shared" si="33"/>
        <v>0</v>
      </c>
      <c r="N32" s="281">
        <f t="shared" si="33"/>
        <v>0</v>
      </c>
      <c r="O32" s="281">
        <f t="shared" si="33"/>
        <v>0</v>
      </c>
    </row>
    <row r="33" spans="2:15" x14ac:dyDescent="0.25">
      <c r="B33" s="279" t="s">
        <v>165</v>
      </c>
      <c r="C33" s="280">
        <f>'Proposed price'!$J$28</f>
        <v>0</v>
      </c>
      <c r="D33" s="281">
        <f>C33</f>
        <v>0</v>
      </c>
      <c r="E33" s="281">
        <f t="shared" ref="E33:H33" si="34">D33</f>
        <v>0</v>
      </c>
      <c r="F33" s="281">
        <f t="shared" si="34"/>
        <v>0</v>
      </c>
      <c r="G33" s="281">
        <f t="shared" si="34"/>
        <v>0</v>
      </c>
      <c r="H33" s="281">
        <f t="shared" si="34"/>
        <v>0</v>
      </c>
      <c r="J33" s="280"/>
      <c r="K33" s="281">
        <f>J33</f>
        <v>0</v>
      </c>
      <c r="L33" s="281">
        <f t="shared" ref="L33:O33" si="35">K33</f>
        <v>0</v>
      </c>
      <c r="M33" s="281">
        <f t="shared" si="35"/>
        <v>0</v>
      </c>
      <c r="N33" s="281">
        <f t="shared" si="35"/>
        <v>0</v>
      </c>
      <c r="O33" s="281">
        <f t="shared" si="35"/>
        <v>0</v>
      </c>
    </row>
    <row r="34" spans="2:15" x14ac:dyDescent="0.25">
      <c r="B34" s="282" t="s">
        <v>190</v>
      </c>
      <c r="C34" s="337">
        <f>'Proposed price'!$M$28</f>
        <v>413.04239048057997</v>
      </c>
      <c r="D34" s="338">
        <f>SUM(D31:D33)</f>
        <v>413.04239048057997</v>
      </c>
      <c r="E34" s="338">
        <f t="shared" ref="E34" si="36">SUM(E31:E33)</f>
        <v>413.04239048057997</v>
      </c>
      <c r="F34" s="338">
        <f t="shared" ref="F34" si="37">SUM(F31:F33)</f>
        <v>417.58585677586632</v>
      </c>
      <c r="G34" s="338">
        <f t="shared" ref="G34" si="38">SUM(G31:G33)</f>
        <v>427.24545281480562</v>
      </c>
      <c r="H34" s="338">
        <f t="shared" ref="H34" si="39">SUM(H31:H33)</f>
        <v>441.67463097346251</v>
      </c>
      <c r="J34" s="283"/>
      <c r="K34" s="269">
        <f>SUM(K31:K33)</f>
        <v>0</v>
      </c>
      <c r="L34" s="269">
        <f t="shared" ref="L34" si="40">SUM(L31:L33)</f>
        <v>0</v>
      </c>
      <c r="M34" s="269">
        <f t="shared" ref="M34" si="41">SUM(M31:M33)</f>
        <v>0</v>
      </c>
      <c r="N34" s="269">
        <f t="shared" ref="N34" si="42">SUM(N31:N33)</f>
        <v>0</v>
      </c>
      <c r="O34" s="269">
        <f t="shared" ref="O34" si="43">SUM(O31:O33)</f>
        <v>0</v>
      </c>
    </row>
    <row r="35" spans="2:15" x14ac:dyDescent="0.25">
      <c r="B35" s="279" t="s">
        <v>163</v>
      </c>
      <c r="C35" s="280">
        <f>'Proposed price'!$N$28</f>
        <v>192.44744140939912</v>
      </c>
      <c r="D35" s="281">
        <f>D34*D$3</f>
        <v>192.44744140939915</v>
      </c>
      <c r="E35" s="281">
        <f t="shared" ref="E35:H35" si="44">E34*E$3</f>
        <v>192.44744140939915</v>
      </c>
      <c r="F35" s="281">
        <f t="shared" si="44"/>
        <v>194.56436326490251</v>
      </c>
      <c r="G35" s="281">
        <f t="shared" si="44"/>
        <v>199.06502611594624</v>
      </c>
      <c r="H35" s="281">
        <f t="shared" si="44"/>
        <v>205.78796420238089</v>
      </c>
      <c r="J35" s="280"/>
      <c r="K35" s="281">
        <f>K34*K$3</f>
        <v>0</v>
      </c>
      <c r="L35" s="281">
        <f t="shared" ref="L35:O35" si="45">L34*L$3</f>
        <v>0</v>
      </c>
      <c r="M35" s="281">
        <f t="shared" si="45"/>
        <v>0</v>
      </c>
      <c r="N35" s="281">
        <f t="shared" si="45"/>
        <v>0</v>
      </c>
      <c r="O35" s="281">
        <f t="shared" si="45"/>
        <v>0</v>
      </c>
    </row>
    <row r="36" spans="2:15" x14ac:dyDescent="0.25">
      <c r="B36" s="279" t="s">
        <v>161</v>
      </c>
      <c r="C36" s="280">
        <f>'Proposed price'!$O$28</f>
        <v>66.242741137192468</v>
      </c>
      <c r="D36" s="281">
        <f>D34*D$4</f>
        <v>66.242741137192468</v>
      </c>
      <c r="E36" s="281">
        <f t="shared" ref="E36:H36" si="46">E34*E$4</f>
        <v>66.242741137192468</v>
      </c>
      <c r="F36" s="281">
        <f t="shared" si="46"/>
        <v>66.971411289701578</v>
      </c>
      <c r="G36" s="281">
        <f t="shared" si="46"/>
        <v>68.520593975654947</v>
      </c>
      <c r="H36" s="281">
        <f t="shared" si="46"/>
        <v>70.834710723996977</v>
      </c>
      <c r="J36" s="280"/>
      <c r="K36" s="281">
        <f>K34*K$4</f>
        <v>0</v>
      </c>
      <c r="L36" s="281">
        <f t="shared" ref="L36:O36" si="47">L34*L$4</f>
        <v>0</v>
      </c>
      <c r="M36" s="281">
        <f t="shared" si="47"/>
        <v>0</v>
      </c>
      <c r="N36" s="281">
        <f t="shared" si="47"/>
        <v>0</v>
      </c>
      <c r="O36" s="281">
        <f t="shared" si="47"/>
        <v>0</v>
      </c>
    </row>
    <row r="37" spans="2:15" x14ac:dyDescent="0.25">
      <c r="B37" s="279" t="s">
        <v>158</v>
      </c>
      <c r="C37" s="280">
        <f>'Proposed price'!$P$28</f>
        <v>42.601279781383226</v>
      </c>
      <c r="D37" s="281">
        <f>SUM(D34:D36)*D$5</f>
        <v>42.601279781383226</v>
      </c>
      <c r="E37" s="281">
        <f t="shared" ref="E37:H37" si="48">SUM(E34:E36)*E$5</f>
        <v>42.601279781383226</v>
      </c>
      <c r="F37" s="281">
        <f t="shared" si="48"/>
        <v>43.069893858978432</v>
      </c>
      <c r="G37" s="281">
        <f t="shared" si="48"/>
        <v>44.066186643724322</v>
      </c>
      <c r="H37" s="281">
        <f t="shared" si="48"/>
        <v>45.554415140167876</v>
      </c>
      <c r="J37" s="280"/>
      <c r="K37" s="281">
        <f>SUM(K34:K36)*K$5</f>
        <v>0</v>
      </c>
      <c r="L37" s="281">
        <f t="shared" ref="L37:O37" si="49">SUM(L34:L36)*L$5</f>
        <v>0</v>
      </c>
      <c r="M37" s="281">
        <f t="shared" si="49"/>
        <v>0</v>
      </c>
      <c r="N37" s="281">
        <f t="shared" si="49"/>
        <v>0</v>
      </c>
      <c r="O37" s="281">
        <f t="shared" si="49"/>
        <v>0</v>
      </c>
    </row>
    <row r="38" spans="2:15" s="275" customFormat="1" x14ac:dyDescent="0.25">
      <c r="B38" s="284" t="s">
        <v>170</v>
      </c>
      <c r="C38" s="285">
        <f>'Proposed price'!$Q$28</f>
        <v>714.33385280855487</v>
      </c>
      <c r="D38" s="286">
        <f>SUM(D34:D37)</f>
        <v>714.33385280855487</v>
      </c>
      <c r="E38" s="286">
        <f t="shared" ref="E38" si="50">SUM(E34:E37)</f>
        <v>714.33385280855487</v>
      </c>
      <c r="F38" s="286">
        <f t="shared" ref="F38" si="51">SUM(F34:F37)</f>
        <v>722.19152518944873</v>
      </c>
      <c r="G38" s="286">
        <f t="shared" ref="G38" si="52">SUM(G34:G37)</f>
        <v>738.89725955013114</v>
      </c>
      <c r="H38" s="286">
        <f t="shared" ref="H38" si="53">SUM(H34:H37)</f>
        <v>763.85172104000821</v>
      </c>
      <c r="J38" s="285"/>
      <c r="K38" s="286">
        <f>SUM(K34:K37)</f>
        <v>0</v>
      </c>
      <c r="L38" s="286">
        <f t="shared" ref="L38" si="54">SUM(L34:L37)</f>
        <v>0</v>
      </c>
      <c r="M38" s="286">
        <f t="shared" ref="M38" si="55">SUM(M34:M37)</f>
        <v>0</v>
      </c>
      <c r="N38" s="286">
        <f t="shared" ref="N38" si="56">SUM(N34:N37)</f>
        <v>0</v>
      </c>
      <c r="O38" s="286">
        <f t="shared" ref="O38" si="57">SUM(O34:O37)</f>
        <v>0</v>
      </c>
    </row>
    <row r="39" spans="2:15" x14ac:dyDescent="0.25">
      <c r="B39" s="287" t="s">
        <v>180</v>
      </c>
      <c r="C39" s="281"/>
      <c r="D39" s="288">
        <f>'Forecast Revenue - Costs'!D19</f>
        <v>54.87</v>
      </c>
      <c r="E39" s="288">
        <f>'Forecast Revenue - Costs'!E19</f>
        <v>54.87</v>
      </c>
      <c r="F39" s="288">
        <f>'Forecast Revenue - Costs'!F19</f>
        <v>54.87</v>
      </c>
      <c r="G39" s="288">
        <f>'Forecast Revenue - Costs'!G19</f>
        <v>54.87</v>
      </c>
      <c r="H39" s="288">
        <f>'Forecast Revenue - Costs'!H19</f>
        <v>54.87</v>
      </c>
      <c r="J39" s="281"/>
      <c r="K39" s="288"/>
      <c r="L39" s="288"/>
      <c r="M39" s="288"/>
      <c r="N39" s="288"/>
      <c r="O39" s="288"/>
    </row>
    <row r="40" spans="2:15" s="275" customFormat="1" x14ac:dyDescent="0.25">
      <c r="B40" s="273" t="s">
        <v>181</v>
      </c>
      <c r="C40" s="271"/>
      <c r="D40" s="272">
        <f>D38*D39</f>
        <v>39195.498503605406</v>
      </c>
      <c r="E40" s="272">
        <f t="shared" ref="E40" si="58">E38*E39</f>
        <v>39195.498503605406</v>
      </c>
      <c r="F40" s="272">
        <f t="shared" ref="F40" si="59">F38*F39</f>
        <v>39626.648987145047</v>
      </c>
      <c r="G40" s="272">
        <f t="shared" ref="G40" si="60">G38*G39</f>
        <v>40543.292631515695</v>
      </c>
      <c r="H40" s="272">
        <f t="shared" ref="H40" si="61">H38*H39</f>
        <v>41912.543933465247</v>
      </c>
      <c r="J40" s="271"/>
      <c r="K40" s="272"/>
      <c r="L40" s="272"/>
      <c r="M40" s="272"/>
      <c r="N40" s="272"/>
      <c r="O40" s="272"/>
    </row>
    <row r="42" spans="2:15" x14ac:dyDescent="0.25">
      <c r="B42" s="277" t="s">
        <v>123</v>
      </c>
      <c r="C42" s="278"/>
      <c r="D42" s="328" t="s">
        <v>182</v>
      </c>
      <c r="E42" s="329"/>
      <c r="F42" s="329"/>
      <c r="G42" s="329"/>
      <c r="H42" s="329"/>
      <c r="J42" s="278"/>
      <c r="K42" s="328" t="s">
        <v>182</v>
      </c>
      <c r="L42" s="329"/>
      <c r="M42" s="329"/>
      <c r="N42" s="329"/>
      <c r="O42" s="329"/>
    </row>
    <row r="43" spans="2:15" x14ac:dyDescent="0.25">
      <c r="B43" s="279" t="s">
        <v>164</v>
      </c>
      <c r="C43" s="280">
        <f>'Proposed price'!$H$41</f>
        <v>722.82418334101487</v>
      </c>
      <c r="D43" s="281">
        <f>C43*D$1</f>
        <v>722.82418334101487</v>
      </c>
      <c r="E43" s="281">
        <f t="shared" ref="E43:H43" si="62">D43*E$1</f>
        <v>722.82418334101487</v>
      </c>
      <c r="F43" s="281">
        <f t="shared" si="62"/>
        <v>730.77524935776592</v>
      </c>
      <c r="G43" s="281">
        <f t="shared" si="62"/>
        <v>747.67954242590974</v>
      </c>
      <c r="H43" s="281">
        <f t="shared" si="62"/>
        <v>772.93060420355937</v>
      </c>
      <c r="J43" s="280"/>
      <c r="K43" s="281">
        <f>J43*K$1</f>
        <v>0</v>
      </c>
      <c r="L43" s="281">
        <f t="shared" ref="L43:O43" si="63">K43*L$1</f>
        <v>0</v>
      </c>
      <c r="M43" s="281">
        <f t="shared" si="63"/>
        <v>0</v>
      </c>
      <c r="N43" s="281">
        <f t="shared" si="63"/>
        <v>0</v>
      </c>
      <c r="O43" s="281">
        <f t="shared" si="63"/>
        <v>0</v>
      </c>
    </row>
    <row r="44" spans="2:15" x14ac:dyDescent="0.25">
      <c r="B44" s="279" t="s">
        <v>160</v>
      </c>
      <c r="C44" s="280">
        <f>'Proposed price'!$I$41</f>
        <v>0</v>
      </c>
      <c r="D44" s="281">
        <f>C44</f>
        <v>0</v>
      </c>
      <c r="E44" s="281">
        <f t="shared" ref="E44:H44" si="64">D44</f>
        <v>0</v>
      </c>
      <c r="F44" s="281">
        <f t="shared" si="64"/>
        <v>0</v>
      </c>
      <c r="G44" s="281">
        <f t="shared" si="64"/>
        <v>0</v>
      </c>
      <c r="H44" s="281">
        <f t="shared" si="64"/>
        <v>0</v>
      </c>
      <c r="J44" s="280"/>
      <c r="K44" s="281">
        <f>J44</f>
        <v>0</v>
      </c>
      <c r="L44" s="281">
        <f t="shared" ref="L44:O44" si="65">K44</f>
        <v>0</v>
      </c>
      <c r="M44" s="281">
        <f t="shared" si="65"/>
        <v>0</v>
      </c>
      <c r="N44" s="281">
        <f t="shared" si="65"/>
        <v>0</v>
      </c>
      <c r="O44" s="281">
        <f t="shared" si="65"/>
        <v>0</v>
      </c>
    </row>
    <row r="45" spans="2:15" x14ac:dyDescent="0.25">
      <c r="B45" s="279" t="s">
        <v>165</v>
      </c>
      <c r="C45" s="280">
        <f>'Proposed price'!$J$41</f>
        <v>0</v>
      </c>
      <c r="D45" s="281">
        <f>C45</f>
        <v>0</v>
      </c>
      <c r="E45" s="281">
        <f t="shared" ref="E45:H45" si="66">D45</f>
        <v>0</v>
      </c>
      <c r="F45" s="281">
        <f t="shared" si="66"/>
        <v>0</v>
      </c>
      <c r="G45" s="281">
        <f t="shared" si="66"/>
        <v>0</v>
      </c>
      <c r="H45" s="281">
        <f t="shared" si="66"/>
        <v>0</v>
      </c>
      <c r="J45" s="280"/>
      <c r="K45" s="281">
        <f>J45</f>
        <v>0</v>
      </c>
      <c r="L45" s="281">
        <f t="shared" ref="L45:O45" si="67">K45</f>
        <v>0</v>
      </c>
      <c r="M45" s="281">
        <f t="shared" si="67"/>
        <v>0</v>
      </c>
      <c r="N45" s="281">
        <f t="shared" si="67"/>
        <v>0</v>
      </c>
      <c r="O45" s="281">
        <f t="shared" si="67"/>
        <v>0</v>
      </c>
    </row>
    <row r="46" spans="2:15" x14ac:dyDescent="0.25">
      <c r="B46" s="282" t="s">
        <v>190</v>
      </c>
      <c r="C46" s="337">
        <f>'Proposed price'!$M$41</f>
        <v>722.82418334101487</v>
      </c>
      <c r="D46" s="338">
        <f>SUM(D43:D45)</f>
        <v>722.82418334101487</v>
      </c>
      <c r="E46" s="338">
        <f t="shared" ref="E46" si="68">SUM(E43:E45)</f>
        <v>722.82418334101487</v>
      </c>
      <c r="F46" s="338">
        <f t="shared" ref="F46" si="69">SUM(F43:F45)</f>
        <v>730.77524935776592</v>
      </c>
      <c r="G46" s="338">
        <f t="shared" ref="G46" si="70">SUM(G43:G45)</f>
        <v>747.67954242590974</v>
      </c>
      <c r="H46" s="338">
        <f t="shared" ref="H46" si="71">SUM(H43:H45)</f>
        <v>772.93060420355937</v>
      </c>
      <c r="J46" s="283"/>
      <c r="K46" s="269">
        <f>SUM(K43:K45)</f>
        <v>0</v>
      </c>
      <c r="L46" s="269">
        <f t="shared" ref="L46" si="72">SUM(L43:L45)</f>
        <v>0</v>
      </c>
      <c r="M46" s="269">
        <f t="shared" ref="M46" si="73">SUM(M43:M45)</f>
        <v>0</v>
      </c>
      <c r="N46" s="269">
        <f t="shared" ref="N46" si="74">SUM(N43:N45)</f>
        <v>0</v>
      </c>
      <c r="O46" s="269">
        <f t="shared" ref="O46" si="75">SUM(O43:O45)</f>
        <v>0</v>
      </c>
    </row>
    <row r="47" spans="2:15" x14ac:dyDescent="0.25">
      <c r="B47" s="279" t="s">
        <v>163</v>
      </c>
      <c r="C47" s="280">
        <f>'Proposed price'!$N$41</f>
        <v>336.78302246644847</v>
      </c>
      <c r="D47" s="281">
        <f>D46*D$3</f>
        <v>336.78302246644847</v>
      </c>
      <c r="E47" s="281">
        <f t="shared" ref="E47:H47" si="76">E46*E$3</f>
        <v>336.78302246644847</v>
      </c>
      <c r="F47" s="281">
        <f t="shared" si="76"/>
        <v>340.48763571357932</v>
      </c>
      <c r="G47" s="281">
        <f t="shared" si="76"/>
        <v>348.36379570290586</v>
      </c>
      <c r="H47" s="281">
        <f t="shared" si="76"/>
        <v>360.12893735416651</v>
      </c>
      <c r="J47" s="280"/>
      <c r="K47" s="281">
        <f>K46*K$3</f>
        <v>0</v>
      </c>
      <c r="L47" s="281">
        <f t="shared" ref="L47:O47" si="77">L46*L$3</f>
        <v>0</v>
      </c>
      <c r="M47" s="281">
        <f t="shared" si="77"/>
        <v>0</v>
      </c>
      <c r="N47" s="281">
        <f t="shared" si="77"/>
        <v>0</v>
      </c>
      <c r="O47" s="281">
        <f t="shared" si="77"/>
        <v>0</v>
      </c>
    </row>
    <row r="48" spans="2:15" x14ac:dyDescent="0.25">
      <c r="B48" s="279" t="s">
        <v>161</v>
      </c>
      <c r="C48" s="280">
        <f>'Proposed price'!$O$41</f>
        <v>115.92479699008682</v>
      </c>
      <c r="D48" s="281">
        <f>D46*D$4</f>
        <v>115.9247969900868</v>
      </c>
      <c r="E48" s="281">
        <f t="shared" ref="E48:H48" si="78">E46*E$4</f>
        <v>115.9247969900868</v>
      </c>
      <c r="F48" s="281">
        <f t="shared" si="78"/>
        <v>117.19996975697774</v>
      </c>
      <c r="G48" s="281">
        <f t="shared" si="78"/>
        <v>119.91103945739614</v>
      </c>
      <c r="H48" s="281">
        <f t="shared" si="78"/>
        <v>123.96074376699471</v>
      </c>
      <c r="J48" s="280"/>
      <c r="K48" s="281">
        <f>K46*K$4</f>
        <v>0</v>
      </c>
      <c r="L48" s="281">
        <f t="shared" ref="L48:O48" si="79">L46*L$4</f>
        <v>0</v>
      </c>
      <c r="M48" s="281">
        <f t="shared" si="79"/>
        <v>0</v>
      </c>
      <c r="N48" s="281">
        <f t="shared" si="79"/>
        <v>0</v>
      </c>
      <c r="O48" s="281">
        <f t="shared" si="79"/>
        <v>0</v>
      </c>
    </row>
    <row r="49" spans="2:15" x14ac:dyDescent="0.25">
      <c r="B49" s="279" t="s">
        <v>158</v>
      </c>
      <c r="C49" s="280">
        <f>'Proposed price'!$P$41</f>
        <v>74.552239617420653</v>
      </c>
      <c r="D49" s="281">
        <f>SUM(D46:D48)*D$5</f>
        <v>74.552239617420639</v>
      </c>
      <c r="E49" s="281">
        <f t="shared" ref="E49:H49" si="80">SUM(E46:E48)*E$5</f>
        <v>74.552239617420639</v>
      </c>
      <c r="F49" s="281">
        <f t="shared" si="80"/>
        <v>75.372314253212238</v>
      </c>
      <c r="G49" s="281">
        <f t="shared" si="80"/>
        <v>77.115826626517546</v>
      </c>
      <c r="H49" s="281">
        <f t="shared" si="80"/>
        <v>79.720226495293787</v>
      </c>
      <c r="J49" s="280"/>
      <c r="K49" s="281">
        <f>SUM(K46:K48)*K$5</f>
        <v>0</v>
      </c>
      <c r="L49" s="281">
        <f t="shared" ref="L49:O49" si="81">SUM(L46:L48)*L$5</f>
        <v>0</v>
      </c>
      <c r="M49" s="281">
        <f t="shared" si="81"/>
        <v>0</v>
      </c>
      <c r="N49" s="281">
        <f t="shared" si="81"/>
        <v>0</v>
      </c>
      <c r="O49" s="281">
        <f t="shared" si="81"/>
        <v>0</v>
      </c>
    </row>
    <row r="50" spans="2:15" x14ac:dyDescent="0.25">
      <c r="B50" s="284" t="s">
        <v>170</v>
      </c>
      <c r="C50" s="285">
        <f>'Proposed price'!$Q$41</f>
        <v>1250.0842424149712</v>
      </c>
      <c r="D50" s="286">
        <f>SUM(D46:D49)</f>
        <v>1250.0842424149707</v>
      </c>
      <c r="E50" s="286">
        <f t="shared" ref="E50" si="82">SUM(E46:E49)</f>
        <v>1250.0842424149707</v>
      </c>
      <c r="F50" s="286">
        <f t="shared" ref="F50" si="83">SUM(F46:F49)</f>
        <v>1263.835169081535</v>
      </c>
      <c r="G50" s="286">
        <f t="shared" ref="G50" si="84">SUM(G46:G49)</f>
        <v>1293.0702042127291</v>
      </c>
      <c r="H50" s="286">
        <f t="shared" ref="H50" si="85">SUM(H46:H49)</f>
        <v>1336.7405118200145</v>
      </c>
      <c r="J50" s="285"/>
      <c r="K50" s="286">
        <f>SUM(K46:K49)</f>
        <v>0</v>
      </c>
      <c r="L50" s="286">
        <f t="shared" ref="L50" si="86">SUM(L46:L49)</f>
        <v>0</v>
      </c>
      <c r="M50" s="286">
        <f t="shared" ref="M50" si="87">SUM(M46:M49)</f>
        <v>0</v>
      </c>
      <c r="N50" s="286">
        <f t="shared" ref="N50" si="88">SUM(N46:N49)</f>
        <v>0</v>
      </c>
      <c r="O50" s="286">
        <f t="shared" ref="O50" si="89">SUM(O46:O49)</f>
        <v>0</v>
      </c>
    </row>
    <row r="51" spans="2:15" x14ac:dyDescent="0.25">
      <c r="B51" s="287" t="s">
        <v>180</v>
      </c>
      <c r="C51" s="281"/>
      <c r="D51" s="288">
        <f>'Forecast Revenue - Costs'!D20</f>
        <v>140</v>
      </c>
      <c r="E51" s="288">
        <f>'Forecast Revenue - Costs'!E20</f>
        <v>140</v>
      </c>
      <c r="F51" s="288">
        <f>'Forecast Revenue - Costs'!F20</f>
        <v>140</v>
      </c>
      <c r="G51" s="288">
        <f>'Forecast Revenue - Costs'!G20</f>
        <v>140</v>
      </c>
      <c r="H51" s="288">
        <f>'Forecast Revenue - Costs'!H20</f>
        <v>140</v>
      </c>
      <c r="J51" s="281"/>
      <c r="K51" s="288"/>
      <c r="L51" s="288"/>
      <c r="M51" s="288"/>
      <c r="N51" s="288"/>
      <c r="O51" s="288"/>
    </row>
    <row r="52" spans="2:15" x14ac:dyDescent="0.25">
      <c r="B52" s="273" t="s">
        <v>181</v>
      </c>
      <c r="C52" s="271"/>
      <c r="D52" s="272">
        <f>D50*D51</f>
        <v>175011.79393809591</v>
      </c>
      <c r="E52" s="272">
        <f t="shared" ref="E52" si="90">E50*E51</f>
        <v>175011.79393809591</v>
      </c>
      <c r="F52" s="272">
        <f t="shared" ref="F52" si="91">F50*F51</f>
        <v>176936.9236714149</v>
      </c>
      <c r="G52" s="272">
        <f t="shared" ref="G52" si="92">G50*G51</f>
        <v>181029.82858978206</v>
      </c>
      <c r="H52" s="272">
        <f t="shared" ref="H52" si="93">H50*H51</f>
        <v>187143.67165480202</v>
      </c>
      <c r="J52" s="271"/>
      <c r="K52" s="272"/>
      <c r="L52" s="272"/>
      <c r="M52" s="272"/>
      <c r="N52" s="272"/>
      <c r="O52" s="272"/>
    </row>
    <row r="54" spans="2:15" x14ac:dyDescent="0.25">
      <c r="B54" s="277" t="s">
        <v>124</v>
      </c>
      <c r="C54" s="278"/>
      <c r="D54" s="328" t="s">
        <v>182</v>
      </c>
      <c r="E54" s="329"/>
      <c r="F54" s="329"/>
      <c r="G54" s="329"/>
      <c r="H54" s="329"/>
      <c r="J54" s="278"/>
      <c r="K54" s="328" t="s">
        <v>182</v>
      </c>
      <c r="L54" s="329"/>
      <c r="M54" s="329"/>
      <c r="N54" s="329"/>
      <c r="O54" s="329"/>
    </row>
    <row r="55" spans="2:15" x14ac:dyDescent="0.25">
      <c r="B55" s="279" t="s">
        <v>164</v>
      </c>
      <c r="C55" s="280">
        <f>'Proposed price'!$H$54</f>
        <v>929.345378581305</v>
      </c>
      <c r="D55" s="281">
        <f>C55*D$1</f>
        <v>929.345378581305</v>
      </c>
      <c r="E55" s="281">
        <f t="shared" ref="E55:H55" si="94">D55*E$1</f>
        <v>929.345378581305</v>
      </c>
      <c r="F55" s="281">
        <f t="shared" si="94"/>
        <v>939.56817774569924</v>
      </c>
      <c r="G55" s="281">
        <f t="shared" si="94"/>
        <v>961.30226883331272</v>
      </c>
      <c r="H55" s="281">
        <f t="shared" si="94"/>
        <v>993.7679196902908</v>
      </c>
      <c r="J55" s="280"/>
      <c r="K55" s="281">
        <f>J55*K$1</f>
        <v>0</v>
      </c>
      <c r="L55" s="281">
        <f t="shared" ref="L55:O55" si="95">K55*L$1</f>
        <v>0</v>
      </c>
      <c r="M55" s="281">
        <f t="shared" si="95"/>
        <v>0</v>
      </c>
      <c r="N55" s="281">
        <f t="shared" si="95"/>
        <v>0</v>
      </c>
      <c r="O55" s="281">
        <f t="shared" si="95"/>
        <v>0</v>
      </c>
    </row>
    <row r="56" spans="2:15" x14ac:dyDescent="0.25">
      <c r="B56" s="279" t="s">
        <v>160</v>
      </c>
      <c r="C56" s="280">
        <f>'Proposed price'!$I$54</f>
        <v>0</v>
      </c>
      <c r="D56" s="281">
        <f>C56</f>
        <v>0</v>
      </c>
      <c r="E56" s="281">
        <f t="shared" ref="E56:H56" si="96">D56</f>
        <v>0</v>
      </c>
      <c r="F56" s="281">
        <f t="shared" si="96"/>
        <v>0</v>
      </c>
      <c r="G56" s="281">
        <f t="shared" si="96"/>
        <v>0</v>
      </c>
      <c r="H56" s="281">
        <f t="shared" si="96"/>
        <v>0</v>
      </c>
      <c r="J56" s="280"/>
      <c r="K56" s="281">
        <f>J56</f>
        <v>0</v>
      </c>
      <c r="L56" s="281">
        <f t="shared" ref="L56:O56" si="97">K56</f>
        <v>0</v>
      </c>
      <c r="M56" s="281">
        <f t="shared" si="97"/>
        <v>0</v>
      </c>
      <c r="N56" s="281">
        <f t="shared" si="97"/>
        <v>0</v>
      </c>
      <c r="O56" s="281">
        <f t="shared" si="97"/>
        <v>0</v>
      </c>
    </row>
    <row r="57" spans="2:15" x14ac:dyDescent="0.25">
      <c r="B57" s="279" t="s">
        <v>165</v>
      </c>
      <c r="C57" s="280">
        <f>'Proposed price'!$J$54</f>
        <v>0</v>
      </c>
      <c r="D57" s="281">
        <f>C57</f>
        <v>0</v>
      </c>
      <c r="E57" s="281">
        <f t="shared" ref="E57:H57" si="98">D57</f>
        <v>0</v>
      </c>
      <c r="F57" s="281">
        <f t="shared" si="98"/>
        <v>0</v>
      </c>
      <c r="G57" s="281">
        <f t="shared" si="98"/>
        <v>0</v>
      </c>
      <c r="H57" s="281">
        <f t="shared" si="98"/>
        <v>0</v>
      </c>
      <c r="J57" s="280"/>
      <c r="K57" s="281">
        <f>J57</f>
        <v>0</v>
      </c>
      <c r="L57" s="281">
        <f t="shared" ref="L57:O57" si="99">K57</f>
        <v>0</v>
      </c>
      <c r="M57" s="281">
        <f t="shared" si="99"/>
        <v>0</v>
      </c>
      <c r="N57" s="281">
        <f t="shared" si="99"/>
        <v>0</v>
      </c>
      <c r="O57" s="281">
        <f t="shared" si="99"/>
        <v>0</v>
      </c>
    </row>
    <row r="58" spans="2:15" x14ac:dyDescent="0.25">
      <c r="B58" s="282" t="s">
        <v>190</v>
      </c>
      <c r="C58" s="337">
        <f>'Proposed price'!$M$54</f>
        <v>929.345378581305</v>
      </c>
      <c r="D58" s="338">
        <f>SUM(D55:D57)</f>
        <v>929.345378581305</v>
      </c>
      <c r="E58" s="338">
        <f t="shared" ref="E58" si="100">SUM(E55:E57)</f>
        <v>929.345378581305</v>
      </c>
      <c r="F58" s="338">
        <f t="shared" ref="F58" si="101">SUM(F55:F57)</f>
        <v>939.56817774569924</v>
      </c>
      <c r="G58" s="338">
        <f t="shared" ref="G58" si="102">SUM(G55:G57)</f>
        <v>961.30226883331272</v>
      </c>
      <c r="H58" s="338">
        <f t="shared" ref="H58" si="103">SUM(H55:H57)</f>
        <v>993.7679196902908</v>
      </c>
      <c r="J58" s="283"/>
      <c r="K58" s="269">
        <f>SUM(K55:K57)</f>
        <v>0</v>
      </c>
      <c r="L58" s="269">
        <f t="shared" ref="L58" si="104">SUM(L55:L57)</f>
        <v>0</v>
      </c>
      <c r="M58" s="269">
        <f t="shared" ref="M58" si="105">SUM(M55:M57)</f>
        <v>0</v>
      </c>
      <c r="N58" s="269">
        <f t="shared" ref="N58" si="106">SUM(N55:N57)</f>
        <v>0</v>
      </c>
      <c r="O58" s="269">
        <f t="shared" ref="O58" si="107">SUM(O55:O57)</f>
        <v>0</v>
      </c>
    </row>
    <row r="59" spans="2:15" x14ac:dyDescent="0.25">
      <c r="B59" s="279" t="s">
        <v>163</v>
      </c>
      <c r="C59" s="280">
        <f>'Proposed price'!$N$54</f>
        <v>433.00674317114806</v>
      </c>
      <c r="D59" s="281">
        <f>D58*D$3</f>
        <v>433.00674317114812</v>
      </c>
      <c r="E59" s="281">
        <f t="shared" ref="E59:H59" si="108">E58*E$3</f>
        <v>433.00674317114812</v>
      </c>
      <c r="F59" s="281">
        <f t="shared" si="108"/>
        <v>437.76981734603066</v>
      </c>
      <c r="G59" s="281">
        <f t="shared" si="108"/>
        <v>447.89630876087904</v>
      </c>
      <c r="H59" s="281">
        <f t="shared" si="108"/>
        <v>463.02291945535706</v>
      </c>
      <c r="J59" s="280"/>
      <c r="K59" s="281">
        <f>K58*K$3</f>
        <v>0</v>
      </c>
      <c r="L59" s="281">
        <f t="shared" ref="L59:O59" si="109">L58*L$3</f>
        <v>0</v>
      </c>
      <c r="M59" s="281">
        <f t="shared" si="109"/>
        <v>0</v>
      </c>
      <c r="N59" s="281">
        <f t="shared" si="109"/>
        <v>0</v>
      </c>
      <c r="O59" s="281">
        <f t="shared" si="109"/>
        <v>0</v>
      </c>
    </row>
    <row r="60" spans="2:15" x14ac:dyDescent="0.25">
      <c r="B60" s="279" t="s">
        <v>161</v>
      </c>
      <c r="C60" s="280">
        <f>'Proposed price'!$O$54</f>
        <v>149.04616755868307</v>
      </c>
      <c r="D60" s="281">
        <f>D58*D$4</f>
        <v>149.04616755868307</v>
      </c>
      <c r="E60" s="281">
        <f t="shared" ref="E60:H60" si="110">E58*E$4</f>
        <v>149.04616755868307</v>
      </c>
      <c r="F60" s="281">
        <f t="shared" si="110"/>
        <v>150.68567540182855</v>
      </c>
      <c r="G60" s="281">
        <f t="shared" si="110"/>
        <v>154.17133644522363</v>
      </c>
      <c r="H60" s="281">
        <f t="shared" si="110"/>
        <v>159.37809912899323</v>
      </c>
      <c r="J60" s="280"/>
      <c r="K60" s="281">
        <f>K58*K$4</f>
        <v>0</v>
      </c>
      <c r="L60" s="281">
        <f t="shared" ref="L60:O60" si="111">L58*L$4</f>
        <v>0</v>
      </c>
      <c r="M60" s="281">
        <f t="shared" si="111"/>
        <v>0</v>
      </c>
      <c r="N60" s="281">
        <f t="shared" si="111"/>
        <v>0</v>
      </c>
      <c r="O60" s="281">
        <f t="shared" si="111"/>
        <v>0</v>
      </c>
    </row>
    <row r="61" spans="2:15" x14ac:dyDescent="0.25">
      <c r="B61" s="279" t="s">
        <v>158</v>
      </c>
      <c r="C61" s="280">
        <f>'Proposed price'!$P$54</f>
        <v>95.852879508112252</v>
      </c>
      <c r="D61" s="281">
        <f>SUM(D58:D60)*D$5</f>
        <v>95.852879508112252</v>
      </c>
      <c r="E61" s="281">
        <f t="shared" ref="E61:H61" si="112">SUM(E58:E60)*E$5</f>
        <v>95.852879508112252</v>
      </c>
      <c r="F61" s="281">
        <f t="shared" si="112"/>
        <v>96.90726118270149</v>
      </c>
      <c r="G61" s="281">
        <f t="shared" si="112"/>
        <v>99.148919948379728</v>
      </c>
      <c r="H61" s="281">
        <f t="shared" si="112"/>
        <v>102.49743406537775</v>
      </c>
      <c r="J61" s="280"/>
      <c r="K61" s="281">
        <f>SUM(K58:K60)*K$5</f>
        <v>0</v>
      </c>
      <c r="L61" s="281">
        <f t="shared" ref="L61:O61" si="113">SUM(L58:L60)*L$5</f>
        <v>0</v>
      </c>
      <c r="M61" s="281">
        <f t="shared" si="113"/>
        <v>0</v>
      </c>
      <c r="N61" s="281">
        <f t="shared" si="113"/>
        <v>0</v>
      </c>
      <c r="O61" s="281">
        <f t="shared" si="113"/>
        <v>0</v>
      </c>
    </row>
    <row r="62" spans="2:15" x14ac:dyDescent="0.25">
      <c r="B62" s="284" t="s">
        <v>170</v>
      </c>
      <c r="C62" s="285">
        <f>'Proposed price'!$Q$54</f>
        <v>1607.2511688192483</v>
      </c>
      <c r="D62" s="286">
        <f>SUM(D58:D61)</f>
        <v>1607.2511688192483</v>
      </c>
      <c r="E62" s="286">
        <f t="shared" ref="E62" si="114">SUM(E58:E61)</f>
        <v>1607.2511688192483</v>
      </c>
      <c r="F62" s="286">
        <f t="shared" ref="F62" si="115">SUM(F58:F61)</f>
        <v>1624.9309316762599</v>
      </c>
      <c r="G62" s="286">
        <f t="shared" ref="G62" si="116">SUM(G58:G61)</f>
        <v>1662.518833987795</v>
      </c>
      <c r="H62" s="286">
        <f t="shared" ref="H62" si="117">SUM(H58:H61)</f>
        <v>1718.6663723400188</v>
      </c>
      <c r="J62" s="285"/>
      <c r="K62" s="286">
        <f>SUM(K58:K61)</f>
        <v>0</v>
      </c>
      <c r="L62" s="286">
        <f t="shared" ref="L62" si="118">SUM(L58:L61)</f>
        <v>0</v>
      </c>
      <c r="M62" s="286">
        <f t="shared" ref="M62" si="119">SUM(M58:M61)</f>
        <v>0</v>
      </c>
      <c r="N62" s="286">
        <f t="shared" ref="N62" si="120">SUM(N58:N61)</f>
        <v>0</v>
      </c>
      <c r="O62" s="286">
        <f t="shared" ref="O62" si="121">SUM(O58:O61)</f>
        <v>0</v>
      </c>
    </row>
    <row r="63" spans="2:15" x14ac:dyDescent="0.25">
      <c r="B63" s="287" t="s">
        <v>180</v>
      </c>
      <c r="C63" s="281"/>
      <c r="D63" s="288">
        <f>'Forecast Revenue - Costs'!D21</f>
        <v>40</v>
      </c>
      <c r="E63" s="288">
        <f>'Forecast Revenue - Costs'!E21</f>
        <v>40</v>
      </c>
      <c r="F63" s="288">
        <f>'Forecast Revenue - Costs'!F21</f>
        <v>40</v>
      </c>
      <c r="G63" s="288">
        <f>'Forecast Revenue - Costs'!G21</f>
        <v>40</v>
      </c>
      <c r="H63" s="288">
        <f>'Forecast Revenue - Costs'!H21</f>
        <v>40</v>
      </c>
      <c r="J63" s="281"/>
      <c r="K63" s="288"/>
      <c r="L63" s="288"/>
      <c r="M63" s="288"/>
      <c r="N63" s="288"/>
      <c r="O63" s="288"/>
    </row>
    <row r="64" spans="2:15" x14ac:dyDescent="0.25">
      <c r="B64" s="273" t="s">
        <v>181</v>
      </c>
      <c r="C64" s="271"/>
      <c r="D64" s="272">
        <f>D62*D63</f>
        <v>64290.046752769929</v>
      </c>
      <c r="E64" s="272">
        <f t="shared" ref="E64" si="122">E62*E63</f>
        <v>64290.046752769929</v>
      </c>
      <c r="F64" s="272">
        <f t="shared" ref="F64" si="123">F62*F63</f>
        <v>64997.237267050397</v>
      </c>
      <c r="G64" s="272">
        <f t="shared" ref="G64" si="124">G62*G63</f>
        <v>66500.7533595118</v>
      </c>
      <c r="H64" s="272">
        <f t="shared" ref="H64" si="125">H62*H63</f>
        <v>68746.65489360076</v>
      </c>
      <c r="J64" s="271"/>
      <c r="K64" s="272"/>
      <c r="L64" s="272"/>
      <c r="M64" s="272"/>
      <c r="N64" s="272"/>
      <c r="O64" s="272"/>
    </row>
    <row r="66" spans="2:15" x14ac:dyDescent="0.25">
      <c r="B66" s="277" t="s">
        <v>153</v>
      </c>
      <c r="C66" s="278"/>
      <c r="D66" s="328" t="s">
        <v>182</v>
      </c>
      <c r="E66" s="329"/>
      <c r="F66" s="329"/>
      <c r="G66" s="329"/>
      <c r="H66" s="329"/>
      <c r="J66" s="278"/>
      <c r="K66" s="328" t="s">
        <v>182</v>
      </c>
      <c r="L66" s="329"/>
      <c r="M66" s="329"/>
      <c r="N66" s="329"/>
      <c r="O66" s="329"/>
    </row>
    <row r="67" spans="2:15" x14ac:dyDescent="0.25">
      <c r="B67" s="279" t="s">
        <v>164</v>
      </c>
      <c r="C67" s="280">
        <f>'Proposed price'!$Y$7</f>
        <v>103.26059762014499</v>
      </c>
      <c r="D67" s="281">
        <f>C67*D$1</f>
        <v>103.26059762014499</v>
      </c>
      <c r="E67" s="281">
        <f t="shared" ref="E67:H67" si="126">D67*E$1</f>
        <v>103.26059762014499</v>
      </c>
      <c r="F67" s="281">
        <f t="shared" si="126"/>
        <v>104.39646419396658</v>
      </c>
      <c r="G67" s="281">
        <f t="shared" si="126"/>
        <v>106.8113632037014</v>
      </c>
      <c r="H67" s="281">
        <f t="shared" si="126"/>
        <v>110.41865774336563</v>
      </c>
      <c r="J67" s="280"/>
      <c r="K67" s="281">
        <f>J67*K$1</f>
        <v>0</v>
      </c>
      <c r="L67" s="281">
        <f t="shared" ref="L67:O67" si="127">K67*L$1</f>
        <v>0</v>
      </c>
      <c r="M67" s="281">
        <f t="shared" si="127"/>
        <v>0</v>
      </c>
      <c r="N67" s="281">
        <f t="shared" si="127"/>
        <v>0</v>
      </c>
      <c r="O67" s="281">
        <f t="shared" si="127"/>
        <v>0</v>
      </c>
    </row>
    <row r="68" spans="2:15" x14ac:dyDescent="0.25">
      <c r="B68" s="279" t="s">
        <v>160</v>
      </c>
      <c r="C68" s="280">
        <f>'Proposed price'!$Z$7</f>
        <v>0</v>
      </c>
      <c r="D68" s="281">
        <f>C68</f>
        <v>0</v>
      </c>
      <c r="E68" s="281">
        <f t="shared" ref="E68:H68" si="128">D68</f>
        <v>0</v>
      </c>
      <c r="F68" s="281">
        <f t="shared" si="128"/>
        <v>0</v>
      </c>
      <c r="G68" s="281">
        <f t="shared" si="128"/>
        <v>0</v>
      </c>
      <c r="H68" s="281">
        <f t="shared" si="128"/>
        <v>0</v>
      </c>
      <c r="J68" s="280"/>
      <c r="K68" s="281">
        <f>J68</f>
        <v>0</v>
      </c>
      <c r="L68" s="281">
        <f t="shared" ref="L68:O68" si="129">K68</f>
        <v>0</v>
      </c>
      <c r="M68" s="281">
        <f t="shared" si="129"/>
        <v>0</v>
      </c>
      <c r="N68" s="281">
        <f t="shared" si="129"/>
        <v>0</v>
      </c>
      <c r="O68" s="281">
        <f t="shared" si="129"/>
        <v>0</v>
      </c>
    </row>
    <row r="69" spans="2:15" x14ac:dyDescent="0.25">
      <c r="B69" s="279" t="s">
        <v>165</v>
      </c>
      <c r="C69" s="280">
        <f>'Proposed price'!$AA$7</f>
        <v>0</v>
      </c>
      <c r="D69" s="281">
        <f>C69</f>
        <v>0</v>
      </c>
      <c r="E69" s="281">
        <f t="shared" ref="E69:H69" si="130">D69</f>
        <v>0</v>
      </c>
      <c r="F69" s="281">
        <f t="shared" si="130"/>
        <v>0</v>
      </c>
      <c r="G69" s="281">
        <f t="shared" si="130"/>
        <v>0</v>
      </c>
      <c r="H69" s="281">
        <f t="shared" si="130"/>
        <v>0</v>
      </c>
      <c r="J69" s="280"/>
      <c r="K69" s="281">
        <f>J69</f>
        <v>0</v>
      </c>
      <c r="L69" s="281">
        <f t="shared" ref="L69:O69" si="131">K69</f>
        <v>0</v>
      </c>
      <c r="M69" s="281">
        <f t="shared" si="131"/>
        <v>0</v>
      </c>
      <c r="N69" s="281">
        <f t="shared" si="131"/>
        <v>0</v>
      </c>
      <c r="O69" s="281">
        <f t="shared" si="131"/>
        <v>0</v>
      </c>
    </row>
    <row r="70" spans="2:15" x14ac:dyDescent="0.25">
      <c r="B70" s="282" t="s">
        <v>190</v>
      </c>
      <c r="C70" s="337">
        <f>'Proposed price'!$AD$7</f>
        <v>103.26059762014499</v>
      </c>
      <c r="D70" s="338">
        <f>SUM(D67:D69)</f>
        <v>103.26059762014499</v>
      </c>
      <c r="E70" s="338">
        <f t="shared" ref="E70" si="132">SUM(E67:E69)</f>
        <v>103.26059762014499</v>
      </c>
      <c r="F70" s="338">
        <f t="shared" ref="F70" si="133">SUM(F67:F69)</f>
        <v>104.39646419396658</v>
      </c>
      <c r="G70" s="338">
        <f t="shared" ref="G70" si="134">SUM(G67:G69)</f>
        <v>106.8113632037014</v>
      </c>
      <c r="H70" s="338">
        <f t="shared" ref="H70" si="135">SUM(H67:H69)</f>
        <v>110.41865774336563</v>
      </c>
      <c r="J70" s="283"/>
      <c r="K70" s="269">
        <f>SUM(K67:K69)</f>
        <v>0</v>
      </c>
      <c r="L70" s="269">
        <f t="shared" ref="L70" si="136">SUM(L67:L69)</f>
        <v>0</v>
      </c>
      <c r="M70" s="269">
        <f t="shared" ref="M70" si="137">SUM(M67:M69)</f>
        <v>0</v>
      </c>
      <c r="N70" s="269">
        <f t="shared" ref="N70" si="138">SUM(N67:N69)</f>
        <v>0</v>
      </c>
      <c r="O70" s="269">
        <f t="shared" ref="O70" si="139">SUM(O67:O69)</f>
        <v>0</v>
      </c>
    </row>
    <row r="71" spans="2:15" x14ac:dyDescent="0.25">
      <c r="B71" s="279" t="s">
        <v>163</v>
      </c>
      <c r="C71" s="280">
        <f>'Proposed price'!$AE$7</f>
        <v>48.111860352349787</v>
      </c>
      <c r="D71" s="281">
        <f>D70*D$3</f>
        <v>48.111860352349787</v>
      </c>
      <c r="E71" s="281">
        <f t="shared" ref="E71:H71" si="140">E70*E$3</f>
        <v>48.111860352349787</v>
      </c>
      <c r="F71" s="281">
        <f t="shared" si="140"/>
        <v>48.641090816225628</v>
      </c>
      <c r="G71" s="281">
        <f t="shared" si="140"/>
        <v>49.76625652898656</v>
      </c>
      <c r="H71" s="281">
        <f t="shared" si="140"/>
        <v>51.446991050595223</v>
      </c>
      <c r="J71" s="280"/>
      <c r="K71" s="281">
        <f>K70*K$3</f>
        <v>0</v>
      </c>
      <c r="L71" s="281">
        <f t="shared" ref="L71:O71" si="141">L70*L$3</f>
        <v>0</v>
      </c>
      <c r="M71" s="281">
        <f t="shared" si="141"/>
        <v>0</v>
      </c>
      <c r="N71" s="281">
        <f t="shared" si="141"/>
        <v>0</v>
      </c>
      <c r="O71" s="281">
        <f t="shared" si="141"/>
        <v>0</v>
      </c>
    </row>
    <row r="72" spans="2:15" x14ac:dyDescent="0.25">
      <c r="B72" s="279" t="s">
        <v>161</v>
      </c>
      <c r="C72" s="280">
        <f>'Proposed price'!$AF$7</f>
        <v>16.560685284298117</v>
      </c>
      <c r="D72" s="281">
        <f>D70*D$4</f>
        <v>16.560685284298117</v>
      </c>
      <c r="E72" s="281">
        <f t="shared" ref="E72:H72" si="142">E70*E$4</f>
        <v>16.560685284298117</v>
      </c>
      <c r="F72" s="281">
        <f t="shared" si="142"/>
        <v>16.742852822425395</v>
      </c>
      <c r="G72" s="281">
        <f t="shared" si="142"/>
        <v>17.130148493913737</v>
      </c>
      <c r="H72" s="281">
        <f t="shared" si="142"/>
        <v>17.708677680999244</v>
      </c>
      <c r="J72" s="280"/>
      <c r="K72" s="281">
        <f>K70*K$4</f>
        <v>0</v>
      </c>
      <c r="L72" s="281">
        <f t="shared" ref="L72:O72" si="143">L70*L$4</f>
        <v>0</v>
      </c>
      <c r="M72" s="281">
        <f t="shared" si="143"/>
        <v>0</v>
      </c>
      <c r="N72" s="281">
        <f t="shared" si="143"/>
        <v>0</v>
      </c>
      <c r="O72" s="281">
        <f t="shared" si="143"/>
        <v>0</v>
      </c>
    </row>
    <row r="73" spans="2:15" x14ac:dyDescent="0.25">
      <c r="B73" s="279" t="s">
        <v>158</v>
      </c>
      <c r="C73" s="280">
        <f>'Proposed price'!$AG$7</f>
        <v>10.650319945345807</v>
      </c>
      <c r="D73" s="281">
        <f>SUM(D70:D72)*D$5</f>
        <v>10.650319945345807</v>
      </c>
      <c r="E73" s="281">
        <f t="shared" ref="E73:H73" si="144">SUM(E70:E72)*E$5</f>
        <v>10.650319945345807</v>
      </c>
      <c r="F73" s="281">
        <f t="shared" si="144"/>
        <v>10.767473464744608</v>
      </c>
      <c r="G73" s="281">
        <f t="shared" si="144"/>
        <v>11.01654666093108</v>
      </c>
      <c r="H73" s="281">
        <f t="shared" si="144"/>
        <v>11.388603785041969</v>
      </c>
      <c r="J73" s="280"/>
      <c r="K73" s="281">
        <f>SUM(K70:K72)*K$5</f>
        <v>0</v>
      </c>
      <c r="L73" s="281">
        <f t="shared" ref="L73:O73" si="145">SUM(L70:L72)*L$5</f>
        <v>0</v>
      </c>
      <c r="M73" s="281">
        <f t="shared" si="145"/>
        <v>0</v>
      </c>
      <c r="N73" s="281">
        <f t="shared" si="145"/>
        <v>0</v>
      </c>
      <c r="O73" s="281">
        <f t="shared" si="145"/>
        <v>0</v>
      </c>
    </row>
    <row r="74" spans="2:15" x14ac:dyDescent="0.25">
      <c r="B74" s="284" t="s">
        <v>170</v>
      </c>
      <c r="C74" s="285">
        <f>'Proposed price'!$AH$7</f>
        <v>178.58346320213872</v>
      </c>
      <c r="D74" s="286">
        <f>SUM(D70:D73)</f>
        <v>178.58346320213872</v>
      </c>
      <c r="E74" s="286">
        <f t="shared" ref="E74" si="146">SUM(E70:E73)</f>
        <v>178.58346320213872</v>
      </c>
      <c r="F74" s="286">
        <f t="shared" ref="F74" si="147">SUM(F70:F73)</f>
        <v>180.54788129736218</v>
      </c>
      <c r="G74" s="286">
        <f t="shared" ref="G74" si="148">SUM(G70:G73)</f>
        <v>184.72431488753278</v>
      </c>
      <c r="H74" s="286">
        <f t="shared" ref="H74" si="149">SUM(H70:H73)</f>
        <v>190.96293026000205</v>
      </c>
      <c r="J74" s="285"/>
      <c r="K74" s="286">
        <f>SUM(K70:K73)</f>
        <v>0</v>
      </c>
      <c r="L74" s="286">
        <f t="shared" ref="L74" si="150">SUM(L70:L73)</f>
        <v>0</v>
      </c>
      <c r="M74" s="286">
        <f t="shared" ref="M74" si="151">SUM(M70:M73)</f>
        <v>0</v>
      </c>
      <c r="N74" s="286">
        <f t="shared" ref="N74" si="152">SUM(N70:N73)</f>
        <v>0</v>
      </c>
      <c r="O74" s="286">
        <f t="shared" ref="O74" si="153">SUM(O70:O73)</f>
        <v>0</v>
      </c>
    </row>
    <row r="75" spans="2:15" x14ac:dyDescent="0.25">
      <c r="B75" s="287" t="s">
        <v>180</v>
      </c>
      <c r="C75" s="281"/>
      <c r="D75" s="288">
        <f>'Forecast Revenue - Costs'!D22</f>
        <v>1000</v>
      </c>
      <c r="E75" s="288">
        <f>'Forecast Revenue - Costs'!E22</f>
        <v>1000</v>
      </c>
      <c r="F75" s="288">
        <f>'Forecast Revenue - Costs'!F22</f>
        <v>1000</v>
      </c>
      <c r="G75" s="288">
        <f>'Forecast Revenue - Costs'!G22</f>
        <v>1000</v>
      </c>
      <c r="H75" s="288">
        <f>'Forecast Revenue - Costs'!H22</f>
        <v>1000</v>
      </c>
      <c r="J75" s="281"/>
      <c r="K75" s="288"/>
      <c r="L75" s="288"/>
      <c r="M75" s="288"/>
      <c r="N75" s="288"/>
      <c r="O75" s="288"/>
    </row>
    <row r="76" spans="2:15" x14ac:dyDescent="0.25">
      <c r="B76" s="273" t="s">
        <v>181</v>
      </c>
      <c r="C76" s="271"/>
      <c r="D76" s="272">
        <f>D74*D75</f>
        <v>178583.46320213872</v>
      </c>
      <c r="E76" s="272">
        <f t="shared" ref="E76" si="154">E74*E75</f>
        <v>178583.46320213872</v>
      </c>
      <c r="F76" s="272">
        <f t="shared" ref="F76" si="155">F74*F75</f>
        <v>180547.88129736218</v>
      </c>
      <c r="G76" s="272">
        <f t="shared" ref="G76" si="156">G74*G75</f>
        <v>184724.31488753279</v>
      </c>
      <c r="H76" s="272">
        <f t="shared" ref="H76" si="157">H74*H75</f>
        <v>190962.93026000206</v>
      </c>
      <c r="J76" s="271"/>
      <c r="K76" s="272"/>
      <c r="L76" s="272"/>
      <c r="M76" s="272"/>
      <c r="N76" s="272"/>
      <c r="O76" s="272"/>
    </row>
    <row r="78" spans="2:15" x14ac:dyDescent="0.25">
      <c r="B78" s="277" t="s">
        <v>154</v>
      </c>
      <c r="C78" s="278"/>
      <c r="D78" s="328" t="s">
        <v>182</v>
      </c>
      <c r="E78" s="329"/>
      <c r="F78" s="329"/>
      <c r="G78" s="329"/>
      <c r="H78" s="329"/>
      <c r="J78" s="278"/>
      <c r="K78" s="328" t="s">
        <v>182</v>
      </c>
      <c r="L78" s="329"/>
      <c r="M78" s="329"/>
      <c r="N78" s="329"/>
      <c r="O78" s="329"/>
    </row>
    <row r="79" spans="2:15" x14ac:dyDescent="0.25">
      <c r="B79" s="279" t="s">
        <v>164</v>
      </c>
      <c r="C79" s="280">
        <f>'Proposed price'!$AP$7</f>
        <v>103.26059762014499</v>
      </c>
      <c r="D79" s="281">
        <f>C79*D$1</f>
        <v>103.26059762014499</v>
      </c>
      <c r="E79" s="281">
        <f t="shared" ref="E79:H79" si="158">D79*E$1</f>
        <v>103.26059762014499</v>
      </c>
      <c r="F79" s="281">
        <f t="shared" si="158"/>
        <v>104.39646419396658</v>
      </c>
      <c r="G79" s="281">
        <f t="shared" si="158"/>
        <v>106.8113632037014</v>
      </c>
      <c r="H79" s="281">
        <f t="shared" si="158"/>
        <v>110.41865774336563</v>
      </c>
      <c r="J79" s="280"/>
      <c r="K79" s="281">
        <f>J79*K$1</f>
        <v>0</v>
      </c>
      <c r="L79" s="281">
        <f t="shared" ref="L79:O79" si="159">K79*L$1</f>
        <v>0</v>
      </c>
      <c r="M79" s="281">
        <f t="shared" si="159"/>
        <v>0</v>
      </c>
      <c r="N79" s="281">
        <f t="shared" si="159"/>
        <v>0</v>
      </c>
      <c r="O79" s="281">
        <f t="shared" si="159"/>
        <v>0</v>
      </c>
    </row>
    <row r="80" spans="2:15" x14ac:dyDescent="0.25">
      <c r="B80" s="279" t="s">
        <v>160</v>
      </c>
      <c r="C80" s="280">
        <f>'Proposed price'!$AQ$7</f>
        <v>0</v>
      </c>
      <c r="D80" s="281">
        <f>C80</f>
        <v>0</v>
      </c>
      <c r="E80" s="281">
        <f t="shared" ref="E80:H80" si="160">D80</f>
        <v>0</v>
      </c>
      <c r="F80" s="281">
        <f t="shared" si="160"/>
        <v>0</v>
      </c>
      <c r="G80" s="281">
        <f t="shared" si="160"/>
        <v>0</v>
      </c>
      <c r="H80" s="281">
        <f t="shared" si="160"/>
        <v>0</v>
      </c>
      <c r="J80" s="280"/>
      <c r="K80" s="281">
        <f>J80</f>
        <v>0</v>
      </c>
      <c r="L80" s="281">
        <f t="shared" ref="L80:O80" si="161">K80</f>
        <v>0</v>
      </c>
      <c r="M80" s="281">
        <f t="shared" si="161"/>
        <v>0</v>
      </c>
      <c r="N80" s="281">
        <f t="shared" si="161"/>
        <v>0</v>
      </c>
      <c r="O80" s="281">
        <f t="shared" si="161"/>
        <v>0</v>
      </c>
    </row>
    <row r="81" spans="2:15" x14ac:dyDescent="0.25">
      <c r="B81" s="279" t="s">
        <v>165</v>
      </c>
      <c r="C81" s="280">
        <f>'Proposed price'!$AR$7</f>
        <v>0</v>
      </c>
      <c r="D81" s="281">
        <f>C81</f>
        <v>0</v>
      </c>
      <c r="E81" s="281">
        <f t="shared" ref="E81:H81" si="162">D81</f>
        <v>0</v>
      </c>
      <c r="F81" s="281">
        <f t="shared" si="162"/>
        <v>0</v>
      </c>
      <c r="G81" s="281">
        <f t="shared" si="162"/>
        <v>0</v>
      </c>
      <c r="H81" s="281">
        <f t="shared" si="162"/>
        <v>0</v>
      </c>
      <c r="J81" s="280"/>
      <c r="K81" s="281">
        <f>J81</f>
        <v>0</v>
      </c>
      <c r="L81" s="281">
        <f t="shared" ref="L81:O81" si="163">K81</f>
        <v>0</v>
      </c>
      <c r="M81" s="281">
        <f t="shared" si="163"/>
        <v>0</v>
      </c>
      <c r="N81" s="281">
        <f t="shared" si="163"/>
        <v>0</v>
      </c>
      <c r="O81" s="281">
        <f t="shared" si="163"/>
        <v>0</v>
      </c>
    </row>
    <row r="82" spans="2:15" x14ac:dyDescent="0.25">
      <c r="B82" s="282" t="s">
        <v>190</v>
      </c>
      <c r="C82" s="337">
        <f>'Proposed price'!$AU$7</f>
        <v>103.26059762014499</v>
      </c>
      <c r="D82" s="338">
        <f>SUM(D79:D81)</f>
        <v>103.26059762014499</v>
      </c>
      <c r="E82" s="338">
        <f t="shared" ref="E82" si="164">SUM(E79:E81)</f>
        <v>103.26059762014499</v>
      </c>
      <c r="F82" s="338">
        <f t="shared" ref="F82" si="165">SUM(F79:F81)</f>
        <v>104.39646419396658</v>
      </c>
      <c r="G82" s="338">
        <f t="shared" ref="G82" si="166">SUM(G79:G81)</f>
        <v>106.8113632037014</v>
      </c>
      <c r="H82" s="338">
        <f t="shared" ref="H82" si="167">SUM(H79:H81)</f>
        <v>110.41865774336563</v>
      </c>
      <c r="J82" s="283"/>
      <c r="K82" s="269">
        <f>SUM(K79:K81)</f>
        <v>0</v>
      </c>
      <c r="L82" s="269">
        <f t="shared" ref="L82" si="168">SUM(L79:L81)</f>
        <v>0</v>
      </c>
      <c r="M82" s="269">
        <f t="shared" ref="M82" si="169">SUM(M79:M81)</f>
        <v>0</v>
      </c>
      <c r="N82" s="269">
        <f t="shared" ref="N82" si="170">SUM(N79:N81)</f>
        <v>0</v>
      </c>
      <c r="O82" s="269">
        <f t="shared" ref="O82" si="171">SUM(O79:O81)</f>
        <v>0</v>
      </c>
    </row>
    <row r="83" spans="2:15" x14ac:dyDescent="0.25">
      <c r="B83" s="279" t="s">
        <v>163</v>
      </c>
      <c r="C83" s="280">
        <f>'Proposed price'!$AV$7</f>
        <v>48.111860352349787</v>
      </c>
      <c r="D83" s="281">
        <f>D82*D$3</f>
        <v>48.111860352349787</v>
      </c>
      <c r="E83" s="281">
        <f t="shared" ref="E83:H83" si="172">E82*E$3</f>
        <v>48.111860352349787</v>
      </c>
      <c r="F83" s="281">
        <f t="shared" si="172"/>
        <v>48.641090816225628</v>
      </c>
      <c r="G83" s="281">
        <f t="shared" si="172"/>
        <v>49.76625652898656</v>
      </c>
      <c r="H83" s="281">
        <f t="shared" si="172"/>
        <v>51.446991050595223</v>
      </c>
      <c r="J83" s="280"/>
      <c r="K83" s="281">
        <f>K82*K$3</f>
        <v>0</v>
      </c>
      <c r="L83" s="281">
        <f t="shared" ref="L83:O83" si="173">L82*L$3</f>
        <v>0</v>
      </c>
      <c r="M83" s="281">
        <f t="shared" si="173"/>
        <v>0</v>
      </c>
      <c r="N83" s="281">
        <f t="shared" si="173"/>
        <v>0</v>
      </c>
      <c r="O83" s="281">
        <f t="shared" si="173"/>
        <v>0</v>
      </c>
    </row>
    <row r="84" spans="2:15" x14ac:dyDescent="0.25">
      <c r="B84" s="279" t="s">
        <v>161</v>
      </c>
      <c r="C84" s="280">
        <f>'Proposed price'!$AW$7</f>
        <v>16.560685284298117</v>
      </c>
      <c r="D84" s="281">
        <f>D82*D$4</f>
        <v>16.560685284298117</v>
      </c>
      <c r="E84" s="281">
        <f t="shared" ref="E84:H84" si="174">E82*E$4</f>
        <v>16.560685284298117</v>
      </c>
      <c r="F84" s="281">
        <f t="shared" si="174"/>
        <v>16.742852822425395</v>
      </c>
      <c r="G84" s="281">
        <f t="shared" si="174"/>
        <v>17.130148493913737</v>
      </c>
      <c r="H84" s="281">
        <f t="shared" si="174"/>
        <v>17.708677680999244</v>
      </c>
      <c r="J84" s="280"/>
      <c r="K84" s="281">
        <f>K82*K$4</f>
        <v>0</v>
      </c>
      <c r="L84" s="281">
        <f t="shared" ref="L84:O84" si="175">L82*L$4</f>
        <v>0</v>
      </c>
      <c r="M84" s="281">
        <f t="shared" si="175"/>
        <v>0</v>
      </c>
      <c r="N84" s="281">
        <f t="shared" si="175"/>
        <v>0</v>
      </c>
      <c r="O84" s="281">
        <f t="shared" si="175"/>
        <v>0</v>
      </c>
    </row>
    <row r="85" spans="2:15" x14ac:dyDescent="0.25">
      <c r="B85" s="279" t="s">
        <v>158</v>
      </c>
      <c r="C85" s="280">
        <f>'Proposed price'!$AX$7</f>
        <v>10.650319945345807</v>
      </c>
      <c r="D85" s="281">
        <f>SUM(D82:D84)*D$5</f>
        <v>10.650319945345807</v>
      </c>
      <c r="E85" s="281">
        <f t="shared" ref="E85:H85" si="176">SUM(E82:E84)*E$5</f>
        <v>10.650319945345807</v>
      </c>
      <c r="F85" s="281">
        <f t="shared" si="176"/>
        <v>10.767473464744608</v>
      </c>
      <c r="G85" s="281">
        <f t="shared" si="176"/>
        <v>11.01654666093108</v>
      </c>
      <c r="H85" s="281">
        <f t="shared" si="176"/>
        <v>11.388603785041969</v>
      </c>
      <c r="J85" s="280"/>
      <c r="K85" s="281">
        <f>SUM(K82:K84)*K$5</f>
        <v>0</v>
      </c>
      <c r="L85" s="281">
        <f t="shared" ref="L85:O85" si="177">SUM(L82:L84)*L$5</f>
        <v>0</v>
      </c>
      <c r="M85" s="281">
        <f t="shared" si="177"/>
        <v>0</v>
      </c>
      <c r="N85" s="281">
        <f t="shared" si="177"/>
        <v>0</v>
      </c>
      <c r="O85" s="281">
        <f t="shared" si="177"/>
        <v>0</v>
      </c>
    </row>
    <row r="86" spans="2:15" x14ac:dyDescent="0.25">
      <c r="B86" s="284" t="s">
        <v>170</v>
      </c>
      <c r="C86" s="285">
        <f>'Proposed price'!$AY$7</f>
        <v>178.58346320213872</v>
      </c>
      <c r="D86" s="286">
        <f>SUM(D82:D85)</f>
        <v>178.58346320213872</v>
      </c>
      <c r="E86" s="286">
        <f t="shared" ref="E86" si="178">SUM(E82:E85)</f>
        <v>178.58346320213872</v>
      </c>
      <c r="F86" s="286">
        <f t="shared" ref="F86" si="179">SUM(F82:F85)</f>
        <v>180.54788129736218</v>
      </c>
      <c r="G86" s="286">
        <f t="shared" ref="G86" si="180">SUM(G82:G85)</f>
        <v>184.72431488753278</v>
      </c>
      <c r="H86" s="286">
        <f t="shared" ref="H86" si="181">SUM(H82:H85)</f>
        <v>190.96293026000205</v>
      </c>
      <c r="J86" s="285"/>
      <c r="K86" s="286">
        <f>SUM(K82:K85)</f>
        <v>0</v>
      </c>
      <c r="L86" s="286">
        <f t="shared" ref="L86" si="182">SUM(L82:L85)</f>
        <v>0</v>
      </c>
      <c r="M86" s="286">
        <f t="shared" ref="M86" si="183">SUM(M82:M85)</f>
        <v>0</v>
      </c>
      <c r="N86" s="286">
        <f t="shared" ref="N86" si="184">SUM(N82:N85)</f>
        <v>0</v>
      </c>
      <c r="O86" s="286">
        <f t="shared" ref="O86" si="185">SUM(O82:O85)</f>
        <v>0</v>
      </c>
    </row>
    <row r="87" spans="2:15" x14ac:dyDescent="0.25">
      <c r="B87" s="287" t="s">
        <v>180</v>
      </c>
      <c r="C87" s="281"/>
      <c r="D87" s="288">
        <f>'Forecast Revenue - Costs'!D23</f>
        <v>300</v>
      </c>
      <c r="E87" s="288">
        <f>'Forecast Revenue - Costs'!E23</f>
        <v>300</v>
      </c>
      <c r="F87" s="288">
        <f>'Forecast Revenue - Costs'!F23</f>
        <v>300</v>
      </c>
      <c r="G87" s="288">
        <f>'Forecast Revenue - Costs'!G23</f>
        <v>300</v>
      </c>
      <c r="H87" s="288">
        <f>'Forecast Revenue - Costs'!H23</f>
        <v>300</v>
      </c>
      <c r="J87" s="281"/>
      <c r="K87" s="288"/>
      <c r="L87" s="288"/>
      <c r="M87" s="288"/>
      <c r="N87" s="288"/>
      <c r="O87" s="288"/>
    </row>
    <row r="88" spans="2:15" x14ac:dyDescent="0.25">
      <c r="B88" s="273" t="s">
        <v>181</v>
      </c>
      <c r="C88" s="271"/>
      <c r="D88" s="272">
        <f>D86*D87</f>
        <v>53575.038960641614</v>
      </c>
      <c r="E88" s="272">
        <f t="shared" ref="E88" si="186">E86*E87</f>
        <v>53575.038960641614</v>
      </c>
      <c r="F88" s="272">
        <f t="shared" ref="F88" si="187">F86*F87</f>
        <v>54164.364389208655</v>
      </c>
      <c r="G88" s="272">
        <f t="shared" ref="G88" si="188">G86*G87</f>
        <v>55417.294466259838</v>
      </c>
      <c r="H88" s="272">
        <f t="shared" ref="H88" si="189">H86*H87</f>
        <v>57288.879078000617</v>
      </c>
      <c r="J88" s="271"/>
      <c r="K88" s="272"/>
      <c r="L88" s="272"/>
      <c r="M88" s="272"/>
      <c r="N88" s="272"/>
      <c r="O88" s="272"/>
    </row>
    <row r="90" spans="2:15" x14ac:dyDescent="0.25">
      <c r="B90" s="277" t="s">
        <v>155</v>
      </c>
      <c r="C90" s="278"/>
      <c r="D90" s="328" t="s">
        <v>182</v>
      </c>
      <c r="E90" s="329"/>
      <c r="F90" s="329"/>
      <c r="G90" s="329"/>
      <c r="H90" s="329"/>
      <c r="J90" s="278"/>
      <c r="K90" s="328" t="s">
        <v>182</v>
      </c>
      <c r="L90" s="329"/>
      <c r="M90" s="329"/>
      <c r="N90" s="329"/>
      <c r="O90" s="329"/>
    </row>
    <row r="91" spans="2:15" x14ac:dyDescent="0.25">
      <c r="B91" s="279" t="s">
        <v>164</v>
      </c>
      <c r="C91" s="280">
        <f>'Proposed price'!$BG$7</f>
        <v>103.26059762014499</v>
      </c>
      <c r="D91" s="281">
        <f>C91*D$1</f>
        <v>103.26059762014499</v>
      </c>
      <c r="E91" s="281">
        <f t="shared" ref="E91:H91" si="190">D91*E$1</f>
        <v>103.26059762014499</v>
      </c>
      <c r="F91" s="281">
        <f t="shared" si="190"/>
        <v>104.39646419396658</v>
      </c>
      <c r="G91" s="281">
        <f t="shared" si="190"/>
        <v>106.8113632037014</v>
      </c>
      <c r="H91" s="281">
        <f t="shared" si="190"/>
        <v>110.41865774336563</v>
      </c>
      <c r="J91" s="280"/>
      <c r="K91" s="281">
        <f>J91*K$1</f>
        <v>0</v>
      </c>
      <c r="L91" s="281">
        <f t="shared" ref="L91:O91" si="191">K91*L$1</f>
        <v>0</v>
      </c>
      <c r="M91" s="281">
        <f t="shared" si="191"/>
        <v>0</v>
      </c>
      <c r="N91" s="281">
        <f t="shared" si="191"/>
        <v>0</v>
      </c>
      <c r="O91" s="281">
        <f t="shared" si="191"/>
        <v>0</v>
      </c>
    </row>
    <row r="92" spans="2:15" x14ac:dyDescent="0.25">
      <c r="B92" s="279" t="s">
        <v>160</v>
      </c>
      <c r="C92" s="280">
        <f>'Proposed price'!$BH$7</f>
        <v>0</v>
      </c>
      <c r="D92" s="281">
        <f>C92</f>
        <v>0</v>
      </c>
      <c r="E92" s="281">
        <f t="shared" ref="E92:H92" si="192">D92</f>
        <v>0</v>
      </c>
      <c r="F92" s="281">
        <f t="shared" si="192"/>
        <v>0</v>
      </c>
      <c r="G92" s="281">
        <f t="shared" si="192"/>
        <v>0</v>
      </c>
      <c r="H92" s="281">
        <f t="shared" si="192"/>
        <v>0</v>
      </c>
      <c r="J92" s="280"/>
      <c r="K92" s="281">
        <f>J92</f>
        <v>0</v>
      </c>
      <c r="L92" s="281">
        <f t="shared" ref="L92:O92" si="193">K92</f>
        <v>0</v>
      </c>
      <c r="M92" s="281">
        <f t="shared" si="193"/>
        <v>0</v>
      </c>
      <c r="N92" s="281">
        <f t="shared" si="193"/>
        <v>0</v>
      </c>
      <c r="O92" s="281">
        <f t="shared" si="193"/>
        <v>0</v>
      </c>
    </row>
    <row r="93" spans="2:15" x14ac:dyDescent="0.25">
      <c r="B93" s="279" t="s">
        <v>165</v>
      </c>
      <c r="C93" s="280">
        <f>'Proposed price'!$BI$7</f>
        <v>0</v>
      </c>
      <c r="D93" s="281">
        <f>C93</f>
        <v>0</v>
      </c>
      <c r="E93" s="281">
        <f t="shared" ref="E93:H93" si="194">D93</f>
        <v>0</v>
      </c>
      <c r="F93" s="281">
        <f t="shared" si="194"/>
        <v>0</v>
      </c>
      <c r="G93" s="281">
        <f t="shared" si="194"/>
        <v>0</v>
      </c>
      <c r="H93" s="281">
        <f t="shared" si="194"/>
        <v>0</v>
      </c>
      <c r="J93" s="280"/>
      <c r="K93" s="281">
        <f>J93</f>
        <v>0</v>
      </c>
      <c r="L93" s="281">
        <f t="shared" ref="L93:O93" si="195">K93</f>
        <v>0</v>
      </c>
      <c r="M93" s="281">
        <f t="shared" si="195"/>
        <v>0</v>
      </c>
      <c r="N93" s="281">
        <f t="shared" si="195"/>
        <v>0</v>
      </c>
      <c r="O93" s="281">
        <f t="shared" si="195"/>
        <v>0</v>
      </c>
    </row>
    <row r="94" spans="2:15" x14ac:dyDescent="0.25">
      <c r="B94" s="282" t="s">
        <v>190</v>
      </c>
      <c r="C94" s="337">
        <f>'Proposed price'!$A$7</f>
        <v>0</v>
      </c>
      <c r="D94" s="338">
        <f>SUM(D91:D93)</f>
        <v>103.26059762014499</v>
      </c>
      <c r="E94" s="338">
        <f t="shared" ref="E94" si="196">SUM(E91:E93)</f>
        <v>103.26059762014499</v>
      </c>
      <c r="F94" s="338">
        <f t="shared" ref="F94" si="197">SUM(F91:F93)</f>
        <v>104.39646419396658</v>
      </c>
      <c r="G94" s="338">
        <f t="shared" ref="G94" si="198">SUM(G91:G93)</f>
        <v>106.8113632037014</v>
      </c>
      <c r="H94" s="338">
        <f t="shared" ref="H94" si="199">SUM(H91:H93)</f>
        <v>110.41865774336563</v>
      </c>
      <c r="J94" s="283"/>
      <c r="K94" s="269">
        <f>SUM(K91:K93)</f>
        <v>0</v>
      </c>
      <c r="L94" s="269">
        <f t="shared" ref="L94" si="200">SUM(L91:L93)</f>
        <v>0</v>
      </c>
      <c r="M94" s="269">
        <f t="shared" ref="M94" si="201">SUM(M91:M93)</f>
        <v>0</v>
      </c>
      <c r="N94" s="269">
        <f t="shared" ref="N94" si="202">SUM(N91:N93)</f>
        <v>0</v>
      </c>
      <c r="O94" s="269">
        <f t="shared" ref="O94" si="203">SUM(O91:O93)</f>
        <v>0</v>
      </c>
    </row>
    <row r="95" spans="2:15" x14ac:dyDescent="0.25">
      <c r="B95" s="279" t="s">
        <v>163</v>
      </c>
      <c r="C95" s="280">
        <f>'Proposed price'!$BM$7</f>
        <v>48.111860352349787</v>
      </c>
      <c r="D95" s="281">
        <f>D94*D$3</f>
        <v>48.111860352349787</v>
      </c>
      <c r="E95" s="281">
        <f t="shared" ref="E95:H95" si="204">E94*E$3</f>
        <v>48.111860352349787</v>
      </c>
      <c r="F95" s="281">
        <f t="shared" si="204"/>
        <v>48.641090816225628</v>
      </c>
      <c r="G95" s="281">
        <f t="shared" si="204"/>
        <v>49.76625652898656</v>
      </c>
      <c r="H95" s="281">
        <f t="shared" si="204"/>
        <v>51.446991050595223</v>
      </c>
      <c r="J95" s="280"/>
      <c r="K95" s="281">
        <f>K94*K$3</f>
        <v>0</v>
      </c>
      <c r="L95" s="281">
        <f t="shared" ref="L95:O95" si="205">L94*L$3</f>
        <v>0</v>
      </c>
      <c r="M95" s="281">
        <f t="shared" si="205"/>
        <v>0</v>
      </c>
      <c r="N95" s="281">
        <f t="shared" si="205"/>
        <v>0</v>
      </c>
      <c r="O95" s="281">
        <f t="shared" si="205"/>
        <v>0</v>
      </c>
    </row>
    <row r="96" spans="2:15" x14ac:dyDescent="0.25">
      <c r="B96" s="279" t="s">
        <v>161</v>
      </c>
      <c r="C96" s="280">
        <f>'Proposed price'!$BN$7</f>
        <v>16.560685284298117</v>
      </c>
      <c r="D96" s="281">
        <f>D94*D$4</f>
        <v>16.560685284298117</v>
      </c>
      <c r="E96" s="281">
        <f t="shared" ref="E96:H96" si="206">E94*E$4</f>
        <v>16.560685284298117</v>
      </c>
      <c r="F96" s="281">
        <f t="shared" si="206"/>
        <v>16.742852822425395</v>
      </c>
      <c r="G96" s="281">
        <f t="shared" si="206"/>
        <v>17.130148493913737</v>
      </c>
      <c r="H96" s="281">
        <f t="shared" si="206"/>
        <v>17.708677680999244</v>
      </c>
      <c r="J96" s="280"/>
      <c r="K96" s="281">
        <f>K94*K$4</f>
        <v>0</v>
      </c>
      <c r="L96" s="281">
        <f t="shared" ref="L96:O96" si="207">L94*L$4</f>
        <v>0</v>
      </c>
      <c r="M96" s="281">
        <f t="shared" si="207"/>
        <v>0</v>
      </c>
      <c r="N96" s="281">
        <f t="shared" si="207"/>
        <v>0</v>
      </c>
      <c r="O96" s="281">
        <f t="shared" si="207"/>
        <v>0</v>
      </c>
    </row>
    <row r="97" spans="2:15" x14ac:dyDescent="0.25">
      <c r="B97" s="279" t="s">
        <v>158</v>
      </c>
      <c r="C97" s="280">
        <f>'Proposed price'!$BO$7</f>
        <v>10.650319945345807</v>
      </c>
      <c r="D97" s="281">
        <f>SUM(D94:D96)*D$5</f>
        <v>10.650319945345807</v>
      </c>
      <c r="E97" s="281">
        <f>SUM(E94:E96)*E$5</f>
        <v>10.650319945345807</v>
      </c>
      <c r="F97" s="281">
        <f t="shared" ref="F97:H97" si="208">SUM(F94:F96)*F$5</f>
        <v>10.767473464744608</v>
      </c>
      <c r="G97" s="281">
        <f t="shared" si="208"/>
        <v>11.01654666093108</v>
      </c>
      <c r="H97" s="281">
        <f t="shared" si="208"/>
        <v>11.388603785041969</v>
      </c>
      <c r="J97" s="280"/>
      <c r="K97" s="281">
        <f>SUM(K94:K96)*K$5</f>
        <v>0</v>
      </c>
      <c r="L97" s="281">
        <f t="shared" ref="L97:O97" si="209">SUM(L94:L96)*L$5</f>
        <v>0</v>
      </c>
      <c r="M97" s="281">
        <f t="shared" si="209"/>
        <v>0</v>
      </c>
      <c r="N97" s="281">
        <f t="shared" si="209"/>
        <v>0</v>
      </c>
      <c r="O97" s="281">
        <f t="shared" si="209"/>
        <v>0</v>
      </c>
    </row>
    <row r="98" spans="2:15" x14ac:dyDescent="0.25">
      <c r="B98" s="284" t="s">
        <v>170</v>
      </c>
      <c r="C98" s="285">
        <f>'Proposed price'!$BP$7</f>
        <v>178.58346320213872</v>
      </c>
      <c r="D98" s="286">
        <f>SUM(D94:D97)</f>
        <v>178.58346320213872</v>
      </c>
      <c r="E98" s="286">
        <f t="shared" ref="E98" si="210">SUM(E94:E97)</f>
        <v>178.58346320213872</v>
      </c>
      <c r="F98" s="286">
        <f t="shared" ref="F98" si="211">SUM(F94:F97)</f>
        <v>180.54788129736218</v>
      </c>
      <c r="G98" s="286">
        <f t="shared" ref="G98" si="212">SUM(G94:G97)</f>
        <v>184.72431488753278</v>
      </c>
      <c r="H98" s="286">
        <f t="shared" ref="H98" si="213">SUM(H94:H97)</f>
        <v>190.96293026000205</v>
      </c>
      <c r="J98" s="285"/>
      <c r="K98" s="286">
        <f>SUM(K94:K97)</f>
        <v>0</v>
      </c>
      <c r="L98" s="286">
        <f t="shared" ref="L98" si="214">SUM(L94:L97)</f>
        <v>0</v>
      </c>
      <c r="M98" s="286">
        <f t="shared" ref="M98" si="215">SUM(M94:M97)</f>
        <v>0</v>
      </c>
      <c r="N98" s="286">
        <f t="shared" ref="N98" si="216">SUM(N94:N97)</f>
        <v>0</v>
      </c>
      <c r="O98" s="286">
        <f t="shared" ref="O98" si="217">SUM(O94:O97)</f>
        <v>0</v>
      </c>
    </row>
    <row r="99" spans="2:15" x14ac:dyDescent="0.25">
      <c r="B99" s="287" t="s">
        <v>180</v>
      </c>
      <c r="C99" s="281"/>
      <c r="D99" s="288">
        <f>'Forecast Revenue - Costs'!D24</f>
        <v>1500</v>
      </c>
      <c r="E99" s="288">
        <f>'Forecast Revenue - Costs'!E24</f>
        <v>1500</v>
      </c>
      <c r="F99" s="288">
        <f>'Forecast Revenue - Costs'!F24</f>
        <v>1500</v>
      </c>
      <c r="G99" s="288">
        <f>'Forecast Revenue - Costs'!G24</f>
        <v>1500</v>
      </c>
      <c r="H99" s="288">
        <f>'Forecast Revenue - Costs'!H24</f>
        <v>1500</v>
      </c>
      <c r="J99" s="281"/>
      <c r="K99" s="288"/>
      <c r="L99" s="288"/>
      <c r="M99" s="288"/>
      <c r="N99" s="288"/>
      <c r="O99" s="288"/>
    </row>
    <row r="100" spans="2:15" x14ac:dyDescent="0.25">
      <c r="B100" s="273" t="s">
        <v>181</v>
      </c>
      <c r="C100" s="271"/>
      <c r="D100" s="272">
        <f>D98*D99</f>
        <v>267875.19480320805</v>
      </c>
      <c r="E100" s="272">
        <f t="shared" ref="E100" si="218">E98*E99</f>
        <v>267875.19480320805</v>
      </c>
      <c r="F100" s="272">
        <f t="shared" ref="F100" si="219">F98*F99</f>
        <v>270821.82194604329</v>
      </c>
      <c r="G100" s="272">
        <f t="shared" ref="G100" si="220">G98*G99</f>
        <v>277086.47233129916</v>
      </c>
      <c r="H100" s="272">
        <f t="shared" ref="H100" si="221">H98*H99</f>
        <v>286444.3953900031</v>
      </c>
      <c r="J100" s="271"/>
      <c r="K100" s="272"/>
      <c r="L100" s="272"/>
      <c r="M100" s="272"/>
      <c r="N100" s="272"/>
      <c r="O100" s="272"/>
    </row>
    <row r="102" spans="2:15" x14ac:dyDescent="0.25">
      <c r="B102" s="277" t="s">
        <v>156</v>
      </c>
      <c r="C102" s="278"/>
      <c r="D102" s="328" t="s">
        <v>182</v>
      </c>
      <c r="E102" s="329"/>
      <c r="F102" s="329"/>
      <c r="G102" s="329"/>
      <c r="H102" s="329"/>
      <c r="J102" s="278"/>
      <c r="K102" s="328" t="s">
        <v>182</v>
      </c>
      <c r="L102" s="329"/>
      <c r="M102" s="329"/>
      <c r="N102" s="329"/>
      <c r="O102" s="329"/>
    </row>
    <row r="103" spans="2:15" x14ac:dyDescent="0.25">
      <c r="B103" s="279" t="s">
        <v>164</v>
      </c>
      <c r="C103" s="280">
        <f>'Proposed price'!$BX$7</f>
        <v>103.26059762014499</v>
      </c>
      <c r="D103" s="281">
        <f>C103*D$1</f>
        <v>103.26059762014499</v>
      </c>
      <c r="E103" s="281">
        <f t="shared" ref="E103:H103" si="222">D103*E$1</f>
        <v>103.26059762014499</v>
      </c>
      <c r="F103" s="281">
        <f t="shared" si="222"/>
        <v>104.39646419396658</v>
      </c>
      <c r="G103" s="281">
        <f t="shared" si="222"/>
        <v>106.8113632037014</v>
      </c>
      <c r="H103" s="281">
        <f t="shared" si="222"/>
        <v>110.41865774336563</v>
      </c>
      <c r="J103" s="280"/>
      <c r="K103" s="281">
        <f>J103*K$1</f>
        <v>0</v>
      </c>
      <c r="L103" s="281">
        <f t="shared" ref="L103:O103" si="223">K103*L$1</f>
        <v>0</v>
      </c>
      <c r="M103" s="281">
        <f t="shared" si="223"/>
        <v>0</v>
      </c>
      <c r="N103" s="281">
        <f t="shared" si="223"/>
        <v>0</v>
      </c>
      <c r="O103" s="281">
        <f t="shared" si="223"/>
        <v>0</v>
      </c>
    </row>
    <row r="104" spans="2:15" x14ac:dyDescent="0.25">
      <c r="B104" s="279" t="s">
        <v>160</v>
      </c>
      <c r="C104" s="280">
        <f>'Proposed price'!$BY$7</f>
        <v>0</v>
      </c>
      <c r="D104" s="281">
        <f>C104</f>
        <v>0</v>
      </c>
      <c r="E104" s="281">
        <f t="shared" ref="E104:H104" si="224">D104</f>
        <v>0</v>
      </c>
      <c r="F104" s="281">
        <f t="shared" si="224"/>
        <v>0</v>
      </c>
      <c r="G104" s="281">
        <f t="shared" si="224"/>
        <v>0</v>
      </c>
      <c r="H104" s="281">
        <f t="shared" si="224"/>
        <v>0</v>
      </c>
      <c r="J104" s="280"/>
      <c r="K104" s="281">
        <f>J104</f>
        <v>0</v>
      </c>
      <c r="L104" s="281">
        <f t="shared" ref="L104:O104" si="225">K104</f>
        <v>0</v>
      </c>
      <c r="M104" s="281">
        <f t="shared" si="225"/>
        <v>0</v>
      </c>
      <c r="N104" s="281">
        <f t="shared" si="225"/>
        <v>0</v>
      </c>
      <c r="O104" s="281">
        <f t="shared" si="225"/>
        <v>0</v>
      </c>
    </row>
    <row r="105" spans="2:15" x14ac:dyDescent="0.25">
      <c r="B105" s="279" t="s">
        <v>165</v>
      </c>
      <c r="C105" s="280">
        <f>'Proposed price'!$BZ$7</f>
        <v>0</v>
      </c>
      <c r="D105" s="281">
        <f>C105</f>
        <v>0</v>
      </c>
      <c r="E105" s="281">
        <f t="shared" ref="E105:H105" si="226">D105</f>
        <v>0</v>
      </c>
      <c r="F105" s="281">
        <f t="shared" si="226"/>
        <v>0</v>
      </c>
      <c r="G105" s="281">
        <f t="shared" si="226"/>
        <v>0</v>
      </c>
      <c r="H105" s="281">
        <f t="shared" si="226"/>
        <v>0</v>
      </c>
      <c r="J105" s="280"/>
      <c r="K105" s="281">
        <f>J105</f>
        <v>0</v>
      </c>
      <c r="L105" s="281">
        <f t="shared" ref="L105:O105" si="227">K105</f>
        <v>0</v>
      </c>
      <c r="M105" s="281">
        <f t="shared" si="227"/>
        <v>0</v>
      </c>
      <c r="N105" s="281">
        <f t="shared" si="227"/>
        <v>0</v>
      </c>
      <c r="O105" s="281">
        <f t="shared" si="227"/>
        <v>0</v>
      </c>
    </row>
    <row r="106" spans="2:15" x14ac:dyDescent="0.25">
      <c r="B106" s="282" t="s">
        <v>190</v>
      </c>
      <c r="C106" s="337">
        <f>'Proposed price'!$CC$7</f>
        <v>103.26059762014499</v>
      </c>
      <c r="D106" s="338">
        <f>SUM(D103:D105)</f>
        <v>103.26059762014499</v>
      </c>
      <c r="E106" s="338">
        <f t="shared" ref="E106" si="228">SUM(E103:E105)</f>
        <v>103.26059762014499</v>
      </c>
      <c r="F106" s="338">
        <f t="shared" ref="F106" si="229">SUM(F103:F105)</f>
        <v>104.39646419396658</v>
      </c>
      <c r="G106" s="338">
        <f t="shared" ref="G106" si="230">SUM(G103:G105)</f>
        <v>106.8113632037014</v>
      </c>
      <c r="H106" s="338">
        <f t="shared" ref="H106" si="231">SUM(H103:H105)</f>
        <v>110.41865774336563</v>
      </c>
      <c r="J106" s="283"/>
      <c r="K106" s="269">
        <f>SUM(K103:K105)</f>
        <v>0</v>
      </c>
      <c r="L106" s="269">
        <f t="shared" ref="L106" si="232">SUM(L103:L105)</f>
        <v>0</v>
      </c>
      <c r="M106" s="269">
        <f t="shared" ref="M106" si="233">SUM(M103:M105)</f>
        <v>0</v>
      </c>
      <c r="N106" s="269">
        <f t="shared" ref="N106" si="234">SUM(N103:N105)</f>
        <v>0</v>
      </c>
      <c r="O106" s="269">
        <f t="shared" ref="O106" si="235">SUM(O103:O105)</f>
        <v>0</v>
      </c>
    </row>
    <row r="107" spans="2:15" x14ac:dyDescent="0.25">
      <c r="B107" s="279" t="s">
        <v>163</v>
      </c>
      <c r="C107" s="280">
        <f>'Proposed price'!$CD$7</f>
        <v>48.111860352349787</v>
      </c>
      <c r="D107" s="281">
        <f>D106*D$3</f>
        <v>48.111860352349787</v>
      </c>
      <c r="E107" s="281">
        <f t="shared" ref="E107:H107" si="236">E106*E$3</f>
        <v>48.111860352349787</v>
      </c>
      <c r="F107" s="281">
        <f t="shared" si="236"/>
        <v>48.641090816225628</v>
      </c>
      <c r="G107" s="281">
        <f t="shared" si="236"/>
        <v>49.76625652898656</v>
      </c>
      <c r="H107" s="281">
        <f t="shared" si="236"/>
        <v>51.446991050595223</v>
      </c>
      <c r="J107" s="280"/>
      <c r="K107" s="281">
        <f>K106*K$3</f>
        <v>0</v>
      </c>
      <c r="L107" s="281">
        <f t="shared" ref="L107:O107" si="237">L106*L$3</f>
        <v>0</v>
      </c>
      <c r="M107" s="281">
        <f t="shared" si="237"/>
        <v>0</v>
      </c>
      <c r="N107" s="281">
        <f t="shared" si="237"/>
        <v>0</v>
      </c>
      <c r="O107" s="281">
        <f t="shared" si="237"/>
        <v>0</v>
      </c>
    </row>
    <row r="108" spans="2:15" x14ac:dyDescent="0.25">
      <c r="B108" s="279" t="s">
        <v>161</v>
      </c>
      <c r="C108" s="280">
        <f>'Proposed price'!$CE$7</f>
        <v>16.560685284298117</v>
      </c>
      <c r="D108" s="281">
        <f>D106*D$4</f>
        <v>16.560685284298117</v>
      </c>
      <c r="E108" s="281">
        <f t="shared" ref="E108:H108" si="238">E106*E$4</f>
        <v>16.560685284298117</v>
      </c>
      <c r="F108" s="281">
        <f t="shared" si="238"/>
        <v>16.742852822425395</v>
      </c>
      <c r="G108" s="281">
        <f t="shared" si="238"/>
        <v>17.130148493913737</v>
      </c>
      <c r="H108" s="281">
        <f t="shared" si="238"/>
        <v>17.708677680999244</v>
      </c>
      <c r="J108" s="280"/>
      <c r="K108" s="281">
        <f>K106*K$4</f>
        <v>0</v>
      </c>
      <c r="L108" s="281">
        <f t="shared" ref="L108:O108" si="239">L106*L$4</f>
        <v>0</v>
      </c>
      <c r="M108" s="281">
        <f t="shared" si="239"/>
        <v>0</v>
      </c>
      <c r="N108" s="281">
        <f t="shared" si="239"/>
        <v>0</v>
      </c>
      <c r="O108" s="281">
        <f t="shared" si="239"/>
        <v>0</v>
      </c>
    </row>
    <row r="109" spans="2:15" x14ac:dyDescent="0.25">
      <c r="B109" s="279" t="s">
        <v>158</v>
      </c>
      <c r="C109" s="280">
        <f>'Proposed price'!$CF$7</f>
        <v>10.650319945345807</v>
      </c>
      <c r="D109" s="281">
        <f>SUM(D106:D108)*D$5</f>
        <v>10.650319945345807</v>
      </c>
      <c r="E109" s="281">
        <f t="shared" ref="E109:H109" si="240">SUM(E106:E108)*E$5</f>
        <v>10.650319945345807</v>
      </c>
      <c r="F109" s="281">
        <f t="shared" si="240"/>
        <v>10.767473464744608</v>
      </c>
      <c r="G109" s="281">
        <f t="shared" si="240"/>
        <v>11.01654666093108</v>
      </c>
      <c r="H109" s="281">
        <f t="shared" si="240"/>
        <v>11.388603785041969</v>
      </c>
      <c r="J109" s="280"/>
      <c r="K109" s="281">
        <f>SUM(K106:K108)*K$5</f>
        <v>0</v>
      </c>
      <c r="L109" s="281">
        <f t="shared" ref="L109:O109" si="241">SUM(L106:L108)*L$5</f>
        <v>0</v>
      </c>
      <c r="M109" s="281">
        <f t="shared" si="241"/>
        <v>0</v>
      </c>
      <c r="N109" s="281">
        <f t="shared" si="241"/>
        <v>0</v>
      </c>
      <c r="O109" s="281">
        <f t="shared" si="241"/>
        <v>0</v>
      </c>
    </row>
    <row r="110" spans="2:15" x14ac:dyDescent="0.25">
      <c r="B110" s="284" t="s">
        <v>170</v>
      </c>
      <c r="C110" s="285">
        <f>'Proposed price'!$CG$7</f>
        <v>178.58346320213872</v>
      </c>
      <c r="D110" s="286">
        <f>SUM(D106:D109)</f>
        <v>178.58346320213872</v>
      </c>
      <c r="E110" s="286">
        <f t="shared" ref="E110" si="242">SUM(E106:E109)</f>
        <v>178.58346320213872</v>
      </c>
      <c r="F110" s="286">
        <f t="shared" ref="F110" si="243">SUM(F106:F109)</f>
        <v>180.54788129736218</v>
      </c>
      <c r="G110" s="286">
        <f t="shared" ref="G110" si="244">SUM(G106:G109)</f>
        <v>184.72431488753278</v>
      </c>
      <c r="H110" s="286">
        <f t="shared" ref="H110" si="245">SUM(H106:H109)</f>
        <v>190.96293026000205</v>
      </c>
      <c r="J110" s="285"/>
      <c r="K110" s="286">
        <f>SUM(K106:K109)</f>
        <v>0</v>
      </c>
      <c r="L110" s="286">
        <f t="shared" ref="L110" si="246">SUM(L106:L109)</f>
        <v>0</v>
      </c>
      <c r="M110" s="286">
        <f t="shared" ref="M110" si="247">SUM(M106:M109)</f>
        <v>0</v>
      </c>
      <c r="N110" s="286">
        <f t="shared" ref="N110" si="248">SUM(N106:N109)</f>
        <v>0</v>
      </c>
      <c r="O110" s="286">
        <f t="shared" ref="O110" si="249">SUM(O106:O109)</f>
        <v>0</v>
      </c>
    </row>
    <row r="111" spans="2:15" x14ac:dyDescent="0.25">
      <c r="B111" s="287" t="s">
        <v>180</v>
      </c>
      <c r="C111" s="281"/>
      <c r="D111" s="288">
        <f>'Forecast Revenue - Costs'!D25</f>
        <v>850</v>
      </c>
      <c r="E111" s="288">
        <f>'Forecast Revenue - Costs'!E25</f>
        <v>850</v>
      </c>
      <c r="F111" s="288">
        <f>'Forecast Revenue - Costs'!F25</f>
        <v>850</v>
      </c>
      <c r="G111" s="288">
        <f>'Forecast Revenue - Costs'!G25</f>
        <v>850</v>
      </c>
      <c r="H111" s="288">
        <f>'Forecast Revenue - Costs'!H25</f>
        <v>850</v>
      </c>
      <c r="J111" s="281"/>
      <c r="K111" s="288"/>
      <c r="L111" s="288"/>
      <c r="M111" s="288"/>
      <c r="N111" s="288"/>
      <c r="O111" s="288"/>
    </row>
    <row r="112" spans="2:15" x14ac:dyDescent="0.25">
      <c r="B112" s="273" t="s">
        <v>181</v>
      </c>
      <c r="C112" s="271"/>
      <c r="D112" s="272">
        <f>D110*D111</f>
        <v>151795.94372181792</v>
      </c>
      <c r="E112" s="272">
        <f t="shared" ref="E112" si="250">E110*E111</f>
        <v>151795.94372181792</v>
      </c>
      <c r="F112" s="272">
        <f t="shared" ref="F112" si="251">F110*F111</f>
        <v>153465.69910275785</v>
      </c>
      <c r="G112" s="272">
        <f t="shared" ref="G112" si="252">G110*G111</f>
        <v>157015.66765440287</v>
      </c>
      <c r="H112" s="272">
        <f t="shared" ref="H112" si="253">H110*H111</f>
        <v>162318.49072100176</v>
      </c>
      <c r="J112" s="271"/>
      <c r="K112" s="272"/>
      <c r="L112" s="272"/>
      <c r="M112" s="272"/>
      <c r="N112" s="272"/>
      <c r="O112" s="272"/>
    </row>
  </sheetData>
  <mergeCells count="18">
    <mergeCell ref="D102:H102"/>
    <mergeCell ref="K18:O18"/>
    <mergeCell ref="K30:O30"/>
    <mergeCell ref="K42:O42"/>
    <mergeCell ref="K54:O54"/>
    <mergeCell ref="K66:O66"/>
    <mergeCell ref="K78:O78"/>
    <mergeCell ref="K90:O90"/>
    <mergeCell ref="K102:O102"/>
    <mergeCell ref="D18:H18"/>
    <mergeCell ref="D30:H30"/>
    <mergeCell ref="D42:H42"/>
    <mergeCell ref="D54:H54"/>
    <mergeCell ref="D66:H66"/>
    <mergeCell ref="D78:H78"/>
    <mergeCell ref="D6:H6"/>
    <mergeCell ref="J6:O6"/>
    <mergeCell ref="D90:H9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61"/>
  <sheetViews>
    <sheetView showGridLines="0" topLeftCell="A7" zoomScale="90" zoomScaleNormal="90" workbookViewId="0">
      <selection activeCell="M35" sqref="M35"/>
    </sheetView>
  </sheetViews>
  <sheetFormatPr defaultRowHeight="15" x14ac:dyDescent="0.25"/>
  <cols>
    <col min="1" max="1" width="3.28515625" customWidth="1"/>
    <col min="2" max="2" width="66.42578125" customWidth="1"/>
    <col min="3" max="3" width="74.140625" customWidth="1"/>
    <col min="4" max="4" width="15.5703125" customWidth="1"/>
    <col min="5" max="8" width="12.140625" bestFit="1" customWidth="1"/>
    <col min="9" max="9" width="12.7109375" customWidth="1"/>
  </cols>
  <sheetData>
    <row r="2" spans="2:9" x14ac:dyDescent="0.25">
      <c r="B2" s="26" t="s">
        <v>53</v>
      </c>
      <c r="C2" s="27"/>
      <c r="D2" s="336" t="s">
        <v>169</v>
      </c>
      <c r="E2" s="336"/>
      <c r="F2" s="336"/>
      <c r="G2" s="336"/>
      <c r="H2" s="336"/>
      <c r="I2" s="336"/>
    </row>
    <row r="3" spans="2:9" x14ac:dyDescent="0.25">
      <c r="B3" s="1"/>
      <c r="C3" s="1"/>
      <c r="D3" s="1"/>
      <c r="E3" s="1"/>
      <c r="F3" s="1"/>
      <c r="G3" s="1"/>
      <c r="H3" s="1"/>
      <c r="I3" s="1"/>
    </row>
    <row r="4" spans="2:9" s="39" customFormat="1" ht="12.75" x14ac:dyDescent="0.2">
      <c r="B4" s="26" t="s">
        <v>111</v>
      </c>
      <c r="C4" s="27"/>
      <c r="D4" s="27"/>
      <c r="E4" s="27"/>
      <c r="F4" s="27"/>
      <c r="G4" s="27"/>
      <c r="H4" s="27"/>
      <c r="I4" s="27"/>
    </row>
    <row r="5" spans="2:9" x14ac:dyDescent="0.25">
      <c r="B5" s="3" t="s">
        <v>109</v>
      </c>
      <c r="C5" s="3" t="s">
        <v>3</v>
      </c>
      <c r="D5" s="40" t="s">
        <v>80</v>
      </c>
      <c r="E5" s="40" t="s">
        <v>81</v>
      </c>
      <c r="F5" s="40" t="s">
        <v>82</v>
      </c>
      <c r="G5" s="40" t="s">
        <v>112</v>
      </c>
      <c r="H5" s="44" t="s">
        <v>83</v>
      </c>
      <c r="I5" s="4" t="s">
        <v>1</v>
      </c>
    </row>
    <row r="6" spans="2:9" x14ac:dyDescent="0.25">
      <c r="B6" s="5" t="s">
        <v>125</v>
      </c>
      <c r="C6" s="11" t="s">
        <v>121</v>
      </c>
      <c r="D6" s="29">
        <f>'Forecasts by year'!D28</f>
        <v>96435.070129154919</v>
      </c>
      <c r="E6" s="29">
        <f>'Forecasts by year'!E28</f>
        <v>96435.070129154919</v>
      </c>
      <c r="F6" s="29">
        <f>'Forecasts by year'!F28</f>
        <v>97495.855900575596</v>
      </c>
      <c r="G6" s="29">
        <f>'Forecasts by year'!G28</f>
        <v>99751.130039267708</v>
      </c>
      <c r="H6" s="29">
        <f>'Forecasts by year'!H28</f>
        <v>103119.98234040113</v>
      </c>
      <c r="I6" s="112">
        <f>SUM(D6:H6)</f>
        <v>493237.10853855428</v>
      </c>
    </row>
    <row r="7" spans="2:9" x14ac:dyDescent="0.25">
      <c r="B7" s="73"/>
      <c r="C7" s="11" t="s">
        <v>122</v>
      </c>
      <c r="D7" s="29">
        <f>'Forecasts by year'!D40</f>
        <v>39195.498503605406</v>
      </c>
      <c r="E7" s="29">
        <f>'Forecasts by year'!E40</f>
        <v>39195.498503605406</v>
      </c>
      <c r="F7" s="29">
        <f>'Forecasts by year'!F40</f>
        <v>39626.648987145047</v>
      </c>
      <c r="G7" s="29">
        <f>'Forecasts by year'!G40</f>
        <v>40543.292631515695</v>
      </c>
      <c r="H7" s="29">
        <f>'Forecasts by year'!H40</f>
        <v>41912.543933465247</v>
      </c>
      <c r="I7" s="112">
        <f t="shared" ref="I7:I13" si="0">SUM(D7:H7)</f>
        <v>200473.48255933682</v>
      </c>
    </row>
    <row r="8" spans="2:9" x14ac:dyDescent="0.25">
      <c r="B8" s="73"/>
      <c r="C8" s="11" t="s">
        <v>123</v>
      </c>
      <c r="D8" s="29">
        <f>'Forecasts by year'!D52</f>
        <v>175011.79393809591</v>
      </c>
      <c r="E8" s="29">
        <f>'Forecasts by year'!E52</f>
        <v>175011.79393809591</v>
      </c>
      <c r="F8" s="29">
        <f>'Forecasts by year'!F52</f>
        <v>176936.9236714149</v>
      </c>
      <c r="G8" s="29">
        <f>'Forecasts by year'!G52</f>
        <v>181029.82858978206</v>
      </c>
      <c r="H8" s="29">
        <f>'Forecasts by year'!H52</f>
        <v>187143.67165480202</v>
      </c>
      <c r="I8" s="112">
        <f t="shared" si="0"/>
        <v>895134.01179219084</v>
      </c>
    </row>
    <row r="9" spans="2:9" x14ac:dyDescent="0.25">
      <c r="B9" s="73"/>
      <c r="C9" s="11" t="s">
        <v>124</v>
      </c>
      <c r="D9" s="29">
        <f>'Forecasts by year'!D64</f>
        <v>64290.046752769929</v>
      </c>
      <c r="E9" s="29">
        <f>'Forecasts by year'!E64</f>
        <v>64290.046752769929</v>
      </c>
      <c r="F9" s="29">
        <f>'Forecasts by year'!F64</f>
        <v>64997.237267050397</v>
      </c>
      <c r="G9" s="29">
        <f>'Forecasts by year'!G64</f>
        <v>66500.7533595118</v>
      </c>
      <c r="H9" s="29">
        <f>'Forecasts by year'!H64</f>
        <v>68746.65489360076</v>
      </c>
      <c r="I9" s="112">
        <f t="shared" si="0"/>
        <v>328824.73902570282</v>
      </c>
    </row>
    <row r="10" spans="2:9" x14ac:dyDescent="0.25">
      <c r="B10" s="7"/>
      <c r="C10" s="13" t="s">
        <v>136</v>
      </c>
      <c r="D10" s="29">
        <f>'Forecasts by year'!D76</f>
        <v>178583.46320213872</v>
      </c>
      <c r="E10" s="29">
        <f>'Forecasts by year'!E76</f>
        <v>178583.46320213872</v>
      </c>
      <c r="F10" s="29">
        <f>'Forecasts by year'!F76</f>
        <v>180547.88129736218</v>
      </c>
      <c r="G10" s="29">
        <f>'Forecasts by year'!G76</f>
        <v>184724.31488753279</v>
      </c>
      <c r="H10" s="29">
        <f>'Forecasts by year'!H76</f>
        <v>190962.93026000206</v>
      </c>
      <c r="I10" s="112">
        <f t="shared" si="0"/>
        <v>913402.05284917436</v>
      </c>
    </row>
    <row r="11" spans="2:9" x14ac:dyDescent="0.25">
      <c r="B11" s="7"/>
      <c r="C11" s="13" t="s">
        <v>74</v>
      </c>
      <c r="D11" s="29">
        <f>'Forecasts by year'!D88</f>
        <v>53575.038960641614</v>
      </c>
      <c r="E11" s="29">
        <f>'Forecasts by year'!E88</f>
        <v>53575.038960641614</v>
      </c>
      <c r="F11" s="29">
        <f>'Forecasts by year'!F88</f>
        <v>54164.364389208655</v>
      </c>
      <c r="G11" s="29">
        <f>'Forecasts by year'!G88</f>
        <v>55417.294466259838</v>
      </c>
      <c r="H11" s="29">
        <f>'Forecasts by year'!H88</f>
        <v>57288.879078000617</v>
      </c>
      <c r="I11" s="112">
        <f t="shared" si="0"/>
        <v>274020.61585475231</v>
      </c>
    </row>
    <row r="12" spans="2:9" x14ac:dyDescent="0.25">
      <c r="B12" s="7"/>
      <c r="C12" s="13" t="s">
        <v>84</v>
      </c>
      <c r="D12" s="29">
        <f>'Forecasts by year'!D100</f>
        <v>267875.19480320805</v>
      </c>
      <c r="E12" s="29">
        <f>'Forecasts by year'!E100</f>
        <v>267875.19480320805</v>
      </c>
      <c r="F12" s="29">
        <f>'Forecasts by year'!F100</f>
        <v>270821.82194604329</v>
      </c>
      <c r="G12" s="29">
        <f>'Forecasts by year'!G100</f>
        <v>277086.47233129916</v>
      </c>
      <c r="H12" s="29">
        <f>'Forecasts by year'!H100</f>
        <v>286444.3953900031</v>
      </c>
      <c r="I12" s="112">
        <f t="shared" si="0"/>
        <v>1370103.0792737617</v>
      </c>
    </row>
    <row r="13" spans="2:9" x14ac:dyDescent="0.25">
      <c r="B13" s="7"/>
      <c r="C13" s="13" t="s">
        <v>98</v>
      </c>
      <c r="D13" s="29">
        <f>'Forecasts by year'!D112</f>
        <v>151795.94372181792</v>
      </c>
      <c r="E13" s="29">
        <f>'Forecasts by year'!E112</f>
        <v>151795.94372181792</v>
      </c>
      <c r="F13" s="29">
        <f>'Forecasts by year'!F112</f>
        <v>153465.69910275785</v>
      </c>
      <c r="G13" s="29">
        <f>'Forecasts by year'!G112</f>
        <v>157015.66765440287</v>
      </c>
      <c r="H13" s="29">
        <f>'Forecasts by year'!H112</f>
        <v>162318.49072100176</v>
      </c>
      <c r="I13" s="112">
        <f t="shared" si="0"/>
        <v>776391.74492179835</v>
      </c>
    </row>
    <row r="14" spans="2:9" x14ac:dyDescent="0.25">
      <c r="B14" s="8" t="s">
        <v>1</v>
      </c>
      <c r="C14" s="9"/>
      <c r="D14" s="10">
        <f>SUM(D6:D13)</f>
        <v>1026762.0500114324</v>
      </c>
      <c r="E14" s="10">
        <f>SUM(E6:E13)</f>
        <v>1026762.0500114324</v>
      </c>
      <c r="F14" s="10">
        <f>SUM(F6:F13)</f>
        <v>1038056.4325615579</v>
      </c>
      <c r="G14" s="10">
        <f>SUM(G6:G13)</f>
        <v>1062068.7539595719</v>
      </c>
      <c r="H14" s="10">
        <f>SUM(H6:H13)</f>
        <v>1097937.5482712765</v>
      </c>
      <c r="I14" s="10">
        <f>SUM(I6:I13)</f>
        <v>5251586.8348152712</v>
      </c>
    </row>
    <row r="15" spans="2:9" x14ac:dyDescent="0.25">
      <c r="B15" s="1"/>
      <c r="C15" s="1"/>
      <c r="D15" s="1"/>
      <c r="E15" s="1"/>
      <c r="F15" s="1"/>
      <c r="G15" s="1"/>
      <c r="H15" s="1"/>
      <c r="I15" s="1"/>
    </row>
    <row r="16" spans="2:9" x14ac:dyDescent="0.25">
      <c r="B16" s="26" t="s">
        <v>27</v>
      </c>
      <c r="C16" s="27"/>
      <c r="D16" s="27"/>
      <c r="E16" s="27"/>
      <c r="F16" s="27"/>
      <c r="G16" s="27"/>
      <c r="H16" s="27"/>
      <c r="I16" s="27"/>
    </row>
    <row r="17" spans="2:9" x14ac:dyDescent="0.25">
      <c r="B17" s="3" t="s">
        <v>109</v>
      </c>
      <c r="C17" s="3" t="s">
        <v>3</v>
      </c>
      <c r="D17" s="40" t="s">
        <v>80</v>
      </c>
      <c r="E17" s="40" t="s">
        <v>81</v>
      </c>
      <c r="F17" s="40" t="s">
        <v>82</v>
      </c>
      <c r="G17" s="40" t="s">
        <v>112</v>
      </c>
      <c r="H17" s="44" t="s">
        <v>83</v>
      </c>
      <c r="I17" s="4" t="s">
        <v>1</v>
      </c>
    </row>
    <row r="18" spans="2:9" x14ac:dyDescent="0.25">
      <c r="B18" s="5" t="s">
        <v>125</v>
      </c>
      <c r="C18" s="11" t="s">
        <v>121</v>
      </c>
      <c r="D18" s="41">
        <v>180</v>
      </c>
      <c r="E18" s="41">
        <v>180</v>
      </c>
      <c r="F18" s="41">
        <v>180</v>
      </c>
      <c r="G18" s="41">
        <v>180</v>
      </c>
      <c r="H18" s="41">
        <v>180</v>
      </c>
      <c r="I18" s="111">
        <f>SUM(D18:H18)</f>
        <v>900</v>
      </c>
    </row>
    <row r="19" spans="2:9" x14ac:dyDescent="0.25">
      <c r="B19" s="11"/>
      <c r="C19" s="11" t="s">
        <v>122</v>
      </c>
      <c r="D19" s="41">
        <v>54.87</v>
      </c>
      <c r="E19" s="41">
        <v>54.87</v>
      </c>
      <c r="F19" s="41">
        <v>54.87</v>
      </c>
      <c r="G19" s="41">
        <v>54.87</v>
      </c>
      <c r="H19" s="41">
        <v>54.87</v>
      </c>
      <c r="I19" s="111">
        <f t="shared" ref="I19:I25" si="1">SUM(D19:H19)</f>
        <v>274.34999999999997</v>
      </c>
    </row>
    <row r="20" spans="2:9" x14ac:dyDescent="0.25">
      <c r="B20" s="11"/>
      <c r="C20" s="11" t="s">
        <v>123</v>
      </c>
      <c r="D20" s="41">
        <v>140</v>
      </c>
      <c r="E20" s="41">
        <v>140</v>
      </c>
      <c r="F20" s="41">
        <v>140</v>
      </c>
      <c r="G20" s="41">
        <v>140</v>
      </c>
      <c r="H20" s="41">
        <v>140</v>
      </c>
      <c r="I20" s="111">
        <f t="shared" si="1"/>
        <v>700</v>
      </c>
    </row>
    <row r="21" spans="2:9" x14ac:dyDescent="0.25">
      <c r="B21" s="11"/>
      <c r="C21" s="11" t="s">
        <v>124</v>
      </c>
      <c r="D21" s="41">
        <v>40</v>
      </c>
      <c r="E21" s="41">
        <v>40</v>
      </c>
      <c r="F21" s="41">
        <v>40</v>
      </c>
      <c r="G21" s="41">
        <v>40</v>
      </c>
      <c r="H21" s="41">
        <v>40</v>
      </c>
      <c r="I21" s="111">
        <f t="shared" si="1"/>
        <v>200</v>
      </c>
    </row>
    <row r="22" spans="2:9" x14ac:dyDescent="0.25">
      <c r="B22" s="11"/>
      <c r="C22" s="13" t="s">
        <v>153</v>
      </c>
      <c r="D22" s="41">
        <v>1000</v>
      </c>
      <c r="E22" s="41">
        <v>1000</v>
      </c>
      <c r="F22" s="41">
        <v>1000</v>
      </c>
      <c r="G22" s="41">
        <v>1000</v>
      </c>
      <c r="H22" s="41">
        <v>1000</v>
      </c>
      <c r="I22" s="111">
        <f t="shared" si="1"/>
        <v>5000</v>
      </c>
    </row>
    <row r="23" spans="2:9" x14ac:dyDescent="0.25">
      <c r="B23" s="11"/>
      <c r="C23" s="13" t="s">
        <v>154</v>
      </c>
      <c r="D23" s="12">
        <v>300</v>
      </c>
      <c r="E23" s="12">
        <v>300</v>
      </c>
      <c r="F23" s="12">
        <v>300</v>
      </c>
      <c r="G23" s="12">
        <v>300</v>
      </c>
      <c r="H23" s="12">
        <v>300</v>
      </c>
      <c r="I23" s="111">
        <f t="shared" si="1"/>
        <v>1500</v>
      </c>
    </row>
    <row r="24" spans="2:9" x14ac:dyDescent="0.25">
      <c r="B24" s="11"/>
      <c r="C24" s="13" t="s">
        <v>155</v>
      </c>
      <c r="D24" s="12">
        <v>1500</v>
      </c>
      <c r="E24" s="12">
        <v>1500</v>
      </c>
      <c r="F24" s="12">
        <v>1500</v>
      </c>
      <c r="G24" s="12">
        <v>1500</v>
      </c>
      <c r="H24" s="12">
        <v>1500</v>
      </c>
      <c r="I24" s="111">
        <f t="shared" si="1"/>
        <v>7500</v>
      </c>
    </row>
    <row r="25" spans="2:9" x14ac:dyDescent="0.25">
      <c r="B25" s="11"/>
      <c r="C25" s="13" t="s">
        <v>156</v>
      </c>
      <c r="D25" s="12">
        <v>850</v>
      </c>
      <c r="E25" s="12">
        <v>850</v>
      </c>
      <c r="F25" s="12">
        <v>850</v>
      </c>
      <c r="G25" s="12">
        <v>850</v>
      </c>
      <c r="H25" s="12">
        <v>850</v>
      </c>
      <c r="I25" s="111">
        <f t="shared" si="1"/>
        <v>4250</v>
      </c>
    </row>
    <row r="26" spans="2:9" x14ac:dyDescent="0.25">
      <c r="B26" s="259" t="s">
        <v>1</v>
      </c>
      <c r="C26" s="260"/>
      <c r="D26" s="261">
        <f>SUM(D18:D25)</f>
        <v>4064.87</v>
      </c>
      <c r="E26" s="261">
        <f>SUM(E18:E25)</f>
        <v>4064.87</v>
      </c>
      <c r="F26" s="261">
        <f>SUM(F18:F25)</f>
        <v>4064.87</v>
      </c>
      <c r="G26" s="261">
        <f>SUM(G18:G25)</f>
        <v>4064.87</v>
      </c>
      <c r="H26" s="261">
        <f>SUM(H18:H25)</f>
        <v>4064.87</v>
      </c>
      <c r="I26" s="261">
        <f>SUM(I18:I25)</f>
        <v>20324.349999999999</v>
      </c>
    </row>
    <row r="27" spans="2:9" x14ac:dyDescent="0.25">
      <c r="B27" s="259" t="s">
        <v>17</v>
      </c>
      <c r="C27" s="260"/>
      <c r="D27" s="261">
        <v>2500</v>
      </c>
      <c r="E27" s="261">
        <v>2500</v>
      </c>
      <c r="F27" s="261">
        <v>2500</v>
      </c>
      <c r="G27" s="261">
        <v>2500</v>
      </c>
      <c r="H27" s="261">
        <v>2500</v>
      </c>
      <c r="I27" s="261">
        <f>SUM(D27:H27)</f>
        <v>12500</v>
      </c>
    </row>
    <row r="28" spans="2:9" x14ac:dyDescent="0.25">
      <c r="B28" s="1"/>
      <c r="C28" s="1"/>
      <c r="D28" s="14"/>
      <c r="E28" s="14"/>
      <c r="F28" s="14"/>
      <c r="G28" s="14"/>
      <c r="H28" s="14"/>
      <c r="I28" s="14"/>
    </row>
    <row r="29" spans="2:9" x14ac:dyDescent="0.25">
      <c r="B29" s="15" t="s">
        <v>6</v>
      </c>
      <c r="C29" s="1"/>
      <c r="D29" s="14"/>
      <c r="E29" s="14"/>
      <c r="F29" s="14"/>
      <c r="G29" s="14"/>
      <c r="H29" s="14"/>
      <c r="I29" s="14"/>
    </row>
    <row r="30" spans="2:9" x14ac:dyDescent="0.25">
      <c r="B30" s="332"/>
      <c r="C30" s="332"/>
      <c r="D30" s="332"/>
      <c r="E30" s="332"/>
      <c r="F30" s="332"/>
      <c r="G30" s="332"/>
      <c r="H30" s="332"/>
      <c r="I30" s="332"/>
    </row>
    <row r="31" spans="2:9" x14ac:dyDescent="0.25">
      <c r="B31" s="333"/>
      <c r="C31" s="333"/>
      <c r="D31" s="333"/>
      <c r="E31" s="333"/>
      <c r="F31" s="333"/>
      <c r="G31" s="333"/>
      <c r="H31" s="333"/>
      <c r="I31" s="333"/>
    </row>
    <row r="32" spans="2:9" x14ac:dyDescent="0.25">
      <c r="B32" s="1"/>
      <c r="C32" s="1"/>
      <c r="D32" s="14"/>
      <c r="E32" s="14"/>
      <c r="F32" s="14"/>
      <c r="G32" s="14"/>
      <c r="H32" s="14"/>
      <c r="I32" s="14"/>
    </row>
    <row r="33" spans="2:9" x14ac:dyDescent="0.25">
      <c r="B33" s="26" t="s">
        <v>28</v>
      </c>
      <c r="C33" s="27"/>
      <c r="D33" s="27"/>
      <c r="E33" s="27"/>
      <c r="F33" s="27"/>
      <c r="G33" s="27"/>
      <c r="H33" s="27"/>
      <c r="I33" s="27"/>
    </row>
    <row r="34" spans="2:9" x14ac:dyDescent="0.25">
      <c r="B34" s="16" t="s">
        <v>26</v>
      </c>
      <c r="C34" s="17"/>
      <c r="D34" s="17"/>
      <c r="E34" s="17"/>
      <c r="F34" s="17"/>
      <c r="G34" s="17"/>
      <c r="H34" s="17"/>
      <c r="I34" s="17"/>
    </row>
    <row r="35" spans="2:9" x14ac:dyDescent="0.25">
      <c r="B35" s="339" t="s">
        <v>199</v>
      </c>
      <c r="C35" s="322"/>
      <c r="D35" s="322"/>
      <c r="E35" s="322"/>
      <c r="F35" s="322"/>
      <c r="G35" s="322"/>
      <c r="H35" s="322"/>
      <c r="I35" s="322"/>
    </row>
    <row r="36" spans="2:9" x14ac:dyDescent="0.25">
      <c r="B36" s="323"/>
      <c r="C36" s="323"/>
      <c r="D36" s="323"/>
      <c r="E36" s="323"/>
      <c r="F36" s="323"/>
      <c r="G36" s="323"/>
      <c r="H36" s="323"/>
      <c r="I36" s="323"/>
    </row>
    <row r="37" spans="2:9" x14ac:dyDescent="0.25">
      <c r="B37" s="18"/>
      <c r="C37" s="19"/>
      <c r="D37" s="19"/>
      <c r="E37" s="19"/>
      <c r="F37" s="19"/>
      <c r="G37" s="19"/>
      <c r="H37" s="19"/>
      <c r="I37" s="19"/>
    </row>
    <row r="38" spans="2:9" x14ac:dyDescent="0.25">
      <c r="B38" s="1"/>
      <c r="C38" s="1"/>
      <c r="D38" s="1"/>
      <c r="E38" s="1"/>
      <c r="F38" s="1"/>
      <c r="G38" s="1"/>
      <c r="H38" s="1"/>
      <c r="I38" s="1"/>
    </row>
    <row r="39" spans="2:9" x14ac:dyDescent="0.25">
      <c r="B39" s="30" t="s">
        <v>51</v>
      </c>
      <c r="C39" s="31"/>
      <c r="D39" s="335" t="s">
        <v>169</v>
      </c>
      <c r="E39" s="335"/>
      <c r="F39" s="335"/>
      <c r="G39" s="335"/>
      <c r="H39" s="335"/>
      <c r="I39" s="31"/>
    </row>
    <row r="40" spans="2:9" ht="15.75" customHeight="1" x14ac:dyDescent="0.25">
      <c r="B40" s="2" t="s">
        <v>20</v>
      </c>
      <c r="C40" s="20" t="s">
        <v>3</v>
      </c>
      <c r="D40" s="40" t="s">
        <v>80</v>
      </c>
      <c r="E40" s="40" t="s">
        <v>81</v>
      </c>
      <c r="F40" s="40" t="s">
        <v>82</v>
      </c>
      <c r="G40" s="40" t="s">
        <v>112</v>
      </c>
      <c r="H40" s="44" t="s">
        <v>83</v>
      </c>
      <c r="I40" s="21" t="s">
        <v>1</v>
      </c>
    </row>
    <row r="41" spans="2:9" s="107" customFormat="1" x14ac:dyDescent="0.25">
      <c r="B41" s="173" t="s">
        <v>188</v>
      </c>
      <c r="C41" s="109"/>
      <c r="D41" s="42">
        <f>'Forecasts by year'!D8</f>
        <v>593694.7408050712</v>
      </c>
      <c r="E41" s="42">
        <f>'Forecasts by year'!E8</f>
        <v>593694.7408050712</v>
      </c>
      <c r="F41" s="42">
        <f>'Forecasts by year'!F8</f>
        <v>600225.38295392692</v>
      </c>
      <c r="G41" s="42">
        <f>'Forecasts by year'!G8</f>
        <v>614109.79651241715</v>
      </c>
      <c r="H41" s="42">
        <f>'Forecasts by year'!H8</f>
        <v>634849.8643223258</v>
      </c>
      <c r="I41" s="110">
        <f t="shared" ref="I41:I43" si="2">SUM(D41:H41)</f>
        <v>3036574.5253988123</v>
      </c>
    </row>
    <row r="42" spans="2:9" s="107" customFormat="1" x14ac:dyDescent="0.25">
      <c r="B42" s="173" t="s">
        <v>189</v>
      </c>
      <c r="C42" s="113"/>
      <c r="D42" s="42">
        <f>'Forecasts by year'!D9</f>
        <v>0</v>
      </c>
      <c r="E42" s="42">
        <f>'Forecasts by year'!E9</f>
        <v>0</v>
      </c>
      <c r="F42" s="42">
        <f>'Forecasts by year'!F9</f>
        <v>0</v>
      </c>
      <c r="G42" s="42">
        <f>'Forecasts by year'!G9</f>
        <v>0</v>
      </c>
      <c r="H42" s="42">
        <f>'Forecasts by year'!H9</f>
        <v>0</v>
      </c>
      <c r="I42" s="110">
        <f t="shared" si="2"/>
        <v>0</v>
      </c>
    </row>
    <row r="43" spans="2:9" s="107" customFormat="1" x14ac:dyDescent="0.25">
      <c r="B43" s="173" t="s">
        <v>165</v>
      </c>
      <c r="C43" s="113"/>
      <c r="D43" s="42">
        <f>'Forecasts by year'!D10</f>
        <v>0</v>
      </c>
      <c r="E43" s="42">
        <f>'Forecasts by year'!E10</f>
        <v>0</v>
      </c>
      <c r="F43" s="42">
        <f>'Forecasts by year'!F10</f>
        <v>0</v>
      </c>
      <c r="G43" s="42">
        <f>'Forecasts by year'!G10</f>
        <v>0</v>
      </c>
      <c r="H43" s="42">
        <f>'Forecasts by year'!H10</f>
        <v>0</v>
      </c>
      <c r="I43" s="110">
        <f t="shared" si="2"/>
        <v>0</v>
      </c>
    </row>
    <row r="44" spans="2:9" s="107" customFormat="1" x14ac:dyDescent="0.25">
      <c r="B44" s="108" t="s">
        <v>192</v>
      </c>
      <c r="C44" s="113"/>
      <c r="D44" s="174">
        <f>'Forecasts by year'!D11</f>
        <v>593694.7408050712</v>
      </c>
      <c r="E44" s="174">
        <f>'Forecasts by year'!E11</f>
        <v>593694.7408050712</v>
      </c>
      <c r="F44" s="174">
        <f>'Forecasts by year'!F11</f>
        <v>600225.38295392692</v>
      </c>
      <c r="G44" s="174">
        <f>'Forecasts by year'!G11</f>
        <v>614109.79651241715</v>
      </c>
      <c r="H44" s="174">
        <f>'Forecasts by year'!H11</f>
        <v>634849.8643223258</v>
      </c>
      <c r="I44" s="110">
        <f>SUM(D44:H44)</f>
        <v>3036574.5253988123</v>
      </c>
    </row>
    <row r="45" spans="2:9" x14ac:dyDescent="0.25">
      <c r="B45" s="7" t="s">
        <v>163</v>
      </c>
      <c r="C45" s="11"/>
      <c r="D45" s="42">
        <f>'Forecasts by year'!D12</f>
        <v>276618.17885862809</v>
      </c>
      <c r="E45" s="42">
        <f>'Forecasts by year'!E12</f>
        <v>276618.17885862809</v>
      </c>
      <c r="F45" s="42">
        <f>'Forecasts by year'!F12</f>
        <v>279660.97882607288</v>
      </c>
      <c r="G45" s="42">
        <f>'Forecasts by year'!G12</f>
        <v>286130.09658827767</v>
      </c>
      <c r="H45" s="42">
        <f>'Forecasts by year'!H12</f>
        <v>295793.44610557624</v>
      </c>
      <c r="I45" s="110">
        <f>SUM(D45:H45)</f>
        <v>1414820.8792371829</v>
      </c>
    </row>
    <row r="46" spans="2:9" x14ac:dyDescent="0.25">
      <c r="B46" s="7" t="s">
        <v>161</v>
      </c>
      <c r="C46" s="6"/>
      <c r="D46" s="42">
        <f>'Forecasts by year'!D13</f>
        <v>95215.328828366342</v>
      </c>
      <c r="E46" s="42">
        <f>'Forecasts by year'!E13</f>
        <v>95215.328828366342</v>
      </c>
      <c r="F46" s="42">
        <f>'Forecasts by year'!F13</f>
        <v>96262.697445478363</v>
      </c>
      <c r="G46" s="42">
        <f>'Forecasts by year'!G13</f>
        <v>98489.44616278715</v>
      </c>
      <c r="H46" s="42">
        <f>'Forecasts by year'!H13</f>
        <v>101815.68815335154</v>
      </c>
      <c r="I46" s="110">
        <f>SUM(D46:H46)</f>
        <v>486998.48941834975</v>
      </c>
    </row>
    <row r="47" spans="2:9" x14ac:dyDescent="0.25">
      <c r="B47" s="7" t="s">
        <v>168</v>
      </c>
      <c r="C47" s="6"/>
      <c r="D47" s="42">
        <f>'Forecasts by year'!D14</f>
        <v>61233.801519366811</v>
      </c>
      <c r="E47" s="42">
        <f>'Forecasts by year'!E14</f>
        <v>61233.801519366811</v>
      </c>
      <c r="F47" s="42">
        <f>'Forecasts by year'!F14</f>
        <v>61907.373336079821</v>
      </c>
      <c r="G47" s="42">
        <f>'Forecasts by year'!G14</f>
        <v>63339.414696090025</v>
      </c>
      <c r="H47" s="42">
        <f>'Forecasts by year'!H14</f>
        <v>65478.549690023094</v>
      </c>
      <c r="I47" s="110">
        <f>SUM(D47:H47)</f>
        <v>313192.94076092658</v>
      </c>
    </row>
    <row r="48" spans="2:9" x14ac:dyDescent="0.25">
      <c r="B48" s="22" t="s">
        <v>1</v>
      </c>
      <c r="C48" s="23"/>
      <c r="D48" s="24">
        <f>SUM(D44:D47)</f>
        <v>1026762.0500114325</v>
      </c>
      <c r="E48" s="24">
        <f t="shared" ref="E48:H48" si="3">SUM(E44:E47)</f>
        <v>1026762.0500114325</v>
      </c>
      <c r="F48" s="24">
        <f t="shared" si="3"/>
        <v>1038056.432561558</v>
      </c>
      <c r="G48" s="24">
        <f t="shared" si="3"/>
        <v>1062068.7539595719</v>
      </c>
      <c r="H48" s="24">
        <f t="shared" si="3"/>
        <v>1097937.5482712768</v>
      </c>
      <c r="I48" s="25">
        <f>SUM(I44:I47)</f>
        <v>5251586.8348152721</v>
      </c>
    </row>
    <row r="50" spans="2:9" s="103" customFormat="1" x14ac:dyDescent="0.25">
      <c r="B50" s="104"/>
      <c r="C50" s="105"/>
      <c r="D50" s="106"/>
      <c r="E50" s="106"/>
      <c r="F50" s="106"/>
      <c r="G50" s="106"/>
      <c r="H50" s="106"/>
      <c r="I50" s="106"/>
    </row>
    <row r="51" spans="2:9" s="103" customFormat="1" x14ac:dyDescent="0.25">
      <c r="B51" s="104"/>
      <c r="C51" s="105" t="s">
        <v>126</v>
      </c>
      <c r="D51" s="106"/>
      <c r="E51" s="106"/>
      <c r="F51" s="106"/>
      <c r="G51" s="106"/>
      <c r="H51" s="106"/>
      <c r="I51" s="106"/>
    </row>
    <row r="52" spans="2:9" x14ac:dyDescent="0.25">
      <c r="B52" s="39"/>
      <c r="C52" s="74"/>
      <c r="D52" s="75" t="s">
        <v>127</v>
      </c>
    </row>
    <row r="53" spans="2:9" x14ac:dyDescent="0.25">
      <c r="B53" s="334" t="s">
        <v>128</v>
      </c>
      <c r="C53" s="76" t="s">
        <v>129</v>
      </c>
      <c r="D53" s="81">
        <v>182.33</v>
      </c>
    </row>
    <row r="54" spans="2:9" x14ac:dyDescent="0.25">
      <c r="B54" s="334"/>
      <c r="C54" s="76" t="s">
        <v>105</v>
      </c>
      <c r="D54" s="81">
        <v>54.87</v>
      </c>
    </row>
    <row r="55" spans="2:9" x14ac:dyDescent="0.25">
      <c r="B55" s="334"/>
      <c r="C55" s="76" t="s">
        <v>106</v>
      </c>
      <c r="D55" s="81">
        <v>141</v>
      </c>
    </row>
    <row r="56" spans="2:9" x14ac:dyDescent="0.25">
      <c r="B56" s="334"/>
      <c r="C56" s="76" t="s">
        <v>107</v>
      </c>
      <c r="D56" s="81">
        <v>44.33</v>
      </c>
    </row>
    <row r="57" spans="2:9" x14ac:dyDescent="0.25">
      <c r="B57" s="77" t="s">
        <v>130</v>
      </c>
      <c r="C57" s="78" t="s">
        <v>135</v>
      </c>
      <c r="D57" s="81">
        <v>1583</v>
      </c>
    </row>
    <row r="58" spans="2:9" x14ac:dyDescent="0.25">
      <c r="B58" s="77" t="s">
        <v>131</v>
      </c>
      <c r="C58" s="78" t="s">
        <v>135</v>
      </c>
      <c r="D58" s="82">
        <v>306</v>
      </c>
    </row>
    <row r="59" spans="2:9" x14ac:dyDescent="0.25">
      <c r="B59" s="77" t="s">
        <v>132</v>
      </c>
      <c r="C59" s="78" t="s">
        <v>135</v>
      </c>
      <c r="D59" s="81">
        <v>1035</v>
      </c>
    </row>
    <row r="60" spans="2:9" x14ac:dyDescent="0.25">
      <c r="B60" s="80" t="s">
        <v>133</v>
      </c>
      <c r="C60" s="78" t="s">
        <v>135</v>
      </c>
      <c r="D60" s="81">
        <v>877</v>
      </c>
    </row>
    <row r="61" spans="2:9" x14ac:dyDescent="0.25">
      <c r="B61" s="39"/>
      <c r="C61" s="79" t="s">
        <v>134</v>
      </c>
      <c r="D61" s="83">
        <f>SUM(D53:D60)</f>
        <v>4223.53</v>
      </c>
    </row>
  </sheetData>
  <mergeCells count="5">
    <mergeCell ref="B30:I31"/>
    <mergeCell ref="B35:I36"/>
    <mergeCell ref="B53:B56"/>
    <mergeCell ref="D39:H39"/>
    <mergeCell ref="D2:I2"/>
  </mergeCells>
  <pageMargins left="0.7" right="0.7" top="0.75" bottom="0.75" header="0.3" footer="0.3"/>
  <pageSetup paperSize="9" orientation="portrait" verticalDpi="0" r:id="rId1"/>
  <ignoredErrors>
    <ignoredError sqref="I26"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2018-04-19T01:25:45Z</dcterms:modified>
</cp:coreProperties>
</file>