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Met Serv - 2019-24\1_Special Meter Reading - Test\"/>
    </mc:Choice>
  </mc:AlternateContent>
  <xr:revisionPtr revIDLastSave="0" documentId="13_ncr:1_{5B6EE3E0-284F-4D18-A5BE-CE61308A9E4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E7" i="11"/>
  <c r="D7" i="11" l="1"/>
  <c r="D25" i="17" l="1"/>
  <c r="L2" i="17" l="1"/>
  <c r="M2" i="17"/>
  <c r="N2" i="17"/>
  <c r="O2" i="17"/>
  <c r="K2" i="17"/>
  <c r="N5" i="17"/>
  <c r="L5" i="17"/>
  <c r="O1" i="17"/>
  <c r="N1" i="17"/>
  <c r="M1" i="17"/>
  <c r="L1" i="17"/>
  <c r="K1" i="17" l="1"/>
  <c r="K18" i="17" s="1"/>
  <c r="M5" i="17"/>
  <c r="K5" i="17"/>
  <c r="O5" i="17"/>
  <c r="I14" i="15"/>
  <c r="I13" i="15"/>
  <c r="G15" i="15"/>
  <c r="H15" i="15"/>
  <c r="H5" i="15"/>
  <c r="H6" i="15"/>
  <c r="I6" i="15" s="1"/>
  <c r="H7" i="15"/>
  <c r="I7" i="15" s="1"/>
  <c r="H8" i="15"/>
  <c r="H4" i="15"/>
  <c r="I4" i="15" s="1"/>
  <c r="I5" i="15"/>
  <c r="I8" i="15"/>
  <c r="E11" i="16"/>
  <c r="E25" i="17" s="1"/>
  <c r="I16" i="13"/>
  <c r="I15" i="13"/>
  <c r="G17" i="13"/>
  <c r="H17" i="13"/>
  <c r="H7" i="13"/>
  <c r="H11" i="13" s="1"/>
  <c r="I8" i="13"/>
  <c r="I9" i="13"/>
  <c r="I10" i="13"/>
  <c r="I7" i="13"/>
  <c r="G11" i="13"/>
  <c r="F11" i="16" l="1"/>
  <c r="K19" i="17"/>
  <c r="L18" i="17"/>
  <c r="B11" i="16"/>
  <c r="G9" i="15"/>
  <c r="H9" i="15"/>
  <c r="G11" i="16" l="1"/>
  <c r="G12" i="16" s="1"/>
  <c r="F56" i="8" s="1"/>
  <c r="F25" i="17"/>
  <c r="L19" i="17"/>
  <c r="M18" i="17"/>
  <c r="K20" i="17"/>
  <c r="H11" i="16" l="1"/>
  <c r="G25" i="17"/>
  <c r="M19" i="17"/>
  <c r="N18" i="17"/>
  <c r="L20" i="17"/>
  <c r="H25" i="17" l="1"/>
  <c r="I11" i="16"/>
  <c r="E8" i="11"/>
  <c r="D8" i="11"/>
  <c r="C18" i="17" s="1"/>
  <c r="O18" i="17"/>
  <c r="O19" i="17" s="1"/>
  <c r="N19" i="17"/>
  <c r="M20" i="17"/>
  <c r="F7" i="11" l="1"/>
  <c r="C19" i="17"/>
  <c r="O20" i="17"/>
  <c r="N20" i="17"/>
  <c r="H12" i="16"/>
  <c r="G56" i="8" s="1"/>
  <c r="F8" i="11" l="1"/>
  <c r="C20" i="17" s="1"/>
  <c r="D18" i="17"/>
  <c r="D19" i="17" s="1"/>
  <c r="D9" i="17" l="1"/>
  <c r="D8" i="17"/>
  <c r="E18" i="17"/>
  <c r="E19" i="17" s="1"/>
  <c r="D20" i="17"/>
  <c r="F15" i="15"/>
  <c r="E15" i="15"/>
  <c r="D15" i="15"/>
  <c r="E8" i="17" l="1"/>
  <c r="F18" i="17"/>
  <c r="F19" i="17" s="1"/>
  <c r="E20" i="17"/>
  <c r="E9" i="17"/>
  <c r="D10" i="17"/>
  <c r="D26" i="16" s="1"/>
  <c r="D29" i="16" s="1"/>
  <c r="C40" i="8" s="1"/>
  <c r="I15" i="15"/>
  <c r="E9" i="15"/>
  <c r="D9" i="15"/>
  <c r="F12" i="16"/>
  <c r="E56" i="8" s="1"/>
  <c r="E12" i="16"/>
  <c r="D56" i="8" s="1"/>
  <c r="D12" i="16"/>
  <c r="C56" i="8" s="1"/>
  <c r="I12" i="16"/>
  <c r="C6" i="16"/>
  <c r="C11" i="16" s="1"/>
  <c r="F17" i="13"/>
  <c r="E17" i="13"/>
  <c r="D17" i="13"/>
  <c r="F11" i="13"/>
  <c r="E11" i="13"/>
  <c r="D11" i="13"/>
  <c r="E10" i="17" l="1"/>
  <c r="E26" i="16" s="1"/>
  <c r="E29" i="16" s="1"/>
  <c r="D40" i="8" s="1"/>
  <c r="F8" i="17"/>
  <c r="G18" i="17"/>
  <c r="G19" i="17" s="1"/>
  <c r="F20" i="17"/>
  <c r="F9" i="17"/>
  <c r="I11" i="13"/>
  <c r="I17" i="13"/>
  <c r="F9" i="15"/>
  <c r="G8" i="17" l="1"/>
  <c r="G20" i="17"/>
  <c r="H18" i="17"/>
  <c r="H19" i="17" s="1"/>
  <c r="H9" i="17" s="1"/>
  <c r="G9" i="17"/>
  <c r="F10" i="17"/>
  <c r="F26" i="16" s="1"/>
  <c r="F29" i="16" s="1"/>
  <c r="E40" i="8" s="1"/>
  <c r="I9" i="15"/>
  <c r="H8" i="17" l="1"/>
  <c r="H20" i="17"/>
  <c r="G10" i="17"/>
  <c r="G26" i="16" s="1"/>
  <c r="G29" i="16" s="1"/>
  <c r="F40" i="8" s="1"/>
  <c r="D3" i="9"/>
  <c r="H10" i="17" l="1"/>
  <c r="H26" i="16" s="1"/>
  <c r="H29" i="16" s="1"/>
  <c r="I29" i="16" l="1"/>
  <c r="G40" i="8"/>
  <c r="H56" i="8"/>
  <c r="I28" i="16" l="1"/>
  <c r="I27" i="16"/>
  <c r="I26" i="16" l="1"/>
  <c r="H40" i="8" l="1"/>
  <c r="F3" i="17" l="1"/>
  <c r="H3" i="17"/>
  <c r="D3" i="17"/>
  <c r="G3" i="17"/>
  <c r="G7" i="11"/>
  <c r="E3" i="17"/>
  <c r="N3" i="17" l="1"/>
  <c r="N21" i="17" s="1"/>
  <c r="G21" i="17"/>
  <c r="K3" i="17"/>
  <c r="K21" i="17" s="1"/>
  <c r="D21" i="17"/>
  <c r="D11" i="17" s="1"/>
  <c r="L3" i="17"/>
  <c r="L21" i="17" s="1"/>
  <c r="E21" i="17"/>
  <c r="H21" i="17"/>
  <c r="O3" i="17"/>
  <c r="O21" i="17" s="1"/>
  <c r="G8" i="11"/>
  <c r="C21" i="17" s="1"/>
  <c r="M3" i="17"/>
  <c r="M21" i="17" s="1"/>
  <c r="F21" i="17"/>
  <c r="D30" i="16" l="1"/>
  <c r="H11" i="17"/>
  <c r="E11" i="17"/>
  <c r="G11" i="17"/>
  <c r="F11" i="17"/>
  <c r="F30" i="16" l="1"/>
  <c r="E30" i="16"/>
  <c r="H30" i="16"/>
  <c r="G30" i="16"/>
  <c r="I30" i="16" l="1"/>
  <c r="E4" i="17" l="1"/>
  <c r="G4" i="17"/>
  <c r="H7" i="11"/>
  <c r="F4" i="17"/>
  <c r="H4" i="17"/>
  <c r="D4" i="17"/>
  <c r="F22" i="17" l="1"/>
  <c r="M4" i="17"/>
  <c r="M22" i="17" s="1"/>
  <c r="H8" i="11"/>
  <c r="C22" i="17" s="1"/>
  <c r="I7" i="11"/>
  <c r="I8" i="11" s="1"/>
  <c r="C23" i="17" s="1"/>
  <c r="D22" i="17"/>
  <c r="D12" i="17" s="1"/>
  <c r="K4" i="17"/>
  <c r="K22" i="17" s="1"/>
  <c r="N4" i="17"/>
  <c r="N22" i="17" s="1"/>
  <c r="G22" i="17"/>
  <c r="O4" i="17"/>
  <c r="O22" i="17" s="1"/>
  <c r="H22" i="17"/>
  <c r="E22" i="17"/>
  <c r="L4" i="17"/>
  <c r="L22" i="17" s="1"/>
  <c r="D23" i="17" l="1"/>
  <c r="D13" i="17" s="1"/>
  <c r="D32" i="16" s="1"/>
  <c r="E12" i="17"/>
  <c r="H12" i="17"/>
  <c r="K23" i="17"/>
  <c r="L23" i="17" s="1"/>
  <c r="M23" i="17" s="1"/>
  <c r="N23" i="17" s="1"/>
  <c r="O23" i="17" s="1"/>
  <c r="O24" i="17" s="1"/>
  <c r="D31" i="16"/>
  <c r="G12" i="17"/>
  <c r="J7" i="11"/>
  <c r="J8" i="11" s="1"/>
  <c r="F12" i="17"/>
  <c r="E23" i="17" l="1"/>
  <c r="E24" i="17" s="1"/>
  <c r="D24" i="17"/>
  <c r="M24" i="17"/>
  <c r="D14" i="17"/>
  <c r="N24" i="17"/>
  <c r="L24" i="17"/>
  <c r="K24" i="17"/>
  <c r="G31" i="16"/>
  <c r="C42" i="8"/>
  <c r="D33" i="16"/>
  <c r="H31" i="16"/>
  <c r="F31" i="16"/>
  <c r="C24" i="17"/>
  <c r="D7" i="8"/>
  <c r="E31" i="16"/>
  <c r="F23" i="17" l="1"/>
  <c r="F13" i="17" s="1"/>
  <c r="D26" i="17"/>
  <c r="D6" i="16" s="1"/>
  <c r="D7" i="16" s="1"/>
  <c r="E26" i="17"/>
  <c r="E6" i="16" s="1"/>
  <c r="E7" i="16" s="1"/>
  <c r="E13" i="17"/>
  <c r="E32" i="16" s="1"/>
  <c r="D42" i="8" s="1"/>
  <c r="D44" i="8" s="1"/>
  <c r="C44" i="8"/>
  <c r="I31" i="16"/>
  <c r="D15" i="17" l="1"/>
  <c r="F24" i="17"/>
  <c r="F26" i="17" s="1"/>
  <c r="F6" i="16" s="1"/>
  <c r="G23" i="17"/>
  <c r="G13" i="17" s="1"/>
  <c r="E33" i="16"/>
  <c r="E14" i="17"/>
  <c r="E15" i="17" s="1"/>
  <c r="G24" i="17"/>
  <c r="F32" i="16"/>
  <c r="F14" i="17"/>
  <c r="H23" i="17" l="1"/>
  <c r="H24" i="17" s="1"/>
  <c r="F15" i="17"/>
  <c r="G26" i="17"/>
  <c r="G6" i="16" s="1"/>
  <c r="G7" i="16" s="1"/>
  <c r="F7" i="16"/>
  <c r="G32" i="16"/>
  <c r="G14" i="17"/>
  <c r="E42" i="8"/>
  <c r="F33" i="16"/>
  <c r="H13" i="17"/>
  <c r="G15" i="17" l="1"/>
  <c r="H26" i="17"/>
  <c r="H6" i="16" s="1"/>
  <c r="H7" i="16" s="1"/>
  <c r="E44" i="8"/>
  <c r="H32" i="16"/>
  <c r="H14" i="17"/>
  <c r="G33" i="16"/>
  <c r="F42" i="8"/>
  <c r="F44" i="8" s="1"/>
  <c r="H15" i="17" l="1"/>
  <c r="I6" i="16"/>
  <c r="I7" i="16" s="1"/>
  <c r="G42" i="8"/>
  <c r="H33" i="16"/>
  <c r="I32" i="16"/>
  <c r="I33" i="16" s="1"/>
  <c r="G44" i="8" l="1"/>
  <c r="H42" i="8"/>
  <c r="H44" i="8" s="1"/>
</calcChain>
</file>

<file path=xl/sharedStrings.xml><?xml version="1.0" encoding="utf-8"?>
<sst xmlns="http://schemas.openxmlformats.org/spreadsheetml/2006/main" count="221" uniqueCount="140">
  <si>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</si>
  <si>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</si>
  <si>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</si>
  <si>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</si>
  <si>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</si>
  <si>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</si>
  <si>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</si>
  <si>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</si>
  <si>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</si>
  <si>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</si>
  <si>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</si>
  <si>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</si>
  <si>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</si>
  <si>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</si>
  <si>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</si>
  <si>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</si>
  <si>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</si>
  <si>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</si>
  <si>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</si>
  <si>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</si>
  <si>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</si>
  <si>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</si>
  <si>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</si>
  <si>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</si>
  <si>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</si>
  <si>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</si>
  <si>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</si>
  <si>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</si>
  <si>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</si>
  <si>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</si>
  <si>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</si>
  <si>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</si>
  <si>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</si>
  <si>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</si>
  <si>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</si>
  <si>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</si>
  <si>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</si>
  <si>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</si>
  <si>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</si>
  <si>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</si>
  <si>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</si>
  <si>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</si>
  <si>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</si>
  <si>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</si>
  <si>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</si>
  <si>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</si>
  <si>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</si>
  <si>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</si>
  <si>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</si>
  <si>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</si>
  <si>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</si>
  <si>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</si>
  <si>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</si>
  <si>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</si>
  <si>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</si>
  <si>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</si>
  <si>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</si>
  <si>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</si>
  <si>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</si>
  <si>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 xml:space="preserve">Existing Service Description (2014 - 19) </t>
  </si>
  <si>
    <t>FY2019 Fully Loaded Cost</t>
  </si>
  <si>
    <t>Move In / Move Out - Meter Read</t>
  </si>
  <si>
    <t xml:space="preserve">
B2B service orders from retailers to obtain a final read for customer move-outs or to obtain a start read where a
customer is moving in to a site that has been vacant.
These services are additional to the special meter reading, disconnection/reconnection and testing services.
Charges may also be levied due to a number of reasons, such as, but not limited to the following:
&gt; Unable to access main switch board or metering;
&gt; Safety of installation or Essential Energy’s employee;
&gt; Late cancellation by retailer;
&gt; Reconnection/disconnection for short periods, such as for holiday homes.</t>
  </si>
  <si>
    <t xml:space="preserve">
Special meter reading and testing (legacy meters)
Special meter reading and testing services include:
 - Special meter reading for type 5 and 6 meters and move in and move out metering reading (type 5 and 6 meters)
 - Type 5 meter final read on removed type 5 metering equipment
 - Special meter test (for type 5 and 6 meters)
 - Type 5 and 6 non-standard meter data services
 - Type 5 and 6 current transformer testing.</t>
  </si>
  <si>
    <t>Move In / Move Out - Meter Read (fixed fee)</t>
  </si>
  <si>
    <t>Bottom Up Estimation</t>
  </si>
  <si>
    <t>Total Direct Costs $2019/20</t>
  </si>
  <si>
    <t>Total Indirect Costs $2019/20</t>
  </si>
  <si>
    <t>TOTAL COSTS $2019/20</t>
  </si>
  <si>
    <t>Operating Costs (on IO's, work orders, cost objects, cost centres)</t>
  </si>
  <si>
    <t>ACSCW 30010</t>
  </si>
  <si>
    <t>FY22/23</t>
  </si>
  <si>
    <t>Projected Volumes for FY2019-24 Regulatory Period</t>
  </si>
  <si>
    <t>Meter Officer</t>
  </si>
  <si>
    <t>ANS P&amp;L</t>
  </si>
  <si>
    <t>Project Code</t>
  </si>
  <si>
    <t xml:space="preserve">Operating Costs - </t>
  </si>
  <si>
    <t>Move In Meter Read</t>
  </si>
  <si>
    <t>Move Out Meter Read</t>
  </si>
  <si>
    <t>FY17/18</t>
  </si>
  <si>
    <t>FY18/19</t>
  </si>
  <si>
    <t>ACSCW 30010 - Move In / Move Out - Meter Read</t>
  </si>
  <si>
    <t>FY14/15 operating costs  - N/A</t>
  </si>
  <si>
    <t>FY15/16 operating costs  - Actuals</t>
  </si>
  <si>
    <t>FY17/18 operating costs  - Pro rata based on YTD Dec17 values</t>
  </si>
  <si>
    <t xml:space="preserve">FY18/19 operating costs  - Estimated </t>
  </si>
  <si>
    <t>Sourced from ANS P&amp;L Report</t>
  </si>
  <si>
    <t>FY14/15 revenue  - N/A</t>
  </si>
  <si>
    <t>FY15/16 revenue  - Actuals</t>
  </si>
  <si>
    <t>FY16/17 revenue  - Actuals</t>
  </si>
  <si>
    <t>FY17/18 revenue  - Pro rata based on YTD Dec17 values</t>
  </si>
  <si>
    <t xml:space="preserve">FY18/19 revenue  - Estimated </t>
  </si>
  <si>
    <t xml:space="preserve"> Reduction each year by 4% based on Smart meter replacement values.</t>
  </si>
  <si>
    <t xml:space="preserve"> - </t>
  </si>
  <si>
    <t>FY16/17 operating costs  - Actuals - Error with Contract allocation and  coperate overheads.</t>
  </si>
  <si>
    <t>MIMO Reads are completed by authorised contractors from FY16/17.</t>
  </si>
  <si>
    <r>
      <t xml:space="preserve">
</t>
    </r>
    <r>
      <rPr>
        <b/>
        <sz val="10"/>
        <color theme="1"/>
        <rFont val="Arial"/>
        <family val="2"/>
      </rPr>
      <t>Move In / Move Out - Meter Read</t>
    </r>
    <r>
      <rPr>
        <sz val="10"/>
        <color theme="1"/>
        <rFont val="Arial"/>
        <family val="2"/>
      </rPr>
      <t xml:space="preserve">
B2B service orders from retailers to obtain a final read for customer move-outs or to obtain a start read where a
customer is moving in to a site that has been vacant.
These services are additional to the special meter reading, disconnection/reconnection and testing services.
Charges may also be levied due to a number of reasons, such as, but not limited to the following:
&gt; Unable to access main switch board or metering;
&gt; Safety of installation or Essential Energy’s employee;
&gt; Late cancellation by retailer;
&gt; Reconnection/disconnection for short periods, such as for holiday homes.</t>
    </r>
  </si>
  <si>
    <t>Overheads</t>
  </si>
  <si>
    <t>Labour escalation</t>
  </si>
  <si>
    <t>Overhead rate</t>
  </si>
  <si>
    <t>Average non-system charge</t>
  </si>
  <si>
    <t>WACC rate</t>
  </si>
  <si>
    <t>ORDINARY LABOUR TIME</t>
  </si>
  <si>
    <t>OVERTIME</t>
  </si>
  <si>
    <t>2019-20</t>
  </si>
  <si>
    <t>2020-21</t>
  </si>
  <si>
    <t>2021-22</t>
  </si>
  <si>
    <t>2022-23</t>
  </si>
  <si>
    <t>2023-24</t>
  </si>
  <si>
    <t>Materials</t>
  </si>
  <si>
    <t>Total before OHDs, non-system &amp; margin</t>
  </si>
  <si>
    <t>Non-system charge</t>
  </si>
  <si>
    <t>Profit margin</t>
  </si>
  <si>
    <t>Fully Loaded Costs</t>
  </si>
  <si>
    <t>Forecast revenue (check)</t>
  </si>
  <si>
    <t>Real 2018-19 including escalation</t>
  </si>
  <si>
    <t>Profit margin (WACC FY20) per service</t>
  </si>
  <si>
    <t>Fully Loaded Cost per service</t>
  </si>
  <si>
    <t>Forecast volumes</t>
  </si>
  <si>
    <t>Forecast revenue</t>
  </si>
  <si>
    <t>Contractor rate increase</t>
  </si>
  <si>
    <t>Contractor rate</t>
  </si>
  <si>
    <t>Contractor increase</t>
  </si>
  <si>
    <t>Contractor Rate</t>
  </si>
  <si>
    <t>Direct cost per service</t>
  </si>
  <si>
    <t>Overtime loading?
0 = No
1 = Yes</t>
  </si>
  <si>
    <t>Forecast Revenue</t>
  </si>
  <si>
    <t>Alternative Control Service - Forecast Revenue &amp; Costs workings</t>
  </si>
  <si>
    <t>Labour</t>
  </si>
  <si>
    <t>Fleet</t>
  </si>
  <si>
    <t>Total costs before OHDs, non-system and margin</t>
  </si>
  <si>
    <t>Proposed Fee ($2018/19 - Excl GST)</t>
  </si>
  <si>
    <t>Real $2018-19</t>
  </si>
  <si>
    <t>Per service</t>
  </si>
  <si>
    <t xml:space="preserve">Meter Read </t>
  </si>
  <si>
    <t>Historical revenue referenced from ANS P&amp;L Report 30010</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</si>
  <si>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</si>
  <si>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Service is provided by authorised contractors. Contract rates are averages across 4 operational zones.</t>
  </si>
  <si>
    <t>1.1 Move In Move out Meter Read</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</si>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</sst>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4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sz val="11"/>
      <color theme="1"/>
      <name val="Calibri"/>
      <family val="2"/>
      <scheme val="minor"/>
    </font>
    <font>
      <b/>
      <sz val="12"/>
      <color theme="1"/>
      <name val="Calibri"/>
      <family val="2"/>
      <scheme val="minor"/>
    </font>
    <font>
      <b/>
      <sz val="10"/>
      <color theme="0"/>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
      <patternFill patternType="solid">
        <fgColor theme="1"/>
        <bgColor indexed="64"/>
      </patternFill>
    </fill>
    <fill>
      <patternFill patternType="solid">
        <fgColor theme="4"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66">
    <xf numFmtId="0" fontId="0" fillId="0" borderId="0" xfId="0"/>
    <xf numFmtId="0" fontId="2" fillId="0" borderId="0" xfId="0" applyFont="1"/>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170" fontId="7" fillId="11" borderId="4" xfId="0" applyNumberFormat="1" applyFont="1" applyFill="1" applyBorder="1" applyAlignment="1">
      <alignment horizontal="center"/>
    </xf>
    <xf numFmtId="0" fontId="7" fillId="11" borderId="7"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2" fillId="10" borderId="4" xfId="0" applyFont="1" applyFill="1" applyBorder="1" applyAlignment="1">
      <alignment horizontal="left"/>
    </xf>
    <xf numFmtId="3" fontId="2" fillId="10" borderId="4" xfId="0" applyNumberFormat="1" applyFont="1" applyFill="1" applyBorder="1"/>
    <xf numFmtId="168" fontId="2" fillId="10" borderId="5" xfId="2" applyNumberFormat="1" applyFont="1" applyFill="1" applyBorder="1" applyAlignment="1">
      <alignment horizontal="center"/>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9" xfId="0" applyFont="1" applyFill="1" applyBorder="1"/>
    <xf numFmtId="0" fontId="18" fillId="7" borderId="0" xfId="0" applyFont="1" applyFill="1" applyBorder="1" applyAlignment="1">
      <alignment horizontal="center" vertical="center" wrapText="1"/>
    </xf>
    <xf numFmtId="0" fontId="15" fillId="2" borderId="1" xfId="0" applyFont="1" applyFill="1" applyBorder="1" applyAlignment="1">
      <alignment horizontal="center"/>
    </xf>
    <xf numFmtId="0" fontId="19" fillId="7" borderId="0" xfId="0" applyFont="1" applyFill="1" applyBorder="1" applyAlignment="1">
      <alignment horizontal="center" vertical="center"/>
    </xf>
    <xf numFmtId="0" fontId="16" fillId="9" borderId="9" xfId="0" applyFont="1" applyFill="1" applyBorder="1" applyAlignment="1">
      <alignment vertical="center"/>
    </xf>
    <xf numFmtId="170" fontId="15" fillId="7" borderId="5" xfId="0" applyNumberFormat="1" applyFont="1" applyFill="1" applyBorder="1" applyAlignment="1">
      <alignment horizontal="center"/>
    </xf>
    <xf numFmtId="170" fontId="15" fillId="7" borderId="10" xfId="0" applyNumberFormat="1" applyFont="1" applyFill="1" applyBorder="1" applyAlignment="1">
      <alignment horizontal="center"/>
    </xf>
    <xf numFmtId="0" fontId="15" fillId="7" borderId="0" xfId="0" applyFont="1" applyFill="1" applyBorder="1" applyAlignment="1">
      <alignment horizontal="center" vertical="center"/>
    </xf>
    <xf numFmtId="170" fontId="15" fillId="7" borderId="3" xfId="0" applyNumberFormat="1" applyFont="1" applyFill="1" applyBorder="1" applyAlignment="1">
      <alignment horizontal="center"/>
    </xf>
    <xf numFmtId="170" fontId="15" fillId="3" borderId="2"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8" xfId="0" applyFont="1" applyFill="1" applyBorder="1" applyAlignment="1">
      <alignment horizontal="left"/>
    </xf>
    <xf numFmtId="0" fontId="17" fillId="7" borderId="0" xfId="0" applyFont="1" applyFill="1" applyBorder="1" applyAlignment="1">
      <alignment horizontal="left"/>
    </xf>
    <xf numFmtId="0" fontId="13" fillId="8" borderId="10" xfId="0" applyFont="1" applyFill="1" applyBorder="1"/>
    <xf numFmtId="0" fontId="14" fillId="8" borderId="0" xfId="0" applyFont="1" applyFill="1" applyBorder="1"/>
    <xf numFmtId="0" fontId="14" fillId="8" borderId="2"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0" borderId="0" xfId="0" applyFont="1" applyAlignment="1">
      <alignment horizontal="left"/>
    </xf>
    <xf numFmtId="0" fontId="15" fillId="7" borderId="0" xfId="0" applyFont="1" applyFill="1" applyBorder="1" applyAlignment="1">
      <alignment horizontal="left" wrapText="1"/>
    </xf>
    <xf numFmtId="0" fontId="15" fillId="7" borderId="0" xfId="0" applyFont="1" applyFill="1" applyBorder="1" applyAlignment="1">
      <alignment horizontal="left"/>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8" fontId="20" fillId="0" borderId="0" xfId="2" applyNumberFormat="1" applyFont="1"/>
    <xf numFmtId="0" fontId="16" fillId="2" borderId="6" xfId="0" applyFont="1" applyFill="1" applyBorder="1"/>
    <xf numFmtId="168" fontId="16" fillId="2" borderId="7" xfId="2" applyNumberFormat="1" applyFont="1" applyFill="1" applyBorder="1"/>
    <xf numFmtId="10" fontId="15" fillId="0" borderId="0" xfId="1" applyNumberFormat="1" applyFont="1"/>
    <xf numFmtId="10" fontId="15" fillId="0" borderId="0" xfId="0"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9" fontId="20" fillId="0" borderId="0" xfId="3" applyNumberFormat="1" applyFont="1" applyAlignment="1"/>
    <xf numFmtId="172" fontId="16" fillId="2" borderId="7" xfId="2" applyNumberFormat="1" applyFont="1" applyFill="1" applyBorder="1" applyAlignment="1"/>
    <xf numFmtId="169" fontId="21" fillId="0" borderId="0" xfId="3" applyNumberFormat="1" applyFont="1" applyAlignment="1">
      <alignment horizontal="right"/>
    </xf>
    <xf numFmtId="169" fontId="21" fillId="0" borderId="0" xfId="3" applyNumberFormat="1" applyFont="1" applyAlignment="1">
      <alignment horizontal="center" vertical="center"/>
    </xf>
    <xf numFmtId="0" fontId="7" fillId="9" borderId="4" xfId="0" applyFont="1" applyFill="1" applyBorder="1" applyAlignment="1">
      <alignment vertical="center"/>
    </xf>
    <xf numFmtId="0" fontId="9" fillId="4" borderId="0" xfId="0" applyFont="1" applyFill="1" applyBorder="1" applyAlignment="1">
      <alignment horizontal="left" vertical="top" wrapText="1"/>
    </xf>
    <xf numFmtId="0" fontId="7" fillId="11" borderId="4" xfId="0" applyFont="1" applyFill="1" applyBorder="1" applyAlignment="1">
      <alignment horizontal="center"/>
    </xf>
    <xf numFmtId="0" fontId="7" fillId="11" borderId="8" xfId="0" applyFont="1" applyFill="1" applyBorder="1" applyAlignment="1">
      <alignment horizontal="center"/>
    </xf>
    <xf numFmtId="168" fontId="2" fillId="10" borderId="5" xfId="2" applyNumberFormat="1" applyFont="1" applyFill="1" applyBorder="1"/>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2" fillId="4" borderId="10" xfId="0" quotePrefix="1" applyFont="1" applyFill="1" applyBorder="1" applyAlignment="1">
      <alignment vertical="top" wrapText="1"/>
    </xf>
    <xf numFmtId="0" fontId="2" fillId="4" borderId="1" xfId="0" quotePrefix="1" applyFont="1" applyFill="1" applyBorder="1" applyAlignment="1">
      <alignment vertical="top" wrapText="1"/>
    </xf>
    <xf numFmtId="0" fontId="2" fillId="4" borderId="8" xfId="0" quotePrefix="1" applyFont="1" applyFill="1" applyBorder="1" applyAlignment="1">
      <alignment vertical="top" wrapText="1"/>
    </xf>
    <xf numFmtId="0" fontId="2" fillId="4" borderId="0" xfId="0" quotePrefix="1" applyFont="1" applyFill="1" applyBorder="1" applyAlignment="1">
      <alignment vertical="top" wrapText="1"/>
    </xf>
    <xf numFmtId="3" fontId="2" fillId="10" borderId="4" xfId="0" applyNumberFormat="1" applyFont="1" applyFill="1" applyBorder="1" applyAlignment="1">
      <alignment horizontal="right"/>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8" fontId="2" fillId="10" borderId="4" xfId="2" applyNumberFormat="1" applyFont="1" applyFill="1" applyBorder="1" applyAlignment="1">
      <alignment horizontal="right"/>
    </xf>
    <xf numFmtId="0" fontId="22" fillId="2" borderId="5" xfId="0" applyFont="1" applyFill="1" applyBorder="1" applyAlignment="1">
      <alignment horizontal="center" vertical="center"/>
    </xf>
    <xf numFmtId="0" fontId="5" fillId="8" borderId="9" xfId="0" applyFont="1" applyFill="1" applyBorder="1" applyAlignment="1">
      <alignment horizontal="center" vertical="center" wrapText="1"/>
    </xf>
    <xf numFmtId="2" fontId="5" fillId="8" borderId="9" xfId="0" applyNumberFormat="1" applyFont="1" applyFill="1" applyBorder="1" applyAlignment="1">
      <alignment horizontal="center" vertical="center" wrapText="1"/>
    </xf>
    <xf numFmtId="0" fontId="7" fillId="11" borderId="5" xfId="0" applyFont="1" applyFill="1" applyBorder="1" applyAlignment="1">
      <alignment vertical="center"/>
    </xf>
    <xf numFmtId="0" fontId="5" fillId="8" borderId="8" xfId="0" applyFont="1" applyFill="1" applyBorder="1" applyAlignment="1"/>
    <xf numFmtId="0" fontId="5" fillId="8" borderId="0" xfId="0" applyFont="1" applyFill="1" applyBorder="1" applyAlignment="1"/>
    <xf numFmtId="0" fontId="23" fillId="8" borderId="0" xfId="0" applyFont="1" applyFill="1"/>
    <xf numFmtId="0" fontId="24" fillId="8" borderId="0" xfId="0" applyFont="1" applyFill="1"/>
    <xf numFmtId="0" fontId="25" fillId="0" borderId="0" xfId="0" applyFont="1"/>
    <xf numFmtId="0" fontId="26" fillId="0" borderId="0" xfId="0" applyFont="1"/>
    <xf numFmtId="0" fontId="27" fillId="5" borderId="7" xfId="0" applyFont="1" applyFill="1" applyBorder="1" applyAlignment="1">
      <alignment horizontal="left"/>
    </xf>
    <xf numFmtId="0" fontId="27" fillId="5" borderId="7" xfId="0" applyFont="1" applyFill="1" applyBorder="1" applyAlignment="1">
      <alignment horizontal="center"/>
    </xf>
    <xf numFmtId="0" fontId="27" fillId="5" borderId="8" xfId="0" applyFont="1" applyFill="1" applyBorder="1" applyAlignment="1">
      <alignment horizontal="right"/>
    </xf>
    <xf numFmtId="0" fontId="26" fillId="10" borderId="4" xfId="0" applyFont="1" applyFill="1" applyBorder="1" applyAlignment="1">
      <alignment horizontal="left"/>
    </xf>
    <xf numFmtId="0" fontId="26" fillId="4" borderId="4" xfId="0" applyFont="1" applyFill="1" applyBorder="1"/>
    <xf numFmtId="168" fontId="26" fillId="10" borderId="4" xfId="2" applyNumberFormat="1" applyFont="1" applyFill="1" applyBorder="1"/>
    <xf numFmtId="0" fontId="26" fillId="4" borderId="3" xfId="0" applyFont="1" applyFill="1" applyBorder="1"/>
    <xf numFmtId="0" fontId="27" fillId="5" borderId="8" xfId="0" applyFont="1" applyFill="1" applyBorder="1"/>
    <xf numFmtId="0" fontId="27" fillId="5" borderId="0" xfId="0" applyFont="1" applyFill="1" applyBorder="1"/>
    <xf numFmtId="168" fontId="27" fillId="5" borderId="8" xfId="2" applyNumberFormat="1" applyFont="1" applyFill="1" applyBorder="1"/>
    <xf numFmtId="0" fontId="26" fillId="4" borderId="5" xfId="0" applyFont="1" applyFill="1" applyBorder="1"/>
    <xf numFmtId="3" fontId="26" fillId="10" borderId="4" xfId="0" applyNumberFormat="1" applyFont="1" applyFill="1" applyBorder="1"/>
    <xf numFmtId="0" fontId="28" fillId="0" borderId="0" xfId="0" applyFont="1"/>
    <xf numFmtId="0" fontId="27" fillId="5" borderId="6" xfId="0" applyFont="1" applyFill="1" applyBorder="1" applyAlignment="1">
      <alignment horizontal="left"/>
    </xf>
    <xf numFmtId="0" fontId="27" fillId="5" borderId="12" xfId="0" applyFont="1" applyFill="1" applyBorder="1"/>
    <xf numFmtId="0" fontId="29" fillId="5" borderId="12" xfId="0" applyFont="1" applyFill="1" applyBorder="1"/>
    <xf numFmtId="0" fontId="26" fillId="4" borderId="0" xfId="0" quotePrefix="1" applyFont="1" applyFill="1" applyBorder="1" applyAlignment="1">
      <alignment vertical="top"/>
    </xf>
    <xf numFmtId="0" fontId="26" fillId="4" borderId="0" xfId="0" applyFont="1" applyFill="1" applyBorder="1" applyAlignment="1">
      <alignment vertical="top"/>
    </xf>
    <xf numFmtId="0" fontId="23" fillId="8" borderId="12" xfId="0" applyFont="1" applyFill="1" applyBorder="1"/>
    <xf numFmtId="0" fontId="24" fillId="8" borderId="12" xfId="0" applyFont="1" applyFill="1" applyBorder="1"/>
    <xf numFmtId="0" fontId="27" fillId="5" borderId="3" xfId="0" applyFont="1" applyFill="1" applyBorder="1"/>
    <xf numFmtId="0" fontId="27" fillId="5" borderId="4" xfId="0" applyFont="1" applyFill="1" applyBorder="1"/>
    <xf numFmtId="0" fontId="27" fillId="5" borderId="5" xfId="0" applyFont="1" applyFill="1" applyBorder="1" applyAlignment="1">
      <alignment horizontal="right"/>
    </xf>
    <xf numFmtId="0" fontId="26" fillId="4" borderId="3" xfId="0" applyFont="1" applyFill="1" applyBorder="1" applyAlignment="1">
      <alignment horizontal="left" indent="1"/>
    </xf>
    <xf numFmtId="168" fontId="26" fillId="10" borderId="5" xfId="2" applyNumberFormat="1" applyFont="1" applyFill="1" applyBorder="1" applyAlignment="1">
      <alignment horizontal="center"/>
    </xf>
    <xf numFmtId="0" fontId="28" fillId="4" borderId="3" xfId="0" applyFont="1" applyFill="1" applyBorder="1"/>
    <xf numFmtId="168" fontId="26" fillId="10" borderId="5" xfId="2" applyNumberFormat="1" applyFont="1" applyFill="1" applyBorder="1" applyAlignment="1">
      <alignment horizontal="right"/>
    </xf>
    <xf numFmtId="0" fontId="27" fillId="5" borderId="1" xfId="0" applyFont="1" applyFill="1" applyBorder="1"/>
    <xf numFmtId="0" fontId="29" fillId="5" borderId="1" xfId="0" applyFont="1" applyFill="1" applyBorder="1"/>
    <xf numFmtId="168" fontId="27" fillId="5" borderId="9" xfId="2" applyNumberFormat="1" applyFont="1" applyFill="1" applyBorder="1"/>
    <xf numFmtId="168" fontId="6" fillId="10" borderId="5" xfId="2" applyNumberFormat="1" applyFont="1" applyFill="1" applyBorder="1" applyAlignment="1">
      <alignment horizontal="center"/>
    </xf>
    <xf numFmtId="0" fontId="30" fillId="0" borderId="0" xfId="0" applyFont="1"/>
    <xf numFmtId="10" fontId="30" fillId="0" borderId="0" xfId="1" applyNumberFormat="1" applyFont="1"/>
    <xf numFmtId="10" fontId="30" fillId="0" borderId="0" xfId="0" applyNumberFormat="1" applyFont="1"/>
    <xf numFmtId="0" fontId="31" fillId="0" borderId="0" xfId="0" applyFont="1"/>
    <xf numFmtId="167" fontId="32" fillId="13" borderId="4" xfId="3" applyFont="1" applyFill="1" applyBorder="1" applyAlignment="1">
      <alignment horizontal="center"/>
    </xf>
    <xf numFmtId="167" fontId="33" fillId="5" borderId="4" xfId="3" applyFont="1" applyFill="1" applyBorder="1" applyAlignment="1">
      <alignment horizontal="left" indent="2"/>
    </xf>
    <xf numFmtId="167" fontId="33" fillId="5" borderId="4" xfId="3" applyFont="1" applyFill="1" applyBorder="1"/>
    <xf numFmtId="173" fontId="33" fillId="5" borderId="4" xfId="3" applyNumberFormat="1" applyFont="1" applyFill="1" applyBorder="1"/>
    <xf numFmtId="167" fontId="34" fillId="5" borderId="4" xfId="3" applyFont="1" applyFill="1" applyBorder="1"/>
    <xf numFmtId="173" fontId="34" fillId="5" borderId="4" xfId="3" applyNumberFormat="1" applyFont="1" applyFill="1" applyBorder="1"/>
    <xf numFmtId="173" fontId="33" fillId="5" borderId="4" xfId="3" applyNumberFormat="1" applyFont="1" applyFill="1" applyBorder="1" applyAlignment="1">
      <alignment horizontal="right"/>
    </xf>
    <xf numFmtId="0" fontId="34" fillId="5" borderId="5" xfId="0" applyFont="1" applyFill="1" applyBorder="1"/>
    <xf numFmtId="0" fontId="34" fillId="5" borderId="0" xfId="0" applyFont="1" applyFill="1" applyBorder="1"/>
    <xf numFmtId="0" fontId="35" fillId="0" borderId="0" xfId="0" applyFont="1"/>
    <xf numFmtId="0" fontId="36" fillId="0" borderId="8" xfId="0" applyFont="1" applyFill="1" applyBorder="1"/>
    <xf numFmtId="0" fontId="37" fillId="4" borderId="5" xfId="0" applyFont="1" applyFill="1" applyBorder="1"/>
    <xf numFmtId="0" fontId="34" fillId="4" borderId="5" xfId="0" applyFont="1" applyFill="1" applyBorder="1"/>
    <xf numFmtId="0" fontId="33" fillId="4" borderId="4" xfId="0" applyFont="1" applyFill="1" applyBorder="1" applyAlignment="1">
      <alignment horizontal="left"/>
    </xf>
    <xf numFmtId="167" fontId="38" fillId="10" borderId="4" xfId="3" applyFont="1" applyFill="1" applyBorder="1"/>
    <xf numFmtId="167" fontId="33" fillId="10" borderId="4" xfId="3" applyFont="1" applyFill="1" applyBorder="1"/>
    <xf numFmtId="167" fontId="34" fillId="5" borderId="4" xfId="3" applyFont="1" applyFill="1" applyBorder="1" applyAlignment="1">
      <alignment horizontal="left"/>
    </xf>
    <xf numFmtId="167" fontId="38" fillId="5" borderId="4" xfId="3" applyFont="1" applyFill="1" applyBorder="1"/>
    <xf numFmtId="167" fontId="38" fillId="10" borderId="4" xfId="3" applyFont="1" applyFill="1" applyBorder="1" applyAlignment="1">
      <alignment horizontal="right"/>
    </xf>
    <xf numFmtId="167" fontId="33" fillId="10" borderId="4" xfId="3" applyFont="1" applyFill="1" applyBorder="1" applyAlignment="1">
      <alignment horizontal="right"/>
    </xf>
    <xf numFmtId="0" fontId="34" fillId="4" borderId="4" xfId="0" applyFont="1" applyFill="1" applyBorder="1" applyAlignment="1">
      <alignment horizontal="left"/>
    </xf>
    <xf numFmtId="167" fontId="39" fillId="10" borderId="4" xfId="3" applyFont="1" applyFill="1" applyBorder="1"/>
    <xf numFmtId="167" fontId="34" fillId="10" borderId="4" xfId="3" applyFont="1" applyFill="1" applyBorder="1"/>
    <xf numFmtId="0" fontId="33" fillId="4" borderId="7" xfId="0" applyFont="1" applyFill="1" applyBorder="1" applyAlignment="1">
      <alignment horizontal="left"/>
    </xf>
    <xf numFmtId="173" fontId="33" fillId="10" borderId="4" xfId="3" applyNumberFormat="1" applyFont="1" applyFill="1" applyBorder="1"/>
    <xf numFmtId="170" fontId="5" fillId="8" borderId="9" xfId="0" applyNumberFormat="1" applyFont="1" applyFill="1" applyBorder="1" applyAlignment="1">
      <alignment horizontal="center" vertical="center" wrapText="1"/>
    </xf>
    <xf numFmtId="0" fontId="4" fillId="10" borderId="11" xfId="0" applyFont="1" applyFill="1" applyBorder="1" applyAlignment="1">
      <alignment horizontal="left" vertical="center"/>
    </xf>
    <xf numFmtId="3" fontId="4" fillId="10" borderId="13"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xf numFmtId="2" fontId="4" fillId="10" borderId="13" xfId="0" applyNumberFormat="1" applyFont="1" applyFill="1" applyBorder="1" applyAlignment="1">
      <alignment horizontal="center"/>
    </xf>
    <xf numFmtId="2" fontId="7" fillId="11" borderId="4" xfId="0" applyNumberFormat="1" applyFont="1" applyFill="1" applyBorder="1" applyAlignment="1">
      <alignment horizontal="center"/>
    </xf>
    <xf numFmtId="168" fontId="28" fillId="11" borderId="5" xfId="2" applyNumberFormat="1" applyFont="1" applyFill="1" applyBorder="1"/>
    <xf numFmtId="168" fontId="6" fillId="11" borderId="5" xfId="2" applyNumberFormat="1" applyFont="1" applyFill="1" applyBorder="1"/>
    <xf numFmtId="3" fontId="6" fillId="11" borderId="4" xfId="0" applyNumberFormat="1" applyFont="1" applyFill="1" applyBorder="1"/>
    <xf numFmtId="171" fontId="9" fillId="0" borderId="0" xfId="1" applyNumberFormat="1" applyFont="1" applyFill="1"/>
    <xf numFmtId="2" fontId="4" fillId="10" borderId="13" xfId="3" applyNumberFormat="1" applyFont="1" applyFill="1" applyBorder="1" applyAlignment="1">
      <alignment horizontal="center"/>
    </xf>
    <xf numFmtId="0" fontId="7" fillId="11" borderId="4" xfId="0" applyFont="1" applyFill="1" applyBorder="1" applyAlignment="1">
      <alignment horizontal="left"/>
    </xf>
    <xf numFmtId="0" fontId="7" fillId="11" borderId="4" xfId="0" applyFont="1" applyFill="1" applyBorder="1" applyAlignment="1">
      <alignment horizontal="right"/>
    </xf>
    <xf numFmtId="0" fontId="2" fillId="4" borderId="4" xfId="0" quotePrefix="1" applyFont="1" applyFill="1" applyBorder="1" applyAlignment="1">
      <alignment wrapText="1"/>
    </xf>
    <xf numFmtId="170" fontId="20" fillId="7" borderId="2" xfId="0" applyNumberFormat="1" applyFont="1" applyFill="1" applyBorder="1" applyAlignment="1">
      <alignment horizontal="left"/>
    </xf>
    <xf numFmtId="170" fontId="20" fillId="7" borderId="3" xfId="0" applyNumberFormat="1" applyFont="1" applyFill="1" applyBorder="1" applyAlignment="1">
      <alignment horizontal="left"/>
    </xf>
    <xf numFmtId="0" fontId="17" fillId="7" borderId="5" xfId="0" applyNumberFormat="1" applyFont="1" applyFill="1" applyBorder="1" applyAlignment="1">
      <alignment horizontal="left" wrapText="1"/>
    </xf>
    <xf numFmtId="0" fontId="17" fillId="7" borderId="2"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5" fillId="7" borderId="0" xfId="0" applyFont="1" applyFill="1" applyBorder="1" applyAlignment="1">
      <alignment horizontal="left" wrapText="1"/>
    </xf>
    <xf numFmtId="0" fontId="2" fillId="7" borderId="1" xfId="0" applyFont="1" applyFill="1" applyBorder="1" applyAlignment="1">
      <alignment horizontal="left" vertical="top"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5" fillId="7" borderId="0" xfId="0" quotePrefix="1" applyFont="1" applyFill="1" applyBorder="1" applyAlignment="1">
      <alignment horizontal="left" vertical="top" wrapText="1"/>
    </xf>
    <xf numFmtId="0" fontId="15" fillId="2" borderId="5" xfId="0" applyFont="1" applyFill="1" applyBorder="1" applyAlignment="1">
      <alignment horizontal="center"/>
    </xf>
    <xf numFmtId="0" fontId="15" fillId="2" borderId="2" xfId="0" applyFont="1" applyFill="1" applyBorder="1" applyAlignment="1">
      <alignment horizontal="center"/>
    </xf>
    <xf numFmtId="0" fontId="15" fillId="7" borderId="1" xfId="0" applyFont="1" applyFill="1" applyBorder="1" applyAlignment="1">
      <alignment horizontal="left" wrapText="1"/>
    </xf>
    <xf numFmtId="0" fontId="15"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10" borderId="8" xfId="0" applyFont="1" applyFill="1" applyBorder="1" applyAlignment="1">
      <alignment horizontal="left" vertical="top" wrapText="1"/>
    </xf>
    <xf numFmtId="0" fontId="9" fillId="10"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5" fillId="15" borderId="0" xfId="0" applyFont="1" applyFill="1" applyAlignment="1">
      <alignment horizontal="center"/>
    </xf>
    <xf numFmtId="0" fontId="5" fillId="14" borderId="0" xfId="0" applyFont="1" applyFill="1" applyBorder="1" applyAlignment="1">
      <alignment horizontal="center"/>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0" fontId="31" fillId="12" borderId="12" xfId="0" applyNumberFormat="1" applyFont="1" applyFill="1" applyBorder="1" applyAlignment="1">
      <alignment horizontal="center"/>
    </xf>
    <xf numFmtId="10" fontId="31" fillId="12" borderId="0" xfId="0" applyNumberFormat="1" applyFont="1" applyFill="1" applyBorder="1" applyAlignment="1">
      <alignment horizontal="center"/>
    </xf>
    <xf numFmtId="0" fontId="34" fillId="4" borderId="5" xfId="0" applyFont="1" applyFill="1" applyBorder="1" applyAlignment="1">
      <alignment horizontal="center"/>
    </xf>
    <xf numFmtId="0" fontId="34" fillId="4" borderId="2" xfId="0" applyFont="1" applyFill="1" applyBorder="1" applyAlignment="1">
      <alignment horizontal="center"/>
    </xf>
    <xf numFmtId="0" fontId="29" fillId="4" borderId="1" xfId="0" applyFont="1" applyFill="1" applyBorder="1" applyAlignment="1">
      <alignment horizontal="left" vertical="top"/>
    </xf>
    <xf numFmtId="0" fontId="29" fillId="4" borderId="0" xfId="0" applyFont="1" applyFill="1" applyBorder="1" applyAlignment="1">
      <alignment horizontal="left" vertical="top"/>
    </xf>
    <xf numFmtId="0" fontId="26" fillId="4" borderId="1" xfId="0" quotePrefix="1" applyFont="1" applyFill="1" applyBorder="1" applyAlignment="1">
      <alignment horizontal="left" vertical="top" wrapText="1"/>
    </xf>
    <xf numFmtId="0" fontId="26" fillId="4" borderId="0" xfId="0" quotePrefix="1" applyFont="1" applyFill="1" applyBorder="1" applyAlignment="1">
      <alignment horizontal="left" vertical="top" wrapText="1"/>
    </xf>
    <xf numFmtId="167" fontId="5" fillId="13" borderId="4" xfId="3" applyFont="1" applyFill="1" applyBorder="1" applyAlignment="1">
      <alignment horizontal="left"/>
    </xf>
    <xf numFmtId="167" fontId="39" fillId="5" borderId="4" xfId="3" applyFont="1" applyFill="1" applyBorder="1"/>
    <xf numFmtId="167" fontId="6" fillId="5" borderId="4" xfId="3" applyFont="1" applyFill="1" applyBorder="1"/>
    <xf numFmtId="0" fontId="27" fillId="5" borderId="4" xfId="0" applyFont="1" applyFill="1" applyBorder="1" applyAlignment="1">
      <alignment horizontal="left"/>
    </xf>
    <xf numFmtId="0" fontId="27" fillId="5" borderId="4" xfId="0" applyFont="1" applyFill="1" applyBorder="1" applyAlignment="1">
      <alignment horizontal="center"/>
    </xf>
    <xf numFmtId="0" fontId="27" fillId="5" borderId="4" xfId="0" applyFont="1" applyFill="1" applyBorder="1" applyAlignment="1">
      <alignment horizontal="right"/>
    </xf>
    <xf numFmtId="3" fontId="28" fillId="11" borderId="4" xfId="0" applyNumberFormat="1" applyFont="1" applyFill="1" applyBorder="1"/>
    <xf numFmtId="3" fontId="27" fillId="5" borderId="4" xfId="0"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7"/>
  <sheetViews>
    <sheetView showGridLines="0" tabSelected="1" zoomScaleNormal="100" workbookViewId="0">
      <selection activeCell="H56" sqref="H56"/>
    </sheetView>
  </sheetViews>
  <sheetFormatPr defaultRowHeight="12.75" x14ac:dyDescent="0.2"/>
  <cols>
    <col min="1" max="1" width="2.42578125" style="68" customWidth="1"/>
    <col min="2" max="2" width="41.85546875" style="68" customWidth="1"/>
    <col min="3" max="3" width="17.7109375" style="68" customWidth="1"/>
    <col min="4" max="4" width="16.7109375" style="68" customWidth="1"/>
    <col min="5" max="5" width="13.85546875" style="68" customWidth="1"/>
    <col min="6" max="6" width="14" style="68" customWidth="1"/>
    <col min="7" max="7" width="12.85546875" style="68" customWidth="1"/>
    <col min="8" max="8" width="13.28515625" style="68" customWidth="1"/>
    <col min="9" max="9" width="11.5703125" style="68" customWidth="1"/>
    <col min="10" max="16384" width="9.140625" style="68"/>
  </cols>
  <sheetData>
    <row r="2" spans="2:19" x14ac:dyDescent="0.2">
      <c r="B2" s="66" t="s">
        <v>7</v>
      </c>
      <c r="C2" s="67"/>
      <c r="D2" s="67"/>
      <c r="E2" s="67"/>
      <c r="F2" s="67"/>
      <c r="G2" s="67"/>
      <c r="H2" s="67"/>
      <c r="O2" s="69"/>
      <c r="P2" s="69"/>
      <c r="Q2" s="69"/>
      <c r="R2" s="69"/>
      <c r="S2" s="69"/>
    </row>
    <row r="3" spans="2:19" ht="75.75" customHeight="1" x14ac:dyDescent="0.2">
      <c r="B3" s="70" t="s">
        <v>51</v>
      </c>
      <c r="C3" s="221" t="s">
        <v>61</v>
      </c>
      <c r="D3" s="222"/>
      <c r="E3" s="223"/>
      <c r="F3" s="223"/>
      <c r="G3" s="223"/>
      <c r="H3" s="223"/>
      <c r="M3" s="71"/>
      <c r="N3" s="71"/>
      <c r="O3" s="69"/>
      <c r="P3" s="69"/>
      <c r="Q3" s="69"/>
      <c r="R3" s="69"/>
      <c r="S3" s="69"/>
    </row>
    <row r="4" spans="2:19" ht="55.5" customHeight="1" x14ac:dyDescent="0.2">
      <c r="B4" s="72"/>
      <c r="C4" s="229"/>
      <c r="D4" s="230"/>
      <c r="E4" s="73"/>
      <c r="F4" s="73"/>
      <c r="G4" s="73"/>
      <c r="H4" s="73"/>
      <c r="M4" s="71"/>
      <c r="N4" s="71"/>
      <c r="O4" s="69"/>
      <c r="P4" s="69"/>
      <c r="Q4" s="69"/>
      <c r="R4" s="69"/>
      <c r="S4" s="69"/>
    </row>
    <row r="5" spans="2:19" x14ac:dyDescent="0.2">
      <c r="B5" s="70" t="s">
        <v>13</v>
      </c>
      <c r="C5" s="74"/>
      <c r="D5" s="133" t="s">
        <v>44</v>
      </c>
      <c r="E5" s="75"/>
      <c r="F5" s="75"/>
      <c r="G5" s="75"/>
      <c r="H5" s="75"/>
      <c r="M5" s="71"/>
      <c r="N5" s="71"/>
      <c r="O5" s="69"/>
      <c r="P5" s="69"/>
      <c r="Q5" s="69"/>
      <c r="R5" s="69"/>
      <c r="S5" s="69"/>
    </row>
    <row r="6" spans="2:19" x14ac:dyDescent="0.2">
      <c r="B6" s="76" t="s">
        <v>38</v>
      </c>
      <c r="C6" s="77"/>
      <c r="D6" s="78">
        <v>84.72</v>
      </c>
      <c r="E6" s="79"/>
      <c r="F6" s="79"/>
      <c r="G6" s="79"/>
      <c r="H6" s="79"/>
      <c r="M6" s="71"/>
      <c r="N6" s="71"/>
      <c r="O6" s="69"/>
      <c r="P6" s="69"/>
      <c r="Q6" s="69"/>
      <c r="R6" s="69"/>
      <c r="S6" s="69"/>
    </row>
    <row r="7" spans="2:19" x14ac:dyDescent="0.2">
      <c r="B7" s="114" t="s">
        <v>131</v>
      </c>
      <c r="C7" s="80"/>
      <c r="D7" s="81">
        <f>'Proposed price'!J8</f>
        <v>16.464310771649913</v>
      </c>
      <c r="E7" s="79"/>
      <c r="F7" s="79"/>
      <c r="G7" s="79"/>
      <c r="H7" s="79"/>
      <c r="O7" s="69"/>
      <c r="P7" s="69"/>
      <c r="Q7" s="69"/>
      <c r="R7" s="69"/>
      <c r="S7" s="69"/>
    </row>
    <row r="8" spans="2:19" x14ac:dyDescent="0.2">
      <c r="B8" s="82" t="s">
        <v>45</v>
      </c>
      <c r="C8" s="219" t="s">
        <v>65</v>
      </c>
      <c r="D8" s="220"/>
      <c r="E8" s="83"/>
      <c r="F8" s="84"/>
      <c r="G8" s="84"/>
      <c r="H8" s="84"/>
      <c r="O8" s="69"/>
      <c r="P8" s="69"/>
      <c r="Q8" s="69"/>
      <c r="R8" s="69"/>
      <c r="S8" s="69"/>
    </row>
    <row r="9" spans="2:19" x14ac:dyDescent="0.2">
      <c r="B9" s="85" t="s">
        <v>5</v>
      </c>
      <c r="C9" s="86"/>
      <c r="D9" s="86"/>
      <c r="E9" s="87"/>
      <c r="F9" s="87"/>
      <c r="G9" s="87"/>
      <c r="H9" s="87"/>
      <c r="O9" s="69"/>
      <c r="P9" s="69"/>
      <c r="Q9" s="69"/>
      <c r="R9" s="69"/>
      <c r="S9" s="69"/>
    </row>
    <row r="10" spans="2:19" ht="156.75" customHeight="1" x14ac:dyDescent="0.2">
      <c r="B10" s="225" t="s">
        <v>96</v>
      </c>
      <c r="C10" s="226"/>
      <c r="D10" s="226"/>
      <c r="E10" s="226"/>
      <c r="F10" s="226"/>
      <c r="G10" s="226"/>
      <c r="H10" s="226"/>
      <c r="O10" s="69"/>
      <c r="P10" s="69"/>
      <c r="Q10" s="69"/>
      <c r="R10" s="69"/>
      <c r="S10" s="69"/>
    </row>
    <row r="11" spans="2:19" x14ac:dyDescent="0.2">
      <c r="B11" s="88"/>
      <c r="C11" s="88"/>
      <c r="D11" s="88"/>
      <c r="E11" s="88"/>
      <c r="F11" s="88"/>
      <c r="G11" s="88"/>
      <c r="H11" s="88"/>
      <c r="O11" s="69"/>
      <c r="P11" s="69"/>
      <c r="Q11" s="69"/>
      <c r="R11" s="69"/>
      <c r="S11" s="69"/>
    </row>
    <row r="12" spans="2:19" x14ac:dyDescent="0.2">
      <c r="O12" s="69"/>
      <c r="P12" s="69"/>
      <c r="Q12" s="69"/>
      <c r="R12" s="69"/>
      <c r="S12" s="69"/>
    </row>
    <row r="13" spans="2:19" x14ac:dyDescent="0.2">
      <c r="B13" s="89" t="s">
        <v>31</v>
      </c>
      <c r="C13" s="67"/>
      <c r="D13" s="67"/>
      <c r="E13" s="67"/>
      <c r="F13" s="67"/>
      <c r="G13" s="67"/>
      <c r="H13" s="67"/>
      <c r="O13" s="69"/>
      <c r="P13" s="69"/>
      <c r="Q13" s="69"/>
      <c r="R13" s="69"/>
      <c r="S13" s="69"/>
    </row>
    <row r="14" spans="2:19" x14ac:dyDescent="0.2">
      <c r="B14" s="224"/>
      <c r="C14" s="224"/>
      <c r="D14" s="224"/>
      <c r="E14" s="224"/>
      <c r="F14" s="224"/>
      <c r="G14" s="224"/>
      <c r="H14" s="224"/>
    </row>
    <row r="15" spans="2:19" ht="140.25" customHeight="1" x14ac:dyDescent="0.2">
      <c r="B15" s="227" t="s">
        <v>136</v>
      </c>
      <c r="C15" s="228"/>
      <c r="D15" s="228"/>
      <c r="E15" s="228"/>
      <c r="F15" s="228"/>
      <c r="G15" s="228"/>
      <c r="H15" s="228"/>
      <c r="I15" s="69"/>
    </row>
    <row r="16" spans="2:19" x14ac:dyDescent="0.2">
      <c r="B16" s="90"/>
      <c r="C16" s="90"/>
      <c r="D16" s="90"/>
      <c r="E16" s="90"/>
      <c r="F16" s="90"/>
      <c r="G16" s="90"/>
      <c r="H16" s="90"/>
    </row>
    <row r="17" spans="2:9" x14ac:dyDescent="0.2">
      <c r="B17" s="89" t="s">
        <v>39</v>
      </c>
      <c r="C17" s="67"/>
      <c r="D17" s="67"/>
      <c r="E17" s="67"/>
      <c r="F17" s="67"/>
      <c r="G17" s="67"/>
      <c r="H17" s="67"/>
    </row>
    <row r="18" spans="2:9" x14ac:dyDescent="0.2">
      <c r="B18" s="224"/>
      <c r="C18" s="224"/>
      <c r="D18" s="224"/>
      <c r="E18" s="224"/>
      <c r="F18" s="224"/>
      <c r="G18" s="224"/>
      <c r="H18" s="224"/>
    </row>
    <row r="19" spans="2:9" x14ac:dyDescent="0.2">
      <c r="B19" s="228"/>
      <c r="C19" s="228"/>
      <c r="D19" s="228"/>
      <c r="E19" s="228"/>
      <c r="F19" s="228"/>
      <c r="G19" s="228"/>
      <c r="H19" s="228"/>
    </row>
    <row r="20" spans="2:9" x14ac:dyDescent="0.2">
      <c r="B20" s="228"/>
      <c r="C20" s="228"/>
      <c r="D20" s="228"/>
      <c r="E20" s="228"/>
      <c r="F20" s="228"/>
      <c r="G20" s="228"/>
      <c r="H20" s="228"/>
    </row>
    <row r="21" spans="2:9" x14ac:dyDescent="0.2">
      <c r="B21" s="228"/>
      <c r="C21" s="232"/>
      <c r="D21" s="232"/>
      <c r="E21" s="232"/>
      <c r="F21" s="232"/>
      <c r="G21" s="232"/>
      <c r="H21" s="232"/>
    </row>
    <row r="22" spans="2:9" x14ac:dyDescent="0.2">
      <c r="B22" s="91"/>
      <c r="C22" s="91"/>
      <c r="D22" s="91"/>
      <c r="E22" s="91"/>
      <c r="F22" s="91"/>
      <c r="G22" s="91"/>
      <c r="H22" s="91"/>
    </row>
    <row r="23" spans="2:9" x14ac:dyDescent="0.2">
      <c r="B23" s="224"/>
      <c r="C23" s="224"/>
      <c r="D23" s="224"/>
      <c r="E23" s="224"/>
      <c r="F23" s="224"/>
      <c r="G23" s="224"/>
      <c r="H23" s="224"/>
    </row>
    <row r="24" spans="2:9" x14ac:dyDescent="0.2">
      <c r="B24" s="92"/>
      <c r="C24" s="92"/>
      <c r="D24" s="92"/>
      <c r="E24" s="92"/>
      <c r="F24" s="92"/>
      <c r="G24" s="92"/>
      <c r="H24" s="92"/>
    </row>
    <row r="25" spans="2:9" x14ac:dyDescent="0.2">
      <c r="B25" s="92"/>
      <c r="C25" s="92"/>
      <c r="D25" s="92"/>
      <c r="E25" s="92"/>
      <c r="F25" s="92"/>
      <c r="G25" s="92"/>
      <c r="H25" s="92"/>
    </row>
    <row r="26" spans="2:9" x14ac:dyDescent="0.2">
      <c r="B26" s="92"/>
      <c r="C26" s="92"/>
      <c r="D26" s="92"/>
      <c r="E26" s="92"/>
      <c r="F26" s="92"/>
      <c r="G26" s="92"/>
      <c r="H26" s="92"/>
    </row>
    <row r="27" spans="2:9" x14ac:dyDescent="0.2">
      <c r="B27" s="92"/>
      <c r="C27" s="92"/>
      <c r="D27" s="92"/>
      <c r="E27" s="92"/>
      <c r="F27" s="92"/>
      <c r="G27" s="92"/>
      <c r="H27" s="92"/>
    </row>
    <row r="28" spans="2:9" x14ac:dyDescent="0.2">
      <c r="B28" s="93"/>
      <c r="C28" s="93"/>
      <c r="D28" s="93"/>
      <c r="E28" s="93"/>
      <c r="F28" s="93"/>
      <c r="G28" s="93"/>
      <c r="H28" s="93"/>
      <c r="I28" s="69"/>
    </row>
    <row r="29" spans="2:9" x14ac:dyDescent="0.2">
      <c r="B29" s="89" t="s">
        <v>6</v>
      </c>
    </row>
    <row r="30" spans="2:9" x14ac:dyDescent="0.2">
      <c r="B30" s="94" t="s">
        <v>14</v>
      </c>
      <c r="C30" s="95" t="s">
        <v>29</v>
      </c>
      <c r="D30" s="95"/>
      <c r="E30" s="95"/>
      <c r="F30" s="95"/>
      <c r="G30" s="95"/>
      <c r="H30" s="95"/>
    </row>
    <row r="31" spans="2:9" x14ac:dyDescent="0.2">
      <c r="B31" s="96" t="s">
        <v>42</v>
      </c>
      <c r="C31" s="95" t="s">
        <v>47</v>
      </c>
      <c r="D31" s="95"/>
      <c r="E31" s="95"/>
      <c r="F31" s="95"/>
      <c r="G31" s="95"/>
      <c r="H31" s="95"/>
    </row>
    <row r="32" spans="2:9" x14ac:dyDescent="0.2">
      <c r="B32" s="96" t="s">
        <v>43</v>
      </c>
      <c r="C32" s="95" t="s">
        <v>48</v>
      </c>
      <c r="D32" s="95"/>
      <c r="E32" s="95"/>
      <c r="F32" s="95"/>
      <c r="G32" s="95"/>
      <c r="H32" s="95"/>
    </row>
    <row r="33" spans="2:9" x14ac:dyDescent="0.2">
      <c r="B33" s="96" t="s">
        <v>15</v>
      </c>
      <c r="C33" s="95" t="s">
        <v>30</v>
      </c>
      <c r="D33" s="95"/>
      <c r="E33" s="95"/>
      <c r="F33" s="95"/>
      <c r="G33" s="95"/>
      <c r="H33" s="95"/>
    </row>
    <row r="36" spans="2:9" x14ac:dyDescent="0.2">
      <c r="B36" s="89" t="s">
        <v>32</v>
      </c>
      <c r="C36" s="67"/>
      <c r="D36" s="67"/>
      <c r="E36" s="67"/>
      <c r="F36" s="67"/>
      <c r="G36" s="67"/>
      <c r="H36" s="67"/>
    </row>
    <row r="38" spans="2:9" x14ac:dyDescent="0.2">
      <c r="B38" s="97"/>
      <c r="C38" s="98" t="s">
        <v>33</v>
      </c>
      <c r="D38" s="98" t="s">
        <v>34</v>
      </c>
      <c r="E38" s="98" t="s">
        <v>35</v>
      </c>
      <c r="F38" s="98" t="s">
        <v>37</v>
      </c>
      <c r="G38" s="98" t="s">
        <v>36</v>
      </c>
      <c r="H38" s="99" t="s">
        <v>1</v>
      </c>
    </row>
    <row r="39" spans="2:9" x14ac:dyDescent="0.2">
      <c r="C39" s="100"/>
      <c r="D39" s="100"/>
      <c r="E39" s="100"/>
      <c r="F39" s="100"/>
      <c r="G39" s="100"/>
      <c r="H39" s="100"/>
    </row>
    <row r="40" spans="2:9" x14ac:dyDescent="0.2">
      <c r="B40" s="101" t="s">
        <v>66</v>
      </c>
      <c r="C40" s="102">
        <f>'Forecast Revenue - Costs'!D29</f>
        <v>1425715.2</v>
      </c>
      <c r="D40" s="102">
        <f>'Forecast Revenue - Costs'!E29</f>
        <v>1368686.5919999999</v>
      </c>
      <c r="E40" s="102">
        <f>'Forecast Revenue - Costs'!F29</f>
        <v>1328392.4587315198</v>
      </c>
      <c r="F40" s="102">
        <f>'Forecast Revenue - Costs'!G29</f>
        <v>1304755.9997634212</v>
      </c>
      <c r="G40" s="102">
        <f>'Forecast Revenue - Costs'!H29</f>
        <v>1294868.1280816011</v>
      </c>
      <c r="H40" s="102">
        <f>SUM(C40:G40)</f>
        <v>6722418.3785765413</v>
      </c>
    </row>
    <row r="41" spans="2:9" x14ac:dyDescent="0.2">
      <c r="C41" s="103"/>
      <c r="D41" s="104"/>
      <c r="E41" s="103"/>
      <c r="F41" s="103"/>
      <c r="G41" s="103"/>
    </row>
    <row r="42" spans="2:9" x14ac:dyDescent="0.2">
      <c r="B42" s="101" t="s">
        <v>67</v>
      </c>
      <c r="C42" s="102">
        <f>SUM('Forecast Revenue - Costs'!D30:D32)</f>
        <v>1039979.9811622908</v>
      </c>
      <c r="D42" s="102">
        <f>SUM('Forecast Revenue - Costs'!E30:E32)</f>
        <v>998380.78191579913</v>
      </c>
      <c r="E42" s="102">
        <f>SUM('Forecast Revenue - Costs'!F30:F32)</f>
        <v>968988.45169619774</v>
      </c>
      <c r="F42" s="102">
        <f>SUM('Forecast Revenue - Costs'!G30:G32)</f>
        <v>951746.96885840083</v>
      </c>
      <c r="G42" s="102">
        <f>SUM('Forecast Revenue - Costs'!H30:H32)</f>
        <v>944534.31614529621</v>
      </c>
      <c r="H42" s="102">
        <f>SUM(C42:G42)</f>
        <v>4903630.4997779839</v>
      </c>
    </row>
    <row r="43" spans="2:9" x14ac:dyDescent="0.2">
      <c r="C43" s="103"/>
      <c r="D43" s="104"/>
      <c r="E43" s="103"/>
      <c r="F43" s="103"/>
      <c r="G43" s="103"/>
    </row>
    <row r="44" spans="2:9" x14ac:dyDescent="0.2">
      <c r="B44" s="101" t="s">
        <v>68</v>
      </c>
      <c r="C44" s="102">
        <f t="shared" ref="C44:H44" si="0">+C40+C42</f>
        <v>2465695.1811622907</v>
      </c>
      <c r="D44" s="102">
        <f t="shared" si="0"/>
        <v>2367067.373915799</v>
      </c>
      <c r="E44" s="102">
        <f t="shared" si="0"/>
        <v>2297380.9104277175</v>
      </c>
      <c r="F44" s="102">
        <f t="shared" si="0"/>
        <v>2256502.9686218221</v>
      </c>
      <c r="G44" s="102">
        <f t="shared" si="0"/>
        <v>2239402.4442268973</v>
      </c>
      <c r="H44" s="102">
        <f t="shared" si="0"/>
        <v>11626048.878354525</v>
      </c>
    </row>
    <row r="45" spans="2:9" x14ac:dyDescent="0.2">
      <c r="C45" s="214"/>
      <c r="D45" s="214"/>
      <c r="E45" s="214"/>
      <c r="F45" s="214"/>
      <c r="G45" s="214"/>
      <c r="H45" s="214"/>
    </row>
    <row r="46" spans="2:9" x14ac:dyDescent="0.2">
      <c r="B46" s="105" t="s">
        <v>6</v>
      </c>
    </row>
    <row r="47" spans="2:9" ht="14.25" customHeight="1" x14ac:dyDescent="0.2">
      <c r="B47" s="231"/>
      <c r="C47" s="231"/>
      <c r="D47" s="231"/>
      <c r="E47" s="231"/>
      <c r="F47" s="231"/>
      <c r="G47" s="231"/>
      <c r="H47" s="231"/>
    </row>
    <row r="48" spans="2:9" x14ac:dyDescent="0.2">
      <c r="B48" s="224"/>
      <c r="C48" s="224"/>
      <c r="D48" s="224"/>
      <c r="E48" s="224"/>
      <c r="F48" s="224"/>
      <c r="G48" s="224"/>
      <c r="H48" s="224"/>
      <c r="I48" s="69"/>
    </row>
    <row r="49" spans="2:8" ht="27.75" customHeight="1" x14ac:dyDescent="0.2">
      <c r="B49" s="224"/>
      <c r="C49" s="224"/>
      <c r="D49" s="224"/>
      <c r="E49" s="224"/>
      <c r="F49" s="224"/>
      <c r="G49" s="224"/>
      <c r="H49" s="224"/>
    </row>
    <row r="52" spans="2:8" x14ac:dyDescent="0.2">
      <c r="B52" s="89" t="s">
        <v>72</v>
      </c>
      <c r="C52" s="67"/>
      <c r="D52" s="67"/>
      <c r="E52" s="67"/>
      <c r="F52" s="67"/>
      <c r="G52" s="67"/>
      <c r="H52" s="67"/>
    </row>
    <row r="53" spans="2:8" x14ac:dyDescent="0.2">
      <c r="B53" s="106"/>
    </row>
    <row r="54" spans="2:8" x14ac:dyDescent="0.2">
      <c r="B54" s="107"/>
      <c r="C54" s="108" t="s">
        <v>33</v>
      </c>
      <c r="D54" s="108" t="s">
        <v>34</v>
      </c>
      <c r="E54" s="108" t="s">
        <v>35</v>
      </c>
      <c r="F54" s="108" t="s">
        <v>37</v>
      </c>
      <c r="G54" s="108" t="s">
        <v>36</v>
      </c>
      <c r="H54" s="109" t="s">
        <v>1</v>
      </c>
    </row>
    <row r="55" spans="2:8" x14ac:dyDescent="0.2">
      <c r="C55" s="110"/>
      <c r="D55" s="110"/>
      <c r="E55" s="110"/>
      <c r="F55" s="110"/>
      <c r="G55" s="110"/>
      <c r="H55" s="110"/>
    </row>
    <row r="56" spans="2:8" x14ac:dyDescent="0.2">
      <c r="B56" s="107" t="s">
        <v>12</v>
      </c>
      <c r="C56" s="111">
        <f>'Forecast Revenue - Costs'!D12</f>
        <v>144000</v>
      </c>
      <c r="D56" s="111">
        <f>'Forecast Revenue - Costs'!E12</f>
        <v>138240</v>
      </c>
      <c r="E56" s="111">
        <f>'Forecast Revenue - Costs'!F12</f>
        <v>132710.39999999999</v>
      </c>
      <c r="F56" s="111">
        <f>'Forecast Revenue - Costs'!G12</f>
        <v>127401.984</v>
      </c>
      <c r="G56" s="111">
        <f>'Forecast Revenue - Costs'!H12</f>
        <v>122305.90463999999</v>
      </c>
      <c r="H56" s="111">
        <f>SUM(C56:G56)</f>
        <v>664658.28864000004</v>
      </c>
    </row>
    <row r="57" spans="2:8" x14ac:dyDescent="0.2">
      <c r="C57" s="112"/>
      <c r="D57" s="112"/>
      <c r="E57" s="112"/>
      <c r="F57" s="112"/>
      <c r="G57" s="112"/>
      <c r="H57" s="113"/>
    </row>
  </sheetData>
  <mergeCells count="12">
    <mergeCell ref="B47:H49"/>
    <mergeCell ref="B18:H18"/>
    <mergeCell ref="B19:H19"/>
    <mergeCell ref="B20:H20"/>
    <mergeCell ref="B21:H21"/>
    <mergeCell ref="B23:H23"/>
    <mergeCell ref="C8:D8"/>
    <mergeCell ref="C3:H3"/>
    <mergeCell ref="B14:H14"/>
    <mergeCell ref="B10:H10"/>
    <mergeCell ref="B15:H15"/>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0" customWidth="1"/>
    <col min="3" max="3" width="10.140625" style="40" customWidth="1"/>
    <col min="4" max="9" width="13.140625" style="40" customWidth="1"/>
    <col min="10" max="11" width="9.140625" style="40"/>
    <col min="12" max="12" width="5.28515625" style="40" customWidth="1"/>
    <col min="13" max="13" width="2.42578125" style="1" customWidth="1"/>
    <col min="14" max="16384" width="9.140625" style="1"/>
  </cols>
  <sheetData>
    <row r="1" spans="2:14" ht="9" customHeight="1" x14ac:dyDescent="0.2"/>
    <row r="2" spans="2:14" ht="18" customHeight="1" x14ac:dyDescent="0.2">
      <c r="B2" s="37" t="s">
        <v>16</v>
      </c>
      <c r="C2" s="37"/>
      <c r="D2" s="37"/>
      <c r="E2" s="37"/>
      <c r="F2" s="37"/>
      <c r="G2" s="37"/>
      <c r="H2" s="37"/>
      <c r="I2" s="37"/>
      <c r="J2" s="37"/>
      <c r="K2" s="37"/>
    </row>
    <row r="3" spans="2:14" x14ac:dyDescent="0.2">
      <c r="B3" s="31" t="s">
        <v>0</v>
      </c>
      <c r="C3" s="38"/>
      <c r="D3" s="235" t="str">
        <f>'AER Summary'!C3</f>
        <v>Move In / Move Out - Meter Read</v>
      </c>
      <c r="E3" s="236"/>
      <c r="F3" s="236"/>
      <c r="G3" s="236"/>
      <c r="H3" s="236"/>
      <c r="I3" s="236"/>
      <c r="J3" s="236"/>
      <c r="K3" s="236"/>
      <c r="N3" s="29"/>
    </row>
    <row r="4" spans="2:14" x14ac:dyDescent="0.2">
      <c r="N4" s="29"/>
    </row>
    <row r="5" spans="2:14" x14ac:dyDescent="0.2">
      <c r="B5" s="237" t="s">
        <v>59</v>
      </c>
      <c r="C5" s="237"/>
      <c r="D5" s="237"/>
      <c r="E5" s="237"/>
      <c r="F5" s="237"/>
      <c r="G5" s="237"/>
      <c r="H5" s="237"/>
      <c r="I5" s="237"/>
      <c r="J5" s="237"/>
      <c r="K5" s="237"/>
      <c r="N5" s="29"/>
    </row>
    <row r="6" spans="2:14" ht="130.5" customHeight="1" x14ac:dyDescent="0.2">
      <c r="B6" s="238" t="s">
        <v>62</v>
      </c>
      <c r="C6" s="239"/>
      <c r="D6" s="239"/>
      <c r="E6" s="239"/>
      <c r="F6" s="239"/>
      <c r="G6" s="239"/>
      <c r="H6" s="239"/>
      <c r="I6" s="239"/>
      <c r="J6" s="239"/>
      <c r="K6" s="239"/>
      <c r="N6" s="29"/>
    </row>
    <row r="9" spans="2:14" x14ac:dyDescent="0.2">
      <c r="B9" s="237" t="s">
        <v>40</v>
      </c>
      <c r="C9" s="237"/>
      <c r="D9" s="237"/>
      <c r="E9" s="237"/>
      <c r="F9" s="237"/>
      <c r="G9" s="237"/>
      <c r="H9" s="237"/>
      <c r="I9" s="237"/>
      <c r="J9" s="237"/>
      <c r="K9" s="237"/>
    </row>
    <row r="10" spans="2:14" ht="15" customHeight="1" x14ac:dyDescent="0.2">
      <c r="B10" s="234" t="s">
        <v>63</v>
      </c>
      <c r="C10" s="234"/>
      <c r="D10" s="234"/>
      <c r="E10" s="234"/>
      <c r="F10" s="234"/>
      <c r="G10" s="234"/>
      <c r="H10" s="234"/>
      <c r="I10" s="234"/>
      <c r="J10" s="234"/>
      <c r="K10" s="234"/>
    </row>
    <row r="11" spans="2:14" ht="24.75" customHeight="1" x14ac:dyDescent="0.2">
      <c r="B11" s="240"/>
      <c r="C11" s="240"/>
      <c r="D11" s="240"/>
      <c r="E11" s="240"/>
      <c r="F11" s="240"/>
      <c r="G11" s="240"/>
      <c r="H11" s="240"/>
      <c r="I11" s="240"/>
      <c r="J11" s="240"/>
      <c r="K11" s="240"/>
      <c r="L11" s="42"/>
      <c r="M11" s="30"/>
      <c r="N11" s="30"/>
    </row>
    <row r="12" spans="2:14" x14ac:dyDescent="0.2">
      <c r="B12" s="240"/>
      <c r="C12" s="240"/>
      <c r="D12" s="240"/>
      <c r="E12" s="240"/>
      <c r="F12" s="240"/>
      <c r="G12" s="240"/>
      <c r="H12" s="240"/>
      <c r="I12" s="240"/>
      <c r="J12" s="240"/>
      <c r="K12" s="240"/>
      <c r="L12" s="42"/>
      <c r="M12" s="30"/>
      <c r="N12" s="30"/>
    </row>
    <row r="13" spans="2:14" x14ac:dyDescent="0.2">
      <c r="B13" s="240"/>
      <c r="C13" s="240"/>
      <c r="D13" s="240"/>
      <c r="E13" s="240"/>
      <c r="F13" s="240"/>
      <c r="G13" s="240"/>
      <c r="H13" s="240"/>
      <c r="I13" s="240"/>
      <c r="J13" s="240"/>
      <c r="K13" s="240"/>
      <c r="L13" s="42"/>
      <c r="M13" s="30"/>
      <c r="N13" s="30"/>
    </row>
    <row r="14" spans="2:14" ht="48" customHeight="1" x14ac:dyDescent="0.2">
      <c r="B14" s="240"/>
      <c r="C14" s="240"/>
      <c r="D14" s="240"/>
      <c r="E14" s="240"/>
      <c r="F14" s="240"/>
      <c r="G14" s="240"/>
      <c r="H14" s="240"/>
      <c r="I14" s="240"/>
      <c r="J14" s="240"/>
      <c r="K14" s="240"/>
      <c r="L14" s="42"/>
      <c r="M14" s="30"/>
      <c r="N14" s="30"/>
    </row>
    <row r="15" spans="2:14" x14ac:dyDescent="0.2">
      <c r="B15" s="240"/>
      <c r="C15" s="240"/>
      <c r="D15" s="240"/>
      <c r="E15" s="240"/>
      <c r="F15" s="240"/>
      <c r="G15" s="240"/>
      <c r="H15" s="240"/>
      <c r="I15" s="240"/>
      <c r="J15" s="240"/>
      <c r="K15" s="240"/>
      <c r="L15" s="42"/>
      <c r="M15" s="30"/>
      <c r="N15" s="30"/>
    </row>
    <row r="16" spans="2:14" ht="17.25" customHeight="1" x14ac:dyDescent="0.2">
      <c r="B16" s="240"/>
      <c r="C16" s="240"/>
      <c r="D16" s="240"/>
      <c r="E16" s="240"/>
      <c r="F16" s="240"/>
      <c r="G16" s="240"/>
      <c r="H16" s="240"/>
      <c r="I16" s="240"/>
      <c r="J16" s="240"/>
      <c r="K16" s="240"/>
      <c r="L16" s="42"/>
      <c r="M16" s="30"/>
      <c r="N16" s="30"/>
    </row>
    <row r="17" spans="2:14" x14ac:dyDescent="0.2">
      <c r="L17" s="42"/>
      <c r="M17" s="30"/>
      <c r="N17" s="30"/>
    </row>
    <row r="18" spans="2:14" x14ac:dyDescent="0.2">
      <c r="L18" s="42"/>
      <c r="M18" s="30"/>
      <c r="N18" s="30"/>
    </row>
    <row r="19" spans="2:14" x14ac:dyDescent="0.2">
      <c r="B19" s="237" t="s">
        <v>41</v>
      </c>
      <c r="C19" s="237"/>
      <c r="D19" s="237"/>
      <c r="E19" s="237"/>
      <c r="F19" s="237"/>
      <c r="G19" s="237"/>
      <c r="H19" s="237"/>
      <c r="I19" s="237"/>
      <c r="J19" s="237"/>
      <c r="K19" s="237"/>
      <c r="L19" s="42"/>
      <c r="M19" s="30"/>
      <c r="N19" s="30"/>
    </row>
    <row r="20" spans="2:14" ht="131.25" customHeight="1" x14ac:dyDescent="0.2">
      <c r="B20" s="234" t="str">
        <f>'AER Summary'!B10:H10</f>
        <v xml:space="preserve">
Move In / Move Out - Meter Read
B2B service orders from retailers to obtain a final read for customer move-outs or to obtain a start read where a
customer is moving in to a site that has been vacant.
These services are additional to the special meter reading, disconnection/reconnection and testing services.
Charges may also be levied due to a number of reasons, such as, but not limited to the following:
&gt; Unable to access main switch board or metering;
&gt; Safety of installation or Essential Energy’s employee;
&gt; Late cancellation by retailer;
&gt; Reconnection/disconnection for short periods, such as for holiday homes.</v>
      </c>
      <c r="C20" s="234"/>
      <c r="D20" s="234"/>
      <c r="E20" s="234"/>
      <c r="F20" s="234"/>
      <c r="G20" s="234"/>
      <c r="H20" s="234"/>
      <c r="I20" s="234"/>
      <c r="J20" s="234"/>
      <c r="K20" s="234"/>
    </row>
    <row r="21" spans="2:14" x14ac:dyDescent="0.2">
      <c r="B21" s="233"/>
      <c r="C21" s="233"/>
      <c r="D21" s="233"/>
      <c r="E21" s="233"/>
      <c r="F21" s="233"/>
      <c r="G21" s="233"/>
      <c r="H21" s="233"/>
      <c r="I21" s="233"/>
      <c r="J21" s="233"/>
      <c r="K21" s="23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zoomScale="90" zoomScaleNormal="90" workbookViewId="0">
      <selection activeCell="B44" sqref="B44"/>
    </sheetView>
  </sheetViews>
  <sheetFormatPr defaultRowHeight="12.75" x14ac:dyDescent="0.2"/>
  <cols>
    <col min="1" max="1" width="3.5703125" style="43" customWidth="1"/>
    <col min="2" max="2" width="58.7109375" style="43" customWidth="1"/>
    <col min="3" max="3" width="65.140625" style="43" customWidth="1"/>
    <col min="4" max="4" width="12.85546875" style="43" customWidth="1"/>
    <col min="5" max="5" width="11.85546875" style="43" bestFit="1" customWidth="1"/>
    <col min="6" max="7" width="12.140625" style="43" bestFit="1" customWidth="1"/>
    <col min="8" max="8" width="13.140625" style="43" customWidth="1"/>
    <col min="9" max="9" width="13.28515625" style="43" bestFit="1" customWidth="1"/>
    <col min="10" max="16384" width="9.140625" style="43"/>
  </cols>
  <sheetData>
    <row r="2" spans="1:9" x14ac:dyDescent="0.2">
      <c r="B2" s="39" t="s">
        <v>69</v>
      </c>
      <c r="C2" s="27"/>
      <c r="D2" s="27"/>
      <c r="E2" s="27"/>
      <c r="F2" s="27"/>
      <c r="G2" s="27"/>
      <c r="H2" s="27"/>
      <c r="I2" s="27"/>
    </row>
    <row r="3" spans="1:9" x14ac:dyDescent="0.2">
      <c r="B3" s="15" t="s">
        <v>20</v>
      </c>
      <c r="C3" s="15" t="s">
        <v>3</v>
      </c>
      <c r="D3" s="55" t="s">
        <v>54</v>
      </c>
      <c r="E3" s="55" t="s">
        <v>53</v>
      </c>
      <c r="F3" s="116" t="s">
        <v>52</v>
      </c>
      <c r="G3" s="116" t="s">
        <v>79</v>
      </c>
      <c r="H3" s="116" t="s">
        <v>80</v>
      </c>
      <c r="I3" s="16" t="s">
        <v>1</v>
      </c>
    </row>
    <row r="4" spans="1:9" x14ac:dyDescent="0.2">
      <c r="B4" s="2" t="s">
        <v>21</v>
      </c>
      <c r="C4" s="2" t="s">
        <v>73</v>
      </c>
      <c r="D4" s="65"/>
      <c r="E4" s="65">
        <v>4011859.96</v>
      </c>
      <c r="F4" s="65">
        <v>226510.24</v>
      </c>
      <c r="G4" s="65">
        <v>207426.3</v>
      </c>
      <c r="H4" s="65">
        <f>G4*102.5%</f>
        <v>212611.95749999996</v>
      </c>
      <c r="I4" s="212">
        <f>SUM(D4:H4)</f>
        <v>4658408.4574999996</v>
      </c>
    </row>
    <row r="5" spans="1:9" x14ac:dyDescent="0.2">
      <c r="B5" s="2" t="s">
        <v>23</v>
      </c>
      <c r="C5" s="7"/>
      <c r="D5" s="65"/>
      <c r="E5" s="65">
        <v>5667.58</v>
      </c>
      <c r="F5" s="65">
        <v>226.63</v>
      </c>
      <c r="G5" s="65">
        <v>34.92</v>
      </c>
      <c r="H5" s="65">
        <f t="shared" ref="H5:H8" si="0">G5*102.5%</f>
        <v>35.792999999999999</v>
      </c>
      <c r="I5" s="212">
        <f t="shared" ref="I5:I8" si="1">SUM(D5:H5)</f>
        <v>5964.9229999999998</v>
      </c>
    </row>
    <row r="6" spans="1:9" x14ac:dyDescent="0.2">
      <c r="B6" s="2" t="s">
        <v>24</v>
      </c>
      <c r="C6" s="2"/>
      <c r="D6" s="65">
        <v>0</v>
      </c>
      <c r="E6" s="65">
        <v>1142411.47</v>
      </c>
      <c r="F6" s="65">
        <v>68067.59</v>
      </c>
      <c r="G6" s="65">
        <v>54730.36</v>
      </c>
      <c r="H6" s="65">
        <f t="shared" si="0"/>
        <v>56098.618999999999</v>
      </c>
      <c r="I6" s="212">
        <f t="shared" si="1"/>
        <v>1321308.0390000001</v>
      </c>
    </row>
    <row r="7" spans="1:9" x14ac:dyDescent="0.2">
      <c r="B7" s="2" t="s">
        <v>25</v>
      </c>
      <c r="C7" s="2"/>
      <c r="D7" s="65"/>
      <c r="E7" s="65">
        <v>0</v>
      </c>
      <c r="F7" s="65">
        <v>0</v>
      </c>
      <c r="G7" s="65">
        <v>1784136.24</v>
      </c>
      <c r="H7" s="65">
        <f t="shared" si="0"/>
        <v>1828739.6459999997</v>
      </c>
      <c r="I7" s="212">
        <f t="shared" si="1"/>
        <v>3612875.8859999999</v>
      </c>
    </row>
    <row r="8" spans="1:9" x14ac:dyDescent="0.2">
      <c r="B8" s="2" t="s">
        <v>22</v>
      </c>
      <c r="C8" s="2"/>
      <c r="D8" s="17"/>
      <c r="E8" s="65">
        <v>4722755.6900000004</v>
      </c>
      <c r="F8" s="65">
        <v>190243.17</v>
      </c>
      <c r="G8" s="65">
        <v>1179777.46</v>
      </c>
      <c r="H8" s="65">
        <f t="shared" si="0"/>
        <v>1209271.8964999998</v>
      </c>
      <c r="I8" s="212">
        <f t="shared" si="1"/>
        <v>7302048.2165000001</v>
      </c>
    </row>
    <row r="9" spans="1:9" x14ac:dyDescent="0.2">
      <c r="B9" s="49" t="s">
        <v>1</v>
      </c>
      <c r="C9" s="18"/>
      <c r="D9" s="19">
        <f t="shared" ref="D9:I9" si="2">SUM(D4:D8)</f>
        <v>0</v>
      </c>
      <c r="E9" s="19">
        <f t="shared" si="2"/>
        <v>9882694.6999999993</v>
      </c>
      <c r="F9" s="19">
        <f t="shared" si="2"/>
        <v>485047.63</v>
      </c>
      <c r="G9" s="19">
        <f t="shared" ref="G9:H9" si="3">SUM(G4:G8)</f>
        <v>3226105.2800000003</v>
      </c>
      <c r="H9" s="19">
        <f t="shared" si="3"/>
        <v>3306757.9119999995</v>
      </c>
      <c r="I9" s="20">
        <f t="shared" si="2"/>
        <v>16900605.522</v>
      </c>
    </row>
    <row r="10" spans="1:9" x14ac:dyDescent="0.2">
      <c r="B10" s="45"/>
      <c r="C10" s="46"/>
      <c r="D10" s="47"/>
      <c r="E10" s="47"/>
      <c r="F10" s="47"/>
      <c r="G10" s="47"/>
      <c r="H10" s="47"/>
      <c r="I10" s="47"/>
    </row>
    <row r="11" spans="1:9" x14ac:dyDescent="0.2">
      <c r="B11" s="48" t="s">
        <v>10</v>
      </c>
      <c r="C11" s="23"/>
      <c r="D11" s="23"/>
      <c r="E11" s="23"/>
      <c r="F11" s="23"/>
      <c r="G11" s="23"/>
      <c r="H11" s="23"/>
      <c r="I11" s="23"/>
    </row>
    <row r="12" spans="1:9" x14ac:dyDescent="0.2">
      <c r="B12" s="127" t="s">
        <v>4</v>
      </c>
      <c r="C12" s="127" t="s">
        <v>3</v>
      </c>
      <c r="D12" s="55" t="s">
        <v>54</v>
      </c>
      <c r="E12" s="55" t="s">
        <v>53</v>
      </c>
      <c r="F12" s="55" t="s">
        <v>52</v>
      </c>
      <c r="G12" s="116" t="s">
        <v>79</v>
      </c>
      <c r="H12" s="116" t="s">
        <v>80</v>
      </c>
      <c r="I12" s="128" t="s">
        <v>1</v>
      </c>
    </row>
    <row r="13" spans="1:9" x14ac:dyDescent="0.2">
      <c r="B13" s="2" t="s">
        <v>19</v>
      </c>
      <c r="C13" s="2" t="s">
        <v>77</v>
      </c>
      <c r="D13" s="64"/>
      <c r="E13" s="64">
        <v>78851</v>
      </c>
      <c r="F13" s="64">
        <v>81368</v>
      </c>
      <c r="G13" s="64">
        <v>80000</v>
      </c>
      <c r="H13" s="64">
        <v>80000</v>
      </c>
      <c r="I13" s="213">
        <f>SUM(D13:H13)</f>
        <v>320219</v>
      </c>
    </row>
    <row r="14" spans="1:9" x14ac:dyDescent="0.2">
      <c r="B14" s="2"/>
      <c r="C14" s="129" t="s">
        <v>78</v>
      </c>
      <c r="D14" s="8"/>
      <c r="E14" s="8">
        <v>64536</v>
      </c>
      <c r="F14" s="8">
        <v>771176</v>
      </c>
      <c r="G14" s="8">
        <v>70000</v>
      </c>
      <c r="H14" s="8">
        <v>70000</v>
      </c>
      <c r="I14" s="213">
        <f>SUM(D14:H14)</f>
        <v>975712</v>
      </c>
    </row>
    <row r="15" spans="1:9" x14ac:dyDescent="0.2">
      <c r="A15" s="50"/>
      <c r="B15" s="130" t="s">
        <v>49</v>
      </c>
      <c r="C15" s="15"/>
      <c r="D15" s="131">
        <f t="shared" ref="D15:I15" si="4">SUM(D13:D14)</f>
        <v>0</v>
      </c>
      <c r="E15" s="131">
        <f t="shared" si="4"/>
        <v>143387</v>
      </c>
      <c r="F15" s="131">
        <f t="shared" si="4"/>
        <v>852544</v>
      </c>
      <c r="G15" s="131">
        <f t="shared" si="4"/>
        <v>150000</v>
      </c>
      <c r="H15" s="131">
        <f t="shared" si="4"/>
        <v>150000</v>
      </c>
      <c r="I15" s="131">
        <f t="shared" si="4"/>
        <v>1295931</v>
      </c>
    </row>
    <row r="17" spans="1:9" x14ac:dyDescent="0.2">
      <c r="A17" s="50"/>
      <c r="B17" s="10" t="s">
        <v>6</v>
      </c>
      <c r="C17" s="1"/>
      <c r="D17" s="9"/>
      <c r="E17" s="9"/>
      <c r="F17" s="9"/>
      <c r="G17" s="9"/>
      <c r="H17" s="9"/>
      <c r="I17" s="9"/>
    </row>
    <row r="18" spans="1:9" ht="12.75" customHeight="1" x14ac:dyDescent="0.2">
      <c r="B18" s="243" t="s">
        <v>95</v>
      </c>
      <c r="C18" s="244"/>
      <c r="D18" s="119"/>
      <c r="E18" s="119"/>
      <c r="F18" s="119"/>
      <c r="G18" s="119"/>
      <c r="H18" s="119"/>
      <c r="I18" s="119"/>
    </row>
    <row r="19" spans="1:9" x14ac:dyDescent="0.2">
      <c r="B19" s="120" t="s">
        <v>82</v>
      </c>
      <c r="C19" s="121"/>
      <c r="D19" s="121"/>
      <c r="E19" s="121"/>
      <c r="F19" s="121"/>
      <c r="G19" s="121"/>
      <c r="H19" s="121"/>
      <c r="I19" s="121"/>
    </row>
    <row r="20" spans="1:9" x14ac:dyDescent="0.2">
      <c r="B20" s="120" t="s">
        <v>83</v>
      </c>
      <c r="C20" s="121"/>
      <c r="D20" s="121"/>
      <c r="E20" s="121"/>
      <c r="F20" s="121"/>
      <c r="G20" s="121"/>
      <c r="H20" s="121"/>
      <c r="I20" s="121"/>
    </row>
    <row r="21" spans="1:9" ht="12.75" customHeight="1" x14ac:dyDescent="0.2">
      <c r="B21" s="241" t="s">
        <v>94</v>
      </c>
      <c r="C21" s="242"/>
      <c r="D21" s="121"/>
      <c r="E21" s="121"/>
      <c r="F21" s="121"/>
      <c r="G21" s="121"/>
      <c r="H21" s="121"/>
      <c r="I21" s="121"/>
    </row>
    <row r="22" spans="1:9" x14ac:dyDescent="0.2">
      <c r="B22" s="120" t="s">
        <v>84</v>
      </c>
      <c r="C22" s="121"/>
      <c r="D22" s="121"/>
      <c r="E22" s="121"/>
      <c r="F22" s="121"/>
      <c r="G22" s="121"/>
      <c r="H22" s="121"/>
      <c r="I22" s="121"/>
    </row>
    <row r="23" spans="1:9" x14ac:dyDescent="0.2">
      <c r="B23" s="51" t="s">
        <v>85</v>
      </c>
      <c r="C23" s="28"/>
      <c r="D23" s="28"/>
      <c r="E23" s="28"/>
      <c r="F23" s="28"/>
      <c r="G23" s="115"/>
      <c r="H23" s="115"/>
      <c r="I23" s="28"/>
    </row>
    <row r="24" spans="1:9" x14ac:dyDescent="0.2">
      <c r="B24" s="1"/>
      <c r="C24" s="1"/>
      <c r="D24" s="9"/>
      <c r="E24" s="9"/>
      <c r="F24" s="9"/>
      <c r="G24" s="9"/>
      <c r="H24" s="9"/>
      <c r="I24" s="9"/>
    </row>
    <row r="25" spans="1:9" x14ac:dyDescent="0.2">
      <c r="B25" s="48" t="s">
        <v>76</v>
      </c>
      <c r="C25" s="23"/>
      <c r="D25" s="23"/>
      <c r="E25" s="23"/>
      <c r="F25" s="23"/>
      <c r="G25" s="23"/>
      <c r="H25" s="23"/>
      <c r="I25" s="23"/>
    </row>
    <row r="26" spans="1:9" x14ac:dyDescent="0.2">
      <c r="B26" s="1"/>
      <c r="C26" s="1"/>
      <c r="D26" s="1"/>
      <c r="E26" s="1"/>
      <c r="F26" s="1"/>
      <c r="G26" s="1"/>
      <c r="H26" s="1"/>
      <c r="I26" s="1"/>
    </row>
    <row r="27" spans="1:9" x14ac:dyDescent="0.2">
      <c r="B27" s="52" t="s">
        <v>11</v>
      </c>
      <c r="C27" s="12"/>
      <c r="D27" s="12"/>
      <c r="E27" s="12"/>
      <c r="F27" s="12"/>
      <c r="G27" s="12"/>
      <c r="H27" s="12"/>
      <c r="I27" s="12"/>
    </row>
    <row r="28" spans="1:9" x14ac:dyDescent="0.2">
      <c r="B28" s="122" t="s">
        <v>86</v>
      </c>
      <c r="C28" s="123"/>
      <c r="D28" s="123"/>
      <c r="E28" s="123"/>
      <c r="F28" s="123"/>
      <c r="G28" s="123"/>
      <c r="H28" s="123"/>
      <c r="I28" s="123"/>
    </row>
    <row r="29" spans="1:9" x14ac:dyDescent="0.2">
      <c r="B29" s="124"/>
      <c r="C29" s="125"/>
      <c r="D29" s="125"/>
      <c r="E29" s="125"/>
      <c r="F29" s="125"/>
      <c r="G29" s="125"/>
      <c r="H29" s="125"/>
      <c r="I29" s="125"/>
    </row>
    <row r="30" spans="1:9" x14ac:dyDescent="0.2">
      <c r="B30" s="53"/>
      <c r="C30" s="14"/>
      <c r="D30" s="14"/>
      <c r="E30" s="14"/>
      <c r="F30" s="14"/>
      <c r="G30" s="14"/>
      <c r="H30" s="14"/>
      <c r="I30" s="14"/>
    </row>
  </sheetData>
  <mergeCells count="2">
    <mergeCell ref="B21:C21"/>
    <mergeCell ref="B18:C1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I16" sqref="I16"/>
    </sheetView>
  </sheetViews>
  <sheetFormatPr defaultRowHeight="12.75" x14ac:dyDescent="0.2"/>
  <cols>
    <col min="1" max="1" width="3.140625" style="43" customWidth="1"/>
    <col min="2" max="2" width="61.85546875" style="43" customWidth="1"/>
    <col min="3" max="3" width="49.7109375" style="43" customWidth="1"/>
    <col min="4" max="4" width="12.85546875" style="43" customWidth="1"/>
    <col min="5" max="5" width="13" style="43" customWidth="1"/>
    <col min="6" max="8" width="12.42578125" style="43" customWidth="1"/>
    <col min="9" max="9" width="12.7109375" style="43" customWidth="1"/>
    <col min="10" max="10" width="12.42578125" style="43" customWidth="1"/>
    <col min="11" max="11" width="11.5703125" style="43" customWidth="1"/>
    <col min="12" max="12" width="11.42578125" style="43" customWidth="1"/>
    <col min="13" max="16384" width="9.140625" style="43"/>
  </cols>
  <sheetData>
    <row r="2" spans="2:9" x14ac:dyDescent="0.2">
      <c r="B2" s="22" t="s">
        <v>8</v>
      </c>
      <c r="C2" s="23"/>
      <c r="D2" s="23"/>
      <c r="E2" s="23"/>
      <c r="F2" s="23"/>
      <c r="G2" s="23"/>
      <c r="H2" s="23"/>
      <c r="I2" s="23"/>
    </row>
    <row r="3" spans="2:9" x14ac:dyDescent="0.2">
      <c r="B3" s="1"/>
      <c r="C3" s="1"/>
      <c r="D3" s="1"/>
      <c r="E3" s="1"/>
      <c r="F3" s="1"/>
      <c r="G3" s="1"/>
      <c r="H3" s="1"/>
      <c r="I3" s="1"/>
    </row>
    <row r="4" spans="2:9" x14ac:dyDescent="0.2">
      <c r="B4" s="22" t="s">
        <v>2</v>
      </c>
      <c r="C4" s="23"/>
      <c r="D4" s="23"/>
      <c r="E4" s="23"/>
      <c r="F4" s="23"/>
      <c r="G4" s="23"/>
      <c r="H4" s="23"/>
      <c r="I4" s="23"/>
    </row>
    <row r="5" spans="2:9" x14ac:dyDescent="0.2">
      <c r="B5" s="1"/>
      <c r="C5" s="1"/>
      <c r="D5" s="1"/>
      <c r="E5" s="1"/>
      <c r="F5" s="1"/>
      <c r="G5" s="1"/>
      <c r="H5" s="1"/>
      <c r="I5" s="1"/>
    </row>
    <row r="6" spans="2:9" x14ac:dyDescent="0.2">
      <c r="B6" s="60" t="s">
        <v>75</v>
      </c>
      <c r="C6" s="60" t="s">
        <v>9</v>
      </c>
      <c r="D6" s="61" t="s">
        <v>54</v>
      </c>
      <c r="E6" s="61" t="s">
        <v>53</v>
      </c>
      <c r="F6" s="61" t="s">
        <v>52</v>
      </c>
      <c r="G6" s="117" t="s">
        <v>79</v>
      </c>
      <c r="H6" s="117" t="s">
        <v>80</v>
      </c>
      <c r="I6" s="62" t="s">
        <v>1</v>
      </c>
    </row>
    <row r="7" spans="2:9" ht="13.5" customHeight="1" x14ac:dyDescent="0.2">
      <c r="B7" s="63" t="s">
        <v>70</v>
      </c>
      <c r="C7" s="26" t="s">
        <v>74</v>
      </c>
      <c r="D7" s="132" t="s">
        <v>93</v>
      </c>
      <c r="E7" s="25">
        <v>11558590.880000001</v>
      </c>
      <c r="F7" s="25">
        <v>12602977.699999999</v>
      </c>
      <c r="G7" s="118">
        <v>12196827.24</v>
      </c>
      <c r="H7" s="118">
        <f>G7*102.5%</f>
        <v>12501747.920999998</v>
      </c>
      <c r="I7" s="212">
        <f>SUM(D7:H7)</f>
        <v>48860143.740999997</v>
      </c>
    </row>
    <row r="8" spans="2:9" x14ac:dyDescent="0.2">
      <c r="B8" s="3"/>
      <c r="C8" s="24"/>
      <c r="D8" s="25"/>
      <c r="E8" s="25"/>
      <c r="F8" s="25"/>
      <c r="G8" s="118"/>
      <c r="H8" s="118"/>
      <c r="I8" s="212">
        <f t="shared" ref="I8:I10" si="0">SUM(D8:H8)</f>
        <v>0</v>
      </c>
    </row>
    <row r="9" spans="2:9" x14ac:dyDescent="0.2">
      <c r="B9" s="3"/>
      <c r="C9" s="24"/>
      <c r="D9" s="25"/>
      <c r="E9" s="25"/>
      <c r="F9" s="25"/>
      <c r="G9" s="118"/>
      <c r="H9" s="118"/>
      <c r="I9" s="212">
        <f t="shared" si="0"/>
        <v>0</v>
      </c>
    </row>
    <row r="10" spans="2:9" x14ac:dyDescent="0.2">
      <c r="B10" s="3"/>
      <c r="C10" s="24"/>
      <c r="D10" s="25"/>
      <c r="E10" s="25"/>
      <c r="F10" s="25"/>
      <c r="G10" s="118"/>
      <c r="H10" s="118"/>
      <c r="I10" s="212">
        <f t="shared" si="0"/>
        <v>0</v>
      </c>
    </row>
    <row r="11" spans="2:9" x14ac:dyDescent="0.2">
      <c r="B11" s="4" t="s">
        <v>1</v>
      </c>
      <c r="C11" s="5"/>
      <c r="D11" s="6">
        <f t="shared" ref="D11:I11" si="1">SUM(D7:D10)</f>
        <v>0</v>
      </c>
      <c r="E11" s="6">
        <f t="shared" si="1"/>
        <v>11558590.880000001</v>
      </c>
      <c r="F11" s="6">
        <f t="shared" si="1"/>
        <v>12602977.699999999</v>
      </c>
      <c r="G11" s="6">
        <f t="shared" si="1"/>
        <v>12196827.24</v>
      </c>
      <c r="H11" s="6">
        <f t="shared" si="1"/>
        <v>12501747.920999998</v>
      </c>
      <c r="I11" s="6">
        <f t="shared" si="1"/>
        <v>48860143.740999997</v>
      </c>
    </row>
    <row r="12" spans="2:9" x14ac:dyDescent="0.2">
      <c r="B12" s="1"/>
      <c r="C12" s="1"/>
      <c r="D12" s="1"/>
      <c r="E12" s="1"/>
      <c r="F12" s="1"/>
      <c r="G12" s="1"/>
      <c r="H12" s="1"/>
      <c r="I12" s="1"/>
    </row>
    <row r="13" spans="2:9" x14ac:dyDescent="0.2">
      <c r="B13" s="22" t="s">
        <v>10</v>
      </c>
      <c r="C13" s="23"/>
      <c r="D13" s="23"/>
      <c r="E13" s="23"/>
      <c r="F13" s="23"/>
      <c r="G13" s="23"/>
      <c r="H13" s="23"/>
      <c r="I13" s="23"/>
    </row>
    <row r="14" spans="2:9" x14ac:dyDescent="0.2">
      <c r="B14" s="216" t="s">
        <v>4</v>
      </c>
      <c r="C14" s="216" t="s">
        <v>9</v>
      </c>
      <c r="D14" s="116" t="s">
        <v>54</v>
      </c>
      <c r="E14" s="116" t="s">
        <v>53</v>
      </c>
      <c r="F14" s="116" t="s">
        <v>52</v>
      </c>
      <c r="G14" s="116" t="s">
        <v>79</v>
      </c>
      <c r="H14" s="116" t="s">
        <v>80</v>
      </c>
      <c r="I14" s="217" t="s">
        <v>1</v>
      </c>
    </row>
    <row r="15" spans="2:9" ht="13.5" customHeight="1" x14ac:dyDescent="0.2">
      <c r="B15" s="2" t="s">
        <v>19</v>
      </c>
      <c r="C15" s="218" t="s">
        <v>77</v>
      </c>
      <c r="D15" s="126" t="s">
        <v>93</v>
      </c>
      <c r="E15" s="64">
        <v>78851</v>
      </c>
      <c r="F15" s="64">
        <v>81368</v>
      </c>
      <c r="G15" s="64">
        <v>80000</v>
      </c>
      <c r="H15" s="64">
        <v>80000</v>
      </c>
      <c r="I15" s="213">
        <f>SUM(D15:H15)</f>
        <v>320219</v>
      </c>
    </row>
    <row r="16" spans="2:9" x14ac:dyDescent="0.2">
      <c r="B16" s="2"/>
      <c r="C16" s="129" t="s">
        <v>78</v>
      </c>
      <c r="D16" s="126" t="s">
        <v>93</v>
      </c>
      <c r="E16" s="64">
        <v>64536</v>
      </c>
      <c r="F16" s="64">
        <v>771176</v>
      </c>
      <c r="G16" s="64">
        <v>70000</v>
      </c>
      <c r="H16" s="64">
        <v>70000</v>
      </c>
      <c r="I16" s="213">
        <f>SUM(D16:H16)</f>
        <v>975712</v>
      </c>
    </row>
    <row r="17" spans="2:9" x14ac:dyDescent="0.2">
      <c r="B17" s="130" t="s">
        <v>17</v>
      </c>
      <c r="C17" s="15"/>
      <c r="D17" s="131">
        <f t="shared" ref="D17:I17" si="2">SUM(D15:D16)</f>
        <v>0</v>
      </c>
      <c r="E17" s="131">
        <f t="shared" si="2"/>
        <v>143387</v>
      </c>
      <c r="F17" s="131">
        <f t="shared" si="2"/>
        <v>852544</v>
      </c>
      <c r="G17" s="131">
        <f t="shared" si="2"/>
        <v>150000</v>
      </c>
      <c r="H17" s="131">
        <f t="shared" si="2"/>
        <v>150000</v>
      </c>
      <c r="I17" s="131">
        <f t="shared" si="2"/>
        <v>1295931</v>
      </c>
    </row>
    <row r="18" spans="2:9" x14ac:dyDescent="0.2">
      <c r="B18" s="1"/>
      <c r="C18" s="1"/>
      <c r="D18" s="9"/>
      <c r="E18" s="9"/>
      <c r="F18" s="9"/>
      <c r="G18" s="9"/>
      <c r="H18" s="9"/>
      <c r="I18" s="9"/>
    </row>
    <row r="19" spans="2:9" x14ac:dyDescent="0.2">
      <c r="B19" s="10" t="s">
        <v>6</v>
      </c>
      <c r="C19" s="1"/>
      <c r="D19" s="9"/>
      <c r="E19" s="9"/>
      <c r="F19" s="9"/>
      <c r="G19" s="9"/>
      <c r="H19" s="9"/>
      <c r="I19" s="9"/>
    </row>
    <row r="20" spans="2:9" x14ac:dyDescent="0.2">
      <c r="B20" s="119" t="s">
        <v>87</v>
      </c>
      <c r="C20" s="119"/>
      <c r="D20" s="119"/>
      <c r="E20" s="119"/>
      <c r="F20" s="119"/>
      <c r="G20" s="119"/>
      <c r="H20" s="119"/>
      <c r="I20" s="119"/>
    </row>
    <row r="21" spans="2:9" x14ac:dyDescent="0.2">
      <c r="B21" s="121" t="s">
        <v>88</v>
      </c>
      <c r="C21" s="121"/>
      <c r="D21" s="121"/>
      <c r="E21" s="121"/>
      <c r="F21" s="121"/>
      <c r="G21" s="121"/>
      <c r="H21" s="121"/>
      <c r="I21" s="121"/>
    </row>
    <row r="22" spans="2:9" x14ac:dyDescent="0.2">
      <c r="B22" s="121" t="s">
        <v>89</v>
      </c>
      <c r="C22" s="121"/>
      <c r="D22" s="121"/>
      <c r="E22" s="121"/>
      <c r="F22" s="121"/>
      <c r="G22" s="121"/>
      <c r="H22" s="121"/>
      <c r="I22" s="121"/>
    </row>
    <row r="23" spans="2:9" x14ac:dyDescent="0.2">
      <c r="B23" s="121" t="s">
        <v>90</v>
      </c>
      <c r="C23" s="121"/>
      <c r="D23" s="121"/>
      <c r="E23" s="121"/>
      <c r="F23" s="121"/>
      <c r="G23" s="121"/>
      <c r="H23" s="121"/>
      <c r="I23" s="121"/>
    </row>
    <row r="24" spans="2:9" x14ac:dyDescent="0.2">
      <c r="B24" s="121" t="s">
        <v>91</v>
      </c>
      <c r="C24" s="121"/>
      <c r="D24" s="121"/>
      <c r="E24" s="121"/>
      <c r="F24" s="121"/>
      <c r="G24" s="121"/>
      <c r="H24" s="121"/>
      <c r="I24" s="121"/>
    </row>
    <row r="25" spans="2:9" x14ac:dyDescent="0.2">
      <c r="B25" s="1"/>
      <c r="C25" s="1"/>
      <c r="D25" s="9"/>
      <c r="E25" s="9"/>
      <c r="F25" s="9"/>
      <c r="G25" s="9"/>
      <c r="H25" s="9"/>
      <c r="I25" s="9"/>
    </row>
    <row r="26" spans="2:9" x14ac:dyDescent="0.2">
      <c r="B26" s="22" t="s">
        <v>2</v>
      </c>
      <c r="C26" s="23"/>
      <c r="D26" s="23"/>
      <c r="E26" s="23"/>
      <c r="F26" s="23"/>
      <c r="G26" s="23"/>
      <c r="H26" s="23"/>
      <c r="I26" s="23"/>
    </row>
    <row r="27" spans="2:9" x14ac:dyDescent="0.2">
      <c r="B27" s="11" t="s">
        <v>11</v>
      </c>
      <c r="C27" s="12"/>
      <c r="D27" s="12"/>
      <c r="E27" s="12"/>
      <c r="F27" s="12"/>
      <c r="G27" s="12"/>
      <c r="H27" s="12"/>
      <c r="I27" s="12"/>
    </row>
    <row r="28" spans="2:9" x14ac:dyDescent="0.2">
      <c r="B28" s="247" t="s">
        <v>135</v>
      </c>
      <c r="C28" s="247"/>
      <c r="D28" s="247"/>
      <c r="E28" s="247"/>
      <c r="F28" s="247"/>
      <c r="G28" s="247"/>
      <c r="H28" s="247"/>
      <c r="I28" s="247"/>
    </row>
    <row r="29" spans="2:9" x14ac:dyDescent="0.2">
      <c r="B29" s="248"/>
      <c r="C29" s="248"/>
      <c r="D29" s="248"/>
      <c r="E29" s="248"/>
      <c r="F29" s="248"/>
      <c r="G29" s="248"/>
      <c r="H29" s="248"/>
      <c r="I29" s="248"/>
    </row>
    <row r="30" spans="2:9" x14ac:dyDescent="0.2">
      <c r="B30" s="13"/>
      <c r="C30" s="14"/>
      <c r="D30" s="14"/>
      <c r="E30" s="14"/>
      <c r="F30" s="14"/>
      <c r="G30" s="14"/>
      <c r="H30" s="14"/>
      <c r="I30" s="14"/>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K39"/>
  <sheetViews>
    <sheetView showGridLines="0" workbookViewId="0">
      <selection activeCell="B21" sqref="B21"/>
    </sheetView>
  </sheetViews>
  <sheetFormatPr defaultRowHeight="12.75" x14ac:dyDescent="0.2"/>
  <cols>
    <col min="1" max="1" width="2.28515625" style="1" customWidth="1"/>
    <col min="2" max="2" width="87.42578125" style="1" bestFit="1" customWidth="1"/>
    <col min="3" max="4" width="10.85546875" style="58" customWidth="1"/>
    <col min="5" max="5" width="10.5703125" style="58" customWidth="1"/>
    <col min="6" max="6" width="15.140625" style="58" customWidth="1"/>
    <col min="7" max="9" width="11.28515625" style="58" customWidth="1"/>
    <col min="10" max="10" width="9.140625" style="36"/>
    <col min="11" max="11" width="2.85546875" style="1" customWidth="1"/>
    <col min="12" max="16384" width="9.140625" style="1"/>
  </cols>
  <sheetData>
    <row r="2" spans="2:11" x14ac:dyDescent="0.2">
      <c r="B2" s="137" t="s">
        <v>50</v>
      </c>
      <c r="C2" s="138"/>
      <c r="D2" s="138"/>
      <c r="E2" s="138"/>
      <c r="F2" s="246" t="s">
        <v>132</v>
      </c>
      <c r="G2" s="246"/>
      <c r="H2" s="246"/>
      <c r="I2" s="246"/>
      <c r="J2" s="246"/>
    </row>
    <row r="3" spans="2:11" ht="12.75" customHeight="1" x14ac:dyDescent="0.25">
      <c r="B3" s="54" t="s">
        <v>61</v>
      </c>
      <c r="C3" s="41"/>
      <c r="D3" s="41"/>
      <c r="E3" s="41"/>
      <c r="F3" s="245" t="s">
        <v>133</v>
      </c>
      <c r="G3" s="245"/>
      <c r="H3" s="245"/>
      <c r="I3" s="245"/>
      <c r="J3" s="245"/>
    </row>
    <row r="4" spans="2:11" s="30" customFormat="1" ht="3" customHeight="1" x14ac:dyDescent="0.2">
      <c r="B4" s="32"/>
      <c r="C4" s="56"/>
      <c r="D4" s="56"/>
      <c r="E4" s="56"/>
      <c r="F4" s="56"/>
      <c r="G4" s="56"/>
      <c r="H4" s="56"/>
      <c r="I4" s="56"/>
      <c r="J4" s="32"/>
    </row>
    <row r="5" spans="2:11" ht="63.75" x14ac:dyDescent="0.2">
      <c r="B5" s="33" t="s">
        <v>18</v>
      </c>
      <c r="C5" s="135" t="s">
        <v>125</v>
      </c>
      <c r="D5" s="134" t="s">
        <v>123</v>
      </c>
      <c r="E5" s="134" t="s">
        <v>120</v>
      </c>
      <c r="F5" s="134" t="s">
        <v>124</v>
      </c>
      <c r="G5" s="135" t="s">
        <v>97</v>
      </c>
      <c r="H5" s="135" t="s">
        <v>111</v>
      </c>
      <c r="I5" s="135" t="s">
        <v>116</v>
      </c>
      <c r="J5" s="203" t="s">
        <v>60</v>
      </c>
      <c r="K5" s="44"/>
    </row>
    <row r="6" spans="2:11" x14ac:dyDescent="0.2">
      <c r="B6" s="206" t="s">
        <v>64</v>
      </c>
      <c r="C6" s="207"/>
      <c r="D6" s="207"/>
      <c r="E6" s="207"/>
      <c r="F6" s="207"/>
      <c r="G6" s="207"/>
      <c r="H6" s="207"/>
      <c r="I6" s="207"/>
      <c r="J6" s="208"/>
      <c r="K6" s="21"/>
    </row>
    <row r="7" spans="2:11" x14ac:dyDescent="0.2">
      <c r="B7" s="204" t="s">
        <v>134</v>
      </c>
      <c r="C7" s="205">
        <v>0</v>
      </c>
      <c r="D7" s="209">
        <f>9.52</f>
        <v>9.52</v>
      </c>
      <c r="E7" s="209">
        <f>D7*[1]Inputs!$G$61</f>
        <v>0</v>
      </c>
      <c r="F7" s="209">
        <f>SUM(D7:E7)</f>
        <v>9.52</v>
      </c>
      <c r="G7" s="209">
        <f>[1]Inputs!$M$43*F7</f>
        <v>4.4356213416395569</v>
      </c>
      <c r="H7" s="209">
        <f>[1]Inputs!$M$48*F7</f>
        <v>1.526794610336061</v>
      </c>
      <c r="I7" s="215">
        <f>[1]Inputs!$H$13*SUM(F7:H7)</f>
        <v>0.98189481967429371</v>
      </c>
      <c r="J7" s="209">
        <f>SUM(F7:I7)</f>
        <v>16.464310771649913</v>
      </c>
    </row>
    <row r="8" spans="2:11" x14ac:dyDescent="0.2">
      <c r="B8" s="136" t="s">
        <v>1</v>
      </c>
      <c r="C8" s="59"/>
      <c r="D8" s="210">
        <f t="shared" ref="D8:J8" si="0">SUM(D7:D7)</f>
        <v>9.52</v>
      </c>
      <c r="E8" s="210">
        <f t="shared" si="0"/>
        <v>0</v>
      </c>
      <c r="F8" s="210">
        <f t="shared" si="0"/>
        <v>9.52</v>
      </c>
      <c r="G8" s="210">
        <f t="shared" si="0"/>
        <v>4.4356213416395569</v>
      </c>
      <c r="H8" s="210">
        <f t="shared" si="0"/>
        <v>1.526794610336061</v>
      </c>
      <c r="I8" s="210">
        <f t="shared" si="0"/>
        <v>0.98189481967429371</v>
      </c>
      <c r="J8" s="210">
        <f t="shared" si="0"/>
        <v>16.464310771649913</v>
      </c>
      <c r="K8" s="44"/>
    </row>
    <row r="9" spans="2:11" x14ac:dyDescent="0.2">
      <c r="B9" s="34"/>
      <c r="C9" s="57"/>
      <c r="D9" s="57"/>
      <c r="E9" s="57"/>
      <c r="F9" s="57"/>
      <c r="G9" s="57"/>
      <c r="H9" s="57"/>
      <c r="I9" s="57"/>
      <c r="J9" s="35"/>
    </row>
    <row r="10" spans="2:11" x14ac:dyDescent="0.2">
      <c r="B10" s="1" t="s">
        <v>137</v>
      </c>
    </row>
    <row r="13" spans="2:11" x14ac:dyDescent="0.2">
      <c r="K13" s="44"/>
    </row>
    <row r="26" spans="11:11" x14ac:dyDescent="0.2">
      <c r="K26" s="44"/>
    </row>
    <row r="39" spans="11:11" x14ac:dyDescent="0.2">
      <c r="K39" s="44"/>
    </row>
  </sheetData>
  <mergeCells count="2">
    <mergeCell ref="F3:J3"/>
    <mergeCell ref="F2:J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BBC85-2140-4D5E-911C-D354AC1F2704}">
  <dimension ref="B1:O26"/>
  <sheetViews>
    <sheetView zoomScale="90" zoomScaleNormal="90" workbookViewId="0">
      <pane xSplit="1" ySplit="7" topLeftCell="B8" activePane="bottomRight" state="frozen"/>
      <selection pane="topRight" activeCell="B1" sqref="B1"/>
      <selection pane="bottomLeft" activeCell="A7" sqref="A7"/>
      <selection pane="bottomRight" activeCell="G9" sqref="G9"/>
    </sheetView>
  </sheetViews>
  <sheetFormatPr defaultRowHeight="15" x14ac:dyDescent="0.25"/>
  <cols>
    <col min="1" max="1" width="4.42578125" style="174" customWidth="1"/>
    <col min="2" max="2" width="46.7109375" style="174" customWidth="1"/>
    <col min="3" max="3" width="13.28515625" style="174" customWidth="1"/>
    <col min="4" max="8" width="12.7109375" style="174" bestFit="1" customWidth="1"/>
    <col min="9" max="9" width="9.140625" style="174"/>
    <col min="10" max="15" width="10" style="174" bestFit="1" customWidth="1"/>
    <col min="16" max="16384" width="9.140625" style="174"/>
  </cols>
  <sheetData>
    <row r="1" spans="2:15" x14ac:dyDescent="0.25">
      <c r="B1" s="174" t="s">
        <v>98</v>
      </c>
      <c r="D1" s="175">
        <f>[1]Inputs!H16</f>
        <v>1</v>
      </c>
      <c r="E1" s="175">
        <f>[1]Inputs!I16</f>
        <v>1</v>
      </c>
      <c r="F1" s="175">
        <f>[1]Inputs!J16</f>
        <v>1.0109999999999999</v>
      </c>
      <c r="G1" s="175">
        <f>[1]Inputs!K16</f>
        <v>1.0231319999999999</v>
      </c>
      <c r="H1" s="175">
        <f>[1]Inputs!L16</f>
        <v>1.0337725727999998</v>
      </c>
      <c r="K1" s="176">
        <f>D1</f>
        <v>1</v>
      </c>
      <c r="L1" s="176">
        <f t="shared" ref="L1:O5" si="0">E1</f>
        <v>1</v>
      </c>
      <c r="M1" s="176">
        <f t="shared" si="0"/>
        <v>1.0109999999999999</v>
      </c>
      <c r="N1" s="176">
        <f t="shared" si="0"/>
        <v>1.0231319999999999</v>
      </c>
      <c r="O1" s="176">
        <f t="shared" si="0"/>
        <v>1.0337725727999998</v>
      </c>
    </row>
    <row r="2" spans="2:15" x14ac:dyDescent="0.25">
      <c r="B2" s="174" t="s">
        <v>120</v>
      </c>
      <c r="D2" s="175">
        <f>[1]Inputs!H$61</f>
        <v>0.04</v>
      </c>
      <c r="E2" s="175">
        <f>[1]Inputs!I$61</f>
        <v>0.04</v>
      </c>
      <c r="F2" s="175">
        <f>[1]Inputs!J$61</f>
        <v>0.04</v>
      </c>
      <c r="G2" s="175">
        <f>[1]Inputs!K$61</f>
        <v>0.04</v>
      </c>
      <c r="H2" s="175">
        <f>[1]Inputs!L$61</f>
        <v>0.04</v>
      </c>
      <c r="K2" s="176">
        <f>D2</f>
        <v>0.04</v>
      </c>
      <c r="L2" s="176">
        <f t="shared" si="0"/>
        <v>0.04</v>
      </c>
      <c r="M2" s="176">
        <f t="shared" si="0"/>
        <v>0.04</v>
      </c>
      <c r="N2" s="176">
        <f t="shared" si="0"/>
        <v>0.04</v>
      </c>
      <c r="O2" s="176">
        <f t="shared" si="0"/>
        <v>0.04</v>
      </c>
    </row>
    <row r="3" spans="2:15" x14ac:dyDescent="0.25">
      <c r="B3" s="174" t="s">
        <v>99</v>
      </c>
      <c r="D3" s="176">
        <f>[1]Inputs!$M$43</f>
        <v>0.46592661151676018</v>
      </c>
      <c r="E3" s="176">
        <f>[1]Inputs!$M$43</f>
        <v>0.46592661151676018</v>
      </c>
      <c r="F3" s="176">
        <f>[1]Inputs!$M$43</f>
        <v>0.46592661151676018</v>
      </c>
      <c r="G3" s="176">
        <f>[1]Inputs!$M$43</f>
        <v>0.46592661151676018</v>
      </c>
      <c r="H3" s="176">
        <f>[1]Inputs!$M$43</f>
        <v>0.46592661151676018</v>
      </c>
      <c r="K3" s="176">
        <f t="shared" ref="K3:K5" si="1">D3</f>
        <v>0.46592661151676018</v>
      </c>
      <c r="L3" s="176">
        <f t="shared" si="0"/>
        <v>0.46592661151676018</v>
      </c>
      <c r="M3" s="176">
        <f t="shared" si="0"/>
        <v>0.46592661151676018</v>
      </c>
      <c r="N3" s="176">
        <f t="shared" si="0"/>
        <v>0.46592661151676018</v>
      </c>
      <c r="O3" s="176">
        <f t="shared" si="0"/>
        <v>0.46592661151676018</v>
      </c>
    </row>
    <row r="4" spans="2:15" x14ac:dyDescent="0.25">
      <c r="B4" s="174" t="s">
        <v>100</v>
      </c>
      <c r="D4" s="176">
        <f>[1]Inputs!$M$48</f>
        <v>0.16037758511933414</v>
      </c>
      <c r="E4" s="176">
        <f>[1]Inputs!$M$48</f>
        <v>0.16037758511933414</v>
      </c>
      <c r="F4" s="176">
        <f>[1]Inputs!$M$48</f>
        <v>0.16037758511933414</v>
      </c>
      <c r="G4" s="176">
        <f>[1]Inputs!$M$48</f>
        <v>0.16037758511933414</v>
      </c>
      <c r="H4" s="176">
        <f>[1]Inputs!$M$48</f>
        <v>0.16037758511933414</v>
      </c>
      <c r="K4" s="176">
        <f t="shared" si="1"/>
        <v>0.16037758511933414</v>
      </c>
      <c r="L4" s="176">
        <f t="shared" si="0"/>
        <v>0.16037758511933414</v>
      </c>
      <c r="M4" s="176">
        <f t="shared" si="0"/>
        <v>0.16037758511933414</v>
      </c>
      <c r="N4" s="176">
        <f t="shared" si="0"/>
        <v>0.16037758511933414</v>
      </c>
      <c r="O4" s="176">
        <f t="shared" si="0"/>
        <v>0.16037758511933414</v>
      </c>
    </row>
    <row r="5" spans="2:15" x14ac:dyDescent="0.25">
      <c r="B5" s="174" t="s">
        <v>101</v>
      </c>
      <c r="D5" s="176">
        <f>[1]Inputs!$H$13</f>
        <v>6.3420000000000004E-2</v>
      </c>
      <c r="E5" s="176">
        <f>[1]Inputs!$H$13</f>
        <v>6.3420000000000004E-2</v>
      </c>
      <c r="F5" s="176">
        <f>[1]Inputs!$H$13</f>
        <v>6.3420000000000004E-2</v>
      </c>
      <c r="G5" s="176">
        <f>[1]Inputs!$H$13</f>
        <v>6.3420000000000004E-2</v>
      </c>
      <c r="H5" s="176">
        <f>[1]Inputs!$H$13</f>
        <v>6.3420000000000004E-2</v>
      </c>
      <c r="K5" s="176">
        <f t="shared" si="1"/>
        <v>6.3420000000000004E-2</v>
      </c>
      <c r="L5" s="176">
        <f t="shared" si="0"/>
        <v>6.3420000000000004E-2</v>
      </c>
      <c r="M5" s="176">
        <f t="shared" si="0"/>
        <v>6.3420000000000004E-2</v>
      </c>
      <c r="N5" s="176">
        <f t="shared" si="0"/>
        <v>6.3420000000000004E-2</v>
      </c>
      <c r="O5" s="176">
        <f t="shared" si="0"/>
        <v>6.3420000000000004E-2</v>
      </c>
    </row>
    <row r="6" spans="2:15" s="177" customFormat="1" ht="15.75" x14ac:dyDescent="0.25">
      <c r="D6" s="249" t="s">
        <v>102</v>
      </c>
      <c r="E6" s="249"/>
      <c r="F6" s="249"/>
      <c r="G6" s="249"/>
      <c r="H6" s="249"/>
      <c r="J6" s="250" t="s">
        <v>103</v>
      </c>
      <c r="K6" s="250"/>
      <c r="L6" s="250"/>
      <c r="M6" s="250"/>
      <c r="N6" s="250"/>
      <c r="O6" s="250"/>
    </row>
    <row r="7" spans="2:15" x14ac:dyDescent="0.25">
      <c r="B7" s="257" t="s">
        <v>138</v>
      </c>
      <c r="C7" s="178"/>
      <c r="D7" s="178" t="s">
        <v>104</v>
      </c>
      <c r="E7" s="178" t="s">
        <v>105</v>
      </c>
      <c r="F7" s="178" t="s">
        <v>106</v>
      </c>
      <c r="G7" s="178" t="s">
        <v>107</v>
      </c>
      <c r="H7" s="178" t="s">
        <v>108</v>
      </c>
    </row>
    <row r="8" spans="2:15" x14ac:dyDescent="0.25">
      <c r="B8" s="179" t="s">
        <v>121</v>
      </c>
      <c r="C8" s="180"/>
      <c r="D8" s="181">
        <f>(D18*D$25)</f>
        <v>1370880</v>
      </c>
      <c r="E8" s="181">
        <f t="shared" ref="E8:H8" si="2">(E18*E$25)</f>
        <v>1316044.8</v>
      </c>
      <c r="F8" s="181">
        <f t="shared" si="2"/>
        <v>1277300.4410879996</v>
      </c>
      <c r="G8" s="181">
        <f t="shared" si="2"/>
        <v>1254573.0766955973</v>
      </c>
      <c r="H8" s="181">
        <f t="shared" si="2"/>
        <v>1245065.5077707705</v>
      </c>
    </row>
    <row r="9" spans="2:15" x14ac:dyDescent="0.25">
      <c r="B9" s="179" t="s">
        <v>122</v>
      </c>
      <c r="C9" s="180"/>
      <c r="D9" s="181">
        <f>(D19*D$25)</f>
        <v>54835.199999999997</v>
      </c>
      <c r="E9" s="181">
        <f t="shared" ref="E9:H9" si="3">(E19*E$25)</f>
        <v>52641.791999999994</v>
      </c>
      <c r="F9" s="181">
        <f t="shared" si="3"/>
        <v>51092.017643519983</v>
      </c>
      <c r="G9" s="181">
        <f t="shared" si="3"/>
        <v>50182.923067823896</v>
      </c>
      <c r="H9" s="181">
        <f t="shared" si="3"/>
        <v>49802.620310830818</v>
      </c>
    </row>
    <row r="10" spans="2:15" x14ac:dyDescent="0.25">
      <c r="B10" s="182" t="s">
        <v>110</v>
      </c>
      <c r="C10" s="182"/>
      <c r="D10" s="183">
        <f>(D20*D$25)</f>
        <v>1425715.2</v>
      </c>
      <c r="E10" s="183">
        <f t="shared" ref="E10:H10" si="4">(E20*E$25)</f>
        <v>1368686.5919999999</v>
      </c>
      <c r="F10" s="183">
        <f t="shared" si="4"/>
        <v>1328392.4587315198</v>
      </c>
      <c r="G10" s="183">
        <f t="shared" si="4"/>
        <v>1304755.9997634212</v>
      </c>
      <c r="H10" s="183">
        <f t="shared" si="4"/>
        <v>1294868.1280816011</v>
      </c>
    </row>
    <row r="11" spans="2:15" x14ac:dyDescent="0.25">
      <c r="B11" s="180" t="s">
        <v>97</v>
      </c>
      <c r="C11" s="180"/>
      <c r="D11" s="181">
        <f>(D21*D$25)</f>
        <v>664278.65212394006</v>
      </c>
      <c r="E11" s="181">
        <f t="shared" ref="E11:H11" si="5">(E21*E$25)</f>
        <v>637707.50603898242</v>
      </c>
      <c r="F11" s="181">
        <f t="shared" si="5"/>
        <v>618933.39706119464</v>
      </c>
      <c r="G11" s="181">
        <f t="shared" si="5"/>
        <v>607920.54182593361</v>
      </c>
      <c r="H11" s="181">
        <f t="shared" si="5"/>
        <v>603313.51927811059</v>
      </c>
    </row>
    <row r="12" spans="2:15" x14ac:dyDescent="0.25">
      <c r="B12" s="180" t="s">
        <v>111</v>
      </c>
      <c r="C12" s="180"/>
      <c r="D12" s="181">
        <f>(D22*D$25)</f>
        <v>228652.7608439285</v>
      </c>
      <c r="E12" s="181">
        <f t="shared" ref="E12:H12" si="6">(E22*E$25)</f>
        <v>219506.65041017137</v>
      </c>
      <c r="F12" s="181">
        <f t="shared" si="6"/>
        <v>213044.37462209587</v>
      </c>
      <c r="G12" s="181">
        <f t="shared" si="6"/>
        <v>209253.61641202003</v>
      </c>
      <c r="H12" s="181">
        <f t="shared" si="6"/>
        <v>207667.82342971987</v>
      </c>
    </row>
    <row r="13" spans="2:15" x14ac:dyDescent="0.25">
      <c r="B13" s="180" t="s">
        <v>112</v>
      </c>
      <c r="C13" s="180"/>
      <c r="D13" s="184">
        <f>IF(D23="n/a","n/a",D23*D$25)</f>
        <v>147048.56819442223</v>
      </c>
      <c r="E13" s="184">
        <f t="shared" ref="E13:H13" si="7">IF(E23="n/a","n/a",E23*E$25)</f>
        <v>141166.62546664532</v>
      </c>
      <c r="F13" s="184">
        <f t="shared" si="7"/>
        <v>137010.68001290728</v>
      </c>
      <c r="G13" s="184">
        <f t="shared" si="7"/>
        <v>134572.81062044721</v>
      </c>
      <c r="H13" s="184">
        <f t="shared" si="7"/>
        <v>133552.97343746576</v>
      </c>
    </row>
    <row r="14" spans="2:15" x14ac:dyDescent="0.25">
      <c r="B14" s="185" t="s">
        <v>113</v>
      </c>
      <c r="C14" s="180"/>
      <c r="D14" s="183">
        <f>SUM(D10:D13)</f>
        <v>2465695.1811622907</v>
      </c>
      <c r="E14" s="183">
        <f t="shared" ref="E14:H14" si="8">SUM(E10:E13)</f>
        <v>2367067.373915799</v>
      </c>
      <c r="F14" s="183">
        <f t="shared" si="8"/>
        <v>2297380.9104277175</v>
      </c>
      <c r="G14" s="183">
        <f t="shared" si="8"/>
        <v>2256502.9686218221</v>
      </c>
      <c r="H14" s="183">
        <f t="shared" si="8"/>
        <v>2239402.4442268973</v>
      </c>
    </row>
    <row r="15" spans="2:15" s="187" customFormat="1" x14ac:dyDescent="0.25">
      <c r="B15" s="186" t="s">
        <v>114</v>
      </c>
      <c r="C15" s="182"/>
      <c r="D15" s="183">
        <f>D26-D14</f>
        <v>0</v>
      </c>
      <c r="E15" s="183">
        <f t="shared" ref="E15:H15" si="9">E26-E14</f>
        <v>0</v>
      </c>
      <c r="F15" s="183">
        <f t="shared" si="9"/>
        <v>0</v>
      </c>
      <c r="G15" s="183">
        <f t="shared" si="9"/>
        <v>0</v>
      </c>
      <c r="H15" s="183">
        <f t="shared" si="9"/>
        <v>0</v>
      </c>
    </row>
    <row r="16" spans="2:15" s="187" customFormat="1" x14ac:dyDescent="0.25">
      <c r="C16" s="188"/>
    </row>
    <row r="17" spans="2:15" x14ac:dyDescent="0.25">
      <c r="B17" s="189" t="s">
        <v>64</v>
      </c>
      <c r="C17" s="190"/>
      <c r="D17" s="251" t="s">
        <v>115</v>
      </c>
      <c r="E17" s="252"/>
      <c r="F17" s="252"/>
      <c r="G17" s="252"/>
      <c r="H17" s="252"/>
      <c r="J17" s="190"/>
      <c r="K17" s="251" t="s">
        <v>115</v>
      </c>
      <c r="L17" s="252"/>
      <c r="M17" s="252"/>
      <c r="N17" s="252"/>
      <c r="O17" s="252"/>
    </row>
    <row r="18" spans="2:15" x14ac:dyDescent="0.25">
      <c r="B18" s="191" t="s">
        <v>121</v>
      </c>
      <c r="C18" s="192">
        <f>'Proposed price'!$D$8</f>
        <v>9.52</v>
      </c>
      <c r="D18" s="193">
        <f>C18*D$1</f>
        <v>9.52</v>
      </c>
      <c r="E18" s="193">
        <f>D18*E1</f>
        <v>9.52</v>
      </c>
      <c r="F18" s="193">
        <f>E18*F1</f>
        <v>9.6247199999999982</v>
      </c>
      <c r="G18" s="193">
        <f>F18*G1</f>
        <v>9.8473590230399974</v>
      </c>
      <c r="H18" s="193">
        <f>G18*H1</f>
        <v>10.179929672533351</v>
      </c>
      <c r="J18" s="192"/>
      <c r="K18" s="193">
        <f>J18*K$1</f>
        <v>0</v>
      </c>
      <c r="L18" s="193">
        <f>K18*L1</f>
        <v>0</v>
      </c>
      <c r="M18" s="193">
        <f>L18*M1</f>
        <v>0</v>
      </c>
      <c r="N18" s="193">
        <f>M18*N1</f>
        <v>0</v>
      </c>
      <c r="O18" s="193">
        <f>N18*O1</f>
        <v>0</v>
      </c>
    </row>
    <row r="19" spans="2:15" x14ac:dyDescent="0.25">
      <c r="B19" s="191" t="s">
        <v>122</v>
      </c>
      <c r="C19" s="192">
        <f>'Proposed price'!$E$8</f>
        <v>0</v>
      </c>
      <c r="D19" s="193">
        <f>D18*D$2</f>
        <v>0.38079999999999997</v>
      </c>
      <c r="E19" s="193">
        <f t="shared" ref="E19:H19" si="10">E18*E$2</f>
        <v>0.38079999999999997</v>
      </c>
      <c r="F19" s="193">
        <f t="shared" si="10"/>
        <v>0.38498879999999991</v>
      </c>
      <c r="G19" s="193">
        <f t="shared" si="10"/>
        <v>0.39389436092159991</v>
      </c>
      <c r="H19" s="193">
        <f t="shared" si="10"/>
        <v>0.40719718690133405</v>
      </c>
      <c r="J19" s="192"/>
      <c r="K19" s="193">
        <f>K18*K$2</f>
        <v>0</v>
      </c>
      <c r="L19" s="193">
        <f t="shared" ref="L19" si="11">L18*L$2</f>
        <v>0</v>
      </c>
      <c r="M19" s="193">
        <f t="shared" ref="M19" si="12">M18*M$2</f>
        <v>0</v>
      </c>
      <c r="N19" s="193">
        <f t="shared" ref="N19" si="13">N18*N$2</f>
        <v>0</v>
      </c>
      <c r="O19" s="193">
        <f t="shared" ref="O19" si="14">O18*O$2</f>
        <v>0</v>
      </c>
    </row>
    <row r="20" spans="2:15" s="187" customFormat="1" x14ac:dyDescent="0.25">
      <c r="B20" s="194" t="s">
        <v>110</v>
      </c>
      <c r="C20" s="258">
        <f>'Proposed price'!$F$8</f>
        <v>9.52</v>
      </c>
      <c r="D20" s="259">
        <f>SUM(D18:D19)</f>
        <v>9.9008000000000003</v>
      </c>
      <c r="E20" s="259">
        <f>SUM(E18:E19)</f>
        <v>9.9008000000000003</v>
      </c>
      <c r="F20" s="259">
        <f>SUM(F18:F19)</f>
        <v>10.009708799999999</v>
      </c>
      <c r="G20" s="259">
        <f>SUM(G18:G19)</f>
        <v>10.241253383961597</v>
      </c>
      <c r="H20" s="259">
        <f>SUM(H18:H19)</f>
        <v>10.587126859434685</v>
      </c>
      <c r="J20" s="195"/>
      <c r="K20" s="180">
        <f>SUM(K18:K19)</f>
        <v>0</v>
      </c>
      <c r="L20" s="180">
        <f>SUM(L18:L19)</f>
        <v>0</v>
      </c>
      <c r="M20" s="180">
        <f>SUM(M18:M19)</f>
        <v>0</v>
      </c>
      <c r="N20" s="180">
        <f>SUM(N18:N19)</f>
        <v>0</v>
      </c>
      <c r="O20" s="180">
        <f>SUM(O18:O19)</f>
        <v>0</v>
      </c>
    </row>
    <row r="21" spans="2:15" x14ac:dyDescent="0.25">
      <c r="B21" s="191" t="s">
        <v>97</v>
      </c>
      <c r="C21" s="192">
        <f>'Proposed price'!$G$8</f>
        <v>4.4356213416395569</v>
      </c>
      <c r="D21" s="193">
        <f>D20*D$3</f>
        <v>4.6130461953051389</v>
      </c>
      <c r="E21" s="193">
        <f t="shared" ref="E21:H21" si="15">E20*E$3</f>
        <v>4.6130461953051389</v>
      </c>
      <c r="F21" s="193">
        <f t="shared" si="15"/>
        <v>4.663789703453495</v>
      </c>
      <c r="G21" s="193">
        <f t="shared" si="15"/>
        <v>4.771672486873781</v>
      </c>
      <c r="H21" s="193">
        <f t="shared" si="15"/>
        <v>4.9328241433144813</v>
      </c>
      <c r="J21" s="192"/>
      <c r="K21" s="193">
        <f>K20*K$3</f>
        <v>0</v>
      </c>
      <c r="L21" s="193">
        <f t="shared" ref="L21:O21" si="16">L20*L$3</f>
        <v>0</v>
      </c>
      <c r="M21" s="193">
        <f t="shared" si="16"/>
        <v>0</v>
      </c>
      <c r="N21" s="193">
        <f t="shared" si="16"/>
        <v>0</v>
      </c>
      <c r="O21" s="193">
        <f t="shared" si="16"/>
        <v>0</v>
      </c>
    </row>
    <row r="22" spans="2:15" x14ac:dyDescent="0.25">
      <c r="B22" s="191" t="s">
        <v>111</v>
      </c>
      <c r="C22" s="192">
        <f>'Proposed price'!$H$8</f>
        <v>1.526794610336061</v>
      </c>
      <c r="D22" s="193">
        <f>D20*D$4</f>
        <v>1.5878663947495035</v>
      </c>
      <c r="E22" s="193">
        <f t="shared" ref="E22:H22" si="17">E20*E$4</f>
        <v>1.5878663947495035</v>
      </c>
      <c r="F22" s="193">
        <f t="shared" si="17"/>
        <v>1.6053329250917479</v>
      </c>
      <c r="G22" s="193">
        <f t="shared" si="17"/>
        <v>1.64246748631497</v>
      </c>
      <c r="H22" s="193">
        <f t="shared" si="17"/>
        <v>1.697937839068175</v>
      </c>
      <c r="J22" s="192"/>
      <c r="K22" s="193">
        <f>K20*K$4</f>
        <v>0</v>
      </c>
      <c r="L22" s="193">
        <f t="shared" ref="L22:O22" si="18">L20*L$4</f>
        <v>0</v>
      </c>
      <c r="M22" s="193">
        <f t="shared" si="18"/>
        <v>0</v>
      </c>
      <c r="N22" s="193">
        <f t="shared" si="18"/>
        <v>0</v>
      </c>
      <c r="O22" s="193">
        <f t="shared" si="18"/>
        <v>0</v>
      </c>
    </row>
    <row r="23" spans="2:15" x14ac:dyDescent="0.25">
      <c r="B23" s="191" t="s">
        <v>116</v>
      </c>
      <c r="C23" s="196">
        <f>'Proposed price'!I8</f>
        <v>0.98189481967429371</v>
      </c>
      <c r="D23" s="197">
        <f>IF(C23="n/a","n/a",SUM(D20:D22)*D$5)</f>
        <v>1.0211706124612654</v>
      </c>
      <c r="E23" s="197">
        <f t="shared" ref="E23:H23" si="19">IF(D23="n/a","n/a",SUM(E20:E22)*E$5)</f>
        <v>1.0211706124612654</v>
      </c>
      <c r="F23" s="197">
        <f t="shared" si="19"/>
        <v>1.0324034891983394</v>
      </c>
      <c r="G23" s="197">
        <f t="shared" si="19"/>
        <v>1.0562850467104752</v>
      </c>
      <c r="H23" s="197">
        <f t="shared" si="19"/>
        <v>1.0919585103480558</v>
      </c>
      <c r="J23" s="196"/>
      <c r="K23" s="197">
        <f>IF(J23="n/a","n/a",SUM(K20:K22)*K$5)</f>
        <v>0</v>
      </c>
      <c r="L23" s="197">
        <f t="shared" ref="L23" si="20">IF(K23="n/a","n/a",SUM(L20:L22)*L$5)</f>
        <v>0</v>
      </c>
      <c r="M23" s="197">
        <f t="shared" ref="M23" si="21">IF(L23="n/a","n/a",SUM(M20:M22)*M$5)</f>
        <v>0</v>
      </c>
      <c r="N23" s="197">
        <f t="shared" ref="N23" si="22">IF(M23="n/a","n/a",SUM(N20:N22)*N$5)</f>
        <v>0</v>
      </c>
      <c r="O23" s="197">
        <f t="shared" ref="O23" si="23">IF(N23="n/a","n/a",SUM(O20:O22)*O$5)</f>
        <v>0</v>
      </c>
    </row>
    <row r="24" spans="2:15" s="187" customFormat="1" x14ac:dyDescent="0.25">
      <c r="B24" s="198" t="s">
        <v>117</v>
      </c>
      <c r="C24" s="199">
        <f>'Proposed price'!$J$8</f>
        <v>16.464310771649913</v>
      </c>
      <c r="D24" s="200">
        <f>SUM(D20:D23)</f>
        <v>17.122883202515908</v>
      </c>
      <c r="E24" s="200">
        <f t="shared" ref="E24:H24" si="24">SUM(E20:E23)</f>
        <v>17.122883202515908</v>
      </c>
      <c r="F24" s="200">
        <f t="shared" si="24"/>
        <v>17.311234917743583</v>
      </c>
      <c r="G24" s="200">
        <f t="shared" si="24"/>
        <v>17.711678403860823</v>
      </c>
      <c r="H24" s="200">
        <f t="shared" si="24"/>
        <v>18.309847352165399</v>
      </c>
      <c r="J24" s="199"/>
      <c r="K24" s="200">
        <f>SUM(K20:K23)</f>
        <v>0</v>
      </c>
      <c r="L24" s="200">
        <f t="shared" ref="L24:O24" si="25">SUM(L20:L23)</f>
        <v>0</v>
      </c>
      <c r="M24" s="200">
        <f t="shared" si="25"/>
        <v>0</v>
      </c>
      <c r="N24" s="200">
        <f t="shared" si="25"/>
        <v>0</v>
      </c>
      <c r="O24" s="200">
        <f t="shared" si="25"/>
        <v>0</v>
      </c>
    </row>
    <row r="25" spans="2:15" x14ac:dyDescent="0.25">
      <c r="B25" s="201" t="s">
        <v>118</v>
      </c>
      <c r="C25" s="193"/>
      <c r="D25" s="202">
        <f>'Forecast Revenue - Costs'!D11</f>
        <v>144000</v>
      </c>
      <c r="E25" s="202">
        <f>'Forecast Revenue - Costs'!E11</f>
        <v>138240</v>
      </c>
      <c r="F25" s="202">
        <f>'Forecast Revenue - Costs'!F11</f>
        <v>132710.39999999999</v>
      </c>
      <c r="G25" s="202">
        <f>'Forecast Revenue - Costs'!G11</f>
        <v>127401.984</v>
      </c>
      <c r="H25" s="202">
        <f>'Forecast Revenue - Costs'!H11</f>
        <v>122305.90463999999</v>
      </c>
      <c r="J25" s="193"/>
      <c r="K25" s="202"/>
      <c r="L25" s="202"/>
      <c r="M25" s="202"/>
      <c r="N25" s="202"/>
      <c r="O25" s="202"/>
    </row>
    <row r="26" spans="2:15" s="187" customFormat="1" x14ac:dyDescent="0.25">
      <c r="B26" s="185" t="s">
        <v>119</v>
      </c>
      <c r="C26" s="182"/>
      <c r="D26" s="183">
        <f>D24*D25</f>
        <v>2465695.1811622907</v>
      </c>
      <c r="E26" s="183">
        <f t="shared" ref="E26:H26" si="26">E24*E25</f>
        <v>2367067.373915799</v>
      </c>
      <c r="F26" s="183">
        <f t="shared" si="26"/>
        <v>2297380.910427718</v>
      </c>
      <c r="G26" s="183">
        <f t="shared" si="26"/>
        <v>2256502.9686218221</v>
      </c>
      <c r="H26" s="183">
        <f t="shared" si="26"/>
        <v>2239402.4442268978</v>
      </c>
      <c r="J26" s="182"/>
      <c r="K26" s="183"/>
      <c r="L26" s="183"/>
      <c r="M26" s="183"/>
      <c r="N26" s="183"/>
      <c r="O26" s="183"/>
    </row>
  </sheetData>
  <mergeCells count="4">
    <mergeCell ref="D6:H6"/>
    <mergeCell ref="J6:O6"/>
    <mergeCell ref="D17:H17"/>
    <mergeCell ref="K17:O1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zoomScale="90" zoomScaleNormal="90" workbookViewId="0">
      <selection activeCell="B40" sqref="B40"/>
    </sheetView>
  </sheetViews>
  <sheetFormatPr defaultRowHeight="15" x14ac:dyDescent="0.25"/>
  <cols>
    <col min="1" max="1" width="3.28515625" style="141" customWidth="1"/>
    <col min="2" max="2" width="66.42578125" style="141" customWidth="1"/>
    <col min="3" max="3" width="65.140625" style="141" customWidth="1"/>
    <col min="4" max="4" width="11.85546875" style="141" customWidth="1"/>
    <col min="5" max="8" width="12.140625" style="141" bestFit="1" customWidth="1"/>
    <col min="9" max="9" width="13.28515625" style="141" bestFit="1" customWidth="1"/>
    <col min="10" max="16384" width="9.140625" style="141"/>
  </cols>
  <sheetData>
    <row r="2" spans="2:9" x14ac:dyDescent="0.25">
      <c r="B2" s="139" t="s">
        <v>127</v>
      </c>
      <c r="C2" s="140"/>
      <c r="D2" s="140"/>
      <c r="E2" s="140"/>
      <c r="F2" s="140"/>
      <c r="G2" s="140"/>
      <c r="H2" s="140"/>
      <c r="I2" s="140"/>
    </row>
    <row r="3" spans="2:9" x14ac:dyDescent="0.25">
      <c r="B3" s="142"/>
      <c r="C3" s="142"/>
      <c r="D3" s="142"/>
      <c r="E3" s="142"/>
      <c r="F3" s="142"/>
      <c r="G3" s="142"/>
      <c r="H3" s="142"/>
      <c r="I3" s="142"/>
    </row>
    <row r="4" spans="2:9" x14ac:dyDescent="0.25">
      <c r="B4" s="139" t="s">
        <v>126</v>
      </c>
      <c r="C4" s="140"/>
      <c r="D4" s="140"/>
      <c r="E4" s="140"/>
      <c r="F4" s="140"/>
      <c r="G4" s="140"/>
      <c r="H4" s="140"/>
      <c r="I4" s="140"/>
    </row>
    <row r="5" spans="2:9" x14ac:dyDescent="0.25">
      <c r="B5" s="143" t="s">
        <v>75</v>
      </c>
      <c r="C5" s="143" t="s">
        <v>3</v>
      </c>
      <c r="D5" s="144" t="s">
        <v>55</v>
      </c>
      <c r="E5" s="144" t="s">
        <v>56</v>
      </c>
      <c r="F5" s="144" t="s">
        <v>57</v>
      </c>
      <c r="G5" s="144" t="s">
        <v>71</v>
      </c>
      <c r="H5" s="144" t="s">
        <v>58</v>
      </c>
      <c r="I5" s="145" t="s">
        <v>1</v>
      </c>
    </row>
    <row r="6" spans="2:9" x14ac:dyDescent="0.25">
      <c r="B6" s="146" t="s">
        <v>81</v>
      </c>
      <c r="C6" s="147" t="str">
        <f>'AER Summary'!$C$3</f>
        <v>Move In / Move Out - Meter Read</v>
      </c>
      <c r="D6" s="148">
        <f>'Forecasts by year'!D26</f>
        <v>2465695.1811622907</v>
      </c>
      <c r="E6" s="148">
        <f>'Forecasts by year'!E26</f>
        <v>2367067.373915799</v>
      </c>
      <c r="F6" s="148">
        <f>'Forecasts by year'!F26</f>
        <v>2297380.910427718</v>
      </c>
      <c r="G6" s="148">
        <f>'Forecasts by year'!G26</f>
        <v>2256502.9686218221</v>
      </c>
      <c r="H6" s="148">
        <f>'Forecasts by year'!H26</f>
        <v>2239402.4442268978</v>
      </c>
      <c r="I6" s="211">
        <f>SUM(D6:H6)</f>
        <v>11626048.878354527</v>
      </c>
    </row>
    <row r="7" spans="2:9" x14ac:dyDescent="0.25">
      <c r="B7" s="150" t="s">
        <v>1</v>
      </c>
      <c r="C7" s="151"/>
      <c r="D7" s="152">
        <f>SUM(D6:D6)</f>
        <v>2465695.1811622907</v>
      </c>
      <c r="E7" s="152">
        <f>SUM(E6:E6)</f>
        <v>2367067.373915799</v>
      </c>
      <c r="F7" s="152">
        <f>SUM(F6:F6)</f>
        <v>2297380.910427718</v>
      </c>
      <c r="G7" s="152">
        <f>SUM(G6:G6)</f>
        <v>2256502.9686218221</v>
      </c>
      <c r="H7" s="152">
        <f>SUM(H6:H6)</f>
        <v>2239402.4442268978</v>
      </c>
      <c r="I7" s="152">
        <f>SUM(I6:I6)</f>
        <v>11626048.878354527</v>
      </c>
    </row>
    <row r="8" spans="2:9" x14ac:dyDescent="0.25">
      <c r="B8" s="142"/>
      <c r="C8" s="142"/>
      <c r="D8" s="142"/>
      <c r="E8" s="142"/>
      <c r="F8" s="142"/>
      <c r="G8" s="142"/>
      <c r="H8" s="142"/>
      <c r="I8" s="142"/>
    </row>
    <row r="9" spans="2:9" x14ac:dyDescent="0.25">
      <c r="B9" s="139" t="s">
        <v>27</v>
      </c>
      <c r="C9" s="140"/>
      <c r="D9" s="140"/>
      <c r="E9" s="140"/>
      <c r="F9" s="140"/>
      <c r="G9" s="140"/>
      <c r="H9" s="140"/>
      <c r="I9" s="140"/>
    </row>
    <row r="10" spans="2:9" x14ac:dyDescent="0.25">
      <c r="B10" s="260" t="s">
        <v>75</v>
      </c>
      <c r="C10" s="260" t="s">
        <v>3</v>
      </c>
      <c r="D10" s="261" t="s">
        <v>55</v>
      </c>
      <c r="E10" s="261" t="s">
        <v>56</v>
      </c>
      <c r="F10" s="261" t="s">
        <v>57</v>
      </c>
      <c r="G10" s="261" t="s">
        <v>71</v>
      </c>
      <c r="H10" s="261" t="s">
        <v>58</v>
      </c>
      <c r="I10" s="262" t="s">
        <v>1</v>
      </c>
    </row>
    <row r="11" spans="2:9" x14ac:dyDescent="0.25">
      <c r="B11" s="147" t="str">
        <f>B6</f>
        <v>ACSCW 30010 - Move In / Move Out - Meter Read</v>
      </c>
      <c r="C11" s="147" t="str">
        <f>C6</f>
        <v>Move In / Move Out - Meter Read</v>
      </c>
      <c r="D11" s="154">
        <v>144000</v>
      </c>
      <c r="E11" s="154">
        <f>D11-(D11*4%)</f>
        <v>138240</v>
      </c>
      <c r="F11" s="154">
        <f>E11-(E11*4%)</f>
        <v>132710.39999999999</v>
      </c>
      <c r="G11" s="154">
        <f>F11-(F11*4%)</f>
        <v>127401.984</v>
      </c>
      <c r="H11" s="154">
        <f>G11-(G11*4%)</f>
        <v>122305.90463999999</v>
      </c>
      <c r="I11" s="263">
        <f>SUM(D11:H11)</f>
        <v>664658.28864000004</v>
      </c>
    </row>
    <row r="12" spans="2:9" x14ac:dyDescent="0.25">
      <c r="B12" s="164" t="s">
        <v>17</v>
      </c>
      <c r="C12" s="164"/>
      <c r="D12" s="264">
        <f>SUM(D11:D11)</f>
        <v>144000</v>
      </c>
      <c r="E12" s="264">
        <f>SUM(E11:E11)</f>
        <v>138240</v>
      </c>
      <c r="F12" s="264">
        <f>SUM(F11:F11)</f>
        <v>132710.39999999999</v>
      </c>
      <c r="G12" s="264">
        <f>SUM(G11:G11)</f>
        <v>127401.984</v>
      </c>
      <c r="H12" s="264">
        <f>SUM(H11:H11)</f>
        <v>122305.90463999999</v>
      </c>
      <c r="I12" s="264">
        <f>SUM(I11:I11)</f>
        <v>664658.28864000004</v>
      </c>
    </row>
    <row r="13" spans="2:9" x14ac:dyDescent="0.25">
      <c r="B13" s="142"/>
      <c r="C13" s="142"/>
      <c r="D13" s="155"/>
      <c r="E13" s="155"/>
      <c r="F13" s="155"/>
      <c r="G13" s="155"/>
      <c r="H13" s="155"/>
      <c r="I13" s="155"/>
    </row>
    <row r="14" spans="2:9" x14ac:dyDescent="0.25">
      <c r="B14" s="156" t="s">
        <v>6</v>
      </c>
      <c r="C14" s="142"/>
      <c r="D14" s="155"/>
      <c r="E14" s="155"/>
      <c r="F14" s="155"/>
      <c r="G14" s="155"/>
      <c r="H14" s="155"/>
      <c r="I14" s="155"/>
    </row>
    <row r="15" spans="2:9" x14ac:dyDescent="0.25">
      <c r="B15" s="253" t="s">
        <v>92</v>
      </c>
      <c r="C15" s="253"/>
      <c r="D15" s="253"/>
      <c r="E15" s="253"/>
      <c r="F15" s="253"/>
      <c r="G15" s="253"/>
      <c r="H15" s="253"/>
      <c r="I15" s="253"/>
    </row>
    <row r="16" spans="2:9" x14ac:dyDescent="0.25">
      <c r="B16" s="254"/>
      <c r="C16" s="254"/>
      <c r="D16" s="254"/>
      <c r="E16" s="254"/>
      <c r="F16" s="254"/>
      <c r="G16" s="254"/>
      <c r="H16" s="254"/>
      <c r="I16" s="254"/>
    </row>
    <row r="17" spans="2:9" x14ac:dyDescent="0.25">
      <c r="B17" s="142"/>
      <c r="C17" s="142"/>
      <c r="D17" s="155"/>
      <c r="E17" s="155"/>
      <c r="F17" s="155"/>
      <c r="G17" s="155"/>
      <c r="H17" s="155"/>
      <c r="I17" s="155"/>
    </row>
    <row r="18" spans="2:9" x14ac:dyDescent="0.25">
      <c r="B18" s="139" t="s">
        <v>28</v>
      </c>
      <c r="C18" s="140"/>
      <c r="D18" s="140"/>
      <c r="E18" s="140"/>
      <c r="F18" s="140"/>
      <c r="G18" s="140"/>
      <c r="H18" s="140"/>
      <c r="I18" s="140"/>
    </row>
    <row r="19" spans="2:9" x14ac:dyDescent="0.25">
      <c r="B19" s="157" t="s">
        <v>26</v>
      </c>
      <c r="C19" s="158"/>
      <c r="D19" s="158"/>
      <c r="E19" s="158"/>
      <c r="F19" s="158"/>
      <c r="G19" s="158"/>
      <c r="H19" s="158"/>
      <c r="I19" s="158"/>
    </row>
    <row r="20" spans="2:9" x14ac:dyDescent="0.25">
      <c r="B20" s="265" t="s">
        <v>139</v>
      </c>
      <c r="C20" s="255"/>
      <c r="D20" s="255"/>
      <c r="E20" s="255"/>
      <c r="F20" s="255"/>
      <c r="G20" s="255"/>
      <c r="H20" s="255"/>
      <c r="I20" s="255"/>
    </row>
    <row r="21" spans="2:9" x14ac:dyDescent="0.25">
      <c r="B21" s="256"/>
      <c r="C21" s="256"/>
      <c r="D21" s="256"/>
      <c r="E21" s="256"/>
      <c r="F21" s="256"/>
      <c r="G21" s="256"/>
      <c r="H21" s="256"/>
      <c r="I21" s="256"/>
    </row>
    <row r="22" spans="2:9" x14ac:dyDescent="0.25">
      <c r="B22" s="159"/>
      <c r="C22" s="160"/>
      <c r="D22" s="160"/>
      <c r="E22" s="160"/>
      <c r="F22" s="160"/>
      <c r="G22" s="160"/>
      <c r="H22" s="160"/>
      <c r="I22" s="160"/>
    </row>
    <row r="23" spans="2:9" x14ac:dyDescent="0.25">
      <c r="B23" s="142"/>
      <c r="C23" s="142"/>
      <c r="D23" s="142"/>
      <c r="E23" s="142"/>
      <c r="F23" s="142"/>
      <c r="G23" s="142"/>
      <c r="H23" s="142"/>
      <c r="I23" s="142"/>
    </row>
    <row r="24" spans="2:9" x14ac:dyDescent="0.25">
      <c r="B24" s="161" t="s">
        <v>46</v>
      </c>
      <c r="C24" s="162"/>
      <c r="D24" s="162"/>
      <c r="E24" s="162"/>
      <c r="F24" s="162"/>
      <c r="G24" s="162"/>
      <c r="H24" s="162"/>
      <c r="I24" s="162"/>
    </row>
    <row r="25" spans="2:9" x14ac:dyDescent="0.25">
      <c r="B25" s="163" t="s">
        <v>20</v>
      </c>
      <c r="C25" s="164" t="s">
        <v>3</v>
      </c>
      <c r="D25" s="144" t="s">
        <v>55</v>
      </c>
      <c r="E25" s="144" t="s">
        <v>56</v>
      </c>
      <c r="F25" s="144" t="s">
        <v>57</v>
      </c>
      <c r="G25" s="144" t="s">
        <v>71</v>
      </c>
      <c r="H25" s="144" t="s">
        <v>58</v>
      </c>
      <c r="I25" s="165" t="s">
        <v>1</v>
      </c>
    </row>
    <row r="26" spans="2:9" x14ac:dyDescent="0.25">
      <c r="B26" s="166" t="s">
        <v>128</v>
      </c>
      <c r="C26" s="147" t="s">
        <v>73</v>
      </c>
      <c r="D26" s="167">
        <f>'Forecasts by year'!D10</f>
        <v>1425715.2</v>
      </c>
      <c r="E26" s="167">
        <f>'Forecasts by year'!E10</f>
        <v>1368686.5919999999</v>
      </c>
      <c r="F26" s="167">
        <f>'Forecasts by year'!F10</f>
        <v>1328392.4587315198</v>
      </c>
      <c r="G26" s="167">
        <f>'Forecasts by year'!G10</f>
        <v>1304755.9997634212</v>
      </c>
      <c r="H26" s="167">
        <f>'Forecasts by year'!H10</f>
        <v>1294868.1280816011</v>
      </c>
      <c r="I26" s="211">
        <f>SUM(D26:H26)</f>
        <v>6722418.3785765413</v>
      </c>
    </row>
    <row r="27" spans="2:9" x14ac:dyDescent="0.25">
      <c r="B27" s="166" t="s">
        <v>129</v>
      </c>
      <c r="C27" s="153"/>
      <c r="D27" s="167"/>
      <c r="E27" s="167"/>
      <c r="F27" s="167"/>
      <c r="G27" s="167"/>
      <c r="H27" s="167"/>
      <c r="I27" s="211">
        <f t="shared" ref="I27:I32" si="0">SUM(D27:H27)</f>
        <v>0</v>
      </c>
    </row>
    <row r="28" spans="2:9" x14ac:dyDescent="0.25">
      <c r="B28" s="166" t="s">
        <v>109</v>
      </c>
      <c r="C28" s="147"/>
      <c r="D28" s="167"/>
      <c r="E28" s="167"/>
      <c r="F28" s="167"/>
      <c r="G28" s="167"/>
      <c r="H28" s="167"/>
      <c r="I28" s="211">
        <f t="shared" si="0"/>
        <v>0</v>
      </c>
    </row>
    <row r="29" spans="2:9" x14ac:dyDescent="0.25">
      <c r="B29" s="168" t="s">
        <v>130</v>
      </c>
      <c r="C29" s="147"/>
      <c r="D29" s="173">
        <f>SUM(D26:D28)</f>
        <v>1425715.2</v>
      </c>
      <c r="E29" s="173">
        <f t="shared" ref="E29:H29" si="1">SUM(E26:E28)</f>
        <v>1368686.5919999999</v>
      </c>
      <c r="F29" s="173">
        <f t="shared" si="1"/>
        <v>1328392.4587315198</v>
      </c>
      <c r="G29" s="173">
        <f t="shared" si="1"/>
        <v>1304755.9997634212</v>
      </c>
      <c r="H29" s="173">
        <f t="shared" si="1"/>
        <v>1294868.1280816011</v>
      </c>
      <c r="I29" s="211">
        <f t="shared" si="0"/>
        <v>6722418.3785765413</v>
      </c>
    </row>
    <row r="30" spans="2:9" x14ac:dyDescent="0.25">
      <c r="B30" s="149" t="s">
        <v>97</v>
      </c>
      <c r="C30" s="147"/>
      <c r="D30" s="169">
        <f>'Forecasts by year'!D11</f>
        <v>664278.65212394006</v>
      </c>
      <c r="E30" s="169">
        <f>'Forecasts by year'!E11</f>
        <v>637707.50603898242</v>
      </c>
      <c r="F30" s="169">
        <f>'Forecasts by year'!F11</f>
        <v>618933.39706119464</v>
      </c>
      <c r="G30" s="169">
        <f>'Forecasts by year'!G11</f>
        <v>607920.54182593361</v>
      </c>
      <c r="H30" s="169">
        <f>'Forecasts by year'!H11</f>
        <v>603313.51927811059</v>
      </c>
      <c r="I30" s="211">
        <f t="shared" si="0"/>
        <v>3132153.6163281617</v>
      </c>
    </row>
    <row r="31" spans="2:9" x14ac:dyDescent="0.25">
      <c r="B31" s="149" t="s">
        <v>111</v>
      </c>
      <c r="C31" s="147"/>
      <c r="D31" s="169">
        <f>'Forecasts by year'!D12</f>
        <v>228652.7608439285</v>
      </c>
      <c r="E31" s="169">
        <f>'Forecasts by year'!E12</f>
        <v>219506.65041017137</v>
      </c>
      <c r="F31" s="169">
        <f>'Forecasts by year'!F12</f>
        <v>213044.37462209587</v>
      </c>
      <c r="G31" s="169">
        <f>'Forecasts by year'!G12</f>
        <v>209253.61641202003</v>
      </c>
      <c r="H31" s="169">
        <f>'Forecasts by year'!H12</f>
        <v>207667.82342971987</v>
      </c>
      <c r="I31" s="211">
        <f t="shared" si="0"/>
        <v>1078125.2257179357</v>
      </c>
    </row>
    <row r="32" spans="2:9" x14ac:dyDescent="0.25">
      <c r="B32" s="149" t="s">
        <v>112</v>
      </c>
      <c r="C32" s="147"/>
      <c r="D32" s="169">
        <f>'Forecasts by year'!D13</f>
        <v>147048.56819442223</v>
      </c>
      <c r="E32" s="169">
        <f>'Forecasts by year'!E13</f>
        <v>141166.62546664532</v>
      </c>
      <c r="F32" s="169">
        <f>'Forecasts by year'!F13</f>
        <v>137010.68001290728</v>
      </c>
      <c r="G32" s="169">
        <f>'Forecasts by year'!G13</f>
        <v>134572.81062044721</v>
      </c>
      <c r="H32" s="169">
        <f>'Forecasts by year'!H13</f>
        <v>133552.97343746576</v>
      </c>
      <c r="I32" s="211">
        <f t="shared" si="0"/>
        <v>693351.65773188765</v>
      </c>
    </row>
    <row r="33" spans="2:9" x14ac:dyDescent="0.25">
      <c r="B33" s="170" t="s">
        <v>1</v>
      </c>
      <c r="C33" s="171"/>
      <c r="D33" s="172">
        <f>SUM(D29:D32)</f>
        <v>2465695.1811622907</v>
      </c>
      <c r="E33" s="172">
        <f t="shared" ref="E33:I33" si="2">SUM(E29:E32)</f>
        <v>2367067.373915799</v>
      </c>
      <c r="F33" s="172">
        <f t="shared" si="2"/>
        <v>2297380.9104277175</v>
      </c>
      <c r="G33" s="172">
        <f t="shared" si="2"/>
        <v>2256502.9686218221</v>
      </c>
      <c r="H33" s="172">
        <f t="shared" si="2"/>
        <v>2239402.4442268973</v>
      </c>
      <c r="I33" s="172">
        <f t="shared" si="2"/>
        <v>11626048.878354525</v>
      </c>
    </row>
  </sheetData>
  <mergeCells count="2">
    <mergeCell ref="B15:I16"/>
    <mergeCell ref="B20:I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2018-04-18T02:02:27Z</dcterms:modified>
</cp:coreProperties>
</file>