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0FC293AC-5D8F-42F7-A6C2-E8E5D40A029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7" i="13" l="1"/>
  <c r="I18" i="13"/>
  <c r="I8" i="13"/>
  <c r="I9" i="13"/>
  <c r="I10" i="13"/>
  <c r="I14" i="15"/>
  <c r="B20" i="9"/>
  <c r="H5" i="17" l="1"/>
  <c r="G5" i="17"/>
  <c r="F5" i="17"/>
  <c r="E5" i="17"/>
  <c r="D5" i="17"/>
  <c r="H2" i="17"/>
  <c r="G2" i="17"/>
  <c r="F2" i="17"/>
  <c r="E2" i="17"/>
  <c r="D2" i="17"/>
  <c r="H1" i="17"/>
  <c r="G1" i="17"/>
  <c r="F1" i="17"/>
  <c r="E1" i="17"/>
  <c r="D1" i="17"/>
  <c r="E15" i="11"/>
  <c r="E7" i="11"/>
  <c r="I16" i="13" l="1"/>
  <c r="I13" i="15"/>
  <c r="H5" i="15"/>
  <c r="I5" i="15" s="1"/>
  <c r="H6" i="15"/>
  <c r="I6" i="15" s="1"/>
  <c r="H7" i="15"/>
  <c r="I7" i="15" s="1"/>
  <c r="H8" i="15"/>
  <c r="I8" i="15" s="1"/>
  <c r="H4" i="15"/>
  <c r="H7" i="13"/>
  <c r="E36" i="17" l="1"/>
  <c r="F36" i="17"/>
  <c r="G36" i="17"/>
  <c r="H36" i="17"/>
  <c r="D36" i="17"/>
  <c r="E16" i="11"/>
  <c r="C30" i="17" s="1"/>
  <c r="D16" i="11"/>
  <c r="C29" i="17" s="1"/>
  <c r="D29" i="17" s="1"/>
  <c r="E29" i="17" l="1"/>
  <c r="F15" i="11"/>
  <c r="D30" i="17"/>
  <c r="E25" i="17"/>
  <c r="F25" i="17"/>
  <c r="G25" i="17"/>
  <c r="H25" i="17"/>
  <c r="D25" i="17"/>
  <c r="O5" i="17"/>
  <c r="N5" i="17"/>
  <c r="M5" i="17"/>
  <c r="L5" i="17"/>
  <c r="K5" i="17"/>
  <c r="N2" i="17"/>
  <c r="M2" i="17"/>
  <c r="O2" i="17"/>
  <c r="L2" i="17"/>
  <c r="K2" i="17"/>
  <c r="O1" i="17"/>
  <c r="N1" i="17"/>
  <c r="M1" i="17"/>
  <c r="L1" i="17"/>
  <c r="K1" i="17"/>
  <c r="G19" i="13"/>
  <c r="H19" i="13"/>
  <c r="G11" i="13"/>
  <c r="H11" i="13"/>
  <c r="I7" i="13"/>
  <c r="G15" i="15"/>
  <c r="H15" i="15"/>
  <c r="G9" i="15"/>
  <c r="H9" i="15"/>
  <c r="I4" i="15"/>
  <c r="F16" i="11" l="1"/>
  <c r="C31" i="17" s="1"/>
  <c r="K18" i="17"/>
  <c r="K19" i="17" s="1"/>
  <c r="K20" i="17" s="1"/>
  <c r="K29" i="17"/>
  <c r="D31" i="17"/>
  <c r="F29" i="17"/>
  <c r="E30" i="17"/>
  <c r="B12" i="16"/>
  <c r="D11" i="13"/>
  <c r="E11" i="13"/>
  <c r="D19" i="13"/>
  <c r="E19" i="13"/>
  <c r="L18" i="17" l="1"/>
  <c r="L19" i="17" s="1"/>
  <c r="L20" i="17" s="1"/>
  <c r="L29" i="17"/>
  <c r="K30" i="17"/>
  <c r="K31" i="17" s="1"/>
  <c r="E31" i="17"/>
  <c r="G29" i="17"/>
  <c r="F30" i="17"/>
  <c r="F31" i="17" s="1"/>
  <c r="I13" i="16"/>
  <c r="I12" i="16"/>
  <c r="G14" i="16"/>
  <c r="F58" i="8" s="1"/>
  <c r="M18" i="17" l="1"/>
  <c r="N18" i="17" s="1"/>
  <c r="L30" i="17"/>
  <c r="L31" i="17" s="1"/>
  <c r="M29" i="17"/>
  <c r="H29" i="17"/>
  <c r="G30" i="17"/>
  <c r="M19" i="17" l="1"/>
  <c r="M20" i="17" s="1"/>
  <c r="N29" i="17"/>
  <c r="M30" i="17"/>
  <c r="M31" i="17" s="1"/>
  <c r="G31" i="17"/>
  <c r="H30" i="17"/>
  <c r="D8" i="11"/>
  <c r="C18" i="17" s="1"/>
  <c r="D18" i="17" s="1"/>
  <c r="D8" i="17" s="1"/>
  <c r="O18" i="17"/>
  <c r="N19" i="17"/>
  <c r="N20" i="17" s="1"/>
  <c r="H14" i="16"/>
  <c r="G58" i="8" s="1"/>
  <c r="O29" i="17" l="1"/>
  <c r="N30" i="17"/>
  <c r="N31" i="17" s="1"/>
  <c r="H31" i="17"/>
  <c r="D19" i="17"/>
  <c r="D9" i="17" s="1"/>
  <c r="E18" i="17"/>
  <c r="E8" i="17" s="1"/>
  <c r="F7" i="11"/>
  <c r="E8" i="11"/>
  <c r="C19" i="17" s="1"/>
  <c r="O19" i="17"/>
  <c r="O20" i="17" s="1"/>
  <c r="O30" i="17" l="1"/>
  <c r="O31" i="17" s="1"/>
  <c r="F8" i="11"/>
  <c r="C20" i="17" s="1"/>
  <c r="D20" i="17"/>
  <c r="D10" i="17" s="1"/>
  <c r="E19" i="17"/>
  <c r="E9" i="17" s="1"/>
  <c r="F18" i="17"/>
  <c r="F8" i="17" s="1"/>
  <c r="F15" i="15"/>
  <c r="E15" i="15"/>
  <c r="D15" i="15"/>
  <c r="E20" i="17" l="1"/>
  <c r="E10" i="17" s="1"/>
  <c r="G18" i="17"/>
  <c r="G8" i="17" s="1"/>
  <c r="F19" i="17"/>
  <c r="F9" i="17" s="1"/>
  <c r="I15" i="15"/>
  <c r="E9" i="15"/>
  <c r="D9" i="15"/>
  <c r="F14" i="16"/>
  <c r="E58" i="8" s="1"/>
  <c r="E14" i="16"/>
  <c r="D58" i="8" s="1"/>
  <c r="D14" i="16"/>
  <c r="C58" i="8" s="1"/>
  <c r="F19" i="13"/>
  <c r="F11" i="13"/>
  <c r="F20" i="17" l="1"/>
  <c r="F10" i="17" s="1"/>
  <c r="H18" i="17"/>
  <c r="H8" i="17" s="1"/>
  <c r="G19" i="17"/>
  <c r="G9" i="17" s="1"/>
  <c r="D29" i="16"/>
  <c r="I14" i="16"/>
  <c r="I11" i="13"/>
  <c r="I19" i="13"/>
  <c r="F9" i="15"/>
  <c r="G20" i="17" l="1"/>
  <c r="G10" i="17" s="1"/>
  <c r="D30" i="16"/>
  <c r="E29" i="16"/>
  <c r="E30" i="16" s="1"/>
  <c r="F29" i="16"/>
  <c r="F30" i="16" s="1"/>
  <c r="H19" i="17"/>
  <c r="H9" i="17" s="1"/>
  <c r="I9" i="15"/>
  <c r="C42" i="8" l="1"/>
  <c r="D42" i="8"/>
  <c r="H20" i="17"/>
  <c r="H10" i="17" s="1"/>
  <c r="E42" i="8"/>
  <c r="G29" i="16"/>
  <c r="G30" i="16" s="1"/>
  <c r="D3" i="9"/>
  <c r="F42" i="8" l="1"/>
  <c r="H29" i="16" l="1"/>
  <c r="H58" i="8"/>
  <c r="H30" i="16" l="1"/>
  <c r="I29" i="16"/>
  <c r="G42" i="8" l="1"/>
  <c r="I30" i="16"/>
  <c r="H42" i="8" l="1"/>
  <c r="G4" i="17" l="1"/>
  <c r="F4" i="17"/>
  <c r="E4" i="17"/>
  <c r="H4" i="17"/>
  <c r="D4" i="17"/>
  <c r="H15" i="11"/>
  <c r="H16" i="11" s="1"/>
  <c r="C33" i="17" s="1"/>
  <c r="H7" i="11"/>
  <c r="H8" i="11" s="1"/>
  <c r="C22" i="17" s="1"/>
  <c r="L4" i="17" l="1"/>
  <c r="E33" i="17"/>
  <c r="E22" i="17"/>
  <c r="M4" i="17"/>
  <c r="F33" i="17"/>
  <c r="F22" i="17"/>
  <c r="K4" i="17"/>
  <c r="D33" i="17"/>
  <c r="D22" i="17"/>
  <c r="N4" i="17"/>
  <c r="G33" i="17"/>
  <c r="G22" i="17"/>
  <c r="O4" i="17"/>
  <c r="H33" i="17"/>
  <c r="H22" i="17"/>
  <c r="E12" i="17" l="1"/>
  <c r="E32" i="16" s="1"/>
  <c r="D12" i="17"/>
  <c r="D32" i="16" s="1"/>
  <c r="F12" i="17"/>
  <c r="F32" i="16" s="1"/>
  <c r="H12" i="17"/>
  <c r="H32" i="16" s="1"/>
  <c r="N22" i="17"/>
  <c r="N33" i="17"/>
  <c r="M22" i="17"/>
  <c r="M33" i="17"/>
  <c r="O22" i="17"/>
  <c r="O33" i="17"/>
  <c r="G12" i="17"/>
  <c r="G32" i="16" s="1"/>
  <c r="K22" i="17"/>
  <c r="K33" i="17"/>
  <c r="L22" i="17"/>
  <c r="L33" i="17"/>
  <c r="I32" i="16" l="1"/>
  <c r="H3" i="17" l="1"/>
  <c r="D3" i="17"/>
  <c r="G3" i="17"/>
  <c r="F3" i="17"/>
  <c r="E3" i="17"/>
  <c r="G15" i="11"/>
  <c r="G7" i="11"/>
  <c r="I7" i="11" l="1"/>
  <c r="I8" i="11" s="1"/>
  <c r="C23" i="17" s="1"/>
  <c r="G8" i="11"/>
  <c r="C21" i="17" s="1"/>
  <c r="N3" i="17"/>
  <c r="G21" i="17"/>
  <c r="G32" i="17"/>
  <c r="I15" i="11"/>
  <c r="I16" i="11" s="1"/>
  <c r="C34" i="17" s="1"/>
  <c r="G16" i="11"/>
  <c r="C32" i="17" s="1"/>
  <c r="K3" i="17"/>
  <c r="D32" i="17"/>
  <c r="D21" i="17"/>
  <c r="L3" i="17"/>
  <c r="E32" i="17"/>
  <c r="E21" i="17"/>
  <c r="O3" i="17"/>
  <c r="H32" i="17"/>
  <c r="H21" i="17"/>
  <c r="F32" i="17"/>
  <c r="F21" i="17"/>
  <c r="M3" i="17"/>
  <c r="J7" i="11" l="1"/>
  <c r="J8" i="11" s="1"/>
  <c r="D7" i="8" s="1"/>
  <c r="J15" i="11"/>
  <c r="J16" i="11" s="1"/>
  <c r="C35" i="17" s="1"/>
  <c r="H11" i="17"/>
  <c r="H31" i="16" s="1"/>
  <c r="N21" i="17"/>
  <c r="N32" i="17"/>
  <c r="L21" i="17"/>
  <c r="L32" i="17"/>
  <c r="D11" i="17"/>
  <c r="D31" i="16" s="1"/>
  <c r="C24" i="17"/>
  <c r="M32" i="17"/>
  <c r="M21" i="17"/>
  <c r="O32" i="17"/>
  <c r="O21" i="17"/>
  <c r="D34" i="17"/>
  <c r="E34" i="17" s="1"/>
  <c r="F34" i="17" s="1"/>
  <c r="G34" i="17" s="1"/>
  <c r="H34" i="17" s="1"/>
  <c r="H35" i="17" s="1"/>
  <c r="H37" i="17" s="1"/>
  <c r="H6" i="16" s="1"/>
  <c r="F11" i="17"/>
  <c r="F31" i="16" s="1"/>
  <c r="E11" i="17"/>
  <c r="E31" i="16" s="1"/>
  <c r="K21" i="17"/>
  <c r="K32" i="17"/>
  <c r="G11" i="17"/>
  <c r="G31" i="16" s="1"/>
  <c r="D23" i="17"/>
  <c r="D24" i="17" s="1"/>
  <c r="D8" i="8" l="1"/>
  <c r="G35" i="17"/>
  <c r="G37" i="17" s="1"/>
  <c r="G6" i="16" s="1"/>
  <c r="D35" i="17"/>
  <c r="D37" i="17" s="1"/>
  <c r="D6" i="16" s="1"/>
  <c r="D26" i="17"/>
  <c r="K23" i="17"/>
  <c r="L23" i="17" s="1"/>
  <c r="M23" i="17" s="1"/>
  <c r="N23" i="17" s="1"/>
  <c r="O23" i="17" s="1"/>
  <c r="O24" i="17" s="1"/>
  <c r="F35" i="17"/>
  <c r="F37" i="17" s="1"/>
  <c r="F6" i="16" s="1"/>
  <c r="I31" i="16"/>
  <c r="E35" i="17"/>
  <c r="E37" i="17" s="1"/>
  <c r="E6" i="16" s="1"/>
  <c r="D13" i="17"/>
  <c r="D33" i="16" s="1"/>
  <c r="C44" i="8" s="1"/>
  <c r="E23" i="17"/>
  <c r="K34" i="17"/>
  <c r="L34" i="17" s="1"/>
  <c r="M34" i="17" s="1"/>
  <c r="N34" i="17" s="1"/>
  <c r="O34" i="17" s="1"/>
  <c r="O35" i="17" s="1"/>
  <c r="D14" i="17" l="1"/>
  <c r="D15" i="17" s="1"/>
  <c r="I6" i="16"/>
  <c r="L35" i="17"/>
  <c r="M24" i="17"/>
  <c r="K35" i="17"/>
  <c r="D34" i="16"/>
  <c r="E13" i="17"/>
  <c r="E33" i="16" s="1"/>
  <c r="F23" i="17"/>
  <c r="E24" i="17"/>
  <c r="C46" i="8"/>
  <c r="N24" i="17"/>
  <c r="L24" i="17"/>
  <c r="N35" i="17"/>
  <c r="K24" i="17"/>
  <c r="M35" i="17"/>
  <c r="D5" i="16"/>
  <c r="E26" i="17" l="1"/>
  <c r="E14" i="17"/>
  <c r="D7" i="16"/>
  <c r="G23" i="17"/>
  <c r="F13" i="17"/>
  <c r="F33" i="16" s="1"/>
  <c r="F24" i="17"/>
  <c r="D44" i="8"/>
  <c r="E34" i="16"/>
  <c r="F26" i="17" l="1"/>
  <c r="F14" i="17"/>
  <c r="D46" i="8"/>
  <c r="F34" i="16"/>
  <c r="E44" i="8"/>
  <c r="E46" i="8" s="1"/>
  <c r="G13" i="17"/>
  <c r="G33" i="16" s="1"/>
  <c r="H23" i="17"/>
  <c r="G24" i="17"/>
  <c r="E5" i="16"/>
  <c r="E15" i="17"/>
  <c r="H13" i="17" l="1"/>
  <c r="H33" i="16" s="1"/>
  <c r="H24" i="17"/>
  <c r="F44" i="8"/>
  <c r="G34" i="16"/>
  <c r="E7" i="16"/>
  <c r="G14" i="17"/>
  <c r="G26" i="17"/>
  <c r="F5" i="16"/>
  <c r="F7" i="16" s="1"/>
  <c r="F15" i="17"/>
  <c r="G15" i="17" l="1"/>
  <c r="G5" i="16"/>
  <c r="F46" i="8"/>
  <c r="H14" i="17"/>
  <c r="H26" i="17"/>
  <c r="I33" i="16"/>
  <c r="I34" i="16" s="1"/>
  <c r="H34" i="16"/>
  <c r="G44" i="8"/>
  <c r="G46" i="8" s="1"/>
  <c r="H44" i="8" l="1"/>
  <c r="H46" i="8" s="1"/>
  <c r="H15" i="17"/>
  <c r="H5" i="16"/>
  <c r="H7" i="16" s="1"/>
  <c r="G7" i="16"/>
  <c r="I5" i="16" l="1"/>
  <c r="I7" i="16" s="1"/>
</calcChain>
</file>

<file path=xl/sharedStrings.xml><?xml version="1.0" encoding="utf-8"?>
<sst xmlns="http://schemas.openxmlformats.org/spreadsheetml/2006/main" count="244" uniqueCount="137">
  <si>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</si>
  <si>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</si>
  <si>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</si>
  <si>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</si>
  <si>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</si>
  <si>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</si>
  <si>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</si>
  <si>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</si>
  <si>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</si>
  <si>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</si>
  <si>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</si>
  <si>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</si>
  <si>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Direct Costs (on IO's, work orders, cost objects, cost centres)</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</si>
  <si>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</si>
  <si>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</si>
  <si>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</si>
  <si>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</si>
  <si>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</si>
  <si>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</si>
  <si>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</si>
  <si>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</si>
  <si>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</si>
  <si>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</si>
  <si>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</si>
  <si>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</si>
  <si>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</si>
  <si>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</si>
  <si>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</si>
  <si>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</si>
  <si>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</si>
  <si>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</si>
  <si>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</si>
  <si>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</si>
  <si>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</si>
  <si>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</si>
  <si>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</si>
  <si>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</si>
  <si>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</si>
  <si>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</si>
  <si>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</si>
  <si>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</si>
  <si>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</si>
  <si>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</si>
  <si>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</si>
  <si>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</si>
  <si>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</si>
  <si>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</si>
  <si>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</si>
  <si>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</si>
  <si>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</si>
  <si>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</si>
  <si>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</si>
  <si>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</si>
  <si>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</si>
  <si>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</si>
  <si>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</si>
  <si>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</si>
  <si>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</si>
  <si>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</si>
  <si>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</si>
  <si>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</si>
  <si>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</si>
  <si>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</si>
  <si>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</si>
  <si>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</si>
  <si>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</si>
  <si>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</si>
  <si>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Rate</t>
  </si>
  <si>
    <t>Disconnection Non-Payment - Contract Rate</t>
  </si>
  <si>
    <t>Disconnection / Reconnections - Technical Disconnection</t>
  </si>
  <si>
    <t>Bottom Up Estimation</t>
  </si>
  <si>
    <t>FY22/23</t>
  </si>
  <si>
    <t>FY17/18</t>
  </si>
  <si>
    <t>FY18/19</t>
  </si>
  <si>
    <t>Project Code</t>
  </si>
  <si>
    <t>ANS P&amp;L Report</t>
  </si>
  <si>
    <t>Project  Code</t>
  </si>
  <si>
    <t>ACSCW 30030</t>
  </si>
  <si>
    <t xml:space="preserve">ACSCW - 30030 Disconnection / Reconnection </t>
  </si>
  <si>
    <t>Proposed Fee ($2018/19 - Excl GST)</t>
  </si>
  <si>
    <t>Total Direct Costs $2018/19</t>
  </si>
  <si>
    <t>Total Indirect Costs $2018/19</t>
  </si>
  <si>
    <t>TOTAL COSTS $2018/19</t>
  </si>
  <si>
    <t>Overtime loading?
0 = No
1 = Yes</t>
  </si>
  <si>
    <t>Real $2018-19</t>
  </si>
  <si>
    <t>Per service</t>
  </si>
  <si>
    <t>Contractor rate increase</t>
  </si>
  <si>
    <t>Direct cost per service</t>
  </si>
  <si>
    <t>Overheads</t>
  </si>
  <si>
    <t>Non-system charge</t>
  </si>
  <si>
    <t>Profit margin (WACC FY20) per service</t>
  </si>
  <si>
    <t>Meter Officer</t>
  </si>
  <si>
    <t>Total costs before OHDs, non-system and margin</t>
  </si>
  <si>
    <t>Profit margin</t>
  </si>
  <si>
    <t>Labour escalation</t>
  </si>
  <si>
    <t>Overhead rate</t>
  </si>
  <si>
    <t>Average non-system charge</t>
  </si>
  <si>
    <t>WACC rate</t>
  </si>
  <si>
    <t>ORDINARY LABOUR TIME</t>
  </si>
  <si>
    <t>OVERTIME</t>
  </si>
  <si>
    <t>2019-20</t>
  </si>
  <si>
    <t>2020-21</t>
  </si>
  <si>
    <t>2021-22</t>
  </si>
  <si>
    <t>2022-23</t>
  </si>
  <si>
    <t>2023-24</t>
  </si>
  <si>
    <t>Contractor rate</t>
  </si>
  <si>
    <t>Contractor increase</t>
  </si>
  <si>
    <t>Total before OHDs, non-system &amp; margin</t>
  </si>
  <si>
    <t>Fully Loaded Costs</t>
  </si>
  <si>
    <t>Forecast revenue (check)</t>
  </si>
  <si>
    <t>Real 2018-19 including escalation</t>
  </si>
  <si>
    <t>Fully Loaded Cost per service</t>
  </si>
  <si>
    <t>Forecast volumes</t>
  </si>
  <si>
    <t>Forecast revenue</t>
  </si>
  <si>
    <t>Disconnect - Technical Disconnection</t>
  </si>
  <si>
    <t>Disconnection- Technical Disconnection  (fixed fee)</t>
  </si>
  <si>
    <t>Disconnection - Technical Disconnection</t>
  </si>
  <si>
    <t>Disconnection + Reconnection - Technical Disconnection</t>
  </si>
  <si>
    <t>Proposed fee structure altered due as service is provided by authorised contractor. Reconnection component separated from service</t>
  </si>
  <si>
    <t>Reconnection- Technical Reconnection  (fixed fee)</t>
  </si>
  <si>
    <t>Reconnectiont - Contract Rate</t>
  </si>
  <si>
    <t>Reconnection - Technical Reconnection</t>
  </si>
  <si>
    <r>
      <t xml:space="preserve">
</t>
    </r>
    <r>
      <rPr>
        <b/>
        <sz val="10"/>
        <color theme="1"/>
        <rFont val="Arial"/>
        <family val="2"/>
      </rPr>
      <t>Disconnection / Reconnections - Technical Disconnection</t>
    </r>
    <r>
      <rPr>
        <sz val="10"/>
        <color theme="1"/>
        <rFont val="Arial"/>
        <family val="2"/>
      </rPr>
      <t xml:space="preserve">
At the request of the retailer, a site visit to a customer’s premises to disconnect or reconnect the supply of electricity to a
customer for breach by the customer of their customer retail contract or for a breach of Essential Energy's
customer connection contract, or where a retailer has requested that the supply to the customer be disconnected.
The disconnection / reconnection method will be at Essential Energy's discretion and will involve a method not identified as a
disconnection method for Disconnection/Reconnection – Disconnection completed (e.g. pull load tail out of meter).
If, following a request from a retailer, the reconnection component of this service is provided outside the hours of
7.30am and 5.00pm on a working day, the additional ‘Reconnection - outside normal business hours’ charge, will
apply.</t>
    </r>
  </si>
  <si>
    <t xml:space="preserve">
At the request of the retailer, a site visit to a customer’s premises to disconnect or reconnect the supply of electricity to a
customer for breach by the customer of their customer retail contract or for a breach of Essential Energy's
customer connection contract, or where a retailer has requested that the supply to the customer be disconnected.
The disconnection method will be at Essential Energy's discretion and will involve a method not identified as a
disconnection / reconnection method for Disconnection/Reconnection – Disconnection completed (e.g. pull load tail out of meter).
If, following a request from a retailer, the reconnection component of this service is provided outside the hours of
7.30am and 5.00pm on a working day, the additional ‘Reconnection - outside normal business hours’ charge, will
apply.</t>
  </si>
  <si>
    <t>Historical Cost and Volumes are across ACSCW 30030:
- Disconnect / Reconnect - Disconnection Complete;
- Disconnect/ Reconnection - Technical Disconnection;
- Vacant Premise - Reconnect / Disconnect</t>
  </si>
  <si>
    <t>FY14/15 operating costs  - N/A</t>
  </si>
  <si>
    <t>FY15/16 operating costs  - Actuals</t>
  </si>
  <si>
    <t>FY16/17 operating costs  - Actuals</t>
  </si>
  <si>
    <t>FY17/18 operating costs  - Pro rata based on YTD Dec17 values</t>
  </si>
  <si>
    <t xml:space="preserve">FY18/19 operating costs  - Estimated </t>
  </si>
  <si>
    <t>Reported against ANS P&amp;L Report ACS 30030</t>
  </si>
  <si>
    <t>Service Order Report</t>
  </si>
  <si>
    <t xml:space="preserve">FY14/15 revenue  - N/A
FY15/16 revenue  - Actuals
FY16/17 revenue  - Actuals
FY17/18 revenue  - Pro rata based on YTD Dec17 values
FY18/19 revenue  - Estimated 
</t>
  </si>
  <si>
    <t xml:space="preserve">Disc / Reco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</si>
  <si>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</si>
  <si>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</si>
  <si>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5.5 Disconnect- Technical Disconnection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</si>
</sst>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bgColor indexed="64"/>
      </patternFill>
    </fill>
    <fill>
      <patternFill patternType="solid">
        <fgColor theme="4" tint="-0.49998474074526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28">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3"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8" fontId="7" fillId="5" borderId="9"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70" fontId="2" fillId="7" borderId="10" xfId="0" applyNumberFormat="1" applyFont="1" applyFill="1" applyBorder="1" applyAlignment="1">
      <alignment horizontal="center"/>
    </xf>
    <xf numFmtId="0" fontId="6" fillId="7" borderId="8" xfId="0" applyFont="1" applyFill="1" applyBorder="1" applyAlignment="1">
      <alignment horizontal="left"/>
    </xf>
    <xf numFmtId="0" fontId="7" fillId="9" borderId="8" xfId="0" applyFont="1" applyFill="1" applyBorder="1" applyAlignment="1">
      <alignment horizontal="left" vertical="center"/>
    </xf>
    <xf numFmtId="0" fontId="8" fillId="8" borderId="0" xfId="0" applyFont="1" applyFill="1" applyBorder="1"/>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8" fontId="4" fillId="0" borderId="0" xfId="2" applyNumberFormat="1" applyFont="1"/>
    <xf numFmtId="0" fontId="7" fillId="2" borderId="6" xfId="0" applyFont="1" applyFill="1" applyBorder="1"/>
    <xf numFmtId="168" fontId="7" fillId="2" borderId="7" xfId="2" applyNumberFormat="1" applyFont="1" applyFill="1" applyBorder="1"/>
    <xf numFmtId="10" fontId="2" fillId="0" borderId="0" xfId="1" applyNumberFormat="1" applyFont="1"/>
    <xf numFmtId="10" fontId="2" fillId="0" borderId="0" xfId="0" applyNumberFormat="1" applyFont="1"/>
    <xf numFmtId="171"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9" fontId="4" fillId="0" borderId="0" xfId="3" applyNumberFormat="1" applyFont="1" applyAlignment="1"/>
    <xf numFmtId="172" fontId="7" fillId="2" borderId="7" xfId="2" applyNumberFormat="1" applyFont="1" applyFill="1" applyBorder="1" applyAlignment="1"/>
    <xf numFmtId="169" fontId="10" fillId="0" borderId="0" xfId="3" applyNumberFormat="1" applyFont="1" applyAlignment="1">
      <alignment horizontal="right"/>
    </xf>
    <xf numFmtId="169" fontId="10" fillId="0" borderId="0" xfId="3" applyNumberFormat="1" applyFont="1" applyAlignment="1">
      <alignment horizontal="center" vertical="center"/>
    </xf>
    <xf numFmtId="0" fontId="5" fillId="8" borderId="0" xfId="0" applyFont="1" applyFill="1" applyAlignment="1">
      <alignment horizontal="center"/>
    </xf>
    <xf numFmtId="0" fontId="2" fillId="0" borderId="0" xfId="0" applyFont="1" applyFill="1" applyAlignment="1">
      <alignment horizontal="left"/>
    </xf>
    <xf numFmtId="0" fontId="12"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12"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2" fillId="2" borderId="1" xfId="0" applyFont="1" applyFill="1" applyBorder="1" applyAlignment="1">
      <alignment horizontal="center"/>
    </xf>
    <xf numFmtId="0" fontId="13" fillId="8" borderId="8" xfId="0" applyNumberFormat="1" applyFont="1" applyFill="1" applyBorder="1" applyAlignment="1">
      <alignment horizontal="left"/>
    </xf>
    <xf numFmtId="0" fontId="7" fillId="9" borderId="9" xfId="0" applyFont="1" applyFill="1" applyBorder="1"/>
    <xf numFmtId="0" fontId="7" fillId="5" borderId="4" xfId="0" applyFont="1" applyFill="1" applyBorder="1" applyAlignment="1">
      <alignment horizontal="center"/>
    </xf>
    <xf numFmtId="0" fontId="7" fillId="5" borderId="7"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170" fontId="2" fillId="3" borderId="2" xfId="0" applyNumberFormat="1"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7" fillId="9" borderId="9" xfId="0" applyFont="1" applyFill="1" applyBorder="1" applyAlignment="1">
      <alignment vertical="center"/>
    </xf>
    <xf numFmtId="0" fontId="2" fillId="7" borderId="0" xfId="0" applyFont="1" applyFill="1" applyBorder="1" applyAlignment="1">
      <alignment horizontal="center" vertical="center"/>
    </xf>
    <xf numFmtId="168" fontId="2" fillId="10" borderId="5" xfId="2" applyNumberFormat="1" applyFont="1" applyFill="1" applyBorder="1" applyAlignment="1">
      <alignment horizontal="center"/>
    </xf>
    <xf numFmtId="3" fontId="2" fillId="10" borderId="4" xfId="0" applyNumberFormat="1" applyFont="1" applyFill="1" applyBorder="1"/>
    <xf numFmtId="0" fontId="9" fillId="4" borderId="0" xfId="0" applyFont="1" applyFill="1" applyBorder="1" applyAlignment="1">
      <alignment horizontal="left" vertical="top" wrapText="1"/>
    </xf>
    <xf numFmtId="0" fontId="9" fillId="4" borderId="1" xfId="0" applyFont="1" applyFill="1" applyBorder="1" applyAlignment="1">
      <alignment vertical="top" wrapText="1"/>
    </xf>
    <xf numFmtId="0" fontId="9" fillId="4" borderId="0" xfId="0" applyFont="1" applyFill="1" applyBorder="1" applyAlignment="1">
      <alignment vertical="top" wrapText="1"/>
    </xf>
    <xf numFmtId="0" fontId="16" fillId="8" borderId="0" xfId="0" applyFont="1" applyFill="1"/>
    <xf numFmtId="0" fontId="17" fillId="8" borderId="0" xfId="0" applyFont="1" applyFill="1"/>
    <xf numFmtId="0" fontId="18" fillId="0" borderId="0" xfId="0" applyFont="1"/>
    <xf numFmtId="0" fontId="19" fillId="0" borderId="0" xfId="0" applyFont="1"/>
    <xf numFmtId="0" fontId="19" fillId="4" borderId="4" xfId="0" applyFont="1" applyFill="1" applyBorder="1" applyAlignment="1">
      <alignment horizontal="left"/>
    </xf>
    <xf numFmtId="0" fontId="19" fillId="4" borderId="4" xfId="0" applyFont="1" applyFill="1" applyBorder="1"/>
    <xf numFmtId="168" fontId="19" fillId="10" borderId="4" xfId="2" applyNumberFormat="1" applyFont="1" applyFill="1" applyBorder="1"/>
    <xf numFmtId="168" fontId="19" fillId="4" borderId="4" xfId="2" applyNumberFormat="1" applyFont="1" applyFill="1" applyBorder="1"/>
    <xf numFmtId="0" fontId="21" fillId="0" borderId="0" xfId="0" applyFont="1"/>
    <xf numFmtId="0" fontId="20" fillId="5" borderId="6" xfId="0" applyFont="1" applyFill="1" applyBorder="1" applyAlignment="1">
      <alignment horizontal="left"/>
    </xf>
    <xf numFmtId="0" fontId="20" fillId="5" borderId="12" xfId="0" applyFont="1" applyFill="1" applyBorder="1"/>
    <xf numFmtId="0" fontId="22" fillId="5" borderId="12" xfId="0" applyFont="1" applyFill="1" applyBorder="1"/>
    <xf numFmtId="0" fontId="19" fillId="4" borderId="0" xfId="0" quotePrefix="1" applyFont="1" applyFill="1" applyBorder="1" applyAlignment="1">
      <alignment vertical="top"/>
    </xf>
    <xf numFmtId="0" fontId="19" fillId="4" borderId="0" xfId="0" applyFont="1" applyFill="1" applyBorder="1" applyAlignment="1">
      <alignment vertical="top"/>
    </xf>
    <xf numFmtId="0" fontId="23" fillId="2" borderId="5" xfId="0" applyFont="1" applyFill="1" applyBorder="1" applyAlignment="1">
      <alignment horizontal="center" vertical="center"/>
    </xf>
    <xf numFmtId="168" fontId="6" fillId="11" borderId="5" xfId="2" applyNumberFormat="1" applyFont="1" applyFill="1" applyBorder="1"/>
    <xf numFmtId="0" fontId="5" fillId="8" borderId="8" xfId="0" applyFont="1" applyFill="1" applyBorder="1" applyAlignment="1"/>
    <xf numFmtId="0" fontId="5" fillId="8" borderId="0" xfId="0" applyFont="1" applyFill="1" applyBorder="1" applyAlignment="1"/>
    <xf numFmtId="170" fontId="5" fillId="8" borderId="9" xfId="0" applyNumberFormat="1" applyFont="1" applyFill="1" applyBorder="1" applyAlignment="1">
      <alignment horizontal="center" vertical="center" wrapText="1"/>
    </xf>
    <xf numFmtId="0" fontId="4" fillId="10" borderId="11" xfId="0" applyFont="1" applyFill="1" applyBorder="1" applyAlignment="1">
      <alignment horizontal="left" vertical="center"/>
    </xf>
    <xf numFmtId="170" fontId="4" fillId="10" borderId="13" xfId="0"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xf numFmtId="0" fontId="13" fillId="8" borderId="0"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3" fontId="4" fillId="10" borderId="13" xfId="3" applyNumberFormat="1" applyFont="1" applyFill="1" applyBorder="1" applyAlignment="1">
      <alignment horizontal="center"/>
    </xf>
    <xf numFmtId="0" fontId="5" fillId="8" borderId="9" xfId="0" applyFont="1" applyFill="1" applyBorder="1" applyAlignment="1">
      <alignment horizontal="center" vertical="center" wrapText="1"/>
    </xf>
    <xf numFmtId="2" fontId="4" fillId="10" borderId="13" xfId="0" applyNumberFormat="1" applyFont="1" applyFill="1" applyBorder="1" applyAlignment="1">
      <alignment horizontal="center"/>
    </xf>
    <xf numFmtId="2" fontId="4" fillId="10" borderId="13" xfId="3" applyNumberFormat="1" applyFont="1" applyFill="1" applyBorder="1" applyAlignment="1">
      <alignment horizontal="center"/>
    </xf>
    <xf numFmtId="0" fontId="7" fillId="11" borderId="5" xfId="0" applyFont="1" applyFill="1" applyBorder="1" applyAlignment="1">
      <alignment vertical="center"/>
    </xf>
    <xf numFmtId="0" fontId="7" fillId="11" borderId="2" xfId="0" applyFont="1" applyFill="1" applyBorder="1" applyAlignment="1">
      <alignment vertical="center"/>
    </xf>
    <xf numFmtId="4" fontId="7" fillId="11" borderId="4" xfId="0" applyNumberFormat="1" applyFont="1" applyFill="1" applyBorder="1" applyAlignment="1">
      <alignment horizontal="center" vertical="center"/>
    </xf>
    <xf numFmtId="0" fontId="2" fillId="10" borderId="4" xfId="0" applyFont="1" applyFill="1" applyBorder="1" applyAlignment="1">
      <alignment horizontal="left"/>
    </xf>
    <xf numFmtId="0" fontId="3" fillId="0" borderId="0" xfId="0" applyFont="1"/>
    <xf numFmtId="0" fontId="5" fillId="8" borderId="12" xfId="0" applyFont="1" applyFill="1" applyBorder="1"/>
    <xf numFmtId="0" fontId="2" fillId="4" borderId="3" xfId="0" applyFont="1" applyFill="1" applyBorder="1" applyAlignment="1">
      <alignment horizontal="left" indent="1"/>
    </xf>
    <xf numFmtId="0" fontId="6" fillId="4" borderId="3" xfId="0" applyFont="1" applyFill="1" applyBorder="1"/>
    <xf numFmtId="168" fontId="6" fillId="10" borderId="5" xfId="2" applyNumberFormat="1" applyFont="1" applyFill="1" applyBorder="1" applyAlignment="1">
      <alignment horizontal="center"/>
    </xf>
    <xf numFmtId="168" fontId="2" fillId="10" borderId="5" xfId="2" applyNumberFormat="1" applyFont="1" applyFill="1" applyBorder="1" applyAlignment="1">
      <alignment horizontal="right"/>
    </xf>
    <xf numFmtId="0" fontId="7" fillId="5" borderId="1" xfId="0" applyFont="1" applyFill="1" applyBorder="1"/>
    <xf numFmtId="10" fontId="3" fillId="0" borderId="0" xfId="1" applyNumberFormat="1" applyFont="1"/>
    <xf numFmtId="10" fontId="3" fillId="0" borderId="0" xfId="0" applyNumberFormat="1" applyFont="1"/>
    <xf numFmtId="0" fontId="25"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6" fillId="5" borderId="0" xfId="0" applyFont="1" applyFill="1" applyBorder="1"/>
    <xf numFmtId="0" fontId="24" fillId="0" borderId="0" xfId="0" applyFont="1"/>
    <xf numFmtId="0" fontId="7" fillId="0" borderId="8" xfId="0" applyFont="1" applyFill="1" applyBorder="1"/>
    <xf numFmtId="0" fontId="26" fillId="4" borderId="5" xfId="0" applyFont="1" applyFill="1" applyBorder="1"/>
    <xf numFmtId="0" fontId="6" fillId="4" borderId="5" xfId="0" applyFont="1" applyFill="1" applyBorder="1"/>
    <xf numFmtId="0" fontId="2" fillId="4" borderId="4" xfId="0" applyFont="1" applyFill="1" applyBorder="1" applyAlignment="1">
      <alignment horizontal="left"/>
    </xf>
    <xf numFmtId="167" fontId="27"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27" fillId="5" borderId="4" xfId="3" applyFont="1" applyFill="1" applyBorder="1"/>
    <xf numFmtId="167" fontId="27" fillId="10" borderId="4" xfId="3" applyFont="1" applyFill="1" applyBorder="1" applyAlignment="1">
      <alignment horizontal="right"/>
    </xf>
    <xf numFmtId="167" fontId="2" fillId="10" borderId="4" xfId="3" applyFont="1" applyFill="1" applyBorder="1" applyAlignment="1">
      <alignment horizontal="right"/>
    </xf>
    <xf numFmtId="0" fontId="6" fillId="4" borderId="4" xfId="0" applyFont="1" applyFill="1" applyBorder="1" applyAlignment="1">
      <alignment horizontal="left"/>
    </xf>
    <xf numFmtId="167" fontId="28"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 fillId="7" borderId="5" xfId="0" applyNumberFormat="1" applyFont="1" applyFill="1" applyBorder="1" applyAlignment="1">
      <alignment horizontal="left"/>
    </xf>
    <xf numFmtId="170" fontId="2" fillId="7" borderId="3" xfId="0" applyNumberFormat="1" applyFont="1" applyFill="1" applyBorder="1" applyAlignment="1">
      <alignment horizontal="left"/>
    </xf>
    <xf numFmtId="0" fontId="7" fillId="9" borderId="4" xfId="0" applyFont="1" applyFill="1" applyBorder="1" applyAlignment="1">
      <alignment horizontal="left" vertical="center"/>
    </xf>
    <xf numFmtId="3" fontId="19" fillId="10" borderId="4" xfId="0" applyNumberFormat="1" applyFont="1" applyFill="1" applyBorder="1"/>
    <xf numFmtId="170" fontId="4" fillId="7" borderId="2" xfId="0" applyNumberFormat="1" applyFont="1" applyFill="1" applyBorder="1" applyAlignment="1">
      <alignment horizontal="left"/>
    </xf>
    <xf numFmtId="170" fontId="4"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2" borderId="5" xfId="0" applyFont="1" applyFill="1" applyBorder="1" applyAlignment="1">
      <alignment horizontal="center"/>
    </xf>
    <xf numFmtId="0" fontId="2" fillId="2" borderId="2" xfId="0" applyFont="1" applyFill="1" applyBorder="1" applyAlignment="1">
      <alignment horizontal="center"/>
    </xf>
    <xf numFmtId="0" fontId="9" fillId="7" borderId="1" xfId="0" applyFont="1" applyFill="1" applyBorder="1" applyAlignment="1">
      <alignment horizontal="left" vertical="top" wrapText="1"/>
    </xf>
    <xf numFmtId="0" fontId="9" fillId="7" borderId="0" xfId="0"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0" fontId="5" fillId="13" borderId="0" xfId="0" applyFont="1" applyFill="1" applyAlignment="1">
      <alignment horizontal="center"/>
    </xf>
    <xf numFmtId="10" fontId="25" fillId="14" borderId="12" xfId="0" applyNumberFormat="1" applyFont="1" applyFill="1" applyBorder="1" applyAlignment="1">
      <alignment horizontal="center"/>
    </xf>
    <xf numFmtId="10" fontId="25"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2" fillId="4" borderId="1" xfId="0" applyFont="1" applyFill="1" applyBorder="1" applyAlignment="1">
      <alignment horizontal="left" vertical="top"/>
    </xf>
    <xf numFmtId="0" fontId="22" fillId="4" borderId="0" xfId="0" applyFont="1" applyFill="1" applyBorder="1" applyAlignment="1">
      <alignment horizontal="left" vertical="top"/>
    </xf>
    <xf numFmtId="0" fontId="19" fillId="4" borderId="1" xfId="0" quotePrefix="1" applyFont="1" applyFill="1" applyBorder="1" applyAlignment="1">
      <alignment horizontal="left" vertical="top" wrapText="1"/>
    </xf>
    <xf numFmtId="0" fontId="19" fillId="4" borderId="0" xfId="0" quotePrefix="1" applyFont="1" applyFill="1" applyBorder="1" applyAlignment="1">
      <alignment horizontal="left" vertical="top" wrapText="1"/>
    </xf>
    <xf numFmtId="0" fontId="7" fillId="5" borderId="4" xfId="0" applyFont="1" applyFill="1" applyBorder="1" applyAlignment="1">
      <alignment horizontal="left"/>
    </xf>
    <xf numFmtId="0" fontId="7" fillId="5"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8" fontId="2" fillId="10" borderId="4" xfId="2" applyNumberFormat="1" applyFont="1" applyFill="1" applyBorder="1" applyAlignment="1">
      <alignment horizontal="center"/>
    </xf>
    <xf numFmtId="168" fontId="6" fillId="11" borderId="4" xfId="2" applyNumberFormat="1" applyFont="1" applyFill="1" applyBorder="1"/>
    <xf numFmtId="0" fontId="4" fillId="5" borderId="4" xfId="0" applyFont="1" applyFill="1" applyBorder="1"/>
    <xf numFmtId="168" fontId="7" fillId="5" borderId="4" xfId="2"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7" fontId="28" fillId="5" borderId="4" xfId="3" applyFont="1" applyFill="1" applyBorder="1"/>
    <xf numFmtId="0" fontId="20" fillId="5" borderId="4" xfId="0" applyFont="1" applyFill="1" applyBorder="1" applyAlignment="1">
      <alignment horizontal="left"/>
    </xf>
    <xf numFmtId="0" fontId="20" fillId="5" borderId="4" xfId="0" applyFont="1" applyFill="1" applyBorder="1" applyAlignment="1">
      <alignment horizontal="center"/>
    </xf>
    <xf numFmtId="0" fontId="20" fillId="5" borderId="4" xfId="0" applyFont="1" applyFill="1" applyBorder="1" applyAlignment="1">
      <alignment horizontal="right"/>
    </xf>
    <xf numFmtId="3" fontId="21" fillId="11" borderId="4" xfId="0" applyNumberFormat="1" applyFont="1" applyFill="1" applyBorder="1"/>
    <xf numFmtId="0" fontId="20" fillId="5" borderId="4" xfId="0" applyFont="1" applyFill="1" applyBorder="1"/>
    <xf numFmtId="3" fontId="20" fillId="5" borderId="4" xfId="0" applyNumberFormat="1" applyFont="1" applyFill="1" applyBorder="1"/>
    <xf numFmtId="168" fontId="21" fillId="11" borderId="4" xfId="2" applyNumberFormat="1" applyFont="1" applyFill="1" applyBorder="1"/>
    <xf numFmtId="168" fontId="20"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G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Normal="100" workbookViewId="0">
      <selection activeCell="H58" sqref="H58"/>
    </sheetView>
  </sheetViews>
  <sheetFormatPr defaultRowHeight="12.75" x14ac:dyDescent="0.2"/>
  <cols>
    <col min="1" max="1" width="2.42578125" style="1" customWidth="1"/>
    <col min="2" max="2" width="41.85546875" style="1" customWidth="1"/>
    <col min="3" max="3" width="49.7109375" style="1" customWidth="1"/>
    <col min="4" max="4" width="16.710937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37" t="s">
        <v>7</v>
      </c>
      <c r="C2" s="18"/>
      <c r="D2" s="18"/>
      <c r="E2" s="18"/>
      <c r="F2" s="18"/>
      <c r="G2" s="18"/>
      <c r="H2" s="18"/>
      <c r="O2" s="27"/>
      <c r="P2" s="27"/>
      <c r="Q2" s="27"/>
      <c r="R2" s="27"/>
      <c r="S2" s="27"/>
    </row>
    <row r="3" spans="2:19" ht="75.75" customHeight="1" x14ac:dyDescent="0.2">
      <c r="B3" s="39" t="s">
        <v>56</v>
      </c>
      <c r="C3" s="173" t="s">
        <v>69</v>
      </c>
      <c r="D3" s="174"/>
      <c r="E3" s="175"/>
      <c r="F3" s="175"/>
      <c r="G3" s="175"/>
      <c r="H3" s="175"/>
      <c r="M3" s="40"/>
      <c r="N3" s="40"/>
      <c r="O3" s="27"/>
      <c r="P3" s="27"/>
      <c r="Q3" s="27"/>
      <c r="R3" s="27"/>
      <c r="S3" s="27"/>
    </row>
    <row r="4" spans="2:19" ht="55.5" customHeight="1" x14ac:dyDescent="0.2">
      <c r="B4" s="82"/>
      <c r="C4" s="179"/>
      <c r="D4" s="180"/>
      <c r="E4" s="89"/>
      <c r="F4" s="89"/>
      <c r="G4" s="89"/>
      <c r="H4" s="89"/>
      <c r="M4" s="40"/>
      <c r="N4" s="40"/>
      <c r="O4" s="27"/>
      <c r="P4" s="27"/>
      <c r="Q4" s="27"/>
      <c r="R4" s="27"/>
      <c r="S4" s="27"/>
    </row>
    <row r="5" spans="2:19" x14ac:dyDescent="0.2">
      <c r="B5" s="39" t="s">
        <v>15</v>
      </c>
      <c r="C5" s="80"/>
      <c r="D5" s="112" t="s">
        <v>47</v>
      </c>
      <c r="E5" s="90"/>
      <c r="F5" s="90"/>
      <c r="G5" s="90"/>
      <c r="H5" s="90"/>
      <c r="M5" s="40"/>
      <c r="N5" s="40"/>
      <c r="O5" s="27"/>
      <c r="P5" s="27"/>
      <c r="Q5" s="27"/>
      <c r="R5" s="27"/>
      <c r="S5" s="27"/>
    </row>
    <row r="6" spans="2:19" x14ac:dyDescent="0.2">
      <c r="B6" s="91" t="s">
        <v>41</v>
      </c>
      <c r="C6" s="167" t="s">
        <v>117</v>
      </c>
      <c r="D6" s="41">
        <v>128.38</v>
      </c>
      <c r="E6" s="92"/>
      <c r="F6" s="92"/>
      <c r="G6" s="92"/>
      <c r="H6" s="92"/>
      <c r="M6" s="40"/>
      <c r="N6" s="40"/>
      <c r="O6" s="27"/>
      <c r="P6" s="27"/>
      <c r="Q6" s="27"/>
      <c r="R6" s="27"/>
      <c r="S6" s="27"/>
    </row>
    <row r="7" spans="2:19" x14ac:dyDescent="0.2">
      <c r="B7" s="169" t="s">
        <v>79</v>
      </c>
      <c r="C7" s="168" t="s">
        <v>116</v>
      </c>
      <c r="D7" s="88">
        <f>'Proposed Fee'!J8</f>
        <v>51.260732276439434</v>
      </c>
      <c r="E7" s="92"/>
      <c r="F7" s="92"/>
      <c r="G7" s="92"/>
      <c r="H7" s="92"/>
      <c r="O7" s="27"/>
      <c r="P7" s="27"/>
      <c r="Q7" s="27"/>
      <c r="R7" s="27"/>
      <c r="S7" s="27"/>
    </row>
    <row r="8" spans="2:19" x14ac:dyDescent="0.2">
      <c r="B8" s="43"/>
      <c r="C8" s="168" t="s">
        <v>121</v>
      </c>
      <c r="D8" s="88">
        <f>'Proposed Fee'!J16</f>
        <v>45.432504618828055</v>
      </c>
      <c r="E8" s="92"/>
      <c r="F8" s="92"/>
      <c r="G8" s="92"/>
      <c r="H8" s="92"/>
      <c r="O8" s="27"/>
      <c r="P8" s="27"/>
      <c r="Q8" s="27"/>
      <c r="R8" s="27"/>
      <c r="S8" s="27"/>
    </row>
    <row r="9" spans="2:19" x14ac:dyDescent="0.2">
      <c r="B9" s="43" t="s">
        <v>48</v>
      </c>
      <c r="C9" s="171" t="s">
        <v>70</v>
      </c>
      <c r="D9" s="172"/>
      <c r="E9" s="42"/>
      <c r="F9" s="29"/>
      <c r="G9" s="29"/>
      <c r="H9" s="29"/>
      <c r="O9" s="27"/>
      <c r="P9" s="27"/>
      <c r="Q9" s="27"/>
      <c r="R9" s="27"/>
      <c r="S9" s="27"/>
    </row>
    <row r="10" spans="2:19" x14ac:dyDescent="0.2">
      <c r="B10" s="38" t="s">
        <v>5</v>
      </c>
      <c r="C10" s="44"/>
      <c r="D10" s="44"/>
      <c r="E10" s="45"/>
      <c r="F10" s="45"/>
      <c r="G10" s="45"/>
      <c r="H10" s="45"/>
      <c r="O10" s="27"/>
      <c r="P10" s="27"/>
      <c r="Q10" s="27"/>
      <c r="R10" s="27"/>
      <c r="S10" s="27"/>
    </row>
    <row r="11" spans="2:19" ht="199.5" customHeight="1" x14ac:dyDescent="0.2">
      <c r="B11" s="177" t="s">
        <v>122</v>
      </c>
      <c r="C11" s="177"/>
      <c r="D11" s="177"/>
      <c r="E11" s="177"/>
      <c r="F11" s="177"/>
      <c r="G11" s="177"/>
      <c r="H11" s="177"/>
      <c r="O11" s="27"/>
      <c r="P11" s="27"/>
      <c r="Q11" s="27"/>
      <c r="R11" s="27"/>
      <c r="S11" s="27"/>
    </row>
    <row r="12" spans="2:19" x14ac:dyDescent="0.2">
      <c r="B12" s="46"/>
      <c r="C12" s="46"/>
      <c r="D12" s="46"/>
      <c r="E12" s="46"/>
      <c r="F12" s="46"/>
      <c r="G12" s="46"/>
      <c r="H12" s="46"/>
      <c r="O12" s="27"/>
      <c r="P12" s="27"/>
      <c r="Q12" s="27"/>
      <c r="R12" s="27"/>
      <c r="S12" s="27"/>
    </row>
    <row r="13" spans="2:19" x14ac:dyDescent="0.2">
      <c r="O13" s="27"/>
      <c r="P13" s="27"/>
      <c r="Q13" s="27"/>
      <c r="R13" s="27"/>
      <c r="S13" s="27"/>
    </row>
    <row r="14" spans="2:19" x14ac:dyDescent="0.2">
      <c r="B14" s="17" t="s">
        <v>34</v>
      </c>
      <c r="C14" s="18"/>
      <c r="D14" s="18"/>
      <c r="E14" s="18"/>
      <c r="F14" s="18"/>
      <c r="G14" s="18"/>
      <c r="H14" s="18"/>
      <c r="O14" s="27"/>
      <c r="P14" s="27"/>
      <c r="Q14" s="27"/>
      <c r="R14" s="27"/>
      <c r="S14" s="27"/>
    </row>
    <row r="15" spans="2:19" x14ac:dyDescent="0.2">
      <c r="B15" s="176"/>
      <c r="C15" s="176"/>
      <c r="D15" s="176"/>
      <c r="E15" s="176"/>
      <c r="F15" s="176"/>
      <c r="G15" s="176"/>
      <c r="H15" s="176"/>
    </row>
    <row r="16" spans="2:19" ht="146.25" customHeight="1" x14ac:dyDescent="0.2">
      <c r="B16" s="178" t="s">
        <v>134</v>
      </c>
      <c r="C16" s="178"/>
      <c r="D16" s="178"/>
      <c r="E16" s="178"/>
      <c r="F16" s="178"/>
      <c r="G16" s="178"/>
      <c r="H16" s="178"/>
      <c r="I16" s="27"/>
    </row>
    <row r="17" spans="2:9" x14ac:dyDescent="0.2">
      <c r="B17" s="48"/>
      <c r="C17" s="48"/>
      <c r="D17" s="48"/>
      <c r="E17" s="48"/>
      <c r="F17" s="48"/>
      <c r="G17" s="48"/>
      <c r="H17" s="48"/>
    </row>
    <row r="18" spans="2:9" x14ac:dyDescent="0.2">
      <c r="B18" s="49"/>
      <c r="C18" s="49"/>
      <c r="D18" s="49"/>
      <c r="E18" s="49"/>
      <c r="F18" s="49"/>
      <c r="G18" s="49"/>
      <c r="H18" s="49"/>
    </row>
    <row r="19" spans="2:9" x14ac:dyDescent="0.2">
      <c r="B19" s="17" t="s">
        <v>42</v>
      </c>
      <c r="C19" s="18"/>
      <c r="D19" s="18"/>
      <c r="E19" s="18"/>
      <c r="F19" s="18"/>
      <c r="G19" s="18"/>
      <c r="H19" s="18"/>
    </row>
    <row r="20" spans="2:9" x14ac:dyDescent="0.2">
      <c r="B20" s="176"/>
      <c r="C20" s="176"/>
      <c r="D20" s="176"/>
      <c r="E20" s="176"/>
      <c r="F20" s="176"/>
      <c r="G20" s="176"/>
      <c r="H20" s="176"/>
    </row>
    <row r="21" spans="2:9" x14ac:dyDescent="0.2">
      <c r="B21" s="178" t="s">
        <v>118</v>
      </c>
      <c r="C21" s="178"/>
      <c r="D21" s="178"/>
      <c r="E21" s="178"/>
      <c r="F21" s="178"/>
      <c r="G21" s="178"/>
      <c r="H21" s="178"/>
    </row>
    <row r="22" spans="2:9" x14ac:dyDescent="0.2">
      <c r="B22" s="178"/>
      <c r="C22" s="178"/>
      <c r="D22" s="178"/>
      <c r="E22" s="178"/>
      <c r="F22" s="178"/>
      <c r="G22" s="178"/>
      <c r="H22" s="178"/>
    </row>
    <row r="23" spans="2:9" x14ac:dyDescent="0.2">
      <c r="B23" s="178"/>
      <c r="C23" s="183"/>
      <c r="D23" s="183"/>
      <c r="E23" s="183"/>
      <c r="F23" s="183"/>
      <c r="G23" s="183"/>
      <c r="H23" s="183"/>
    </row>
    <row r="24" spans="2:9" x14ac:dyDescent="0.2">
      <c r="B24" s="47"/>
      <c r="C24" s="47"/>
      <c r="D24" s="47"/>
      <c r="E24" s="47"/>
      <c r="F24" s="47"/>
      <c r="G24" s="47"/>
      <c r="H24" s="47"/>
    </row>
    <row r="25" spans="2:9" x14ac:dyDescent="0.2">
      <c r="B25" s="176"/>
      <c r="C25" s="176"/>
      <c r="D25" s="176"/>
      <c r="E25" s="176"/>
      <c r="F25" s="176"/>
      <c r="G25" s="176"/>
      <c r="H25" s="176"/>
    </row>
    <row r="26" spans="2:9" x14ac:dyDescent="0.2">
      <c r="B26" s="48"/>
      <c r="C26" s="48"/>
      <c r="D26" s="48"/>
      <c r="E26" s="48"/>
      <c r="F26" s="48"/>
      <c r="G26" s="48"/>
      <c r="H26" s="48"/>
    </row>
    <row r="27" spans="2:9" x14ac:dyDescent="0.2">
      <c r="B27" s="48"/>
      <c r="C27" s="48"/>
      <c r="D27" s="48"/>
      <c r="E27" s="48"/>
      <c r="F27" s="48"/>
      <c r="G27" s="48"/>
      <c r="H27" s="48"/>
    </row>
    <row r="28" spans="2:9" x14ac:dyDescent="0.2">
      <c r="B28" s="48"/>
      <c r="C28" s="48"/>
      <c r="D28" s="48"/>
      <c r="E28" s="48"/>
      <c r="F28" s="48"/>
      <c r="G28" s="48"/>
      <c r="H28" s="48"/>
    </row>
    <row r="29" spans="2:9" x14ac:dyDescent="0.2">
      <c r="B29" s="48"/>
      <c r="C29" s="48"/>
      <c r="D29" s="48"/>
      <c r="E29" s="48"/>
      <c r="F29" s="48"/>
      <c r="G29" s="48"/>
      <c r="H29" s="48"/>
    </row>
    <row r="30" spans="2:9" x14ac:dyDescent="0.2">
      <c r="B30" s="50"/>
      <c r="C30" s="50"/>
      <c r="D30" s="50"/>
      <c r="E30" s="50"/>
      <c r="F30" s="50"/>
      <c r="G30" s="50"/>
      <c r="H30" s="50"/>
      <c r="I30" s="27"/>
    </row>
    <row r="31" spans="2:9" x14ac:dyDescent="0.2">
      <c r="B31" s="17" t="s">
        <v>6</v>
      </c>
    </row>
    <row r="32" spans="2:9" x14ac:dyDescent="0.2">
      <c r="B32" s="51" t="s">
        <v>16</v>
      </c>
      <c r="C32" s="52" t="s">
        <v>32</v>
      </c>
      <c r="D32" s="52"/>
      <c r="E32" s="52"/>
      <c r="F32" s="52"/>
      <c r="G32" s="52"/>
      <c r="H32" s="52"/>
    </row>
    <row r="33" spans="2:8" x14ac:dyDescent="0.2">
      <c r="B33" s="53" t="s">
        <v>45</v>
      </c>
      <c r="C33" s="52" t="s">
        <v>52</v>
      </c>
      <c r="D33" s="52"/>
      <c r="E33" s="52"/>
      <c r="F33" s="52"/>
      <c r="G33" s="52"/>
      <c r="H33" s="52"/>
    </row>
    <row r="34" spans="2:8" x14ac:dyDescent="0.2">
      <c r="B34" s="53" t="s">
        <v>46</v>
      </c>
      <c r="C34" s="52" t="s">
        <v>53</v>
      </c>
      <c r="D34" s="52"/>
      <c r="E34" s="52"/>
      <c r="F34" s="52"/>
      <c r="G34" s="52"/>
      <c r="H34" s="52"/>
    </row>
    <row r="35" spans="2:8" x14ac:dyDescent="0.2">
      <c r="B35" s="53" t="s">
        <v>17</v>
      </c>
      <c r="C35" s="52" t="s">
        <v>33</v>
      </c>
      <c r="D35" s="52"/>
      <c r="E35" s="52"/>
      <c r="F35" s="52"/>
      <c r="G35" s="52"/>
      <c r="H35" s="52"/>
    </row>
    <row r="38" spans="2:8" x14ac:dyDescent="0.2">
      <c r="B38" s="17" t="s">
        <v>35</v>
      </c>
      <c r="C38" s="18"/>
      <c r="D38" s="18"/>
      <c r="E38" s="18"/>
      <c r="F38" s="18"/>
      <c r="G38" s="18"/>
      <c r="H38" s="18"/>
    </row>
    <row r="40" spans="2:8" x14ac:dyDescent="0.2">
      <c r="B40" s="36"/>
      <c r="C40" s="19" t="s">
        <v>36</v>
      </c>
      <c r="D40" s="19" t="s">
        <v>37</v>
      </c>
      <c r="E40" s="19" t="s">
        <v>38</v>
      </c>
      <c r="F40" s="19" t="s">
        <v>40</v>
      </c>
      <c r="G40" s="19" t="s">
        <v>39</v>
      </c>
      <c r="H40" s="20" t="s">
        <v>1</v>
      </c>
    </row>
    <row r="41" spans="2:8" x14ac:dyDescent="0.2">
      <c r="C41" s="54"/>
      <c r="D41" s="54"/>
      <c r="E41" s="54"/>
      <c r="F41" s="54"/>
      <c r="G41" s="54"/>
      <c r="H41" s="54"/>
    </row>
    <row r="42" spans="2:8" x14ac:dyDescent="0.2">
      <c r="B42" s="55" t="s">
        <v>80</v>
      </c>
      <c r="C42" s="56">
        <f>'Forecast Revenue - Costs'!D30</f>
        <v>116.2928</v>
      </c>
      <c r="D42" s="56">
        <f>'Forecast Revenue - Costs'!E30</f>
        <v>116.2928</v>
      </c>
      <c r="E42" s="56">
        <f>'Forecast Revenue - Costs'!F30</f>
        <v>117.57202079999999</v>
      </c>
      <c r="F42" s="56">
        <f>'Forecast Revenue - Costs'!G30</f>
        <v>120.29169678514558</v>
      </c>
      <c r="G42" s="56">
        <f>'Forecast Revenue - Costs'!H30</f>
        <v>124.35425687205739</v>
      </c>
      <c r="H42" s="56">
        <f>SUM(C42:G42)</f>
        <v>594.80357445720301</v>
      </c>
    </row>
    <row r="43" spans="2:8" x14ac:dyDescent="0.2">
      <c r="C43" s="57"/>
      <c r="D43" s="58"/>
      <c r="E43" s="57"/>
      <c r="F43" s="57"/>
      <c r="G43" s="57"/>
    </row>
    <row r="44" spans="2:8" x14ac:dyDescent="0.2">
      <c r="B44" s="55" t="s">
        <v>81</v>
      </c>
      <c r="C44" s="56">
        <f>SUM('Forecast Revenue - Costs'!D31:D33)</f>
        <v>84.829132742156403</v>
      </c>
      <c r="D44" s="56">
        <f>SUM('Forecast Revenue - Costs'!E31:E33)</f>
        <v>84.829132742156403</v>
      </c>
      <c r="E44" s="56">
        <f>SUM('Forecast Revenue - Costs'!F31:F33)</f>
        <v>85.762253202320096</v>
      </c>
      <c r="F44" s="56">
        <f>SUM('Forecast Revenue - Costs'!G31:G33)</f>
        <v>87.746105643396163</v>
      </c>
      <c r="G44" s="56">
        <f>SUM('Forecast Revenue - Costs'!H31:H33)</f>
        <v>90.709517384154225</v>
      </c>
      <c r="H44" s="56">
        <f>SUM(C44:G44)</f>
        <v>433.87614171418329</v>
      </c>
    </row>
    <row r="45" spans="2:8" x14ac:dyDescent="0.2">
      <c r="C45" s="57"/>
      <c r="D45" s="58"/>
      <c r="E45" s="57"/>
      <c r="F45" s="57"/>
      <c r="G45" s="57"/>
    </row>
    <row r="46" spans="2:8" x14ac:dyDescent="0.2">
      <c r="B46" s="55" t="s">
        <v>82</v>
      </c>
      <c r="C46" s="56">
        <f t="shared" ref="C46:H46" si="0">+C42+C44</f>
        <v>201.12193274215639</v>
      </c>
      <c r="D46" s="56">
        <f t="shared" si="0"/>
        <v>201.12193274215639</v>
      </c>
      <c r="E46" s="56">
        <f t="shared" si="0"/>
        <v>203.33427400232009</v>
      </c>
      <c r="F46" s="56">
        <f t="shared" si="0"/>
        <v>208.03780242854174</v>
      </c>
      <c r="G46" s="56">
        <f t="shared" si="0"/>
        <v>215.06377425621162</v>
      </c>
      <c r="H46" s="56">
        <f t="shared" si="0"/>
        <v>1028.6797161713862</v>
      </c>
    </row>
    <row r="47" spans="2:8" x14ac:dyDescent="0.2">
      <c r="C47" s="59"/>
      <c r="D47" s="59"/>
      <c r="E47" s="59"/>
      <c r="F47" s="59"/>
      <c r="G47" s="59"/>
    </row>
    <row r="48" spans="2:8" x14ac:dyDescent="0.2">
      <c r="B48" s="60" t="s">
        <v>6</v>
      </c>
    </row>
    <row r="49" spans="2:9" ht="14.25" customHeight="1" x14ac:dyDescent="0.2">
      <c r="B49" s="181" t="s">
        <v>124</v>
      </c>
      <c r="C49" s="181"/>
      <c r="D49" s="181"/>
      <c r="E49" s="181"/>
      <c r="F49" s="181"/>
      <c r="G49" s="181"/>
      <c r="H49" s="181"/>
    </row>
    <row r="50" spans="2:9" x14ac:dyDescent="0.2">
      <c r="B50" s="182"/>
      <c r="C50" s="182"/>
      <c r="D50" s="182"/>
      <c r="E50" s="182"/>
      <c r="F50" s="182"/>
      <c r="G50" s="182"/>
      <c r="H50" s="182"/>
      <c r="I50" s="27"/>
    </row>
    <row r="51" spans="2:9" ht="39" customHeight="1" x14ac:dyDescent="0.2">
      <c r="B51" s="182"/>
      <c r="C51" s="182"/>
      <c r="D51" s="182"/>
      <c r="E51" s="182"/>
      <c r="F51" s="182"/>
      <c r="G51" s="182"/>
      <c r="H51" s="182"/>
    </row>
    <row r="54" spans="2:9" x14ac:dyDescent="0.2">
      <c r="B54" s="17" t="s">
        <v>14</v>
      </c>
      <c r="C54" s="18"/>
      <c r="D54" s="18"/>
      <c r="E54" s="18"/>
      <c r="F54" s="18"/>
      <c r="G54" s="18"/>
      <c r="H54" s="18"/>
    </row>
    <row r="55" spans="2:9" x14ac:dyDescent="0.2">
      <c r="B55" s="6"/>
    </row>
    <row r="56" spans="2:9" x14ac:dyDescent="0.2">
      <c r="B56" s="61"/>
      <c r="C56" s="62" t="s">
        <v>36</v>
      </c>
      <c r="D56" s="62" t="s">
        <v>37</v>
      </c>
      <c r="E56" s="62" t="s">
        <v>38</v>
      </c>
      <c r="F56" s="62" t="s">
        <v>40</v>
      </c>
      <c r="G56" s="62" t="s">
        <v>39</v>
      </c>
      <c r="H56" s="63" t="s">
        <v>1</v>
      </c>
    </row>
    <row r="57" spans="2:9" x14ac:dyDescent="0.2">
      <c r="C57" s="64"/>
      <c r="D57" s="64"/>
      <c r="E57" s="64"/>
      <c r="F57" s="64"/>
      <c r="G57" s="64"/>
      <c r="H57" s="64"/>
    </row>
    <row r="58" spans="2:9" x14ac:dyDescent="0.2">
      <c r="B58" s="61" t="s">
        <v>13</v>
      </c>
      <c r="C58" s="65">
        <f>'Forecast Revenue - Costs'!D14</f>
        <v>4</v>
      </c>
      <c r="D58" s="65">
        <f>'Forecast Revenue - Costs'!E14</f>
        <v>4</v>
      </c>
      <c r="E58" s="65">
        <f>'Forecast Revenue - Costs'!F14</f>
        <v>4</v>
      </c>
      <c r="F58" s="65">
        <f>'Forecast Revenue - Costs'!G14</f>
        <v>4</v>
      </c>
      <c r="G58" s="65">
        <f>'Forecast Revenue - Costs'!H14</f>
        <v>4</v>
      </c>
      <c r="H58" s="65">
        <f>SUM(C58:G58)</f>
        <v>20</v>
      </c>
    </row>
    <row r="59" spans="2:9" x14ac:dyDescent="0.2">
      <c r="C59" s="66"/>
      <c r="D59" s="66"/>
      <c r="E59" s="66"/>
      <c r="F59" s="66"/>
      <c r="G59" s="66"/>
      <c r="H59" s="67"/>
    </row>
  </sheetData>
  <mergeCells count="12">
    <mergeCell ref="B49:H51"/>
    <mergeCell ref="B20:H20"/>
    <mergeCell ref="B21:H21"/>
    <mergeCell ref="B22:H22"/>
    <mergeCell ref="B23:H23"/>
    <mergeCell ref="B25:H25"/>
    <mergeCell ref="C9:D9"/>
    <mergeCell ref="C3:H3"/>
    <mergeCell ref="B15:H15"/>
    <mergeCell ref="B11:H11"/>
    <mergeCell ref="B16:H16"/>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3" zoomScaleNormal="100" workbookViewId="0">
      <selection activeCell="B21" sqref="B21:K21"/>
    </sheetView>
  </sheetViews>
  <sheetFormatPr defaultRowHeight="12.75" x14ac:dyDescent="0.2"/>
  <cols>
    <col min="1" max="1" width="2.28515625" style="1" customWidth="1"/>
    <col min="2" max="2" width="2.42578125" style="49" customWidth="1"/>
    <col min="3" max="3" width="10.140625" style="49" customWidth="1"/>
    <col min="4" max="9" width="13.140625" style="49" customWidth="1"/>
    <col min="10" max="11" width="9.140625" style="49"/>
    <col min="12" max="12" width="5.28515625" style="49" customWidth="1"/>
    <col min="13" max="13" width="2.42578125" style="1" customWidth="1"/>
    <col min="14" max="16384" width="9.140625" style="1"/>
  </cols>
  <sheetData>
    <row r="1" spans="2:14" ht="9" customHeight="1" x14ac:dyDescent="0.2"/>
    <row r="2" spans="2:14" ht="18" customHeight="1" x14ac:dyDescent="0.2">
      <c r="B2" s="35" t="s">
        <v>18</v>
      </c>
      <c r="C2" s="35"/>
      <c r="D2" s="35"/>
      <c r="E2" s="35"/>
      <c r="F2" s="35"/>
      <c r="G2" s="35"/>
      <c r="H2" s="35"/>
      <c r="I2" s="35"/>
      <c r="J2" s="35"/>
      <c r="K2" s="35"/>
    </row>
    <row r="3" spans="2:14" x14ac:dyDescent="0.2">
      <c r="B3" s="28" t="s">
        <v>0</v>
      </c>
      <c r="C3" s="36"/>
      <c r="D3" s="186" t="str">
        <f>'AER Summary'!C3</f>
        <v>Disconnection / Reconnections - Technical Disconnection</v>
      </c>
      <c r="E3" s="187"/>
      <c r="F3" s="187"/>
      <c r="G3" s="187"/>
      <c r="H3" s="187"/>
      <c r="I3" s="187"/>
      <c r="J3" s="187"/>
      <c r="K3" s="187"/>
      <c r="N3" s="26"/>
    </row>
    <row r="4" spans="2:14" x14ac:dyDescent="0.2">
      <c r="N4" s="26"/>
    </row>
    <row r="5" spans="2:14" x14ac:dyDescent="0.2">
      <c r="B5" s="188" t="s">
        <v>64</v>
      </c>
      <c r="C5" s="188"/>
      <c r="D5" s="188"/>
      <c r="E5" s="188"/>
      <c r="F5" s="188"/>
      <c r="G5" s="188"/>
      <c r="H5" s="188"/>
      <c r="I5" s="188"/>
      <c r="J5" s="188"/>
      <c r="K5" s="188"/>
      <c r="N5" s="26"/>
    </row>
    <row r="6" spans="2:14" ht="240.75" customHeight="1" x14ac:dyDescent="0.2">
      <c r="B6" s="189" t="s">
        <v>123</v>
      </c>
      <c r="C6" s="190"/>
      <c r="D6" s="190"/>
      <c r="E6" s="190"/>
      <c r="F6" s="190"/>
      <c r="G6" s="190"/>
      <c r="H6" s="190"/>
      <c r="I6" s="190"/>
      <c r="J6" s="190"/>
      <c r="K6" s="190"/>
      <c r="N6" s="26"/>
    </row>
    <row r="9" spans="2:14" x14ac:dyDescent="0.2">
      <c r="B9" s="188" t="s">
        <v>43</v>
      </c>
      <c r="C9" s="188"/>
      <c r="D9" s="188"/>
      <c r="E9" s="188"/>
      <c r="F9" s="188"/>
      <c r="G9" s="188"/>
      <c r="H9" s="188"/>
      <c r="I9" s="188"/>
      <c r="J9" s="188"/>
      <c r="K9" s="188"/>
    </row>
    <row r="10" spans="2:14" ht="15" customHeight="1" x14ac:dyDescent="0.2">
      <c r="B10" s="185" t="s">
        <v>65</v>
      </c>
      <c r="C10" s="185"/>
      <c r="D10" s="185"/>
      <c r="E10" s="185"/>
      <c r="F10" s="185"/>
      <c r="G10" s="185"/>
      <c r="H10" s="185"/>
      <c r="I10" s="185"/>
      <c r="J10" s="185"/>
      <c r="K10" s="185"/>
    </row>
    <row r="11" spans="2:14" ht="24.75" customHeight="1" x14ac:dyDescent="0.2">
      <c r="B11" s="191"/>
      <c r="C11" s="191"/>
      <c r="D11" s="191"/>
      <c r="E11" s="191"/>
      <c r="F11" s="191"/>
      <c r="G11" s="191"/>
      <c r="H11" s="191"/>
      <c r="I11" s="191"/>
      <c r="J11" s="191"/>
      <c r="K11" s="191"/>
      <c r="L11" s="69"/>
      <c r="M11" s="27"/>
      <c r="N11" s="27"/>
    </row>
    <row r="12" spans="2:14" x14ac:dyDescent="0.2">
      <c r="B12" s="191"/>
      <c r="C12" s="191"/>
      <c r="D12" s="191"/>
      <c r="E12" s="191"/>
      <c r="F12" s="191"/>
      <c r="G12" s="191"/>
      <c r="H12" s="191"/>
      <c r="I12" s="191"/>
      <c r="J12" s="191"/>
      <c r="K12" s="191"/>
      <c r="L12" s="69"/>
      <c r="M12" s="27"/>
      <c r="N12" s="27"/>
    </row>
    <row r="13" spans="2:14" x14ac:dyDescent="0.2">
      <c r="B13" s="191"/>
      <c r="C13" s="191"/>
      <c r="D13" s="191"/>
      <c r="E13" s="191"/>
      <c r="F13" s="191"/>
      <c r="G13" s="191"/>
      <c r="H13" s="191"/>
      <c r="I13" s="191"/>
      <c r="J13" s="191"/>
      <c r="K13" s="191"/>
      <c r="L13" s="69"/>
      <c r="M13" s="27"/>
      <c r="N13" s="27"/>
    </row>
    <row r="14" spans="2:14" ht="48" customHeight="1" x14ac:dyDescent="0.2">
      <c r="B14" s="191"/>
      <c r="C14" s="191"/>
      <c r="D14" s="191"/>
      <c r="E14" s="191"/>
      <c r="F14" s="191"/>
      <c r="G14" s="191"/>
      <c r="H14" s="191"/>
      <c r="I14" s="191"/>
      <c r="J14" s="191"/>
      <c r="K14" s="191"/>
      <c r="L14" s="69"/>
      <c r="M14" s="27"/>
      <c r="N14" s="27"/>
    </row>
    <row r="15" spans="2:14" x14ac:dyDescent="0.2">
      <c r="B15" s="191"/>
      <c r="C15" s="191"/>
      <c r="D15" s="191"/>
      <c r="E15" s="191"/>
      <c r="F15" s="191"/>
      <c r="G15" s="191"/>
      <c r="H15" s="191"/>
      <c r="I15" s="191"/>
      <c r="J15" s="191"/>
      <c r="K15" s="191"/>
      <c r="L15" s="69"/>
      <c r="M15" s="27"/>
      <c r="N15" s="27"/>
    </row>
    <row r="16" spans="2:14" ht="78.75" customHeight="1" x14ac:dyDescent="0.2">
      <c r="B16" s="191"/>
      <c r="C16" s="191"/>
      <c r="D16" s="191"/>
      <c r="E16" s="191"/>
      <c r="F16" s="191"/>
      <c r="G16" s="191"/>
      <c r="H16" s="191"/>
      <c r="I16" s="191"/>
      <c r="J16" s="191"/>
      <c r="K16" s="191"/>
      <c r="L16" s="69"/>
      <c r="M16" s="27"/>
      <c r="N16" s="27"/>
    </row>
    <row r="17" spans="2:14" x14ac:dyDescent="0.2">
      <c r="L17" s="69"/>
      <c r="M17" s="27"/>
      <c r="N17" s="27"/>
    </row>
    <row r="18" spans="2:14" x14ac:dyDescent="0.2">
      <c r="L18" s="69"/>
      <c r="M18" s="27"/>
      <c r="N18" s="27"/>
    </row>
    <row r="19" spans="2:14" x14ac:dyDescent="0.2">
      <c r="B19" s="188" t="s">
        <v>44</v>
      </c>
      <c r="C19" s="188"/>
      <c r="D19" s="188"/>
      <c r="E19" s="188"/>
      <c r="F19" s="188"/>
      <c r="G19" s="188"/>
      <c r="H19" s="188"/>
      <c r="I19" s="188"/>
      <c r="J19" s="188"/>
      <c r="K19" s="188"/>
      <c r="L19" s="69"/>
      <c r="M19" s="27"/>
      <c r="N19" s="27"/>
    </row>
    <row r="20" spans="2:14" ht="282" customHeight="1" x14ac:dyDescent="0.2">
      <c r="B20" s="185" t="str">
        <f>'AER Summary'!B11:H11</f>
        <v xml:space="preserve">
Disconnection / Reconnections - Technical Disconnection
At the request of the retailer, a site visit to a customer’s premises to disconnect or reconnect the supply of electricity to a
customer for breach by the customer of their customer retail contract or for a breach of Essential Energy's
customer connection contract, or where a retailer has requested that the supply to the customer be disconnected.
The disconnection / reconnection method will be at Essential Energy's discretion and will involve a method not identified as a
disconnection method for Disconnection/Reconnection – Disconnection completed (e.g. pull load tail out of meter).
If, following a request from a retailer, the reconnection component of this service is provided outside the hours of
7.30am and 5.00pm on a working day, the additional ‘Reconnection - outside normal business hours’ charge, will
apply.</v>
      </c>
      <c r="C20" s="185"/>
      <c r="D20" s="185"/>
      <c r="E20" s="185"/>
      <c r="F20" s="185"/>
      <c r="G20" s="185"/>
      <c r="H20" s="185"/>
      <c r="I20" s="185"/>
      <c r="J20" s="185"/>
      <c r="K20" s="185"/>
    </row>
    <row r="21" spans="2:14" x14ac:dyDescent="0.2">
      <c r="B21" s="184"/>
      <c r="C21" s="184"/>
      <c r="D21" s="184"/>
      <c r="E21" s="184"/>
      <c r="F21" s="184"/>
      <c r="G21" s="184"/>
      <c r="H21" s="184"/>
      <c r="I21" s="184"/>
      <c r="J21" s="184"/>
      <c r="K21" s="18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workbookViewId="0">
      <selection activeCell="B38" sqref="B38"/>
    </sheetView>
  </sheetViews>
  <sheetFormatPr defaultRowHeight="12.75" x14ac:dyDescent="0.2"/>
  <cols>
    <col min="1" max="1" width="3.5703125" style="70" customWidth="1"/>
    <col min="2" max="2" width="58.7109375" style="70" customWidth="1"/>
    <col min="3" max="3" width="65.140625" style="70" customWidth="1"/>
    <col min="4" max="4" width="12.85546875" style="70" customWidth="1"/>
    <col min="5" max="8" width="11.28515625" style="70" customWidth="1"/>
    <col min="9" max="9" width="12.7109375" style="70" customWidth="1"/>
    <col min="10" max="16384" width="9.140625" style="70"/>
  </cols>
  <sheetData>
    <row r="2" spans="1:9" x14ac:dyDescent="0.2">
      <c r="B2" s="37" t="s">
        <v>12</v>
      </c>
      <c r="C2" s="24"/>
      <c r="D2" s="24"/>
      <c r="E2" s="24"/>
      <c r="F2" s="24"/>
      <c r="G2" s="24"/>
      <c r="H2" s="24"/>
      <c r="I2" s="24"/>
    </row>
    <row r="3" spans="1:9" x14ac:dyDescent="0.2">
      <c r="B3" s="12" t="s">
        <v>22</v>
      </c>
      <c r="C3" s="12" t="s">
        <v>3</v>
      </c>
      <c r="D3" s="83" t="s">
        <v>59</v>
      </c>
      <c r="E3" s="83" t="s">
        <v>58</v>
      </c>
      <c r="F3" s="83" t="s">
        <v>57</v>
      </c>
      <c r="G3" s="83" t="s">
        <v>72</v>
      </c>
      <c r="H3" s="83" t="s">
        <v>73</v>
      </c>
      <c r="I3" s="207" t="s">
        <v>1</v>
      </c>
    </row>
    <row r="4" spans="1:9" x14ac:dyDescent="0.2">
      <c r="B4" s="3" t="s">
        <v>23</v>
      </c>
      <c r="C4" s="3" t="s">
        <v>91</v>
      </c>
      <c r="D4" s="212"/>
      <c r="E4" s="212">
        <v>1003138.87</v>
      </c>
      <c r="F4" s="212">
        <v>56143.69</v>
      </c>
      <c r="G4" s="212">
        <v>60436.24</v>
      </c>
      <c r="H4" s="212">
        <f>G4+G4*2.5%</f>
        <v>61947.146000000001</v>
      </c>
      <c r="I4" s="213">
        <f>SUM(D4:H4)</f>
        <v>1181665.946</v>
      </c>
    </row>
    <row r="5" spans="1:9" x14ac:dyDescent="0.2">
      <c r="B5" s="3" t="s">
        <v>25</v>
      </c>
      <c r="C5" s="3"/>
      <c r="D5" s="212"/>
      <c r="E5" s="212">
        <v>1429.84</v>
      </c>
      <c r="F5" s="212">
        <v>72.53</v>
      </c>
      <c r="G5" s="212">
        <v>7.78</v>
      </c>
      <c r="H5" s="212">
        <f t="shared" ref="H5:H8" si="0">G5+G5*2.5%</f>
        <v>7.9744999999999999</v>
      </c>
      <c r="I5" s="213">
        <f t="shared" ref="I5:I8" si="1">SUM(D5:H5)</f>
        <v>1518.1244999999999</v>
      </c>
    </row>
    <row r="6" spans="1:9" x14ac:dyDescent="0.2">
      <c r="B6" s="3" t="s">
        <v>26</v>
      </c>
      <c r="C6" s="3"/>
      <c r="D6" s="212">
        <v>0</v>
      </c>
      <c r="E6" s="212">
        <v>289384.33</v>
      </c>
      <c r="F6" s="212">
        <v>16906.3</v>
      </c>
      <c r="G6" s="212">
        <v>16079.2</v>
      </c>
      <c r="H6" s="212">
        <f t="shared" si="0"/>
        <v>16481.18</v>
      </c>
      <c r="I6" s="213">
        <f t="shared" si="1"/>
        <v>338851.01</v>
      </c>
    </row>
    <row r="7" spans="1:9" x14ac:dyDescent="0.2">
      <c r="B7" s="3" t="s">
        <v>27</v>
      </c>
      <c r="C7" s="3"/>
      <c r="D7" s="212"/>
      <c r="E7" s="212">
        <v>147806.15</v>
      </c>
      <c r="F7" s="212">
        <v>436574.19</v>
      </c>
      <c r="G7" s="212">
        <v>643332.56000000006</v>
      </c>
      <c r="H7" s="212">
        <f t="shared" si="0"/>
        <v>659415.87400000007</v>
      </c>
      <c r="I7" s="213">
        <f t="shared" si="1"/>
        <v>1887128.774</v>
      </c>
    </row>
    <row r="8" spans="1:9" x14ac:dyDescent="0.2">
      <c r="B8" s="3" t="s">
        <v>24</v>
      </c>
      <c r="C8" s="3"/>
      <c r="D8" s="212"/>
      <c r="E8" s="212">
        <v>1170526.43</v>
      </c>
      <c r="F8" s="212">
        <v>49082.29</v>
      </c>
      <c r="G8" s="212">
        <v>355988</v>
      </c>
      <c r="H8" s="212">
        <f t="shared" si="0"/>
        <v>364887.7</v>
      </c>
      <c r="I8" s="213">
        <f t="shared" si="1"/>
        <v>1940484.42</v>
      </c>
    </row>
    <row r="9" spans="1:9" x14ac:dyDescent="0.2">
      <c r="B9" s="12" t="s">
        <v>1</v>
      </c>
      <c r="C9" s="214"/>
      <c r="D9" s="215">
        <f t="shared" ref="D9:I9" si="2">SUM(D4:D8)</f>
        <v>0</v>
      </c>
      <c r="E9" s="215">
        <f t="shared" si="2"/>
        <v>2612285.62</v>
      </c>
      <c r="F9" s="215">
        <f t="shared" si="2"/>
        <v>558779</v>
      </c>
      <c r="G9" s="215">
        <f t="shared" ref="G9:H9" si="3">SUM(G4:G8)</f>
        <v>1075843.78</v>
      </c>
      <c r="H9" s="215">
        <f t="shared" si="3"/>
        <v>1102739.8745000002</v>
      </c>
      <c r="I9" s="215">
        <f t="shared" si="2"/>
        <v>5349648.2744999994</v>
      </c>
    </row>
    <row r="10" spans="1:9" x14ac:dyDescent="0.2">
      <c r="B10" s="72"/>
      <c r="C10" s="73"/>
      <c r="D10" s="74"/>
      <c r="E10" s="74"/>
      <c r="F10" s="74"/>
      <c r="G10" s="74"/>
      <c r="H10" s="74"/>
      <c r="I10" s="74"/>
    </row>
    <row r="11" spans="1:9" x14ac:dyDescent="0.2">
      <c r="B11" s="75" t="s">
        <v>10</v>
      </c>
      <c r="C11" s="18"/>
      <c r="D11" s="18"/>
      <c r="E11" s="18"/>
      <c r="F11" s="18"/>
      <c r="G11" s="18"/>
      <c r="H11" s="18"/>
      <c r="I11" s="18"/>
    </row>
    <row r="12" spans="1:9" x14ac:dyDescent="0.2">
      <c r="B12" s="206" t="s">
        <v>4</v>
      </c>
      <c r="C12" s="206" t="s">
        <v>9</v>
      </c>
      <c r="D12" s="83" t="s">
        <v>59</v>
      </c>
      <c r="E12" s="83" t="s">
        <v>58</v>
      </c>
      <c r="F12" s="83" t="s">
        <v>57</v>
      </c>
      <c r="G12" s="83" t="s">
        <v>72</v>
      </c>
      <c r="H12" s="83" t="s">
        <v>73</v>
      </c>
      <c r="I12" s="207" t="s">
        <v>1</v>
      </c>
    </row>
    <row r="13" spans="1:9" x14ac:dyDescent="0.2">
      <c r="B13" s="3" t="s">
        <v>21</v>
      </c>
      <c r="C13" s="3" t="s">
        <v>131</v>
      </c>
      <c r="D13" s="94"/>
      <c r="E13" s="94">
        <v>2</v>
      </c>
      <c r="F13" s="94">
        <v>1</v>
      </c>
      <c r="G13" s="94">
        <v>2</v>
      </c>
      <c r="H13" s="94">
        <v>2</v>
      </c>
      <c r="I13" s="208">
        <f>SUM(D13:H13)</f>
        <v>7</v>
      </c>
    </row>
    <row r="14" spans="1:9" x14ac:dyDescent="0.2">
      <c r="B14" s="3"/>
      <c r="C14" s="209"/>
      <c r="D14" s="94"/>
      <c r="E14" s="94"/>
      <c r="F14" s="94"/>
      <c r="G14" s="94"/>
      <c r="H14" s="94"/>
      <c r="I14" s="208">
        <f>SUM(D14:H14)</f>
        <v>0</v>
      </c>
    </row>
    <row r="15" spans="1:9" x14ac:dyDescent="0.2">
      <c r="A15" s="76"/>
      <c r="B15" s="210" t="s">
        <v>54</v>
      </c>
      <c r="C15" s="12"/>
      <c r="D15" s="211">
        <f t="shared" ref="D15:I15" si="4">SUM(D13:D14)</f>
        <v>0</v>
      </c>
      <c r="E15" s="211">
        <f t="shared" si="4"/>
        <v>2</v>
      </c>
      <c r="F15" s="211">
        <f t="shared" si="4"/>
        <v>1</v>
      </c>
      <c r="G15" s="211">
        <f t="shared" ref="G15:H15" si="5">SUM(G13:G14)</f>
        <v>2</v>
      </c>
      <c r="H15" s="211">
        <f t="shared" si="5"/>
        <v>2</v>
      </c>
      <c r="I15" s="211">
        <f t="shared" si="4"/>
        <v>7</v>
      </c>
    </row>
    <row r="17" spans="1:9" x14ac:dyDescent="0.2">
      <c r="A17" s="76"/>
      <c r="B17" s="7" t="s">
        <v>6</v>
      </c>
      <c r="C17" s="1"/>
      <c r="D17" s="6"/>
      <c r="E17" s="6"/>
      <c r="F17" s="6"/>
      <c r="G17" s="6"/>
      <c r="H17" s="6"/>
      <c r="I17" s="6"/>
    </row>
    <row r="18" spans="1:9" x14ac:dyDescent="0.2">
      <c r="B18" s="77" t="s">
        <v>125</v>
      </c>
      <c r="C18" s="96"/>
      <c r="D18" s="96"/>
      <c r="E18" s="96"/>
      <c r="F18" s="96"/>
      <c r="G18" s="96"/>
      <c r="H18" s="96"/>
      <c r="I18" s="96"/>
    </row>
    <row r="19" spans="1:9" x14ac:dyDescent="0.2">
      <c r="B19" s="77" t="s">
        <v>126</v>
      </c>
      <c r="C19" s="97"/>
      <c r="D19" s="97"/>
      <c r="E19" s="97"/>
      <c r="F19" s="97"/>
      <c r="G19" s="97"/>
      <c r="H19" s="97"/>
      <c r="I19" s="97"/>
    </row>
    <row r="20" spans="1:9" x14ac:dyDescent="0.2">
      <c r="B20" s="77" t="s">
        <v>127</v>
      </c>
      <c r="C20" s="97"/>
      <c r="D20" s="97"/>
      <c r="E20" s="97"/>
      <c r="F20" s="97"/>
      <c r="G20" s="97"/>
      <c r="H20" s="97"/>
      <c r="I20" s="97"/>
    </row>
    <row r="21" spans="1:9" x14ac:dyDescent="0.2">
      <c r="B21" s="77" t="s">
        <v>128</v>
      </c>
      <c r="C21" s="97"/>
      <c r="D21" s="97"/>
      <c r="E21" s="97"/>
      <c r="F21" s="97"/>
      <c r="G21" s="97"/>
      <c r="H21" s="97"/>
      <c r="I21" s="97"/>
    </row>
    <row r="22" spans="1:9" x14ac:dyDescent="0.2">
      <c r="B22" s="77" t="s">
        <v>129</v>
      </c>
      <c r="C22" s="25"/>
      <c r="D22" s="25"/>
      <c r="E22" s="25"/>
      <c r="F22" s="25"/>
      <c r="G22" s="95"/>
      <c r="H22" s="95"/>
      <c r="I22" s="25"/>
    </row>
    <row r="23" spans="1:9" x14ac:dyDescent="0.2">
      <c r="B23" s="1"/>
      <c r="C23" s="1"/>
      <c r="D23" s="6"/>
      <c r="E23" s="6"/>
      <c r="F23" s="6"/>
      <c r="G23" s="6"/>
      <c r="H23" s="6"/>
      <c r="I23" s="6"/>
    </row>
    <row r="24" spans="1:9" x14ac:dyDescent="0.2">
      <c r="B24" s="75" t="s">
        <v>50</v>
      </c>
      <c r="C24" s="18"/>
      <c r="D24" s="18"/>
      <c r="E24" s="18"/>
      <c r="F24" s="18"/>
      <c r="G24" s="18"/>
      <c r="H24" s="18"/>
      <c r="I24" s="18"/>
    </row>
    <row r="25" spans="1:9" x14ac:dyDescent="0.2">
      <c r="B25" s="78" t="s">
        <v>11</v>
      </c>
      <c r="C25" s="9"/>
      <c r="D25" s="9"/>
      <c r="E25" s="9"/>
      <c r="F25" s="9"/>
      <c r="G25" s="9"/>
      <c r="H25" s="9"/>
      <c r="I25" s="9"/>
    </row>
    <row r="26" spans="1:9" x14ac:dyDescent="0.2">
      <c r="B26" s="192" t="s">
        <v>130</v>
      </c>
      <c r="C26" s="193"/>
      <c r="D26" s="193"/>
      <c r="E26" s="193"/>
      <c r="F26" s="193"/>
      <c r="G26" s="193"/>
      <c r="H26" s="193"/>
      <c r="I26" s="193"/>
    </row>
    <row r="27" spans="1:9" x14ac:dyDescent="0.2">
      <c r="B27" s="194"/>
      <c r="C27" s="195"/>
      <c r="D27" s="195"/>
      <c r="E27" s="195"/>
      <c r="F27" s="195"/>
      <c r="G27" s="195"/>
      <c r="H27" s="195"/>
      <c r="I27" s="195"/>
    </row>
    <row r="28" spans="1:9" x14ac:dyDescent="0.2">
      <c r="B28" s="79"/>
      <c r="C28" s="11"/>
      <c r="D28" s="11"/>
      <c r="E28" s="11"/>
      <c r="F28" s="11"/>
      <c r="G28" s="11"/>
      <c r="H28" s="11"/>
      <c r="I28" s="11"/>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B34" sqref="B34"/>
    </sheetView>
  </sheetViews>
  <sheetFormatPr defaultRowHeight="12.75" x14ac:dyDescent="0.2"/>
  <cols>
    <col min="1" max="1" width="3.140625" style="70" customWidth="1"/>
    <col min="2" max="2" width="80" style="70" bestFit="1" customWidth="1"/>
    <col min="3" max="3" width="65.140625" style="70" customWidth="1"/>
    <col min="4" max="4" width="12.85546875" style="70" customWidth="1"/>
    <col min="5" max="8" width="11.28515625" style="70" customWidth="1"/>
    <col min="9" max="9" width="12.7109375" style="70" customWidth="1"/>
    <col min="10" max="16384" width="9.140625" style="70"/>
  </cols>
  <sheetData>
    <row r="2" spans="2:9" x14ac:dyDescent="0.2">
      <c r="B2" s="17" t="s">
        <v>8</v>
      </c>
      <c r="C2" s="18"/>
      <c r="D2" s="18"/>
      <c r="E2" s="18"/>
      <c r="F2" s="18"/>
      <c r="G2" s="18"/>
      <c r="H2" s="18"/>
      <c r="I2" s="18"/>
    </row>
    <row r="3" spans="2:9" x14ac:dyDescent="0.2">
      <c r="B3" s="1"/>
      <c r="C3" s="1"/>
      <c r="D3" s="1"/>
      <c r="E3" s="1"/>
      <c r="F3" s="1"/>
      <c r="G3" s="1"/>
      <c r="H3" s="1"/>
      <c r="I3" s="1"/>
    </row>
    <row r="4" spans="2:9" x14ac:dyDescent="0.2">
      <c r="B4" s="17" t="s">
        <v>2</v>
      </c>
      <c r="C4" s="18"/>
      <c r="D4" s="18"/>
      <c r="E4" s="18"/>
      <c r="F4" s="18"/>
      <c r="G4" s="18"/>
      <c r="H4" s="18"/>
      <c r="I4" s="18"/>
    </row>
    <row r="5" spans="2:9" x14ac:dyDescent="0.2">
      <c r="B5" s="1"/>
      <c r="C5" s="1"/>
      <c r="D5" s="1"/>
      <c r="E5" s="1"/>
      <c r="F5" s="1"/>
      <c r="G5" s="1"/>
      <c r="H5" s="1"/>
      <c r="I5" s="1"/>
    </row>
    <row r="6" spans="2:9" x14ac:dyDescent="0.2">
      <c r="B6" s="216" t="s">
        <v>74</v>
      </c>
      <c r="C6" s="216" t="s">
        <v>9</v>
      </c>
      <c r="D6" s="217" t="s">
        <v>59</v>
      </c>
      <c r="E6" s="217" t="s">
        <v>58</v>
      </c>
      <c r="F6" s="217" t="s">
        <v>57</v>
      </c>
      <c r="G6" s="217" t="s">
        <v>72</v>
      </c>
      <c r="H6" s="217" t="s">
        <v>73</v>
      </c>
      <c r="I6" s="218" t="s">
        <v>1</v>
      </c>
    </row>
    <row r="7" spans="2:9" ht="15" customHeight="1" x14ac:dyDescent="0.2">
      <c r="B7" s="131" t="s">
        <v>77</v>
      </c>
      <c r="C7" s="23" t="s">
        <v>75</v>
      </c>
      <c r="D7" s="22">
        <v>0</v>
      </c>
      <c r="E7" s="22">
        <v>3365495.4</v>
      </c>
      <c r="F7" s="22">
        <v>2973812.01</v>
      </c>
      <c r="G7" s="22">
        <v>3302984.72</v>
      </c>
      <c r="H7" s="22">
        <f>G7+G7*2.5%</f>
        <v>3385559.3380000005</v>
      </c>
      <c r="I7" s="213">
        <f>SUM(D7:H7)</f>
        <v>13027851.468000002</v>
      </c>
    </row>
    <row r="8" spans="2:9" x14ac:dyDescent="0.2">
      <c r="B8" s="3"/>
      <c r="C8" s="21"/>
      <c r="D8" s="22"/>
      <c r="E8" s="22"/>
      <c r="F8" s="22"/>
      <c r="G8" s="22"/>
      <c r="H8" s="22"/>
      <c r="I8" s="213">
        <f t="shared" ref="I8:I10" si="0">SUM(D8:H8)</f>
        <v>0</v>
      </c>
    </row>
    <row r="9" spans="2:9" x14ac:dyDescent="0.2">
      <c r="B9" s="3"/>
      <c r="C9" s="21"/>
      <c r="D9" s="22"/>
      <c r="E9" s="22"/>
      <c r="F9" s="22"/>
      <c r="G9" s="22"/>
      <c r="H9" s="22"/>
      <c r="I9" s="213">
        <f t="shared" si="0"/>
        <v>0</v>
      </c>
    </row>
    <row r="10" spans="2:9" x14ac:dyDescent="0.2">
      <c r="B10" s="3"/>
      <c r="C10" s="21"/>
      <c r="D10" s="22"/>
      <c r="E10" s="22"/>
      <c r="F10" s="22"/>
      <c r="G10" s="22"/>
      <c r="H10" s="22"/>
      <c r="I10" s="213">
        <f t="shared" si="0"/>
        <v>0</v>
      </c>
    </row>
    <row r="11" spans="2:9" x14ac:dyDescent="0.2">
      <c r="B11" s="12" t="s">
        <v>1</v>
      </c>
      <c r="C11" s="12"/>
      <c r="D11" s="215">
        <f t="shared" ref="D11:I11" si="1">SUM(D7:D10)</f>
        <v>0</v>
      </c>
      <c r="E11" s="215">
        <f t="shared" si="1"/>
        <v>3365495.4</v>
      </c>
      <c r="F11" s="215">
        <f t="shared" si="1"/>
        <v>2973812.01</v>
      </c>
      <c r="G11" s="215">
        <f t="shared" si="1"/>
        <v>3302984.72</v>
      </c>
      <c r="H11" s="215">
        <f t="shared" si="1"/>
        <v>3385559.3380000005</v>
      </c>
      <c r="I11" s="215">
        <f t="shared" si="1"/>
        <v>13027851.468000002</v>
      </c>
    </row>
    <row r="12" spans="2:9" x14ac:dyDescent="0.2">
      <c r="B12" s="1"/>
      <c r="C12" s="1"/>
      <c r="D12" s="1"/>
      <c r="E12" s="1"/>
      <c r="F12" s="1"/>
      <c r="G12" s="1"/>
      <c r="H12" s="1"/>
      <c r="I12" s="1"/>
    </row>
    <row r="13" spans="2:9" x14ac:dyDescent="0.2">
      <c r="B13" s="17" t="s">
        <v>10</v>
      </c>
      <c r="C13" s="18"/>
      <c r="D13" s="18"/>
      <c r="E13" s="18"/>
      <c r="F13" s="18"/>
      <c r="G13" s="18"/>
      <c r="H13" s="18"/>
      <c r="I13" s="18"/>
    </row>
    <row r="14" spans="2:9" x14ac:dyDescent="0.2">
      <c r="B14" s="1"/>
      <c r="C14" s="1"/>
      <c r="D14" s="1"/>
      <c r="E14" s="1"/>
      <c r="F14" s="1"/>
      <c r="G14" s="1"/>
      <c r="H14" s="1"/>
      <c r="I14" s="1"/>
    </row>
    <row r="15" spans="2:9" x14ac:dyDescent="0.2">
      <c r="B15" s="216" t="s">
        <v>4</v>
      </c>
      <c r="C15" s="216" t="s">
        <v>9</v>
      </c>
      <c r="D15" s="217" t="s">
        <v>59</v>
      </c>
      <c r="E15" s="217" t="s">
        <v>58</v>
      </c>
      <c r="F15" s="217" t="s">
        <v>57</v>
      </c>
      <c r="G15" s="217" t="s">
        <v>72</v>
      </c>
      <c r="H15" s="217" t="s">
        <v>73</v>
      </c>
      <c r="I15" s="218" t="s">
        <v>1</v>
      </c>
    </row>
    <row r="16" spans="2:9" x14ac:dyDescent="0.2">
      <c r="B16" s="3" t="s">
        <v>21</v>
      </c>
      <c r="C16" s="3" t="s">
        <v>131</v>
      </c>
      <c r="D16" s="94"/>
      <c r="E16" s="94">
        <v>2</v>
      </c>
      <c r="F16" s="94">
        <v>1</v>
      </c>
      <c r="G16" s="94">
        <v>2</v>
      </c>
      <c r="H16" s="94">
        <v>2</v>
      </c>
      <c r="I16" s="208">
        <f>SUM(D16:H16)</f>
        <v>7</v>
      </c>
    </row>
    <row r="17" spans="2:9" x14ac:dyDescent="0.2">
      <c r="B17" s="3"/>
      <c r="C17" s="209"/>
      <c r="D17" s="5"/>
      <c r="E17" s="5"/>
      <c r="F17" s="5"/>
      <c r="G17" s="5"/>
      <c r="H17" s="5"/>
      <c r="I17" s="208">
        <f t="shared" ref="I17:I18" si="2">SUM(D17:H17)</f>
        <v>0</v>
      </c>
    </row>
    <row r="18" spans="2:9" x14ac:dyDescent="0.2">
      <c r="B18" s="3"/>
      <c r="C18" s="3"/>
      <c r="D18" s="5"/>
      <c r="E18" s="5"/>
      <c r="F18" s="5"/>
      <c r="G18" s="5"/>
      <c r="H18" s="5"/>
      <c r="I18" s="208">
        <f t="shared" si="2"/>
        <v>0</v>
      </c>
    </row>
    <row r="19" spans="2:9" x14ac:dyDescent="0.2">
      <c r="B19" s="210" t="s">
        <v>19</v>
      </c>
      <c r="C19" s="12"/>
      <c r="D19" s="211">
        <f t="shared" ref="D19:H19" si="3">SUM(D16:D18)</f>
        <v>0</v>
      </c>
      <c r="E19" s="211">
        <f t="shared" si="3"/>
        <v>2</v>
      </c>
      <c r="F19" s="211">
        <f t="shared" si="3"/>
        <v>1</v>
      </c>
      <c r="G19" s="211">
        <f t="shared" si="3"/>
        <v>2</v>
      </c>
      <c r="H19" s="211">
        <f t="shared" si="3"/>
        <v>2</v>
      </c>
      <c r="I19" s="211">
        <f>SUM(I16:I18)</f>
        <v>7</v>
      </c>
    </row>
    <row r="20" spans="2:9" x14ac:dyDescent="0.2">
      <c r="B20" s="1"/>
      <c r="C20" s="1"/>
      <c r="D20" s="6"/>
      <c r="E20" s="6"/>
      <c r="F20" s="6"/>
      <c r="G20" s="6"/>
      <c r="H20" s="6"/>
      <c r="I20" s="6"/>
    </row>
    <row r="21" spans="2:9" x14ac:dyDescent="0.2">
      <c r="B21" s="7" t="s">
        <v>6</v>
      </c>
      <c r="C21" s="1"/>
      <c r="D21" s="6"/>
      <c r="E21" s="6"/>
      <c r="F21" s="6"/>
      <c r="G21" s="6"/>
      <c r="H21" s="6"/>
      <c r="I21" s="6"/>
    </row>
    <row r="22" spans="2:9" ht="76.5" x14ac:dyDescent="0.2">
      <c r="B22" s="96" t="s">
        <v>132</v>
      </c>
      <c r="C22" s="96"/>
      <c r="D22" s="96"/>
      <c r="E22" s="96"/>
      <c r="F22" s="96"/>
      <c r="G22" s="96"/>
      <c r="H22" s="96"/>
      <c r="I22" s="96"/>
    </row>
    <row r="23" spans="2:9" x14ac:dyDescent="0.2">
      <c r="B23" s="1"/>
      <c r="C23" s="1"/>
      <c r="D23" s="6"/>
      <c r="E23" s="6"/>
      <c r="F23" s="6"/>
      <c r="G23" s="6"/>
      <c r="H23" s="6"/>
      <c r="I23" s="6"/>
    </row>
    <row r="24" spans="2:9" x14ac:dyDescent="0.2">
      <c r="B24" s="17" t="s">
        <v>2</v>
      </c>
      <c r="C24" s="18"/>
      <c r="D24" s="18"/>
      <c r="E24" s="18"/>
      <c r="F24" s="18"/>
      <c r="G24" s="18"/>
      <c r="H24" s="18"/>
      <c r="I24" s="18"/>
    </row>
    <row r="25" spans="2:9" x14ac:dyDescent="0.2">
      <c r="B25" s="1"/>
      <c r="C25" s="1"/>
      <c r="D25" s="1"/>
      <c r="E25" s="1"/>
      <c r="F25" s="1"/>
      <c r="G25" s="1"/>
      <c r="H25" s="1"/>
      <c r="I25" s="1"/>
    </row>
    <row r="26" spans="2:9" x14ac:dyDescent="0.2">
      <c r="B26" s="8" t="s">
        <v>11</v>
      </c>
      <c r="C26" s="9"/>
      <c r="D26" s="9"/>
      <c r="E26" s="9"/>
      <c r="F26" s="9"/>
      <c r="G26" s="9"/>
      <c r="H26" s="9"/>
      <c r="I26" s="9"/>
    </row>
    <row r="27" spans="2:9" x14ac:dyDescent="0.2">
      <c r="B27" s="193" t="s">
        <v>130</v>
      </c>
      <c r="C27" s="193"/>
      <c r="D27" s="193"/>
      <c r="E27" s="193"/>
      <c r="F27" s="193"/>
      <c r="G27" s="193"/>
      <c r="H27" s="193"/>
      <c r="I27" s="193"/>
    </row>
    <row r="28" spans="2:9" x14ac:dyDescent="0.2">
      <c r="B28" s="195"/>
      <c r="C28" s="195"/>
      <c r="D28" s="195"/>
      <c r="E28" s="195"/>
      <c r="F28" s="195"/>
      <c r="G28" s="195"/>
      <c r="H28" s="195"/>
      <c r="I28" s="195"/>
    </row>
    <row r="29" spans="2:9" x14ac:dyDescent="0.2">
      <c r="B29" s="10"/>
      <c r="C29" s="11"/>
      <c r="D29" s="11"/>
      <c r="E29" s="11"/>
      <c r="F29" s="11"/>
      <c r="G29" s="11"/>
      <c r="H29" s="11"/>
      <c r="I29" s="11"/>
    </row>
  </sheetData>
  <mergeCells count="1">
    <mergeCell ref="B27:I2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K39"/>
  <sheetViews>
    <sheetView showGridLines="0" workbookViewId="0">
      <selection activeCell="B41" sqref="B41"/>
    </sheetView>
  </sheetViews>
  <sheetFormatPr defaultRowHeight="12.75" x14ac:dyDescent="0.2"/>
  <cols>
    <col min="1" max="1" width="2.28515625" style="1" customWidth="1"/>
    <col min="2" max="2" width="87.42578125" style="1" bestFit="1" customWidth="1"/>
    <col min="3" max="3" width="15" style="1" customWidth="1"/>
    <col min="4" max="4" width="15.140625" style="87" bestFit="1" customWidth="1"/>
    <col min="5" max="9" width="15.140625" style="87" customWidth="1"/>
    <col min="10" max="10" width="9.140625" style="34"/>
    <col min="11" max="11" width="2.85546875" style="1" customWidth="1"/>
    <col min="12" max="16384" width="9.140625" style="1"/>
  </cols>
  <sheetData>
    <row r="2" spans="2:11" x14ac:dyDescent="0.2">
      <c r="B2" s="114" t="s">
        <v>55</v>
      </c>
      <c r="C2" s="115"/>
      <c r="D2" s="115"/>
      <c r="E2" s="115"/>
      <c r="F2" s="196" t="s">
        <v>84</v>
      </c>
      <c r="G2" s="196"/>
      <c r="H2" s="196"/>
      <c r="I2" s="196"/>
      <c r="J2" s="196"/>
    </row>
    <row r="3" spans="2:11" ht="15.75" x14ac:dyDescent="0.25">
      <c r="B3" s="81" t="s">
        <v>116</v>
      </c>
      <c r="C3" s="122"/>
      <c r="D3" s="68"/>
      <c r="E3" s="68"/>
      <c r="F3" s="197" t="s">
        <v>85</v>
      </c>
      <c r="G3" s="197"/>
      <c r="H3" s="197"/>
      <c r="I3" s="197"/>
      <c r="J3" s="197"/>
    </row>
    <row r="4" spans="2:11" s="27" customFormat="1" ht="3" customHeight="1" x14ac:dyDescent="0.2">
      <c r="B4" s="30"/>
      <c r="C4" s="30"/>
      <c r="D4" s="85"/>
      <c r="E4" s="85"/>
      <c r="F4" s="85"/>
      <c r="G4" s="85"/>
      <c r="H4" s="85"/>
      <c r="I4" s="85"/>
      <c r="J4" s="30"/>
    </row>
    <row r="5" spans="2:11" ht="51" x14ac:dyDescent="0.2">
      <c r="B5" s="31" t="s">
        <v>20</v>
      </c>
      <c r="C5" s="123" t="s">
        <v>83</v>
      </c>
      <c r="D5" s="31" t="s">
        <v>67</v>
      </c>
      <c r="E5" s="125" t="s">
        <v>86</v>
      </c>
      <c r="F5" s="125" t="s">
        <v>87</v>
      </c>
      <c r="G5" s="123" t="s">
        <v>88</v>
      </c>
      <c r="H5" s="123" t="s">
        <v>89</v>
      </c>
      <c r="I5" s="123" t="s">
        <v>90</v>
      </c>
      <c r="J5" s="116" t="s">
        <v>66</v>
      </c>
      <c r="K5" s="71"/>
    </row>
    <row r="6" spans="2:11" x14ac:dyDescent="0.2">
      <c r="B6" s="119" t="s">
        <v>115</v>
      </c>
      <c r="C6" s="120"/>
      <c r="D6" s="120"/>
      <c r="E6" s="120"/>
      <c r="F6" s="120"/>
      <c r="G6" s="120"/>
      <c r="H6" s="120"/>
      <c r="I6" s="120"/>
      <c r="J6" s="121"/>
      <c r="K6" s="16"/>
    </row>
    <row r="7" spans="2:11" x14ac:dyDescent="0.2">
      <c r="B7" s="117" t="s">
        <v>68</v>
      </c>
      <c r="C7" s="124">
        <v>0</v>
      </c>
      <c r="D7" s="118">
        <v>29.64</v>
      </c>
      <c r="E7" s="126">
        <f>D7*[1]Inputs!$G$61</f>
        <v>0</v>
      </c>
      <c r="F7" s="126">
        <f>SUM(D7:E7)</f>
        <v>29.64</v>
      </c>
      <c r="G7" s="126">
        <f>[1]Inputs!$M$43*F7</f>
        <v>13.810064765356772</v>
      </c>
      <c r="H7" s="126">
        <f>[1]Inputs!$M$48*F7</f>
        <v>4.7535916229370638</v>
      </c>
      <c r="I7" s="127">
        <f>[1]Inputs!$H$13*SUM(F7:H7)</f>
        <v>3.0570758881455955</v>
      </c>
      <c r="J7" s="126">
        <f>SUM(F7:I7)</f>
        <v>51.260732276439434</v>
      </c>
    </row>
    <row r="8" spans="2:11" x14ac:dyDescent="0.2">
      <c r="B8" s="128" t="s">
        <v>1</v>
      </c>
      <c r="C8" s="129"/>
      <c r="D8" s="130">
        <f t="shared" ref="D8:J8" si="0">SUM(D7:D7)</f>
        <v>29.64</v>
      </c>
      <c r="E8" s="130">
        <f t="shared" si="0"/>
        <v>0</v>
      </c>
      <c r="F8" s="130">
        <f t="shared" si="0"/>
        <v>29.64</v>
      </c>
      <c r="G8" s="130">
        <f t="shared" si="0"/>
        <v>13.810064765356772</v>
      </c>
      <c r="H8" s="130">
        <f t="shared" si="0"/>
        <v>4.7535916229370638</v>
      </c>
      <c r="I8" s="130">
        <f t="shared" si="0"/>
        <v>3.0570758881455955</v>
      </c>
      <c r="J8" s="130">
        <f t="shared" si="0"/>
        <v>51.260732276439434</v>
      </c>
      <c r="K8" s="71"/>
    </row>
    <row r="9" spans="2:11" x14ac:dyDescent="0.2">
      <c r="B9" s="32"/>
      <c r="C9" s="32"/>
      <c r="D9" s="86"/>
      <c r="E9" s="86"/>
      <c r="F9" s="86"/>
      <c r="G9" s="86"/>
      <c r="H9" s="86"/>
      <c r="I9" s="86"/>
      <c r="J9" s="33"/>
    </row>
    <row r="10" spans="2:11" x14ac:dyDescent="0.2">
      <c r="B10" s="114" t="s">
        <v>55</v>
      </c>
      <c r="C10" s="115"/>
      <c r="D10" s="115"/>
      <c r="E10" s="115"/>
      <c r="F10" s="196" t="s">
        <v>84</v>
      </c>
      <c r="G10" s="196"/>
      <c r="H10" s="196"/>
      <c r="I10" s="196"/>
      <c r="J10" s="196"/>
    </row>
    <row r="11" spans="2:11" ht="15.75" x14ac:dyDescent="0.25">
      <c r="B11" s="81" t="s">
        <v>121</v>
      </c>
      <c r="C11" s="122"/>
      <c r="D11" s="68"/>
      <c r="E11" s="68"/>
      <c r="F11" s="197" t="s">
        <v>85</v>
      </c>
      <c r="G11" s="197"/>
      <c r="H11" s="197"/>
      <c r="I11" s="197"/>
      <c r="J11" s="197"/>
    </row>
    <row r="12" spans="2:11" x14ac:dyDescent="0.2">
      <c r="B12" s="30"/>
      <c r="C12" s="30"/>
      <c r="D12" s="85"/>
      <c r="E12" s="85"/>
      <c r="F12" s="85"/>
      <c r="G12" s="85"/>
      <c r="H12" s="85"/>
      <c r="I12" s="85"/>
      <c r="J12" s="30"/>
    </row>
    <row r="13" spans="2:11" ht="51" x14ac:dyDescent="0.2">
      <c r="B13" s="31" t="s">
        <v>20</v>
      </c>
      <c r="C13" s="123" t="s">
        <v>83</v>
      </c>
      <c r="D13" s="31" t="s">
        <v>67</v>
      </c>
      <c r="E13" s="125" t="s">
        <v>86</v>
      </c>
      <c r="F13" s="125" t="s">
        <v>87</v>
      </c>
      <c r="G13" s="123" t="s">
        <v>88</v>
      </c>
      <c r="H13" s="123" t="s">
        <v>89</v>
      </c>
      <c r="I13" s="123" t="s">
        <v>90</v>
      </c>
      <c r="J13" s="116" t="s">
        <v>66</v>
      </c>
      <c r="K13" s="71"/>
    </row>
    <row r="14" spans="2:11" x14ac:dyDescent="0.2">
      <c r="B14" s="119" t="s">
        <v>119</v>
      </c>
      <c r="C14" s="120"/>
      <c r="D14" s="120"/>
      <c r="E14" s="120"/>
      <c r="F14" s="120"/>
      <c r="G14" s="120"/>
      <c r="H14" s="120"/>
      <c r="I14" s="120"/>
      <c r="J14" s="121"/>
    </row>
    <row r="15" spans="2:11" x14ac:dyDescent="0.2">
      <c r="B15" s="117" t="s">
        <v>120</v>
      </c>
      <c r="C15" s="124">
        <v>0</v>
      </c>
      <c r="D15" s="118">
        <v>26.27</v>
      </c>
      <c r="E15" s="126">
        <f>[1]Inputs!$G$61</f>
        <v>0</v>
      </c>
      <c r="F15" s="126">
        <f>SUM(D15:E15)</f>
        <v>26.27</v>
      </c>
      <c r="G15" s="126">
        <f>[1]Inputs!$M$43*F15</f>
        <v>12.239892084545289</v>
      </c>
      <c r="H15" s="126">
        <f>[1]Inputs!$M$48*F15</f>
        <v>4.2131191610849079</v>
      </c>
      <c r="I15" s="127">
        <f>[1]Inputs!$H$13*SUM(F15:H15)</f>
        <v>2.709493373197867</v>
      </c>
      <c r="J15" s="126">
        <f>SUM(F15:I15)</f>
        <v>45.432504618828055</v>
      </c>
    </row>
    <row r="16" spans="2:11" x14ac:dyDescent="0.2">
      <c r="B16" s="128" t="s">
        <v>1</v>
      </c>
      <c r="C16" s="129"/>
      <c r="D16" s="130">
        <f t="shared" ref="D16:J16" si="1">SUM(D15:D15)</f>
        <v>26.27</v>
      </c>
      <c r="E16" s="130">
        <f t="shared" si="1"/>
        <v>0</v>
      </c>
      <c r="F16" s="130">
        <f t="shared" si="1"/>
        <v>26.27</v>
      </c>
      <c r="G16" s="130">
        <f t="shared" si="1"/>
        <v>12.239892084545289</v>
      </c>
      <c r="H16" s="130">
        <f t="shared" si="1"/>
        <v>4.2131191610849079</v>
      </c>
      <c r="I16" s="130">
        <f t="shared" si="1"/>
        <v>2.709493373197867</v>
      </c>
      <c r="J16" s="130">
        <f t="shared" si="1"/>
        <v>45.432504618828055</v>
      </c>
    </row>
    <row r="19" spans="2:11" x14ac:dyDescent="0.2">
      <c r="B19" s="1" t="s">
        <v>135</v>
      </c>
    </row>
    <row r="26" spans="2:11" x14ac:dyDescent="0.2">
      <c r="K26" s="71"/>
    </row>
    <row r="39" spans="11:11" x14ac:dyDescent="0.2">
      <c r="K39" s="71"/>
    </row>
  </sheetData>
  <mergeCells count="4">
    <mergeCell ref="F2:J2"/>
    <mergeCell ref="F3:J3"/>
    <mergeCell ref="F10:J10"/>
    <mergeCell ref="F11:J1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FBE0A-2506-498C-9F6F-1B9B2E2E377D}">
  <dimension ref="B1:O37"/>
  <sheetViews>
    <sheetView topLeftCell="A6" workbookViewId="0">
      <selection activeCell="C42" sqref="C42"/>
    </sheetView>
  </sheetViews>
  <sheetFormatPr defaultRowHeight="15" x14ac:dyDescent="0.25"/>
  <cols>
    <col min="1" max="1" width="4.42578125" style="132" customWidth="1"/>
    <col min="2" max="2" width="46.7109375" style="132" customWidth="1"/>
    <col min="3" max="3" width="13.28515625" style="132" customWidth="1"/>
    <col min="4" max="8" width="12.7109375" style="132" bestFit="1" customWidth="1"/>
    <col min="9" max="9" width="9.140625" style="132"/>
    <col min="10" max="15" width="10" style="132" bestFit="1" customWidth="1"/>
    <col min="16" max="16384" width="9.140625" style="132"/>
  </cols>
  <sheetData>
    <row r="1" spans="2:15" x14ac:dyDescent="0.25">
      <c r="B1" s="132" t="s">
        <v>94</v>
      </c>
      <c r="D1" s="139">
        <f>[1]Inputs!H16</f>
        <v>1</v>
      </c>
      <c r="E1" s="139">
        <f>[1]Inputs!I16</f>
        <v>1</v>
      </c>
      <c r="F1" s="139">
        <f>[1]Inputs!J16</f>
        <v>1.0109999999999999</v>
      </c>
      <c r="G1" s="139">
        <f>[1]Inputs!K16</f>
        <v>1.0231319999999999</v>
      </c>
      <c r="H1" s="139">
        <f>[1]Inputs!L16</f>
        <v>1.0337725727999998</v>
      </c>
      <c r="K1" s="140">
        <f>D1</f>
        <v>1</v>
      </c>
      <c r="L1" s="140">
        <f t="shared" ref="L1:O5" si="0">E1</f>
        <v>1</v>
      </c>
      <c r="M1" s="140">
        <f t="shared" si="0"/>
        <v>1.0109999999999999</v>
      </c>
      <c r="N1" s="140">
        <f t="shared" si="0"/>
        <v>1.0231319999999999</v>
      </c>
      <c r="O1" s="140">
        <f t="shared" si="0"/>
        <v>1.0337725727999998</v>
      </c>
    </row>
    <row r="2" spans="2:15" x14ac:dyDescent="0.25">
      <c r="B2" s="132" t="s">
        <v>86</v>
      </c>
      <c r="D2" s="139">
        <f>[1]Inputs!H61</f>
        <v>0.04</v>
      </c>
      <c r="E2" s="139">
        <f>[1]Inputs!I61</f>
        <v>0.04</v>
      </c>
      <c r="F2" s="139">
        <f>[1]Inputs!J61</f>
        <v>0.04</v>
      </c>
      <c r="G2" s="139">
        <f>[1]Inputs!K61</f>
        <v>0.04</v>
      </c>
      <c r="H2" s="139">
        <f>[1]Inputs!L61</f>
        <v>0.04</v>
      </c>
      <c r="K2" s="140">
        <f>D2</f>
        <v>0.04</v>
      </c>
      <c r="L2" s="140">
        <f t="shared" si="0"/>
        <v>0.04</v>
      </c>
      <c r="M2" s="140">
        <f t="shared" si="0"/>
        <v>0.04</v>
      </c>
      <c r="N2" s="140">
        <f t="shared" si="0"/>
        <v>0.04</v>
      </c>
      <c r="O2" s="140">
        <f t="shared" si="0"/>
        <v>0.04</v>
      </c>
    </row>
    <row r="3" spans="2:15" x14ac:dyDescent="0.25">
      <c r="B3" s="132" t="s">
        <v>95</v>
      </c>
      <c r="D3" s="140">
        <f>[1]Inputs!$M$43</f>
        <v>0.46592661151676018</v>
      </c>
      <c r="E3" s="140">
        <f>[1]Inputs!$M$43</f>
        <v>0.46592661151676018</v>
      </c>
      <c r="F3" s="140">
        <f>[1]Inputs!$M$43</f>
        <v>0.46592661151676018</v>
      </c>
      <c r="G3" s="140">
        <f>[1]Inputs!$M$43</f>
        <v>0.46592661151676018</v>
      </c>
      <c r="H3" s="140">
        <f>[1]Inputs!$M$43</f>
        <v>0.46592661151676018</v>
      </c>
      <c r="K3" s="140">
        <f t="shared" ref="K3:K5" si="1">D3</f>
        <v>0.46592661151676018</v>
      </c>
      <c r="L3" s="140">
        <f t="shared" si="0"/>
        <v>0.46592661151676018</v>
      </c>
      <c r="M3" s="140">
        <f t="shared" si="0"/>
        <v>0.46592661151676018</v>
      </c>
      <c r="N3" s="140">
        <f t="shared" si="0"/>
        <v>0.46592661151676018</v>
      </c>
      <c r="O3" s="140">
        <f t="shared" si="0"/>
        <v>0.46592661151676018</v>
      </c>
    </row>
    <row r="4" spans="2:15" x14ac:dyDescent="0.25">
      <c r="B4" s="132" t="s">
        <v>96</v>
      </c>
      <c r="D4" s="140">
        <f>[1]Inputs!$M$48</f>
        <v>0.16037758511933414</v>
      </c>
      <c r="E4" s="140">
        <f>[1]Inputs!$M$48</f>
        <v>0.16037758511933414</v>
      </c>
      <c r="F4" s="140">
        <f>[1]Inputs!$M$48</f>
        <v>0.16037758511933414</v>
      </c>
      <c r="G4" s="140">
        <f>[1]Inputs!$M$48</f>
        <v>0.16037758511933414</v>
      </c>
      <c r="H4" s="140">
        <f>[1]Inputs!$M$48</f>
        <v>0.16037758511933414</v>
      </c>
      <c r="K4" s="140">
        <f t="shared" si="1"/>
        <v>0.16037758511933414</v>
      </c>
      <c r="L4" s="140">
        <f t="shared" si="0"/>
        <v>0.16037758511933414</v>
      </c>
      <c r="M4" s="140">
        <f t="shared" si="0"/>
        <v>0.16037758511933414</v>
      </c>
      <c r="N4" s="140">
        <f t="shared" si="0"/>
        <v>0.16037758511933414</v>
      </c>
      <c r="O4" s="140">
        <f t="shared" si="0"/>
        <v>0.16037758511933414</v>
      </c>
    </row>
    <row r="5" spans="2:15" x14ac:dyDescent="0.25">
      <c r="B5" s="132" t="s">
        <v>97</v>
      </c>
      <c r="D5" s="140">
        <f>[1]Inputs!$H$13</f>
        <v>6.3420000000000004E-2</v>
      </c>
      <c r="E5" s="140">
        <f>[1]Inputs!$H$13</f>
        <v>6.3420000000000004E-2</v>
      </c>
      <c r="F5" s="140">
        <f>[1]Inputs!$H$13</f>
        <v>6.3420000000000004E-2</v>
      </c>
      <c r="G5" s="140">
        <f>[1]Inputs!$H$13</f>
        <v>6.3420000000000004E-2</v>
      </c>
      <c r="H5" s="140">
        <f>[1]Inputs!$H$13</f>
        <v>6.3420000000000004E-2</v>
      </c>
      <c r="K5" s="140">
        <f t="shared" si="1"/>
        <v>6.3420000000000004E-2</v>
      </c>
      <c r="L5" s="140">
        <f t="shared" si="0"/>
        <v>6.3420000000000004E-2</v>
      </c>
      <c r="M5" s="140">
        <f t="shared" si="0"/>
        <v>6.3420000000000004E-2</v>
      </c>
      <c r="N5" s="140">
        <f t="shared" si="0"/>
        <v>6.3420000000000004E-2</v>
      </c>
      <c r="O5" s="140">
        <f t="shared" si="0"/>
        <v>6.3420000000000004E-2</v>
      </c>
    </row>
    <row r="6" spans="2:15" s="141" customFormat="1" ht="15.75" x14ac:dyDescent="0.25">
      <c r="D6" s="198" t="s">
        <v>98</v>
      </c>
      <c r="E6" s="198"/>
      <c r="F6" s="198"/>
      <c r="G6" s="198"/>
      <c r="H6" s="198"/>
      <c r="J6" s="199" t="s">
        <v>99</v>
      </c>
      <c r="K6" s="199"/>
      <c r="L6" s="199"/>
      <c r="M6" s="199"/>
      <c r="N6" s="199"/>
      <c r="O6" s="199"/>
    </row>
    <row r="7" spans="2:15" x14ac:dyDescent="0.25">
      <c r="B7" s="142" t="s">
        <v>136</v>
      </c>
      <c r="C7" s="143"/>
      <c r="D7" s="143" t="s">
        <v>100</v>
      </c>
      <c r="E7" s="143" t="s">
        <v>101</v>
      </c>
      <c r="F7" s="143" t="s">
        <v>102</v>
      </c>
      <c r="G7" s="143" t="s">
        <v>103</v>
      </c>
      <c r="H7" s="143" t="s">
        <v>104</v>
      </c>
    </row>
    <row r="8" spans="2:15" x14ac:dyDescent="0.25">
      <c r="B8" s="144" t="s">
        <v>105</v>
      </c>
      <c r="C8" s="145"/>
      <c r="D8" s="146">
        <f>(D18*D$25)+(D29*D$36)</f>
        <v>111.82</v>
      </c>
      <c r="E8" s="146">
        <f t="shared" ref="E8:H8" si="2">(E18*E$25)+(E29*E$36)</f>
        <v>111.82</v>
      </c>
      <c r="F8" s="146">
        <f t="shared" si="2"/>
        <v>113.05001999999999</v>
      </c>
      <c r="G8" s="146">
        <f t="shared" si="2"/>
        <v>115.66509306263998</v>
      </c>
      <c r="H8" s="146">
        <f t="shared" si="2"/>
        <v>119.57140083851672</v>
      </c>
    </row>
    <row r="9" spans="2:15" x14ac:dyDescent="0.25">
      <c r="B9" s="144" t="s">
        <v>106</v>
      </c>
      <c r="C9" s="145"/>
      <c r="D9" s="146">
        <f t="shared" ref="D9:H9" si="3">(D19*D$25)+(D30*D$36)</f>
        <v>4.4727999999999994</v>
      </c>
      <c r="E9" s="146">
        <f t="shared" si="3"/>
        <v>4.4727999999999994</v>
      </c>
      <c r="F9" s="146">
        <f t="shared" si="3"/>
        <v>4.5220007999999998</v>
      </c>
      <c r="G9" s="146">
        <f t="shared" si="3"/>
        <v>4.6266037225055996</v>
      </c>
      <c r="H9" s="146">
        <f t="shared" si="3"/>
        <v>4.7828560335406696</v>
      </c>
    </row>
    <row r="10" spans="2:15" x14ac:dyDescent="0.25">
      <c r="B10" s="147" t="s">
        <v>107</v>
      </c>
      <c r="C10" s="147"/>
      <c r="D10" s="148">
        <f t="shared" ref="D10:H10" si="4">(D20*D$25)+(D31*D$36)</f>
        <v>116.2928</v>
      </c>
      <c r="E10" s="148">
        <f t="shared" si="4"/>
        <v>116.2928</v>
      </c>
      <c r="F10" s="148">
        <f t="shared" si="4"/>
        <v>117.57202079999999</v>
      </c>
      <c r="G10" s="148">
        <f t="shared" si="4"/>
        <v>120.29169678514558</v>
      </c>
      <c r="H10" s="148">
        <f t="shared" si="4"/>
        <v>124.35425687205739</v>
      </c>
    </row>
    <row r="11" spans="2:15" x14ac:dyDescent="0.25">
      <c r="B11" s="145" t="s">
        <v>88</v>
      </c>
      <c r="C11" s="145"/>
      <c r="D11" s="146">
        <f t="shared" ref="D11:H11" si="5">(D21*D$25)+(D32*D$36)</f>
        <v>54.183910247796291</v>
      </c>
      <c r="E11" s="146">
        <f t="shared" si="5"/>
        <v>54.183910247796291</v>
      </c>
      <c r="F11" s="146">
        <f t="shared" si="5"/>
        <v>54.779933260522043</v>
      </c>
      <c r="G11" s="146">
        <f t="shared" si="5"/>
        <v>56.047102676704434</v>
      </c>
      <c r="H11" s="146">
        <f t="shared" si="5"/>
        <v>57.939957532082488</v>
      </c>
    </row>
    <row r="12" spans="2:15" x14ac:dyDescent="0.25">
      <c r="B12" s="145" t="s">
        <v>89</v>
      </c>
      <c r="C12" s="145"/>
      <c r="D12" s="146">
        <f t="shared" ref="D12:H12" si="6">(D22*D$25)+(D33*D$36)</f>
        <v>18.650758430765702</v>
      </c>
      <c r="E12" s="146">
        <f t="shared" si="6"/>
        <v>18.650758430765702</v>
      </c>
      <c r="F12" s="146">
        <f t="shared" si="6"/>
        <v>18.85591677350412</v>
      </c>
      <c r="G12" s="146">
        <f t="shared" si="6"/>
        <v>19.292091840308817</v>
      </c>
      <c r="H12" s="146">
        <f t="shared" si="6"/>
        <v>19.943635416449929</v>
      </c>
    </row>
    <row r="13" spans="2:15" x14ac:dyDescent="0.25">
      <c r="B13" s="145" t="s">
        <v>93</v>
      </c>
      <c r="C13" s="145"/>
      <c r="D13" s="146">
        <f t="shared" ref="D13:H13" si="7">(D23*D$25)+(D34*D$36)</f>
        <v>11.994464063594402</v>
      </c>
      <c r="E13" s="146">
        <f t="shared" si="7"/>
        <v>11.994464063594402</v>
      </c>
      <c r="F13" s="146">
        <f t="shared" si="7"/>
        <v>12.126403168293939</v>
      </c>
      <c r="G13" s="146">
        <f t="shared" si="7"/>
        <v>12.406911126382914</v>
      </c>
      <c r="H13" s="146">
        <f t="shared" si="7"/>
        <v>12.825924435621808</v>
      </c>
    </row>
    <row r="14" spans="2:15" x14ac:dyDescent="0.25">
      <c r="B14" s="149" t="s">
        <v>108</v>
      </c>
      <c r="C14" s="145"/>
      <c r="D14" s="148">
        <f t="shared" ref="D14:H14" si="8">(D24*D$25)+(D35*D$36)</f>
        <v>201.12193274215639</v>
      </c>
      <c r="E14" s="148">
        <f t="shared" si="8"/>
        <v>201.12193274215639</v>
      </c>
      <c r="F14" s="148">
        <f t="shared" si="8"/>
        <v>203.33427400232006</v>
      </c>
      <c r="G14" s="148">
        <f t="shared" si="8"/>
        <v>208.03780242854174</v>
      </c>
      <c r="H14" s="148">
        <f t="shared" si="8"/>
        <v>215.06377425621162</v>
      </c>
    </row>
    <row r="15" spans="2:15" s="151" customFormat="1" x14ac:dyDescent="0.25">
      <c r="B15" s="150" t="s">
        <v>109</v>
      </c>
      <c r="C15" s="147"/>
      <c r="D15" s="148">
        <f>D26+D37-D14</f>
        <v>0</v>
      </c>
      <c r="E15" s="148">
        <f t="shared" ref="E15:H15" si="9">E26+E37-E14</f>
        <v>0</v>
      </c>
      <c r="F15" s="148">
        <f t="shared" si="9"/>
        <v>0</v>
      </c>
      <c r="G15" s="148">
        <f t="shared" si="9"/>
        <v>0</v>
      </c>
      <c r="H15" s="148">
        <f t="shared" si="9"/>
        <v>0</v>
      </c>
    </row>
    <row r="16" spans="2:15" s="151" customFormat="1" x14ac:dyDescent="0.25">
      <c r="C16" s="152"/>
    </row>
    <row r="17" spans="2:15" x14ac:dyDescent="0.25">
      <c r="B17" s="153" t="s">
        <v>114</v>
      </c>
      <c r="C17" s="154"/>
      <c r="D17" s="200" t="s">
        <v>110</v>
      </c>
      <c r="E17" s="201"/>
      <c r="F17" s="201"/>
      <c r="G17" s="201"/>
      <c r="H17" s="201"/>
      <c r="J17" s="154"/>
      <c r="K17" s="200" t="s">
        <v>110</v>
      </c>
      <c r="L17" s="201"/>
      <c r="M17" s="201"/>
      <c r="N17" s="201"/>
      <c r="O17" s="201"/>
    </row>
    <row r="18" spans="2:15" x14ac:dyDescent="0.25">
      <c r="B18" s="155" t="s">
        <v>105</v>
      </c>
      <c r="C18" s="156">
        <f>'Proposed Fee'!D8</f>
        <v>29.64</v>
      </c>
      <c r="D18" s="157">
        <f>C18*D$1</f>
        <v>29.64</v>
      </c>
      <c r="E18" s="157">
        <f>D18*E1</f>
        <v>29.64</v>
      </c>
      <c r="F18" s="157">
        <f>E18*F1</f>
        <v>29.966039999999996</v>
      </c>
      <c r="G18" s="157">
        <f>F18*G1</f>
        <v>30.659214437279992</v>
      </c>
      <c r="H18" s="157">
        <f>G18*H1</f>
        <v>31.694654988853834</v>
      </c>
      <c r="J18" s="156"/>
      <c r="K18" s="157">
        <f>J18*K$1</f>
        <v>0</v>
      </c>
      <c r="L18" s="157">
        <f>K18*L1</f>
        <v>0</v>
      </c>
      <c r="M18" s="157">
        <f>L18*M1</f>
        <v>0</v>
      </c>
      <c r="N18" s="157">
        <f>M18*N1</f>
        <v>0</v>
      </c>
      <c r="O18" s="157">
        <f>N18*O1</f>
        <v>0</v>
      </c>
    </row>
    <row r="19" spans="2:15" x14ac:dyDescent="0.25">
      <c r="B19" s="155" t="s">
        <v>106</v>
      </c>
      <c r="C19" s="156">
        <f>'Proposed Fee'!E8</f>
        <v>0</v>
      </c>
      <c r="D19" s="157">
        <f>D18*D$2</f>
        <v>1.1856</v>
      </c>
      <c r="E19" s="157">
        <f t="shared" ref="E19:H19" si="10">E18*E$2</f>
        <v>1.1856</v>
      </c>
      <c r="F19" s="157">
        <f t="shared" si="10"/>
        <v>1.1986416</v>
      </c>
      <c r="G19" s="157">
        <f t="shared" si="10"/>
        <v>1.2263685774911997</v>
      </c>
      <c r="H19" s="157">
        <f t="shared" si="10"/>
        <v>1.2677861995541535</v>
      </c>
      <c r="J19" s="156"/>
      <c r="K19" s="157">
        <f>K18*K$2</f>
        <v>0</v>
      </c>
      <c r="L19" s="157">
        <f t="shared" ref="L19:O19" si="11">L18*L$2</f>
        <v>0</v>
      </c>
      <c r="M19" s="157">
        <f t="shared" si="11"/>
        <v>0</v>
      </c>
      <c r="N19" s="157">
        <f t="shared" si="11"/>
        <v>0</v>
      </c>
      <c r="O19" s="157">
        <f t="shared" si="11"/>
        <v>0</v>
      </c>
    </row>
    <row r="20" spans="2:15" s="151" customFormat="1" x14ac:dyDescent="0.25">
      <c r="B20" s="158" t="s">
        <v>107</v>
      </c>
      <c r="C20" s="219">
        <f>'Proposed Fee'!F8</f>
        <v>29.64</v>
      </c>
      <c r="D20" s="147">
        <f>SUM(D18:D19)</f>
        <v>30.825600000000001</v>
      </c>
      <c r="E20" s="147">
        <f>SUM(E18:E19)</f>
        <v>30.825600000000001</v>
      </c>
      <c r="F20" s="147">
        <f>SUM(F18:F19)</f>
        <v>31.164681599999994</v>
      </c>
      <c r="G20" s="147">
        <f>SUM(G18:G19)</f>
        <v>31.885583014771193</v>
      </c>
      <c r="H20" s="147">
        <f>SUM(H18:H19)</f>
        <v>32.962441188407986</v>
      </c>
      <c r="J20" s="159"/>
      <c r="K20" s="145">
        <f>SUM(K18:K19)</f>
        <v>0</v>
      </c>
      <c r="L20" s="145">
        <f>SUM(L18:L19)</f>
        <v>0</v>
      </c>
      <c r="M20" s="145">
        <f>SUM(M18:M19)</f>
        <v>0</v>
      </c>
      <c r="N20" s="145">
        <f>SUM(N18:N19)</f>
        <v>0</v>
      </c>
      <c r="O20" s="145">
        <f>SUM(O18:O19)</f>
        <v>0</v>
      </c>
    </row>
    <row r="21" spans="2:15" x14ac:dyDescent="0.25">
      <c r="B21" s="155" t="s">
        <v>88</v>
      </c>
      <c r="C21" s="156">
        <f>'Proposed Fee'!G8</f>
        <v>13.810064765356772</v>
      </c>
      <c r="D21" s="157">
        <f>D20*D$3</f>
        <v>14.362467355971043</v>
      </c>
      <c r="E21" s="157">
        <f t="shared" ref="E21:H21" si="12">E20*E$3</f>
        <v>14.362467355971043</v>
      </c>
      <c r="F21" s="157">
        <f t="shared" si="12"/>
        <v>14.520454496886721</v>
      </c>
      <c r="G21" s="157">
        <f t="shared" si="12"/>
        <v>14.856341650308705</v>
      </c>
      <c r="H21" s="157">
        <f t="shared" si="12"/>
        <v>15.358078530235423</v>
      </c>
      <c r="J21" s="156"/>
      <c r="K21" s="157">
        <f>K20*K$3</f>
        <v>0</v>
      </c>
      <c r="L21" s="157">
        <f t="shared" ref="L21:O21" si="13">L20*L$3</f>
        <v>0</v>
      </c>
      <c r="M21" s="157">
        <f t="shared" si="13"/>
        <v>0</v>
      </c>
      <c r="N21" s="157">
        <f t="shared" si="13"/>
        <v>0</v>
      </c>
      <c r="O21" s="157">
        <f t="shared" si="13"/>
        <v>0</v>
      </c>
    </row>
    <row r="22" spans="2:15" x14ac:dyDescent="0.25">
      <c r="B22" s="155" t="s">
        <v>89</v>
      </c>
      <c r="C22" s="156">
        <f>'Proposed Fee'!H8</f>
        <v>4.7535916229370638</v>
      </c>
      <c r="D22" s="157">
        <f>D20*D$4</f>
        <v>4.9437352878545466</v>
      </c>
      <c r="E22" s="157">
        <f t="shared" ref="E22:H22" si="14">E20*E$4</f>
        <v>4.9437352878545466</v>
      </c>
      <c r="F22" s="157">
        <f t="shared" si="14"/>
        <v>4.9981163760209455</v>
      </c>
      <c r="G22" s="157">
        <f t="shared" si="14"/>
        <v>5.1137328040310619</v>
      </c>
      <c r="H22" s="157">
        <f t="shared" si="14"/>
        <v>5.2864367174349471</v>
      </c>
      <c r="J22" s="156"/>
      <c r="K22" s="157">
        <f>K20*K$4</f>
        <v>0</v>
      </c>
      <c r="L22" s="157">
        <f t="shared" ref="L22:O22" si="15">L20*L$4</f>
        <v>0</v>
      </c>
      <c r="M22" s="157">
        <f t="shared" si="15"/>
        <v>0</v>
      </c>
      <c r="N22" s="157">
        <f t="shared" si="15"/>
        <v>0</v>
      </c>
      <c r="O22" s="157">
        <f t="shared" si="15"/>
        <v>0</v>
      </c>
    </row>
    <row r="23" spans="2:15" x14ac:dyDescent="0.25">
      <c r="B23" s="155" t="s">
        <v>90</v>
      </c>
      <c r="C23" s="160">
        <f>'Proposed Fee'!I8</f>
        <v>3.0570758881455955</v>
      </c>
      <c r="D23" s="161">
        <f>IF(C23="n/a","n/a",SUM(D20:D22)*D$5)</f>
        <v>3.179358923671419</v>
      </c>
      <c r="E23" s="161">
        <f t="shared" ref="E23:H23" si="16">IF(D23="n/a","n/a",SUM(E20:E22)*E$5)</f>
        <v>3.179358923671419</v>
      </c>
      <c r="F23" s="161">
        <f t="shared" si="16"/>
        <v>3.2143318718318041</v>
      </c>
      <c r="G23" s="161">
        <f t="shared" si="16"/>
        <v>3.2886857966910172</v>
      </c>
      <c r="H23" s="161">
        <f t="shared" si="16"/>
        <v>3.3997531771760894</v>
      </c>
      <c r="J23" s="160"/>
      <c r="K23" s="161">
        <f>IF(J23="n/a","n/a",SUM(K20:K22)*K$5)</f>
        <v>0</v>
      </c>
      <c r="L23" s="161">
        <f t="shared" ref="L23" si="17">IF(K23="n/a","n/a",SUM(L20:L22)*L$5)</f>
        <v>0</v>
      </c>
      <c r="M23" s="161">
        <f t="shared" ref="M23:O23" si="18">IF(L23="n/a","n/a",SUM(M20:M22)*M$5)</f>
        <v>0</v>
      </c>
      <c r="N23" s="161">
        <f t="shared" si="18"/>
        <v>0</v>
      </c>
      <c r="O23" s="161">
        <f t="shared" si="18"/>
        <v>0</v>
      </c>
    </row>
    <row r="24" spans="2:15" s="151" customFormat="1" x14ac:dyDescent="0.25">
      <c r="B24" s="162" t="s">
        <v>111</v>
      </c>
      <c r="C24" s="163">
        <f>'Proposed Fee'!J8</f>
        <v>51.260732276439434</v>
      </c>
      <c r="D24" s="164">
        <f>SUM(D20:D23)</f>
        <v>53.31116156749701</v>
      </c>
      <c r="E24" s="164">
        <f t="shared" ref="E24:H24" si="19">SUM(E20:E23)</f>
        <v>53.31116156749701</v>
      </c>
      <c r="F24" s="164">
        <f t="shared" si="19"/>
        <v>53.897584344739464</v>
      </c>
      <c r="G24" s="164">
        <f t="shared" si="19"/>
        <v>55.144343265801979</v>
      </c>
      <c r="H24" s="164">
        <f t="shared" si="19"/>
        <v>57.006709613254444</v>
      </c>
      <c r="J24" s="163"/>
      <c r="K24" s="164">
        <f>SUM(K20:K23)</f>
        <v>0</v>
      </c>
      <c r="L24" s="164">
        <f t="shared" ref="L24:O24" si="20">SUM(L20:L23)</f>
        <v>0</v>
      </c>
      <c r="M24" s="164">
        <f t="shared" si="20"/>
        <v>0</v>
      </c>
      <c r="N24" s="164">
        <f t="shared" si="20"/>
        <v>0</v>
      </c>
      <c r="O24" s="164">
        <f t="shared" si="20"/>
        <v>0</v>
      </c>
    </row>
    <row r="25" spans="2:15" x14ac:dyDescent="0.25">
      <c r="B25" s="165" t="s">
        <v>112</v>
      </c>
      <c r="C25" s="157"/>
      <c r="D25" s="166">
        <f>'Forecast Revenue - Costs'!D12</f>
        <v>2</v>
      </c>
      <c r="E25" s="166">
        <f>'Forecast Revenue - Costs'!E12</f>
        <v>2</v>
      </c>
      <c r="F25" s="166">
        <f>'Forecast Revenue - Costs'!F12</f>
        <v>2</v>
      </c>
      <c r="G25" s="166">
        <f>'Forecast Revenue - Costs'!G12</f>
        <v>2</v>
      </c>
      <c r="H25" s="166">
        <f>'Forecast Revenue - Costs'!H12</f>
        <v>2</v>
      </c>
      <c r="J25" s="157"/>
      <c r="K25" s="166"/>
      <c r="L25" s="166"/>
      <c r="M25" s="166"/>
      <c r="N25" s="166"/>
      <c r="O25" s="166"/>
    </row>
    <row r="26" spans="2:15" s="151" customFormat="1" x14ac:dyDescent="0.25">
      <c r="B26" s="149" t="s">
        <v>113</v>
      </c>
      <c r="C26" s="147"/>
      <c r="D26" s="148">
        <f>D24*D25</f>
        <v>106.62232313499402</v>
      </c>
      <c r="E26" s="148">
        <f t="shared" ref="E26:H26" si="21">E24*E25</f>
        <v>106.62232313499402</v>
      </c>
      <c r="F26" s="148">
        <f t="shared" si="21"/>
        <v>107.79516868947893</v>
      </c>
      <c r="G26" s="148">
        <f t="shared" si="21"/>
        <v>110.28868653160396</v>
      </c>
      <c r="H26" s="148">
        <f t="shared" si="21"/>
        <v>114.01341922650889</v>
      </c>
      <c r="J26" s="147"/>
      <c r="K26" s="148"/>
      <c r="L26" s="148"/>
      <c r="M26" s="148"/>
      <c r="N26" s="148"/>
      <c r="O26" s="148"/>
    </row>
    <row r="28" spans="2:15" x14ac:dyDescent="0.25">
      <c r="B28" s="153" t="s">
        <v>121</v>
      </c>
      <c r="C28" s="154"/>
      <c r="D28" s="200" t="s">
        <v>110</v>
      </c>
      <c r="E28" s="201"/>
      <c r="F28" s="201"/>
      <c r="G28" s="201"/>
      <c r="H28" s="201"/>
      <c r="J28" s="154"/>
      <c r="K28" s="200" t="s">
        <v>110</v>
      </c>
      <c r="L28" s="201"/>
      <c r="M28" s="201"/>
      <c r="N28" s="201"/>
      <c r="O28" s="201"/>
    </row>
    <row r="29" spans="2:15" x14ac:dyDescent="0.25">
      <c r="B29" s="155" t="s">
        <v>105</v>
      </c>
      <c r="C29" s="156">
        <f>'Proposed Fee'!D16</f>
        <v>26.27</v>
      </c>
      <c r="D29" s="157">
        <f>C29*D$1</f>
        <v>26.27</v>
      </c>
      <c r="E29" s="157">
        <f>D29*E1</f>
        <v>26.27</v>
      </c>
      <c r="F29" s="157">
        <f t="shared" ref="F29:H29" si="22">E29*F1</f>
        <v>26.558969999999999</v>
      </c>
      <c r="G29" s="157">
        <f t="shared" si="22"/>
        <v>27.173332094039996</v>
      </c>
      <c r="H29" s="157">
        <f t="shared" si="22"/>
        <v>28.091045430404531</v>
      </c>
      <c r="J29" s="156"/>
      <c r="K29" s="157">
        <f>J29*K$1</f>
        <v>0</v>
      </c>
      <c r="L29" s="157">
        <f>K29*L12</f>
        <v>0</v>
      </c>
      <c r="M29" s="157">
        <f>L29*M12</f>
        <v>0</v>
      </c>
      <c r="N29" s="157">
        <f>M29*N12</f>
        <v>0</v>
      </c>
      <c r="O29" s="157">
        <f>N29*O12</f>
        <v>0</v>
      </c>
    </row>
    <row r="30" spans="2:15" x14ac:dyDescent="0.25">
      <c r="B30" s="155" t="s">
        <v>106</v>
      </c>
      <c r="C30" s="156">
        <f>'Proposed Fee'!E16</f>
        <v>0</v>
      </c>
      <c r="D30" s="157">
        <f>D29*D$2</f>
        <v>1.0508</v>
      </c>
      <c r="E30" s="157">
        <f t="shared" ref="E30:H30" si="23">E29*E$2</f>
        <v>1.0508</v>
      </c>
      <c r="F30" s="157">
        <f t="shared" si="23"/>
        <v>1.0623587999999999</v>
      </c>
      <c r="G30" s="157">
        <f t="shared" si="23"/>
        <v>1.0869332837615999</v>
      </c>
      <c r="H30" s="157">
        <f t="shared" si="23"/>
        <v>1.1236418172161813</v>
      </c>
      <c r="J30" s="156"/>
      <c r="K30" s="157">
        <f>K29*K$2</f>
        <v>0</v>
      </c>
      <c r="L30" s="157">
        <f t="shared" ref="L30:O30" si="24">L29*L$2</f>
        <v>0</v>
      </c>
      <c r="M30" s="157">
        <f t="shared" si="24"/>
        <v>0</v>
      </c>
      <c r="N30" s="157">
        <f t="shared" si="24"/>
        <v>0</v>
      </c>
      <c r="O30" s="157">
        <f t="shared" si="24"/>
        <v>0</v>
      </c>
    </row>
    <row r="31" spans="2:15" x14ac:dyDescent="0.25">
      <c r="B31" s="158" t="s">
        <v>107</v>
      </c>
      <c r="C31" s="219">
        <f>'Proposed Fee'!F16</f>
        <v>26.27</v>
      </c>
      <c r="D31" s="147">
        <f>SUM(D29:D30)</f>
        <v>27.320799999999998</v>
      </c>
      <c r="E31" s="147">
        <f>SUM(E29:E30)</f>
        <v>27.320799999999998</v>
      </c>
      <c r="F31" s="147">
        <f>SUM(F29:F30)</f>
        <v>27.621328799999997</v>
      </c>
      <c r="G31" s="147">
        <f>SUM(G29:G30)</f>
        <v>28.260265377801595</v>
      </c>
      <c r="H31" s="147">
        <f>SUM(H29:H30)</f>
        <v>29.214687247620713</v>
      </c>
      <c r="I31" s="151"/>
      <c r="J31" s="159"/>
      <c r="K31" s="145">
        <f>SUM(K29:K30)</f>
        <v>0</v>
      </c>
      <c r="L31" s="145">
        <f>SUM(L29:L30)</f>
        <v>0</v>
      </c>
      <c r="M31" s="145">
        <f>SUM(M29:M30)</f>
        <v>0</v>
      </c>
      <c r="N31" s="145">
        <f>SUM(N29:N30)</f>
        <v>0</v>
      </c>
      <c r="O31" s="145">
        <f>SUM(O29:O30)</f>
        <v>0</v>
      </c>
    </row>
    <row r="32" spans="2:15" x14ac:dyDescent="0.25">
      <c r="B32" s="155" t="s">
        <v>88</v>
      </c>
      <c r="C32" s="156">
        <f>'Proposed Fee'!G16</f>
        <v>12.239892084545289</v>
      </c>
      <c r="D32" s="157">
        <f>D31*D$3</f>
        <v>12.7294877679271</v>
      </c>
      <c r="E32" s="157">
        <f t="shared" ref="E32:H32" si="25">E31*E$3</f>
        <v>12.7294877679271</v>
      </c>
      <c r="F32" s="157">
        <f t="shared" si="25"/>
        <v>12.869512133374299</v>
      </c>
      <c r="G32" s="157">
        <f t="shared" si="25"/>
        <v>13.167209688043512</v>
      </c>
      <c r="H32" s="157">
        <f t="shared" si="25"/>
        <v>13.611900235805823</v>
      </c>
      <c r="J32" s="156"/>
      <c r="K32" s="157">
        <f>K31*K$3</f>
        <v>0</v>
      </c>
      <c r="L32" s="157">
        <f t="shared" ref="L32:O32" si="26">L31*L$3</f>
        <v>0</v>
      </c>
      <c r="M32" s="157">
        <f t="shared" si="26"/>
        <v>0</v>
      </c>
      <c r="N32" s="157">
        <f t="shared" si="26"/>
        <v>0</v>
      </c>
      <c r="O32" s="157">
        <f t="shared" si="26"/>
        <v>0</v>
      </c>
    </row>
    <row r="33" spans="2:15" x14ac:dyDescent="0.25">
      <c r="B33" s="155" t="s">
        <v>89</v>
      </c>
      <c r="C33" s="156">
        <f>'Proposed Fee'!H16</f>
        <v>4.2131191610849079</v>
      </c>
      <c r="D33" s="157">
        <f>D31*D$4</f>
        <v>4.3816439275283043</v>
      </c>
      <c r="E33" s="157">
        <f t="shared" ref="E33:H33" si="27">E31*E$4</f>
        <v>4.3816439275283043</v>
      </c>
      <c r="F33" s="157">
        <f t="shared" si="27"/>
        <v>4.4298420107311154</v>
      </c>
      <c r="G33" s="157">
        <f t="shared" si="27"/>
        <v>4.5323131161233468</v>
      </c>
      <c r="H33" s="157">
        <f t="shared" si="27"/>
        <v>4.6853809907900166</v>
      </c>
      <c r="J33" s="156"/>
      <c r="K33" s="157">
        <f>K31*K$4</f>
        <v>0</v>
      </c>
      <c r="L33" s="157">
        <f t="shared" ref="L33:O33" si="28">L31*L$4</f>
        <v>0</v>
      </c>
      <c r="M33" s="157">
        <f t="shared" si="28"/>
        <v>0</v>
      </c>
      <c r="N33" s="157">
        <f t="shared" si="28"/>
        <v>0</v>
      </c>
      <c r="O33" s="157">
        <f t="shared" si="28"/>
        <v>0</v>
      </c>
    </row>
    <row r="34" spans="2:15" x14ac:dyDescent="0.25">
      <c r="B34" s="155" t="s">
        <v>90</v>
      </c>
      <c r="C34" s="160">
        <f>'Proposed Fee'!I16</f>
        <v>2.709493373197867</v>
      </c>
      <c r="D34" s="161">
        <f>IF(C34="n/a","n/a",SUM(D31:D33)*D$5)</f>
        <v>2.8178731081257817</v>
      </c>
      <c r="E34" s="161">
        <f t="shared" ref="E34" si="29">IF(D34="n/a","n/a",SUM(E31:E33)*E$5)</f>
        <v>2.8178731081257817</v>
      </c>
      <c r="F34" s="161">
        <f t="shared" ref="F34" si="30">IF(E34="n/a","n/a",SUM(F31:F33)*F$5)</f>
        <v>2.8488697123151652</v>
      </c>
      <c r="G34" s="161">
        <f t="shared" ref="G34" si="31">IF(F34="n/a","n/a",SUM(G31:G33)*G$5)</f>
        <v>2.9147697665004397</v>
      </c>
      <c r="H34" s="161">
        <f t="shared" ref="H34" si="32">IF(G34="n/a","n/a",SUM(H31:H33)*H$5)</f>
        <v>3.013209040634814</v>
      </c>
      <c r="J34" s="160"/>
      <c r="K34" s="161">
        <f>IF(J34="n/a","n/a",SUM(K31:K33)*K$5)</f>
        <v>0</v>
      </c>
      <c r="L34" s="161">
        <f t="shared" ref="L34" si="33">IF(K34="n/a","n/a",SUM(L31:L33)*L$5)</f>
        <v>0</v>
      </c>
      <c r="M34" s="161">
        <f t="shared" ref="M34" si="34">IF(L34="n/a","n/a",SUM(M31:M33)*M$5)</f>
        <v>0</v>
      </c>
      <c r="N34" s="161">
        <f t="shared" ref="N34" si="35">IF(M34="n/a","n/a",SUM(N31:N33)*N$5)</f>
        <v>0</v>
      </c>
      <c r="O34" s="161">
        <f t="shared" ref="O34" si="36">IF(N34="n/a","n/a",SUM(O31:O33)*O$5)</f>
        <v>0</v>
      </c>
    </row>
    <row r="35" spans="2:15" x14ac:dyDescent="0.25">
      <c r="B35" s="162" t="s">
        <v>111</v>
      </c>
      <c r="C35" s="163">
        <f>'Proposed Fee'!J16</f>
        <v>45.432504618828055</v>
      </c>
      <c r="D35" s="164">
        <f>SUM(D31:D34)</f>
        <v>47.249804803581185</v>
      </c>
      <c r="E35" s="164">
        <f t="shared" ref="E35:H35" si="37">SUM(E31:E34)</f>
        <v>47.249804803581185</v>
      </c>
      <c r="F35" s="164">
        <f t="shared" si="37"/>
        <v>47.769552656420572</v>
      </c>
      <c r="G35" s="164">
        <f t="shared" si="37"/>
        <v>48.874557948468897</v>
      </c>
      <c r="H35" s="164">
        <f t="shared" si="37"/>
        <v>50.525177514851364</v>
      </c>
      <c r="I35" s="151"/>
      <c r="J35" s="163"/>
      <c r="K35" s="164">
        <f>SUM(K31:K34)</f>
        <v>0</v>
      </c>
      <c r="L35" s="164">
        <f t="shared" ref="L35:O35" si="38">SUM(L31:L34)</f>
        <v>0</v>
      </c>
      <c r="M35" s="164">
        <f t="shared" si="38"/>
        <v>0</v>
      </c>
      <c r="N35" s="164">
        <f t="shared" si="38"/>
        <v>0</v>
      </c>
      <c r="O35" s="164">
        <f t="shared" si="38"/>
        <v>0</v>
      </c>
    </row>
    <row r="36" spans="2:15" x14ac:dyDescent="0.25">
      <c r="B36" s="165" t="s">
        <v>112</v>
      </c>
      <c r="C36" s="157"/>
      <c r="D36" s="166">
        <f>'Forecast Revenue - Costs'!D13</f>
        <v>2</v>
      </c>
      <c r="E36" s="166">
        <f>'Forecast Revenue - Costs'!E13</f>
        <v>2</v>
      </c>
      <c r="F36" s="166">
        <f>'Forecast Revenue - Costs'!F13</f>
        <v>2</v>
      </c>
      <c r="G36" s="166">
        <f>'Forecast Revenue - Costs'!G13</f>
        <v>2</v>
      </c>
      <c r="H36" s="166">
        <f>'Forecast Revenue - Costs'!H13</f>
        <v>2</v>
      </c>
      <c r="J36" s="157"/>
      <c r="K36" s="166"/>
      <c r="L36" s="166"/>
      <c r="M36" s="166"/>
      <c r="N36" s="166"/>
      <c r="O36" s="166"/>
    </row>
    <row r="37" spans="2:15" x14ac:dyDescent="0.25">
      <c r="B37" s="149" t="s">
        <v>113</v>
      </c>
      <c r="C37" s="147"/>
      <c r="D37" s="148">
        <f>D35*D36</f>
        <v>94.49960960716237</v>
      </c>
      <c r="E37" s="148">
        <f t="shared" ref="E37:H37" si="39">E35*E36</f>
        <v>94.49960960716237</v>
      </c>
      <c r="F37" s="148">
        <f t="shared" si="39"/>
        <v>95.539105312841144</v>
      </c>
      <c r="G37" s="148">
        <f t="shared" si="39"/>
        <v>97.749115896937795</v>
      </c>
      <c r="H37" s="148">
        <f t="shared" si="39"/>
        <v>101.05035502970273</v>
      </c>
      <c r="I37" s="151"/>
      <c r="J37" s="147"/>
      <c r="K37" s="148"/>
      <c r="L37" s="148"/>
      <c r="M37" s="148"/>
      <c r="N37" s="148"/>
      <c r="O37" s="148"/>
    </row>
  </sheetData>
  <mergeCells count="6">
    <mergeCell ref="D6:H6"/>
    <mergeCell ref="J6:O6"/>
    <mergeCell ref="D17:H17"/>
    <mergeCell ref="K17:O17"/>
    <mergeCell ref="D28:H28"/>
    <mergeCell ref="K28:O2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B15" sqref="B15:B16"/>
    </sheetView>
  </sheetViews>
  <sheetFormatPr defaultRowHeight="15" x14ac:dyDescent="0.25"/>
  <cols>
    <col min="1" max="1" width="3.28515625" style="100" customWidth="1"/>
    <col min="2" max="2" width="66.42578125" style="100" customWidth="1"/>
    <col min="3" max="3" width="65.140625" style="100" customWidth="1"/>
    <col min="4" max="4" width="11.85546875" style="100" customWidth="1"/>
    <col min="5" max="8" width="11.28515625" style="100" customWidth="1"/>
    <col min="9" max="9" width="12.7109375" style="100" customWidth="1"/>
    <col min="10" max="16384" width="9.140625" style="100"/>
  </cols>
  <sheetData>
    <row r="2" spans="2:9" x14ac:dyDescent="0.25">
      <c r="B2" s="98" t="s">
        <v>51</v>
      </c>
      <c r="C2" s="99"/>
      <c r="D2" s="99"/>
      <c r="E2" s="99"/>
      <c r="F2" s="99"/>
      <c r="G2" s="99"/>
      <c r="H2" s="99"/>
      <c r="I2" s="99"/>
    </row>
    <row r="3" spans="2:9" x14ac:dyDescent="0.25">
      <c r="B3" s="101"/>
      <c r="C3" s="101"/>
      <c r="D3" s="101"/>
      <c r="E3" s="101"/>
      <c r="F3" s="101"/>
      <c r="G3" s="101"/>
      <c r="H3" s="101"/>
      <c r="I3" s="101"/>
    </row>
    <row r="4" spans="2:9" x14ac:dyDescent="0.25">
      <c r="B4" s="220" t="s">
        <v>76</v>
      </c>
      <c r="C4" s="220" t="s">
        <v>3</v>
      </c>
      <c r="D4" s="221" t="s">
        <v>60</v>
      </c>
      <c r="E4" s="221" t="s">
        <v>61</v>
      </c>
      <c r="F4" s="221" t="s">
        <v>62</v>
      </c>
      <c r="G4" s="221" t="s">
        <v>71</v>
      </c>
      <c r="H4" s="221" t="s">
        <v>63</v>
      </c>
      <c r="I4" s="222" t="s">
        <v>1</v>
      </c>
    </row>
    <row r="5" spans="2:9" x14ac:dyDescent="0.25">
      <c r="B5" s="102" t="s">
        <v>78</v>
      </c>
      <c r="C5" s="3" t="s">
        <v>116</v>
      </c>
      <c r="D5" s="104">
        <f>'Forecast by year'!D26</f>
        <v>106.62232313499402</v>
      </c>
      <c r="E5" s="104">
        <f>'Forecast by year'!E26</f>
        <v>106.62232313499402</v>
      </c>
      <c r="F5" s="104">
        <f>'Forecast by year'!F26</f>
        <v>107.79516868947893</v>
      </c>
      <c r="G5" s="104">
        <f>'Forecast by year'!G26</f>
        <v>110.28868653160396</v>
      </c>
      <c r="H5" s="104">
        <f>'Forecast by year'!H26</f>
        <v>114.01341922650889</v>
      </c>
      <c r="I5" s="226">
        <f>SUM(D5:H5)</f>
        <v>545.3419207175798</v>
      </c>
    </row>
    <row r="6" spans="2:9" x14ac:dyDescent="0.25">
      <c r="B6" s="103"/>
      <c r="C6" s="3" t="s">
        <v>121</v>
      </c>
      <c r="D6" s="105">
        <f>'Forecast by year'!D37</f>
        <v>94.49960960716237</v>
      </c>
      <c r="E6" s="105">
        <f>'Forecast by year'!E37</f>
        <v>94.49960960716237</v>
      </c>
      <c r="F6" s="105">
        <f>'Forecast by year'!F37</f>
        <v>95.539105312841144</v>
      </c>
      <c r="G6" s="105">
        <f>'Forecast by year'!G37</f>
        <v>97.749115896937795</v>
      </c>
      <c r="H6" s="105">
        <f>'Forecast by year'!H37</f>
        <v>101.05035502970273</v>
      </c>
      <c r="I6" s="226">
        <f t="shared" ref="I6" si="0">SUM(D6:H6)</f>
        <v>483.33779545380639</v>
      </c>
    </row>
    <row r="7" spans="2:9" x14ac:dyDescent="0.25">
      <c r="B7" s="224" t="s">
        <v>1</v>
      </c>
      <c r="C7" s="224"/>
      <c r="D7" s="227">
        <f>SUM(D5:D6)</f>
        <v>201.12193274215639</v>
      </c>
      <c r="E7" s="227">
        <f>SUM(E5:E6)</f>
        <v>201.12193274215639</v>
      </c>
      <c r="F7" s="227">
        <f>SUM(F5:F6)</f>
        <v>203.33427400232006</v>
      </c>
      <c r="G7" s="227">
        <f>SUM(G5:G6)</f>
        <v>208.03780242854174</v>
      </c>
      <c r="H7" s="227">
        <f>SUM(H5:H6)</f>
        <v>215.06377425621162</v>
      </c>
      <c r="I7" s="227">
        <f>SUM(I5:I6)</f>
        <v>1028.6797161713862</v>
      </c>
    </row>
    <row r="8" spans="2:9" x14ac:dyDescent="0.25">
      <c r="B8" s="101"/>
      <c r="C8" s="101"/>
      <c r="D8" s="101"/>
      <c r="E8" s="101"/>
      <c r="F8" s="101"/>
      <c r="G8" s="101"/>
      <c r="H8" s="101"/>
      <c r="I8" s="101"/>
    </row>
    <row r="9" spans="2:9" x14ac:dyDescent="0.25">
      <c r="B9" s="98" t="s">
        <v>29</v>
      </c>
      <c r="C9" s="99"/>
      <c r="D9" s="99"/>
      <c r="E9" s="99"/>
      <c r="F9" s="99"/>
      <c r="G9" s="99"/>
      <c r="H9" s="99"/>
      <c r="I9" s="99"/>
    </row>
    <row r="10" spans="2:9" x14ac:dyDescent="0.25">
      <c r="B10" s="101"/>
      <c r="C10" s="101"/>
      <c r="D10" s="101"/>
      <c r="E10" s="101"/>
      <c r="F10" s="101"/>
      <c r="G10" s="101"/>
      <c r="H10" s="101"/>
      <c r="I10" s="101"/>
    </row>
    <row r="11" spans="2:9" x14ac:dyDescent="0.25">
      <c r="B11" s="220" t="s">
        <v>76</v>
      </c>
      <c r="C11" s="220" t="s">
        <v>3</v>
      </c>
      <c r="D11" s="221" t="s">
        <v>60</v>
      </c>
      <c r="E11" s="221" t="s">
        <v>61</v>
      </c>
      <c r="F11" s="221" t="s">
        <v>62</v>
      </c>
      <c r="G11" s="221" t="s">
        <v>71</v>
      </c>
      <c r="H11" s="221" t="s">
        <v>63</v>
      </c>
      <c r="I11" s="222" t="s">
        <v>1</v>
      </c>
    </row>
    <row r="12" spans="2:9" x14ac:dyDescent="0.25">
      <c r="B12" s="103" t="str">
        <f>B5</f>
        <v xml:space="preserve">ACSCW - 30030 Disconnection / Reconnection </v>
      </c>
      <c r="C12" s="3" t="s">
        <v>116</v>
      </c>
      <c r="D12" s="170">
        <v>2</v>
      </c>
      <c r="E12" s="170">
        <v>2</v>
      </c>
      <c r="F12" s="170">
        <v>2</v>
      </c>
      <c r="G12" s="170">
        <v>2</v>
      </c>
      <c r="H12" s="170">
        <v>2</v>
      </c>
      <c r="I12" s="223">
        <f>SUM(D12:H12)</f>
        <v>10</v>
      </c>
    </row>
    <row r="13" spans="2:9" x14ac:dyDescent="0.25">
      <c r="B13" s="103"/>
      <c r="C13" s="3" t="s">
        <v>121</v>
      </c>
      <c r="D13" s="170">
        <v>2</v>
      </c>
      <c r="E13" s="170">
        <v>2</v>
      </c>
      <c r="F13" s="170">
        <v>2</v>
      </c>
      <c r="G13" s="170">
        <v>2</v>
      </c>
      <c r="H13" s="170">
        <v>2</v>
      </c>
      <c r="I13" s="223">
        <f t="shared" ref="I13" si="1">SUM(D13:H13)</f>
        <v>10</v>
      </c>
    </row>
    <row r="14" spans="2:9" x14ac:dyDescent="0.25">
      <c r="B14" s="224" t="s">
        <v>19</v>
      </c>
      <c r="C14" s="224"/>
      <c r="D14" s="225">
        <f>SUM(D12:D13)</f>
        <v>4</v>
      </c>
      <c r="E14" s="225">
        <f>SUM(E12:E13)</f>
        <v>4</v>
      </c>
      <c r="F14" s="225">
        <f>SUM(F12:F13)</f>
        <v>4</v>
      </c>
      <c r="G14" s="225">
        <f>SUM(G12:G13)</f>
        <v>4</v>
      </c>
      <c r="H14" s="225">
        <f>SUM(H12:H13)</f>
        <v>4</v>
      </c>
      <c r="I14" s="225">
        <f>SUM(I12:I13)</f>
        <v>20</v>
      </c>
    </row>
    <row r="15" spans="2:9" x14ac:dyDescent="0.25">
      <c r="B15" s="101"/>
      <c r="C15" s="101"/>
      <c r="D15" s="106"/>
      <c r="E15" s="106"/>
      <c r="F15" s="106"/>
      <c r="G15" s="106"/>
      <c r="H15" s="106"/>
      <c r="I15" s="106"/>
    </row>
    <row r="16" spans="2:9" x14ac:dyDescent="0.25">
      <c r="B16" s="107" t="s">
        <v>6</v>
      </c>
      <c r="C16" s="101"/>
      <c r="D16" s="106"/>
      <c r="E16" s="106"/>
      <c r="F16" s="106"/>
      <c r="G16" s="106"/>
      <c r="H16" s="106"/>
      <c r="I16" s="106"/>
    </row>
    <row r="17" spans="2:9" x14ac:dyDescent="0.25">
      <c r="B17" s="202"/>
      <c r="C17" s="202"/>
      <c r="D17" s="202"/>
      <c r="E17" s="202"/>
      <c r="F17" s="202"/>
      <c r="G17" s="202"/>
      <c r="H17" s="202"/>
      <c r="I17" s="202"/>
    </row>
    <row r="18" spans="2:9" x14ac:dyDescent="0.25">
      <c r="B18" s="203"/>
      <c r="C18" s="203"/>
      <c r="D18" s="203"/>
      <c r="E18" s="203"/>
      <c r="F18" s="203"/>
      <c r="G18" s="203"/>
      <c r="H18" s="203"/>
      <c r="I18" s="203"/>
    </row>
    <row r="19" spans="2:9" x14ac:dyDescent="0.25">
      <c r="B19" s="101"/>
      <c r="C19" s="101"/>
      <c r="D19" s="106"/>
      <c r="E19" s="106"/>
      <c r="F19" s="106"/>
      <c r="G19" s="106"/>
      <c r="H19" s="106"/>
      <c r="I19" s="106"/>
    </row>
    <row r="20" spans="2:9" x14ac:dyDescent="0.25">
      <c r="B20" s="98" t="s">
        <v>30</v>
      </c>
      <c r="C20" s="99"/>
      <c r="D20" s="99"/>
      <c r="E20" s="99"/>
      <c r="F20" s="99"/>
      <c r="G20" s="99"/>
      <c r="H20" s="99"/>
      <c r="I20" s="99"/>
    </row>
    <row r="21" spans="2:9" x14ac:dyDescent="0.25">
      <c r="B21" s="101"/>
      <c r="C21" s="101"/>
      <c r="D21" s="101"/>
      <c r="E21" s="101"/>
      <c r="F21" s="101"/>
      <c r="G21" s="101"/>
      <c r="H21" s="101"/>
      <c r="I21" s="101"/>
    </row>
    <row r="22" spans="2:9" x14ac:dyDescent="0.25">
      <c r="B22" s="108" t="s">
        <v>28</v>
      </c>
      <c r="C22" s="109"/>
      <c r="D22" s="109"/>
      <c r="E22" s="109"/>
      <c r="F22" s="109"/>
      <c r="G22" s="109"/>
      <c r="H22" s="109"/>
      <c r="I22" s="109"/>
    </row>
    <row r="23" spans="2:9" x14ac:dyDescent="0.25">
      <c r="B23" s="204" t="s">
        <v>31</v>
      </c>
      <c r="C23" s="204"/>
      <c r="D23" s="204"/>
      <c r="E23" s="204"/>
      <c r="F23" s="204"/>
      <c r="G23" s="204"/>
      <c r="H23" s="204"/>
      <c r="I23" s="204"/>
    </row>
    <row r="24" spans="2:9" x14ac:dyDescent="0.25">
      <c r="B24" s="205"/>
      <c r="C24" s="205"/>
      <c r="D24" s="205"/>
      <c r="E24" s="205"/>
      <c r="F24" s="205"/>
      <c r="G24" s="205"/>
      <c r="H24" s="205"/>
      <c r="I24" s="205"/>
    </row>
    <row r="25" spans="2:9" x14ac:dyDescent="0.25">
      <c r="B25" s="110"/>
      <c r="C25" s="111"/>
      <c r="D25" s="111"/>
      <c r="E25" s="111"/>
      <c r="F25" s="111"/>
      <c r="G25" s="111"/>
      <c r="H25" s="111"/>
      <c r="I25" s="111"/>
    </row>
    <row r="26" spans="2:9" x14ac:dyDescent="0.25">
      <c r="B26" s="101"/>
      <c r="C26" s="101"/>
      <c r="D26" s="101"/>
      <c r="E26" s="101"/>
      <c r="F26" s="101"/>
      <c r="G26" s="101"/>
      <c r="H26" s="101"/>
      <c r="I26" s="101"/>
    </row>
    <row r="27" spans="2:9" s="132" customFormat="1" x14ac:dyDescent="0.25">
      <c r="B27" s="133" t="s">
        <v>49</v>
      </c>
      <c r="C27" s="24"/>
      <c r="D27" s="24"/>
      <c r="E27" s="24"/>
      <c r="F27" s="24"/>
      <c r="G27" s="24"/>
      <c r="H27" s="24"/>
      <c r="I27" s="24"/>
    </row>
    <row r="28" spans="2:9" s="132" customFormat="1" x14ac:dyDescent="0.25">
      <c r="B28" s="2" t="s">
        <v>22</v>
      </c>
      <c r="C28" s="12" t="s">
        <v>3</v>
      </c>
      <c r="D28" s="84" t="s">
        <v>60</v>
      </c>
      <c r="E28" s="84" t="s">
        <v>61</v>
      </c>
      <c r="F28" s="84" t="s">
        <v>62</v>
      </c>
      <c r="G28" s="84" t="s">
        <v>71</v>
      </c>
      <c r="H28" s="84" t="s">
        <v>63</v>
      </c>
      <c r="I28" s="13" t="s">
        <v>1</v>
      </c>
    </row>
    <row r="29" spans="2:9" s="132" customFormat="1" x14ac:dyDescent="0.25">
      <c r="B29" s="134" t="s">
        <v>133</v>
      </c>
      <c r="C29" s="3" t="s">
        <v>91</v>
      </c>
      <c r="D29" s="93">
        <f>'Forecast by year'!D10</f>
        <v>116.2928</v>
      </c>
      <c r="E29" s="93">
        <f>'Forecast by year'!E10</f>
        <v>116.2928</v>
      </c>
      <c r="F29" s="93">
        <f>'Forecast by year'!F10</f>
        <v>117.57202079999999</v>
      </c>
      <c r="G29" s="93">
        <f>'Forecast by year'!G10</f>
        <v>120.29169678514558</v>
      </c>
      <c r="H29" s="93">
        <f>'Forecast by year'!H10</f>
        <v>124.35425687205739</v>
      </c>
      <c r="I29" s="113">
        <f>SUM(D29:H29)</f>
        <v>594.80357445720301</v>
      </c>
    </row>
    <row r="30" spans="2:9" s="132" customFormat="1" x14ac:dyDescent="0.25">
      <c r="B30" s="135" t="s">
        <v>92</v>
      </c>
      <c r="C30" s="3"/>
      <c r="D30" s="136">
        <f>SUM(D29:D29)</f>
        <v>116.2928</v>
      </c>
      <c r="E30" s="136">
        <f>SUM(E29:E29)</f>
        <v>116.2928</v>
      </c>
      <c r="F30" s="136">
        <f>SUM(F29:F29)</f>
        <v>117.57202079999999</v>
      </c>
      <c r="G30" s="136">
        <f>SUM(G29:G29)</f>
        <v>120.29169678514558</v>
      </c>
      <c r="H30" s="136">
        <f>SUM(H29:H29)</f>
        <v>124.35425687205739</v>
      </c>
      <c r="I30" s="113">
        <f t="shared" ref="I30:I33" si="2">SUM(D30:H30)</f>
        <v>594.80357445720301</v>
      </c>
    </row>
    <row r="31" spans="2:9" s="132" customFormat="1" x14ac:dyDescent="0.25">
      <c r="B31" s="4" t="s">
        <v>88</v>
      </c>
      <c r="C31" s="3"/>
      <c r="D31" s="137">
        <f>'Forecast by year'!D11</f>
        <v>54.183910247796291</v>
      </c>
      <c r="E31" s="137">
        <f>'Forecast by year'!E11</f>
        <v>54.183910247796291</v>
      </c>
      <c r="F31" s="137">
        <f>'Forecast by year'!F11</f>
        <v>54.779933260522043</v>
      </c>
      <c r="G31" s="137">
        <f>'Forecast by year'!G11</f>
        <v>56.047102676704434</v>
      </c>
      <c r="H31" s="137">
        <f>'Forecast by year'!H11</f>
        <v>57.939957532082488</v>
      </c>
      <c r="I31" s="113">
        <f t="shared" si="2"/>
        <v>277.13481396490158</v>
      </c>
    </row>
    <row r="32" spans="2:9" s="132" customFormat="1" x14ac:dyDescent="0.25">
      <c r="B32" s="4" t="s">
        <v>89</v>
      </c>
      <c r="C32" s="3"/>
      <c r="D32" s="137">
        <f>'Forecast by year'!D12</f>
        <v>18.650758430765702</v>
      </c>
      <c r="E32" s="137">
        <f>'Forecast by year'!E12</f>
        <v>18.650758430765702</v>
      </c>
      <c r="F32" s="137">
        <f>'Forecast by year'!F12</f>
        <v>18.85591677350412</v>
      </c>
      <c r="G32" s="137">
        <f>'Forecast by year'!G12</f>
        <v>19.292091840308817</v>
      </c>
      <c r="H32" s="137">
        <f>'Forecast by year'!H12</f>
        <v>19.943635416449929</v>
      </c>
      <c r="I32" s="113">
        <f t="shared" si="2"/>
        <v>95.393160891794281</v>
      </c>
    </row>
    <row r="33" spans="2:9" s="132" customFormat="1" x14ac:dyDescent="0.25">
      <c r="B33" s="4" t="s">
        <v>93</v>
      </c>
      <c r="C33" s="3"/>
      <c r="D33" s="137">
        <f>'Forecast by year'!D13</f>
        <v>11.994464063594402</v>
      </c>
      <c r="E33" s="137">
        <f>'Forecast by year'!E13</f>
        <v>11.994464063594402</v>
      </c>
      <c r="F33" s="137">
        <f>'Forecast by year'!F13</f>
        <v>12.126403168293939</v>
      </c>
      <c r="G33" s="137">
        <f>'Forecast by year'!G13</f>
        <v>12.406911126382914</v>
      </c>
      <c r="H33" s="137">
        <f>'Forecast by year'!H13</f>
        <v>12.825924435621808</v>
      </c>
      <c r="I33" s="113">
        <f t="shared" si="2"/>
        <v>61.348166857487463</v>
      </c>
    </row>
    <row r="34" spans="2:9" s="132" customFormat="1" x14ac:dyDescent="0.25">
      <c r="B34" s="138" t="s">
        <v>1</v>
      </c>
      <c r="C34" s="14"/>
      <c r="D34" s="15">
        <f>SUM(D30:D33)</f>
        <v>201.12193274215639</v>
      </c>
      <c r="E34" s="15">
        <f t="shared" ref="E34:I34" si="3">SUM(E30:E33)</f>
        <v>201.12193274215639</v>
      </c>
      <c r="F34" s="15">
        <f t="shared" si="3"/>
        <v>203.33427400232009</v>
      </c>
      <c r="G34" s="15">
        <f t="shared" si="3"/>
        <v>208.03780242854174</v>
      </c>
      <c r="H34" s="15">
        <f t="shared" si="3"/>
        <v>215.06377425621162</v>
      </c>
      <c r="I34" s="15">
        <f t="shared" si="3"/>
        <v>1028.6797161713864</v>
      </c>
    </row>
  </sheetData>
  <mergeCells count="2">
    <mergeCell ref="B17:I18"/>
    <mergeCell ref="B23:I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2018-04-18T01:54:05Z</dcterms:modified>
</cp:coreProperties>
</file>