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3_Contestable Network Commissioning &amp; Decommissioning\"/>
    </mc:Choice>
  </mc:AlternateContent>
  <xr:revisionPtr revIDLastSave="0" documentId="13_ncr:1_{80D5FDF0-96CA-4E82-A067-AF4B2D6F98E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5" i="15" l="1"/>
  <c r="I6" i="15"/>
  <c r="I7" i="15"/>
  <c r="I8" i="15"/>
  <c r="H5" i="17" l="1"/>
  <c r="G5" i="17"/>
  <c r="F5" i="17"/>
  <c r="E5" i="17"/>
  <c r="D5" i="17"/>
  <c r="H2" i="17"/>
  <c r="G2" i="17"/>
  <c r="F2" i="17"/>
  <c r="E2" i="17"/>
  <c r="D2" i="17"/>
  <c r="H1" i="17"/>
  <c r="G1" i="17"/>
  <c r="F1" i="17"/>
  <c r="E1" i="17"/>
  <c r="D1" i="17"/>
  <c r="BH32" i="11"/>
  <c r="BG32" i="11"/>
  <c r="BH31" i="11"/>
  <c r="BG31" i="11"/>
  <c r="BH30" i="11"/>
  <c r="BG30" i="11"/>
  <c r="BH29" i="11"/>
  <c r="BG29" i="11"/>
  <c r="BH28" i="11"/>
  <c r="BG28" i="11"/>
  <c r="BH27" i="11"/>
  <c r="BG27" i="11"/>
  <c r="AQ30" i="11"/>
  <c r="AP30" i="11"/>
  <c r="AQ29" i="11"/>
  <c r="AP29" i="11"/>
  <c r="AQ28" i="11"/>
  <c r="AP28" i="11"/>
  <c r="AQ27" i="11"/>
  <c r="AP27" i="11"/>
  <c r="Z35" i="11"/>
  <c r="Y35" i="11"/>
  <c r="Z34" i="11"/>
  <c r="Y34" i="11"/>
  <c r="Z33" i="11"/>
  <c r="Y33" i="11"/>
  <c r="Z32" i="11"/>
  <c r="Y32" i="11"/>
  <c r="Z31" i="11"/>
  <c r="Y31" i="11"/>
  <c r="Z30" i="11"/>
  <c r="Y30" i="11"/>
  <c r="Z29" i="11"/>
  <c r="Y29" i="11"/>
  <c r="Z28" i="11"/>
  <c r="Y28" i="11"/>
  <c r="Z27" i="11"/>
  <c r="Y27" i="11"/>
  <c r="I30" i="11"/>
  <c r="H30" i="11"/>
  <c r="I29" i="11"/>
  <c r="H29" i="11"/>
  <c r="I28" i="11"/>
  <c r="H28" i="11"/>
  <c r="I27" i="11"/>
  <c r="H27" i="11"/>
  <c r="BH12" i="11"/>
  <c r="BG12" i="11"/>
  <c r="BH11" i="11"/>
  <c r="BG11" i="11"/>
  <c r="BH10" i="11"/>
  <c r="BG10" i="11"/>
  <c r="BH9" i="11"/>
  <c r="BG9" i="11"/>
  <c r="BH8" i="11"/>
  <c r="BG8" i="11"/>
  <c r="BH7" i="11"/>
  <c r="BG7" i="11"/>
  <c r="AQ10" i="11"/>
  <c r="AP10" i="11"/>
  <c r="AQ9" i="11"/>
  <c r="AP9" i="11"/>
  <c r="AQ8" i="11"/>
  <c r="AP8" i="11"/>
  <c r="AQ7" i="11"/>
  <c r="AP7" i="11"/>
  <c r="Z15" i="11"/>
  <c r="Y15" i="11"/>
  <c r="Z14" i="11"/>
  <c r="Y14" i="11"/>
  <c r="Z13" i="11"/>
  <c r="Y13" i="11"/>
  <c r="Z12" i="11"/>
  <c r="Y12" i="11"/>
  <c r="Z11" i="11"/>
  <c r="Y11" i="11"/>
  <c r="Z10" i="11"/>
  <c r="Y10" i="11"/>
  <c r="Z9" i="11"/>
  <c r="Y9" i="11"/>
  <c r="Z8" i="11"/>
  <c r="Y8" i="11"/>
  <c r="Z7" i="11"/>
  <c r="Y7" i="11"/>
  <c r="I10" i="11"/>
  <c r="H10" i="11"/>
  <c r="I9" i="11"/>
  <c r="H9" i="11"/>
  <c r="I8" i="11"/>
  <c r="H8" i="11"/>
  <c r="I7" i="11"/>
  <c r="H7" i="11"/>
  <c r="J57" i="17" l="1"/>
  <c r="C57" i="17"/>
  <c r="J45" i="17"/>
  <c r="C45" i="17"/>
  <c r="C33" i="17"/>
  <c r="J21" i="17"/>
  <c r="K21" i="17" s="1"/>
  <c r="C21" i="17"/>
  <c r="D21" i="17" s="1"/>
  <c r="K57" i="17"/>
  <c r="L57" i="17" s="1"/>
  <c r="M57" i="17" s="1"/>
  <c r="N57" i="17" s="1"/>
  <c r="O57" i="17" s="1"/>
  <c r="D57" i="17"/>
  <c r="E57" i="17" s="1"/>
  <c r="F57" i="17" s="1"/>
  <c r="G57" i="17" s="1"/>
  <c r="H57" i="17" s="1"/>
  <c r="K45" i="17"/>
  <c r="L45" i="17" s="1"/>
  <c r="M45" i="17" s="1"/>
  <c r="N45" i="17" s="1"/>
  <c r="O45" i="17" s="1"/>
  <c r="D45" i="17"/>
  <c r="E45" i="17" s="1"/>
  <c r="F45" i="17" s="1"/>
  <c r="G45" i="17" s="1"/>
  <c r="H45" i="17" s="1"/>
  <c r="D33" i="17"/>
  <c r="E33" i="17" s="1"/>
  <c r="F33" i="17" s="1"/>
  <c r="G33" i="17" s="1"/>
  <c r="H33" i="17" s="1"/>
  <c r="L5" i="17"/>
  <c r="O1" i="17"/>
  <c r="N1" i="17"/>
  <c r="M1" i="17"/>
  <c r="L1" i="17"/>
  <c r="K1" i="17"/>
  <c r="BF35" i="11"/>
  <c r="BI35" i="11"/>
  <c r="BJ35" i="11"/>
  <c r="BK35" i="11"/>
  <c r="BF15" i="11"/>
  <c r="BI15" i="11"/>
  <c r="BJ15" i="11"/>
  <c r="BK15" i="11"/>
  <c r="BL31" i="11"/>
  <c r="BL29" i="11"/>
  <c r="BL28" i="11"/>
  <c r="BL11" i="11"/>
  <c r="BL12" i="11"/>
  <c r="BH15" i="11"/>
  <c r="C56" i="17" s="1"/>
  <c r="D56" i="17" s="1"/>
  <c r="E56" i="17" s="1"/>
  <c r="F56" i="17" s="1"/>
  <c r="G56" i="17" s="1"/>
  <c r="H56" i="17" s="1"/>
  <c r="BL8" i="11"/>
  <c r="AO35" i="11"/>
  <c r="AR35" i="11"/>
  <c r="AS35" i="11"/>
  <c r="AT35" i="11"/>
  <c r="AO15" i="11"/>
  <c r="AR15" i="11"/>
  <c r="AS15" i="11"/>
  <c r="AT15" i="11"/>
  <c r="AU29" i="11"/>
  <c r="AU27" i="11"/>
  <c r="W28" i="11"/>
  <c r="W29" i="11"/>
  <c r="W30" i="11"/>
  <c r="W31" i="11"/>
  <c r="W32" i="11"/>
  <c r="W33" i="11"/>
  <c r="W34" i="11"/>
  <c r="W35" i="11"/>
  <c r="W8" i="11"/>
  <c r="W9" i="11"/>
  <c r="W10" i="11"/>
  <c r="W11" i="11"/>
  <c r="W12" i="11"/>
  <c r="W13" i="11"/>
  <c r="W14" i="11"/>
  <c r="W15" i="11"/>
  <c r="X36" i="11"/>
  <c r="AA36" i="11"/>
  <c r="J33" i="17" s="1"/>
  <c r="K33" i="17" s="1"/>
  <c r="L33" i="17" s="1"/>
  <c r="M33" i="17" s="1"/>
  <c r="N33" i="17" s="1"/>
  <c r="O33" i="17" s="1"/>
  <c r="AB36" i="11"/>
  <c r="AC36" i="11"/>
  <c r="G35" i="11"/>
  <c r="J35" i="11"/>
  <c r="K35" i="11"/>
  <c r="L35" i="11"/>
  <c r="G15" i="11"/>
  <c r="J15" i="11"/>
  <c r="K15" i="11"/>
  <c r="L15" i="11"/>
  <c r="X18" i="11"/>
  <c r="AA18" i="11"/>
  <c r="AB18" i="11"/>
  <c r="AC18" i="11"/>
  <c r="BG15" i="11" l="1"/>
  <c r="C55" i="17" s="1"/>
  <c r="D55" i="17" s="1"/>
  <c r="E55" i="17" s="1"/>
  <c r="BH35" i="11"/>
  <c r="J56" i="17" s="1"/>
  <c r="K56" i="17" s="1"/>
  <c r="L56" i="17" s="1"/>
  <c r="M56" i="17" s="1"/>
  <c r="N56" i="17" s="1"/>
  <c r="O56" i="17" s="1"/>
  <c r="BL7" i="11"/>
  <c r="BL30" i="11"/>
  <c r="BL32" i="11"/>
  <c r="BG35" i="11"/>
  <c r="J55" i="17" s="1"/>
  <c r="K55" i="17" s="1"/>
  <c r="BL27" i="11"/>
  <c r="BL10" i="11"/>
  <c r="BL9" i="11"/>
  <c r="D10" i="17"/>
  <c r="L21" i="17"/>
  <c r="K10" i="17"/>
  <c r="D33" i="16" s="1"/>
  <c r="D58" i="17"/>
  <c r="E21" i="17"/>
  <c r="E10" i="17" s="1"/>
  <c r="M5" i="17"/>
  <c r="N5" i="17"/>
  <c r="K5" i="17"/>
  <c r="O5" i="17"/>
  <c r="AD12" i="11"/>
  <c r="AQ15" i="11"/>
  <c r="C44" i="17" s="1"/>
  <c r="D44" i="17" s="1"/>
  <c r="E44" i="17" s="1"/>
  <c r="F44" i="17" s="1"/>
  <c r="G44" i="17" s="1"/>
  <c r="H44" i="17" s="1"/>
  <c r="AQ35" i="11"/>
  <c r="J44" i="17" s="1"/>
  <c r="K44" i="17" s="1"/>
  <c r="L44" i="17" s="1"/>
  <c r="M44" i="17" s="1"/>
  <c r="N44" i="17" s="1"/>
  <c r="O44" i="17" s="1"/>
  <c r="AD28" i="11"/>
  <c r="AU10" i="11"/>
  <c r="AU30" i="11"/>
  <c r="AU9" i="11"/>
  <c r="AP15" i="11"/>
  <c r="C43" i="17" s="1"/>
  <c r="D43" i="17" s="1"/>
  <c r="E43" i="17" s="1"/>
  <c r="AU8" i="11"/>
  <c r="AU7" i="11"/>
  <c r="AP35" i="11"/>
  <c r="J43" i="17" s="1"/>
  <c r="K43" i="17" s="1"/>
  <c r="AU28" i="11"/>
  <c r="AD33" i="11"/>
  <c r="AD8" i="11"/>
  <c r="AD29" i="11"/>
  <c r="I35" i="11"/>
  <c r="J20" i="17" s="1"/>
  <c r="K20" i="17" s="1"/>
  <c r="L20" i="17" s="1"/>
  <c r="M20" i="17" s="1"/>
  <c r="N20" i="17" s="1"/>
  <c r="O20" i="17" s="1"/>
  <c r="H15" i="11"/>
  <c r="C19" i="17" s="1"/>
  <c r="D19" i="17" s="1"/>
  <c r="AD15" i="11"/>
  <c r="I15" i="11"/>
  <c r="C20" i="17" s="1"/>
  <c r="D20" i="17" s="1"/>
  <c r="AD13" i="11"/>
  <c r="AD30" i="11"/>
  <c r="AD11" i="11"/>
  <c r="AD31" i="11"/>
  <c r="AD10" i="11"/>
  <c r="M30" i="11"/>
  <c r="AD9" i="11"/>
  <c r="AD35" i="11"/>
  <c r="AD32" i="11"/>
  <c r="AD34" i="11"/>
  <c r="AD14" i="11"/>
  <c r="H35" i="11"/>
  <c r="J19" i="17" s="1"/>
  <c r="K19" i="17" s="1"/>
  <c r="M9" i="11"/>
  <c r="M29" i="11"/>
  <c r="M10" i="11"/>
  <c r="M7" i="11"/>
  <c r="M8" i="11"/>
  <c r="M28" i="11"/>
  <c r="M27" i="11"/>
  <c r="I15" i="13"/>
  <c r="I16" i="13"/>
  <c r="I14" i="13"/>
  <c r="G17" i="13"/>
  <c r="H17" i="13"/>
  <c r="I7" i="13"/>
  <c r="I8" i="13"/>
  <c r="I9" i="13"/>
  <c r="I6" i="13"/>
  <c r="G10" i="13"/>
  <c r="H10" i="13"/>
  <c r="I13" i="15"/>
  <c r="G15" i="15"/>
  <c r="H15" i="15"/>
  <c r="I4" i="15"/>
  <c r="G9" i="15"/>
  <c r="H9" i="15"/>
  <c r="D46" i="17" l="1"/>
  <c r="E20" i="17"/>
  <c r="D22" i="17"/>
  <c r="BL35" i="11"/>
  <c r="J58" i="17" s="1"/>
  <c r="BL15" i="11"/>
  <c r="C58" i="17" s="1"/>
  <c r="E19" i="17"/>
  <c r="E22" i="17" s="1"/>
  <c r="M21" i="17"/>
  <c r="L10" i="17"/>
  <c r="E33" i="16" s="1"/>
  <c r="F55" i="17"/>
  <c r="E58" i="17"/>
  <c r="L55" i="17"/>
  <c r="K58" i="17"/>
  <c r="E46" i="17"/>
  <c r="F43" i="17"/>
  <c r="F21" i="17"/>
  <c r="F10" i="17" s="1"/>
  <c r="K46" i="17"/>
  <c r="L43" i="17"/>
  <c r="L19" i="17"/>
  <c r="K22" i="17"/>
  <c r="AU15" i="11"/>
  <c r="C46" i="17" s="1"/>
  <c r="AU35" i="11"/>
  <c r="J46" i="17" s="1"/>
  <c r="M15" i="11"/>
  <c r="C22" i="17" s="1"/>
  <c r="M35" i="11"/>
  <c r="J22" i="17" s="1"/>
  <c r="AN35" i="11"/>
  <c r="F35" i="11"/>
  <c r="BE32" i="11"/>
  <c r="BE31" i="11"/>
  <c r="BE30" i="11"/>
  <c r="AN30" i="11"/>
  <c r="F30" i="11"/>
  <c r="BE29" i="11"/>
  <c r="AN29" i="11"/>
  <c r="F29" i="11"/>
  <c r="BE28" i="11"/>
  <c r="AN28" i="11"/>
  <c r="F28" i="11"/>
  <c r="BE27" i="11"/>
  <c r="BE35" i="11" s="1"/>
  <c r="AN27" i="11"/>
  <c r="W27" i="11"/>
  <c r="F27" i="11"/>
  <c r="F19" i="17" l="1"/>
  <c r="G19" i="17" s="1"/>
  <c r="F20" i="17"/>
  <c r="G20" i="17" s="1"/>
  <c r="N21" i="17"/>
  <c r="M10" i="17"/>
  <c r="F33" i="16" s="1"/>
  <c r="L22" i="17"/>
  <c r="M19" i="17"/>
  <c r="M43" i="17"/>
  <c r="L46" i="17"/>
  <c r="G21" i="17"/>
  <c r="G10" i="17" s="1"/>
  <c r="F46" i="17"/>
  <c r="G43" i="17"/>
  <c r="G55" i="17"/>
  <c r="F58" i="17"/>
  <c r="L58" i="17"/>
  <c r="M55" i="17"/>
  <c r="Z36" i="11"/>
  <c r="J32" i="17" s="1"/>
  <c r="K32" i="17" s="1"/>
  <c r="W36" i="11"/>
  <c r="I15" i="16"/>
  <c r="I14" i="16"/>
  <c r="F22" i="17" l="1"/>
  <c r="L32" i="17"/>
  <c r="K9" i="17"/>
  <c r="O21" i="17"/>
  <c r="O10" i="17" s="1"/>
  <c r="H33" i="16" s="1"/>
  <c r="N10" i="17"/>
  <c r="G33" i="16" s="1"/>
  <c r="M58" i="17"/>
  <c r="N55" i="17"/>
  <c r="H20" i="17"/>
  <c r="H43" i="17"/>
  <c r="H46" i="17" s="1"/>
  <c r="G46" i="17"/>
  <c r="N43" i="17"/>
  <c r="M46" i="17"/>
  <c r="H21" i="17"/>
  <c r="H10" i="17" s="1"/>
  <c r="G58" i="17"/>
  <c r="H55" i="17"/>
  <c r="H58" i="17" s="1"/>
  <c r="N19" i="17"/>
  <c r="M22" i="17"/>
  <c r="G22" i="17"/>
  <c r="H19" i="17"/>
  <c r="AD27" i="11"/>
  <c r="Y36" i="11"/>
  <c r="J31" i="17" s="1"/>
  <c r="K31" i="17" s="1"/>
  <c r="I33" i="16" l="1"/>
  <c r="M32" i="17"/>
  <c r="L9" i="17"/>
  <c r="L31" i="17"/>
  <c r="K34" i="17"/>
  <c r="K8" i="17"/>
  <c r="N46" i="17"/>
  <c r="O43" i="17"/>
  <c r="O46" i="17" s="1"/>
  <c r="N58" i="17"/>
  <c r="O55" i="17"/>
  <c r="O58" i="17" s="1"/>
  <c r="H22" i="17"/>
  <c r="N22" i="17"/>
  <c r="O19" i="17"/>
  <c r="AD36" i="11"/>
  <c r="J34" i="17" s="1"/>
  <c r="BE12" i="11"/>
  <c r="BE11" i="11"/>
  <c r="L34" i="17" l="1"/>
  <c r="L8" i="17"/>
  <c r="M31" i="17"/>
  <c r="N32" i="17"/>
  <c r="M9" i="17"/>
  <c r="K11" i="17"/>
  <c r="O22" i="17"/>
  <c r="W7" i="11"/>
  <c r="N31" i="17" l="1"/>
  <c r="M8" i="17"/>
  <c r="M34" i="17"/>
  <c r="O32" i="17"/>
  <c r="O9" i="17" s="1"/>
  <c r="N9" i="17"/>
  <c r="L11" i="17"/>
  <c r="Z18" i="11"/>
  <c r="C32" i="17" s="1"/>
  <c r="D32" i="17" s="1"/>
  <c r="W18" i="11"/>
  <c r="D3" i="9"/>
  <c r="M11" i="17" l="1"/>
  <c r="E32" i="17"/>
  <c r="D9" i="17"/>
  <c r="D32" i="16" s="1"/>
  <c r="N34" i="17"/>
  <c r="O31" i="17"/>
  <c r="N8" i="17"/>
  <c r="AD7" i="11"/>
  <c r="Y18" i="11"/>
  <c r="C31" i="17" s="1"/>
  <c r="D31" i="17" s="1"/>
  <c r="BE10" i="11"/>
  <c r="BE9" i="11"/>
  <c r="BE8" i="11"/>
  <c r="BE7" i="11"/>
  <c r="AN10" i="11"/>
  <c r="AN9" i="11"/>
  <c r="AN8" i="11"/>
  <c r="AN7" i="11"/>
  <c r="O34" i="17" l="1"/>
  <c r="O8" i="17"/>
  <c r="F32" i="17"/>
  <c r="E9" i="17"/>
  <c r="E32" i="16" s="1"/>
  <c r="E31" i="17"/>
  <c r="D34" i="17"/>
  <c r="D8" i="17"/>
  <c r="D31" i="16" s="1"/>
  <c r="N11" i="17"/>
  <c r="AD18" i="11"/>
  <c r="C34" i="17" s="1"/>
  <c r="BE15" i="11"/>
  <c r="AN15" i="11"/>
  <c r="G32" i="17" l="1"/>
  <c r="F9" i="17"/>
  <c r="F32" i="16" s="1"/>
  <c r="D11" i="17"/>
  <c r="D34" i="16" s="1"/>
  <c r="E34" i="17"/>
  <c r="F31" i="17"/>
  <c r="E8" i="17"/>
  <c r="E31" i="16" s="1"/>
  <c r="O11" i="17"/>
  <c r="F8" i="11"/>
  <c r="F9" i="11"/>
  <c r="F10" i="11"/>
  <c r="F7" i="11"/>
  <c r="C44" i="8" l="1"/>
  <c r="H32" i="17"/>
  <c r="H9" i="17" s="1"/>
  <c r="H32" i="16" s="1"/>
  <c r="G9" i="17"/>
  <c r="G32" i="16" s="1"/>
  <c r="E11" i="17"/>
  <c r="E34" i="16" s="1"/>
  <c r="F34" i="17"/>
  <c r="G31" i="17"/>
  <c r="F8" i="17"/>
  <c r="F31" i="16" s="1"/>
  <c r="F15" i="11"/>
  <c r="G34" i="17" l="1"/>
  <c r="H31" i="17"/>
  <c r="G8" i="17"/>
  <c r="G31" i="16" s="1"/>
  <c r="F11" i="17"/>
  <c r="D44" i="8"/>
  <c r="I32" i="16"/>
  <c r="G11" i="17" l="1"/>
  <c r="G34" i="16" s="1"/>
  <c r="F34" i="16"/>
  <c r="H34" i="17"/>
  <c r="H8" i="17"/>
  <c r="H31" i="16" s="1"/>
  <c r="I31" i="16" s="1"/>
  <c r="F15" i="15"/>
  <c r="E15" i="15"/>
  <c r="D15" i="15"/>
  <c r="F44" i="8" l="1"/>
  <c r="H11" i="17"/>
  <c r="H34" i="16" s="1"/>
  <c r="E44" i="8"/>
  <c r="I15" i="15"/>
  <c r="E9" i="15"/>
  <c r="D9" i="15"/>
  <c r="I16" i="16"/>
  <c r="H17" i="16"/>
  <c r="G60" i="8" s="1"/>
  <c r="G17" i="16"/>
  <c r="F60" i="8" s="1"/>
  <c r="F17" i="16"/>
  <c r="E60" i="8" s="1"/>
  <c r="E17" i="16"/>
  <c r="D60" i="8" s="1"/>
  <c r="I13" i="16"/>
  <c r="F17" i="13"/>
  <c r="E17" i="13"/>
  <c r="D17" i="13"/>
  <c r="F10" i="13"/>
  <c r="E10" i="13"/>
  <c r="D10" i="13"/>
  <c r="G44" i="8" l="1"/>
  <c r="I34" i="16"/>
  <c r="I17" i="16"/>
  <c r="I10" i="13"/>
  <c r="I17" i="13"/>
  <c r="F9" i="15"/>
  <c r="D17" i="16"/>
  <c r="C60" i="8" s="1"/>
  <c r="I9" i="15" l="1"/>
  <c r="H60" i="8" l="1"/>
  <c r="H44" i="8" l="1"/>
  <c r="H4" i="17" l="1"/>
  <c r="D4" i="17"/>
  <c r="BN31" i="11"/>
  <c r="BN27" i="11"/>
  <c r="AW27" i="11"/>
  <c r="AF32" i="11"/>
  <c r="AF28" i="11"/>
  <c r="O30" i="11"/>
  <c r="BN12" i="11"/>
  <c r="BN8" i="11"/>
  <c r="AW8" i="11"/>
  <c r="AF13" i="11"/>
  <c r="AF9" i="11"/>
  <c r="O7" i="11"/>
  <c r="G4" i="17"/>
  <c r="BN32" i="11"/>
  <c r="BN28" i="11"/>
  <c r="AW28" i="11"/>
  <c r="AF33" i="11"/>
  <c r="AF29" i="11"/>
  <c r="O27" i="11"/>
  <c r="BN9" i="11"/>
  <c r="AW9" i="11"/>
  <c r="AF14" i="11"/>
  <c r="AF10" i="11"/>
  <c r="O8" i="11"/>
  <c r="F4" i="17"/>
  <c r="BN29" i="11"/>
  <c r="AW29" i="11"/>
  <c r="E4" i="17"/>
  <c r="AW30" i="11"/>
  <c r="AF34" i="11"/>
  <c r="O29" i="11"/>
  <c r="BN7" i="11"/>
  <c r="AF12" i="11"/>
  <c r="O10" i="11"/>
  <c r="BN30" i="11"/>
  <c r="AF31" i="11"/>
  <c r="O28" i="11"/>
  <c r="AW10" i="11"/>
  <c r="AF11" i="11"/>
  <c r="O9" i="11"/>
  <c r="AF30" i="11"/>
  <c r="BN11" i="11"/>
  <c r="AW7" i="11"/>
  <c r="AF8" i="11"/>
  <c r="AF35" i="11"/>
  <c r="AF27" i="11"/>
  <c r="BN10" i="11"/>
  <c r="AF15" i="11"/>
  <c r="AF7" i="11"/>
  <c r="AF18" i="11" l="1"/>
  <c r="C36" i="17" s="1"/>
  <c r="AF36" i="11"/>
  <c r="J36" i="17" s="1"/>
  <c r="BN35" i="11"/>
  <c r="J60" i="17" s="1"/>
  <c r="BN15" i="11"/>
  <c r="C60" i="17" s="1"/>
  <c r="L4" i="17"/>
  <c r="E24" i="17"/>
  <c r="E48" i="17"/>
  <c r="E60" i="17"/>
  <c r="E36" i="17"/>
  <c r="O15" i="11"/>
  <c r="C24" i="17" s="1"/>
  <c r="K4" i="17"/>
  <c r="D60" i="17"/>
  <c r="D48" i="17"/>
  <c r="D24" i="17"/>
  <c r="D36" i="17"/>
  <c r="M4" i="17"/>
  <c r="F48" i="17"/>
  <c r="F60" i="17"/>
  <c r="F24" i="17"/>
  <c r="F36" i="17"/>
  <c r="F13" i="17" s="1"/>
  <c r="N4" i="17"/>
  <c r="G48" i="17"/>
  <c r="G24" i="17"/>
  <c r="G60" i="17"/>
  <c r="G36" i="17"/>
  <c r="AW15" i="11"/>
  <c r="C48" i="17" s="1"/>
  <c r="O35" i="11"/>
  <c r="J24" i="17" s="1"/>
  <c r="AW35" i="11"/>
  <c r="J48" i="17" s="1"/>
  <c r="O4" i="17"/>
  <c r="H60" i="17"/>
  <c r="H48" i="17"/>
  <c r="H24" i="17"/>
  <c r="H36" i="17"/>
  <c r="H13" i="17" l="1"/>
  <c r="O48" i="17"/>
  <c r="O60" i="17"/>
  <c r="O24" i="17"/>
  <c r="O36" i="17"/>
  <c r="G13" i="17"/>
  <c r="N48" i="17"/>
  <c r="N24" i="17"/>
  <c r="N60" i="17"/>
  <c r="N36" i="17"/>
  <c r="E13" i="17"/>
  <c r="L60" i="17"/>
  <c r="L24" i="17"/>
  <c r="L48" i="17"/>
  <c r="L36" i="17"/>
  <c r="D13" i="17"/>
  <c r="K48" i="17"/>
  <c r="K24" i="17"/>
  <c r="K60" i="17"/>
  <c r="K36" i="17"/>
  <c r="M48" i="17"/>
  <c r="M60" i="17"/>
  <c r="M24" i="17"/>
  <c r="M36" i="17"/>
  <c r="L13" i="17" l="1"/>
  <c r="E36" i="16" s="1"/>
  <c r="K13" i="17"/>
  <c r="D36" i="16" s="1"/>
  <c r="N13" i="17"/>
  <c r="G36" i="16" s="1"/>
  <c r="M13" i="17"/>
  <c r="F36" i="16" s="1"/>
  <c r="O13" i="17"/>
  <c r="H36" i="16" s="1"/>
  <c r="I36" i="16" l="1"/>
  <c r="E3" i="17" l="1"/>
  <c r="BM30" i="11"/>
  <c r="AV30" i="11"/>
  <c r="AE35" i="11"/>
  <c r="AE31" i="11"/>
  <c r="AE27" i="11"/>
  <c r="N29" i="11"/>
  <c r="BM11" i="11"/>
  <c r="BM7" i="11"/>
  <c r="AV7" i="11"/>
  <c r="AE12" i="11"/>
  <c r="AE8" i="11"/>
  <c r="N10" i="11"/>
  <c r="H3" i="17"/>
  <c r="D3" i="17"/>
  <c r="BM31" i="11"/>
  <c r="BM27" i="11"/>
  <c r="AV27" i="11"/>
  <c r="AE32" i="11"/>
  <c r="AE28" i="11"/>
  <c r="N30" i="11"/>
  <c r="BM12" i="11"/>
  <c r="BM8" i="11"/>
  <c r="AV8" i="11"/>
  <c r="AE13" i="11"/>
  <c r="AE9" i="11"/>
  <c r="N7" i="11"/>
  <c r="G3" i="17"/>
  <c r="BM32" i="11"/>
  <c r="BM28" i="11"/>
  <c r="AV28" i="11"/>
  <c r="AE29" i="11"/>
  <c r="BM10" i="11"/>
  <c r="AE15" i="11"/>
  <c r="AE7" i="11"/>
  <c r="F3" i="17"/>
  <c r="AV29" i="11"/>
  <c r="AE34" i="11"/>
  <c r="BM9" i="11"/>
  <c r="AE14" i="11"/>
  <c r="BM29" i="11"/>
  <c r="AE33" i="11"/>
  <c r="N28" i="11"/>
  <c r="AV10" i="11"/>
  <c r="AE11" i="11"/>
  <c r="N9" i="11"/>
  <c r="AE30" i="11"/>
  <c r="N27" i="11"/>
  <c r="AV9" i="11"/>
  <c r="AE10" i="11"/>
  <c r="N8" i="11"/>
  <c r="AG30" i="11" l="1"/>
  <c r="AH30" i="11" s="1"/>
  <c r="P28" i="11"/>
  <c r="Q28" i="11" s="1"/>
  <c r="AG7" i="11"/>
  <c r="AH7" i="11" s="1"/>
  <c r="AE18" i="11"/>
  <c r="C35" i="17" s="1"/>
  <c r="P7" i="11"/>
  <c r="Q7" i="11" s="1"/>
  <c r="N15" i="11"/>
  <c r="C23" i="17" s="1"/>
  <c r="AG12" i="11"/>
  <c r="AH12" i="11" s="1"/>
  <c r="P27" i="11"/>
  <c r="Q27" i="11" s="1"/>
  <c r="N35" i="11"/>
  <c r="J23" i="17" s="1"/>
  <c r="AX10" i="11"/>
  <c r="AY10" i="11" s="1"/>
  <c r="AG14" i="11"/>
  <c r="AH14" i="11" s="1"/>
  <c r="F23" i="17"/>
  <c r="F59" i="17"/>
  <c r="F61" i="17" s="1"/>
  <c r="F62" i="17" s="1"/>
  <c r="F64" i="17" s="1"/>
  <c r="F47" i="17"/>
  <c r="F49" i="17" s="1"/>
  <c r="F50" i="17" s="1"/>
  <c r="F52" i="17" s="1"/>
  <c r="F35" i="17"/>
  <c r="F37" i="17" s="1"/>
  <c r="F38" i="17" s="1"/>
  <c r="F40" i="17" s="1"/>
  <c r="M3" i="17"/>
  <c r="AG29" i="11"/>
  <c r="AH29" i="11" s="1"/>
  <c r="G47" i="17"/>
  <c r="G49" i="17" s="1"/>
  <c r="G50" i="17" s="1"/>
  <c r="G52" i="17" s="1"/>
  <c r="G23" i="17"/>
  <c r="G35" i="17"/>
  <c r="G37" i="17" s="1"/>
  <c r="G38" i="17" s="1"/>
  <c r="G40" i="17" s="1"/>
  <c r="G59" i="17"/>
  <c r="G61" i="17" s="1"/>
  <c r="G62" i="17" s="1"/>
  <c r="G64" i="17" s="1"/>
  <c r="N3" i="17"/>
  <c r="AX8" i="11"/>
  <c r="AY8" i="11" s="1"/>
  <c r="AG28" i="11"/>
  <c r="AH28" i="11" s="1"/>
  <c r="BO31" i="11"/>
  <c r="BP31" i="11" s="1"/>
  <c r="AG8" i="11"/>
  <c r="AH8" i="11" s="1"/>
  <c r="BO11" i="11"/>
  <c r="BP11" i="11" s="1"/>
  <c r="AG35" i="11"/>
  <c r="AH35" i="11" s="1"/>
  <c r="P8" i="11"/>
  <c r="Q8" i="11" s="1"/>
  <c r="BO9" i="11"/>
  <c r="BP9" i="11" s="1"/>
  <c r="AX28" i="11"/>
  <c r="AY28" i="11"/>
  <c r="BO8" i="11"/>
  <c r="BP8" i="11" s="1"/>
  <c r="AG32" i="11"/>
  <c r="AH32" i="11" s="1"/>
  <c r="D59" i="17"/>
  <c r="D61" i="17" s="1"/>
  <c r="D62" i="17" s="1"/>
  <c r="D64" i="17" s="1"/>
  <c r="D47" i="17"/>
  <c r="D49" i="17" s="1"/>
  <c r="D50" i="17" s="1"/>
  <c r="D52" i="17" s="1"/>
  <c r="K3" i="17"/>
  <c r="D23" i="17"/>
  <c r="D35" i="17"/>
  <c r="D37" i="17" s="1"/>
  <c r="D38" i="17" s="1"/>
  <c r="D40" i="17" s="1"/>
  <c r="P29" i="11"/>
  <c r="Q29" i="11" s="1"/>
  <c r="AG10" i="11"/>
  <c r="AH10" i="11" s="1"/>
  <c r="P9" i="11"/>
  <c r="Q9" i="11" s="1"/>
  <c r="AG33" i="11"/>
  <c r="AH33" i="11" s="1"/>
  <c r="AG34" i="11"/>
  <c r="AH34" i="11" s="1"/>
  <c r="AG15" i="11"/>
  <c r="AH15" i="11" s="1"/>
  <c r="BO28" i="11"/>
  <c r="BP28" i="11" s="1"/>
  <c r="AG9" i="11"/>
  <c r="AH9" i="11" s="1"/>
  <c r="BO12" i="11"/>
  <c r="BP12" i="11" s="1"/>
  <c r="AX27" i="11"/>
  <c r="AY27" i="11"/>
  <c r="AV35" i="11"/>
  <c r="J47" i="17" s="1"/>
  <c r="H35" i="17"/>
  <c r="H37" i="17" s="1"/>
  <c r="H38" i="17" s="1"/>
  <c r="H40" i="17" s="1"/>
  <c r="H23" i="17"/>
  <c r="H59" i="17"/>
  <c r="H61" i="17" s="1"/>
  <c r="H62" i="17" s="1"/>
  <c r="H64" i="17" s="1"/>
  <c r="H47" i="17"/>
  <c r="H49" i="17" s="1"/>
  <c r="H50" i="17" s="1"/>
  <c r="H52" i="17" s="1"/>
  <c r="O3" i="17"/>
  <c r="AX7" i="11"/>
  <c r="AY7" i="11" s="1"/>
  <c r="AV15" i="11"/>
  <c r="C47" i="17" s="1"/>
  <c r="AG27" i="11"/>
  <c r="AH27" i="11" s="1"/>
  <c r="AE36" i="11"/>
  <c r="J35" i="17" s="1"/>
  <c r="BO30" i="11"/>
  <c r="BP30" i="11" s="1"/>
  <c r="AX30" i="11"/>
  <c r="AY30" i="11" s="1"/>
  <c r="AX9" i="11"/>
  <c r="AY9" i="11" s="1"/>
  <c r="AG11" i="11"/>
  <c r="AH11" i="11" s="1"/>
  <c r="BO29" i="11"/>
  <c r="BP29" i="11" s="1"/>
  <c r="AX29" i="11"/>
  <c r="AY29" i="11" s="1"/>
  <c r="BO10" i="11"/>
  <c r="BP10" i="11" s="1"/>
  <c r="BO32" i="11"/>
  <c r="BP32" i="11" s="1"/>
  <c r="AG13" i="11"/>
  <c r="AH13" i="11" s="1"/>
  <c r="P30" i="11"/>
  <c r="Q30" i="11" s="1"/>
  <c r="BO27" i="11"/>
  <c r="BM35" i="11"/>
  <c r="J59" i="17" s="1"/>
  <c r="P10" i="11"/>
  <c r="Q10" i="11" s="1"/>
  <c r="BO7" i="11"/>
  <c r="BP7" i="11" s="1"/>
  <c r="BM15" i="11"/>
  <c r="C59" i="17" s="1"/>
  <c r="AG31" i="11"/>
  <c r="AH31" i="11" s="1"/>
  <c r="E59" i="17"/>
  <c r="E61" i="17" s="1"/>
  <c r="E62" i="17" s="1"/>
  <c r="E64" i="17" s="1"/>
  <c r="E47" i="17"/>
  <c r="E49" i="17" s="1"/>
  <c r="E50" i="17" s="1"/>
  <c r="E52" i="17" s="1"/>
  <c r="L3" i="17"/>
  <c r="E23" i="17"/>
  <c r="E35" i="17"/>
  <c r="E37" i="17" s="1"/>
  <c r="E38" i="17" s="1"/>
  <c r="E40" i="17" s="1"/>
  <c r="BO35" i="11" l="1"/>
  <c r="J61" i="17" s="1"/>
  <c r="L47" i="17"/>
  <c r="L49" i="17" s="1"/>
  <c r="L50" i="17" s="1"/>
  <c r="L52" i="17" s="1"/>
  <c r="E7" i="16" s="1"/>
  <c r="L23" i="17"/>
  <c r="L59" i="17"/>
  <c r="L61" i="17" s="1"/>
  <c r="L62" i="17" s="1"/>
  <c r="L64" i="17" s="1"/>
  <c r="E8" i="16" s="1"/>
  <c r="L35" i="17"/>
  <c r="L37" i="17" s="1"/>
  <c r="L38" i="17" s="1"/>
  <c r="L40" i="17" s="1"/>
  <c r="E6" i="16" s="1"/>
  <c r="N23" i="17"/>
  <c r="N35" i="17"/>
  <c r="N37" i="17" s="1"/>
  <c r="N38" i="17" s="1"/>
  <c r="N40" i="17" s="1"/>
  <c r="G6" i="16" s="1"/>
  <c r="N47" i="17"/>
  <c r="N49" i="17" s="1"/>
  <c r="N50" i="17" s="1"/>
  <c r="N52" i="17" s="1"/>
  <c r="G7" i="16" s="1"/>
  <c r="N59" i="17"/>
  <c r="N61" i="17" s="1"/>
  <c r="N62" i="17" s="1"/>
  <c r="N64" i="17" s="1"/>
  <c r="G8" i="16" s="1"/>
  <c r="E25" i="17"/>
  <c r="E14" i="17" s="1"/>
  <c r="E12" i="17"/>
  <c r="BO15" i="11"/>
  <c r="C61" i="17" s="1"/>
  <c r="BP27" i="11"/>
  <c r="BP35" i="11" s="1"/>
  <c r="AG36" i="11"/>
  <c r="J37" i="17" s="1"/>
  <c r="O47" i="17"/>
  <c r="O49" i="17" s="1"/>
  <c r="O50" i="17" s="1"/>
  <c r="O52" i="17" s="1"/>
  <c r="H7" i="16" s="1"/>
  <c r="O23" i="17"/>
  <c r="O59" i="17"/>
  <c r="O61" i="17" s="1"/>
  <c r="O62" i="17" s="1"/>
  <c r="O64" i="17" s="1"/>
  <c r="H8" i="16" s="1"/>
  <c r="O35" i="17"/>
  <c r="O37" i="17" s="1"/>
  <c r="O38" i="17" s="1"/>
  <c r="O40" i="17" s="1"/>
  <c r="H6" i="16" s="1"/>
  <c r="K47" i="17"/>
  <c r="K49" i="17" s="1"/>
  <c r="K50" i="17" s="1"/>
  <c r="K52" i="17" s="1"/>
  <c r="D7" i="16" s="1"/>
  <c r="K35" i="17"/>
  <c r="K37" i="17" s="1"/>
  <c r="K38" i="17" s="1"/>
  <c r="K40" i="17" s="1"/>
  <c r="D6" i="16" s="1"/>
  <c r="K59" i="17"/>
  <c r="K61" i="17" s="1"/>
  <c r="K62" i="17" s="1"/>
  <c r="K64" i="17" s="1"/>
  <c r="D8" i="16" s="1"/>
  <c r="K23" i="17"/>
  <c r="G25" i="17"/>
  <c r="G14" i="17" s="1"/>
  <c r="G12" i="17"/>
  <c r="M23" i="17"/>
  <c r="M35" i="17"/>
  <c r="M37" i="17" s="1"/>
  <c r="M38" i="17" s="1"/>
  <c r="M40" i="17" s="1"/>
  <c r="F6" i="16" s="1"/>
  <c r="M59" i="17"/>
  <c r="M61" i="17" s="1"/>
  <c r="M62" i="17" s="1"/>
  <c r="M64" i="17" s="1"/>
  <c r="F8" i="16" s="1"/>
  <c r="M47" i="17"/>
  <c r="M49" i="17" s="1"/>
  <c r="M50" i="17" s="1"/>
  <c r="M52" i="17" s="1"/>
  <c r="F7" i="16" s="1"/>
  <c r="F25" i="17"/>
  <c r="F12" i="17"/>
  <c r="P15" i="11"/>
  <c r="C25" i="17" s="1"/>
  <c r="AH18" i="11"/>
  <c r="BP15" i="11"/>
  <c r="AH36" i="11"/>
  <c r="AY35" i="11"/>
  <c r="Q35" i="11"/>
  <c r="Q15" i="11"/>
  <c r="AY15" i="11"/>
  <c r="AX15" i="11"/>
  <c r="C49" i="17" s="1"/>
  <c r="H25" i="17"/>
  <c r="H14" i="17" s="1"/>
  <c r="H12" i="17"/>
  <c r="AX35" i="11"/>
  <c r="J49" i="17" s="1"/>
  <c r="D12" i="17"/>
  <c r="D25" i="17"/>
  <c r="D14" i="17" s="1"/>
  <c r="P35" i="11"/>
  <c r="J25" i="17" s="1"/>
  <c r="AG18" i="11"/>
  <c r="C37" i="17" s="1"/>
  <c r="H26" i="17" l="1"/>
  <c r="H28" i="17" s="1"/>
  <c r="I7" i="16"/>
  <c r="E26" i="17"/>
  <c r="E28" i="17" s="1"/>
  <c r="D26" i="17"/>
  <c r="D28" i="17" s="1"/>
  <c r="H15" i="17"/>
  <c r="E8" i="8"/>
  <c r="J38" i="17"/>
  <c r="J50" i="17"/>
  <c r="E9" i="8"/>
  <c r="G15" i="17"/>
  <c r="I6" i="16"/>
  <c r="O25" i="17"/>
  <c r="O12" i="17"/>
  <c r="C50" i="17"/>
  <c r="D9" i="8"/>
  <c r="D15" i="17"/>
  <c r="D16" i="17" s="1"/>
  <c r="D7" i="8"/>
  <c r="C26" i="17"/>
  <c r="C62" i="17"/>
  <c r="D10" i="8"/>
  <c r="F26" i="17"/>
  <c r="F28" i="17" s="1"/>
  <c r="F14" i="17"/>
  <c r="F15" i="17" s="1"/>
  <c r="M12" i="17"/>
  <c r="F35" i="16" s="1"/>
  <c r="M25" i="17"/>
  <c r="M14" i="17" s="1"/>
  <c r="K25" i="17"/>
  <c r="K12" i="17"/>
  <c r="L25" i="17"/>
  <c r="L14" i="17" s="1"/>
  <c r="E37" i="16" s="1"/>
  <c r="L12" i="17"/>
  <c r="E35" i="16" s="1"/>
  <c r="H16" i="17"/>
  <c r="E7" i="8"/>
  <c r="J26" i="17"/>
  <c r="D8" i="8"/>
  <c r="C38" i="17"/>
  <c r="G26" i="17"/>
  <c r="G28" i="17" s="1"/>
  <c r="I8" i="16"/>
  <c r="J62" i="17"/>
  <c r="E10" i="8"/>
  <c r="E15" i="17"/>
  <c r="N25" i="17"/>
  <c r="N12" i="17"/>
  <c r="F37" i="16" l="1"/>
  <c r="E46" i="8" s="1"/>
  <c r="E48" i="8" s="1"/>
  <c r="E16" i="17"/>
  <c r="E38" i="16"/>
  <c r="M26" i="17"/>
  <c r="M28" i="17" s="1"/>
  <c r="F5" i="16" s="1"/>
  <c r="F9" i="16" s="1"/>
  <c r="M15" i="17"/>
  <c r="G35" i="16"/>
  <c r="F16" i="17"/>
  <c r="H35" i="16"/>
  <c r="N26" i="17"/>
  <c r="N28" i="17" s="1"/>
  <c r="G5" i="16" s="1"/>
  <c r="G9" i="16" s="1"/>
  <c r="N14" i="17"/>
  <c r="G37" i="16" s="1"/>
  <c r="L15" i="17"/>
  <c r="O26" i="17"/>
  <c r="O28" i="17" s="1"/>
  <c r="H5" i="16" s="1"/>
  <c r="H9" i="16" s="1"/>
  <c r="O14" i="17"/>
  <c r="H37" i="16" s="1"/>
  <c r="D46" i="8"/>
  <c r="D48" i="8" s="1"/>
  <c r="D35" i="16"/>
  <c r="G16" i="17"/>
  <c r="L26" i="17"/>
  <c r="L28" i="17" s="1"/>
  <c r="K26" i="17"/>
  <c r="K28" i="17" s="1"/>
  <c r="D5" i="16" s="1"/>
  <c r="K14" i="17"/>
  <c r="D37" i="16" s="1"/>
  <c r="F38" i="16" l="1"/>
  <c r="K15" i="17"/>
  <c r="O15" i="17"/>
  <c r="M16" i="17"/>
  <c r="D9" i="16"/>
  <c r="K16" i="17"/>
  <c r="O16" i="17"/>
  <c r="L16" i="17"/>
  <c r="E5" i="16"/>
  <c r="E9" i="16" s="1"/>
  <c r="I35" i="16"/>
  <c r="C46" i="8"/>
  <c r="H38" i="16"/>
  <c r="G46" i="8"/>
  <c r="G48" i="8" s="1"/>
  <c r="N15" i="17"/>
  <c r="N16" i="17" s="1"/>
  <c r="I37" i="16"/>
  <c r="G38" i="16"/>
  <c r="F46" i="8"/>
  <c r="F48" i="8" s="1"/>
  <c r="I38" i="16" l="1"/>
  <c r="I5" i="16"/>
  <c r="I9" i="16" s="1"/>
  <c r="C48" i="8"/>
  <c r="H46" i="8"/>
  <c r="H48" i="8" s="1"/>
</calcChain>
</file>

<file path=xl/sharedStrings.xml><?xml version="1.0" encoding="utf-8"?>
<sst xmlns="http://schemas.openxmlformats.org/spreadsheetml/2006/main" count="515" uniqueCount="177">
  <si>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</si>
  <si>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</si>
  <si>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</si>
  <si>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</si>
  <si>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</si>
  <si>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</si>
  <si>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</si>
  <si>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</si>
  <si>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</si>
  <si>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</si>
  <si>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</si>
  <si>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</si>
  <si>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</si>
  <si>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</si>
  <si>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</si>
  <si>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</si>
  <si>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</si>
  <si>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</si>
  <si>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</si>
  <si>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</si>
  <si>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</si>
  <si>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</si>
  <si>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</si>
  <si>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</si>
  <si>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</si>
  <si>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</si>
  <si>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</si>
  <si>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</si>
  <si>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</si>
  <si>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</si>
  <si>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</si>
  <si>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</si>
  <si>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</si>
  <si>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</si>
  <si>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</si>
  <si>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</si>
  <si>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</si>
  <si>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</si>
  <si>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</si>
  <si>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</si>
  <si>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</si>
  <si>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</si>
  <si>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</si>
  <si>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</si>
  <si>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</si>
  <si>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</si>
  <si>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</si>
  <si>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</si>
  <si>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</si>
  <si>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</si>
  <si>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</si>
  <si>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</si>
  <si>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</si>
  <si>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</si>
  <si>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</si>
  <si>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</si>
  <si>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</si>
  <si>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</si>
  <si>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</si>
  <si>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</si>
  <si>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</si>
  <si>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</si>
  <si>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</si>
  <si>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</si>
  <si>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</si>
  <si>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Contestable Works Database</t>
  </si>
  <si>
    <t>UG / OH Streetlights</t>
  </si>
  <si>
    <t>UG Pillars / Pits</t>
  </si>
  <si>
    <t>UG Cable Test</t>
  </si>
  <si>
    <t xml:space="preserve">
The commissioning and decommissioning of network equipment associated with ASP Level 1 contestable works. Includes equipment checks, tests and activities associated with setting or resetting network protection systems and the updating of engineering systems.</t>
  </si>
  <si>
    <t>New Service</t>
  </si>
  <si>
    <t>R4</t>
  </si>
  <si>
    <t xml:space="preserve">Complete commissioning tests as per Essential Energy's commissioning policy / procedures </t>
  </si>
  <si>
    <t>Update records such as ENMAC schematic and GIS mapping systems</t>
  </si>
  <si>
    <t>Travel to / from site for cable test</t>
  </si>
  <si>
    <t xml:space="preserve">Review ASP construction </t>
  </si>
  <si>
    <r>
      <t xml:space="preserve">
</t>
    </r>
    <r>
      <rPr>
        <sz val="10"/>
        <color rgb="FFFF0000"/>
        <rFont val="Arial"/>
        <family val="2"/>
      </rPr>
      <t>New Service</t>
    </r>
    <r>
      <rPr>
        <sz val="10"/>
        <color theme="1"/>
        <rFont val="Arial"/>
        <family val="2"/>
      </rPr>
      <t xml:space="preserve"> </t>
    </r>
  </si>
  <si>
    <t>Bottom Up Estimation</t>
  </si>
  <si>
    <t>Testing &amp; Commissioning of streetlights</t>
  </si>
  <si>
    <t xml:space="preserve">Testing &amp; Commissioning of  Underground &amp; Overhead distribution mains </t>
  </si>
  <si>
    <t>Testing &amp; Commissioning of Underground pillars</t>
  </si>
  <si>
    <t>Testing &amp; Commissioning of Underground Cables</t>
  </si>
  <si>
    <t>Travel to / from site for streetlight commissioning*</t>
  </si>
  <si>
    <t>*Travel time reduced as SL commissioning completed as part of group of SL's</t>
  </si>
  <si>
    <t xml:space="preserve"> - </t>
  </si>
  <si>
    <t>Review pre commissioning tests / check completed by ASP (pre energisation)</t>
  </si>
  <si>
    <t xml:space="preserve">Existing Service Description (2014 - 19) </t>
  </si>
  <si>
    <t>Testing &amp; commissioning of streetlights / mains / UG pillars / cables (NEW)</t>
  </si>
  <si>
    <t>Travel to / from site for Mains Commissioning</t>
  </si>
  <si>
    <t>*Travel time reduced as SL commissioning completed as part of group of pillars</t>
  </si>
  <si>
    <t>Travel to / from site for commissioning*</t>
  </si>
  <si>
    <t>Review impacted customers and mail out outage notifications (EE notified)</t>
  </si>
  <si>
    <t>R1a</t>
  </si>
  <si>
    <t>Process network configuration upgrade such as Power On "patches" and GIS maps</t>
  </si>
  <si>
    <t xml:space="preserve">Review protection setting and process NAR request </t>
  </si>
  <si>
    <t>R2a</t>
  </si>
  <si>
    <t>Write switching sheet (pre and approved)</t>
  </si>
  <si>
    <t xml:space="preserve">Update network schematics (patches) and GIS mapping </t>
  </si>
  <si>
    <t>Cancel Construction Access Permit -  Issue Test Access Permit</t>
  </si>
  <si>
    <t>Cancel Test Acess Permit - Issue Construction Access Permit</t>
  </si>
  <si>
    <t>Operating Costs (on IO's, work orders, cost objects, cost centres)</t>
  </si>
  <si>
    <t>Project Code</t>
  </si>
  <si>
    <t>FY22/23</t>
  </si>
  <si>
    <t>UG/OH Streetlights</t>
  </si>
  <si>
    <t>UG / OH Distribution Mains</t>
  </si>
  <si>
    <t>UG/OH Distribution Mains</t>
  </si>
  <si>
    <t>UG Pillar Pits</t>
  </si>
  <si>
    <t>Projected Volumes for FY2019-24 Regulatory Period</t>
  </si>
  <si>
    <r>
      <rPr>
        <sz val="10"/>
        <color rgb="FFFF0000"/>
        <rFont val="Arial"/>
        <family val="2"/>
      </rPr>
      <t>New Service</t>
    </r>
    <r>
      <rPr>
        <sz val="10"/>
        <rFont val="Arial"/>
        <family val="2"/>
      </rPr>
      <t xml:space="preserve">
</t>
    </r>
    <r>
      <rPr>
        <sz val="10"/>
        <color rgb="FFFF0000"/>
        <rFont val="Arial"/>
        <family val="2"/>
      </rPr>
      <t>Essential Energy estimates 120 S/L commissioning tasks each year.</t>
    </r>
  </si>
  <si>
    <t>Underground and Overhead streetlights  (fixed fee) NT</t>
  </si>
  <si>
    <t>Underground and Overhead streetlights  (fixed fee) OT</t>
  </si>
  <si>
    <t>Underground and Overhead distribution mains (fixed fee) OT</t>
  </si>
  <si>
    <t>Underground and Overhead distribution mains (fixed fee) NT</t>
  </si>
  <si>
    <t>Underground pillars (fixed fee) NT</t>
  </si>
  <si>
    <t>Underground pillars (fixed fee) OT</t>
  </si>
  <si>
    <t>Underground cable test (fixed fee) NT</t>
  </si>
  <si>
    <t>Fixed Fee NT</t>
  </si>
  <si>
    <t>Fixed Fee OT</t>
  </si>
  <si>
    <t xml:space="preserve">Operating Costs - </t>
  </si>
  <si>
    <t>Underground cable test - IR Test (fixed fee) OT</t>
  </si>
  <si>
    <t xml:space="preserve">New Service - Test &amp; Commissioning </t>
  </si>
  <si>
    <t xml:space="preserve">Complete IR cable tests as per Essential Energy's commissioning policy / procedures </t>
  </si>
  <si>
    <t>New Service. No historical operating costs available.</t>
  </si>
  <si>
    <t>New Service. No historical revenue available.</t>
  </si>
  <si>
    <t>FY17/18</t>
  </si>
  <si>
    <t>FY18/19</t>
  </si>
  <si>
    <t>FY14/16</t>
  </si>
  <si>
    <t>FY15/17</t>
  </si>
  <si>
    <t>ANS P&amp;L Report</t>
  </si>
  <si>
    <t>Commissioning requirements as part of Essential Energy Policy CEOP5125 "Network Asset Testing and Commissioning"</t>
  </si>
  <si>
    <r>
      <t xml:space="preserve">
</t>
    </r>
    <r>
      <rPr>
        <b/>
        <sz val="10"/>
        <color theme="1"/>
        <rFont val="Arial"/>
        <family val="2"/>
      </rPr>
      <t>Testing &amp; commissioning of streetlights / mains / UG pillars / cables</t>
    </r>
    <r>
      <rPr>
        <sz val="10"/>
        <color theme="1"/>
        <rFont val="Arial"/>
        <family val="2"/>
      </rPr>
      <t xml:space="preserve">
The completion of commissioning tests by Essential Energy of new electrical assets which form part of the contestable connection work including:
- Overhead and Underground streetlight commissioning;
- Overhead and Underground live low voltage connection - connection of Distribution Mains  (other than completed under an AP);
- Underground pillar box / pit commissioning;
- Underground cable tests (IR / VLF Test)
Essential Energy will perform the required testing and commissioning activities as per current policies and the subsequent recording in Essential Energy's asset system.</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</si>
  <si>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</si>
  <si>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</si>
  <si>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</si>
  <si>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</si>
  <si>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</si>
  <si>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</si>
  <si>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</si>
  <si>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</si>
  <si>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</si>
  <si>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</si>
  <si>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</si>
  <si>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</si>
  <si>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</si>
  <si>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</si>
  <si>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</si>
  <si>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</si>
  <si>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</si>
  <si>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 xml:space="preserve">Complete tests as per Essential Energy's commissioning policy / procedures </t>
  </si>
  <si>
    <t>Real 2018-19 (including labour escalation)</t>
  </si>
  <si>
    <t>Labour</t>
  </si>
  <si>
    <t>Fleet</t>
  </si>
  <si>
    <t>Total costs before OHDs, non-system and margin</t>
  </si>
  <si>
    <t>Profit margin</t>
  </si>
  <si>
    <t xml:space="preserve">Estimated have been provided on the work effort that will be required to complete each service
</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</si>
  <si>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</si>
  <si>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</si>
  <si>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</si>
  <si>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</si>
  <si>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</si>
  <si>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</si>
  <si>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</si>
  <si>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</si>
  <si>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</si>
  <si>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</si>
  <si>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</si>
  <si>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</si>
  <si>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</si>
  <si>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</si>
  <si>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</si>
  <si>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</si>
  <si>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</si>
  <si>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</si>
  <si>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</si>
  <si>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3.2 Testing &amp; Commissioning of S/L's, Cables, Mains &amp; Pillars</t>
  </si>
  <si>
    <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</si>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</sst>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Arial"/>
      <family val="2"/>
    </font>
    <font>
      <b/>
      <sz val="10"/>
      <color theme="0"/>
      <name val="Arial"/>
      <family val="2"/>
    </font>
    <font>
      <sz val="10"/>
      <color theme="0"/>
      <name val="Arial"/>
      <family val="2"/>
    </font>
    <font>
      <b/>
      <sz val="10"/>
      <name val="Arial"/>
      <family val="2"/>
    </font>
    <font>
      <b/>
      <sz val="10"/>
      <color theme="1"/>
      <name val="Arial"/>
      <family val="2"/>
    </font>
    <font>
      <b/>
      <sz val="7"/>
      <color theme="1"/>
      <name val="Arial"/>
      <family val="2"/>
    </font>
    <font>
      <b/>
      <sz val="7"/>
      <name val="Arial"/>
      <family val="2"/>
    </font>
    <font>
      <b/>
      <sz val="8"/>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74">
    <xf numFmtId="0" fontId="0" fillId="0" borderId="0" xfId="0"/>
    <xf numFmtId="0" fontId="2" fillId="0" borderId="0" xfId="0" applyFont="1"/>
    <xf numFmtId="0" fontId="7" fillId="5" borderId="3" xfId="0" applyFont="1" applyFill="1" applyBorder="1"/>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5" fillId="8" borderId="4" xfId="0" applyNumberFormat="1" applyFont="1" applyFill="1" applyBorder="1" applyAlignment="1">
      <alignment horizontal="center" vertical="center" wrapText="1"/>
    </xf>
    <xf numFmtId="170" fontId="4" fillId="10" borderId="10" xfId="0" applyNumberFormat="1" applyFont="1" applyFill="1" applyBorder="1" applyAlignment="1">
      <alignment horizont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13" xfId="0" applyNumberFormat="1" applyFont="1" applyFill="1" applyBorder="1" applyAlignment="1">
      <alignment horizontal="center"/>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0" fontId="2" fillId="0" borderId="7" xfId="0" applyFont="1" applyBorder="1"/>
    <xf numFmtId="170" fontId="7" fillId="9" borderId="0" xfId="0" applyNumberFormat="1" applyFont="1" applyFill="1" applyBorder="1" applyAlignment="1">
      <alignment horizontal="left"/>
    </xf>
    <xf numFmtId="168" fontId="2" fillId="10" borderId="5" xfId="2" applyNumberFormat="1" applyFont="1" applyFill="1" applyBorder="1" applyAlignment="1">
      <alignment horizontal="center"/>
    </xf>
    <xf numFmtId="3" fontId="2" fillId="10" borderId="4" xfId="0" applyNumberFormat="1" applyFont="1" applyFill="1" applyBorder="1"/>
    <xf numFmtId="0" fontId="5" fillId="8" borderId="9" xfId="0" applyFont="1" applyFill="1" applyBorder="1" applyAlignment="1">
      <alignment horizontal="center" vertical="center" wrapText="1"/>
    </xf>
    <xf numFmtId="170" fontId="5" fillId="8" borderId="9" xfId="0" applyNumberFormat="1"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2" xfId="0" applyNumberFormat="1" applyFont="1" applyFill="1" applyBorder="1" applyAlignment="1">
      <alignment horizontal="left"/>
    </xf>
    <xf numFmtId="170" fontId="7" fillId="9" borderId="3" xfId="0" applyNumberFormat="1" applyFont="1" applyFill="1" applyBorder="1" applyAlignment="1">
      <alignment horizontal="left"/>
    </xf>
    <xf numFmtId="0" fontId="4" fillId="10" borderId="4" xfId="0" applyFont="1" applyFill="1" applyBorder="1" applyAlignment="1">
      <alignment horizontal="center" vertical="center"/>
    </xf>
    <xf numFmtId="2" fontId="4" fillId="10" borderId="4" xfId="0" applyNumberFormat="1" applyFont="1" applyFill="1" applyBorder="1" applyAlignment="1">
      <alignment horizontal="center" vertical="center"/>
    </xf>
    <xf numFmtId="1" fontId="4" fillId="10" borderId="4" xfId="0" applyNumberFormat="1" applyFont="1" applyFill="1" applyBorder="1" applyAlignment="1">
      <alignment horizontal="center"/>
    </xf>
    <xf numFmtId="1" fontId="4" fillId="10" borderId="4" xfId="0" applyNumberFormat="1" applyFont="1" applyFill="1" applyBorder="1" applyAlignment="1">
      <alignment horizontal="center" vertical="center"/>
    </xf>
    <xf numFmtId="2" fontId="4" fillId="10" borderId="4" xfId="3" applyNumberFormat="1" applyFont="1" applyFill="1" applyBorder="1" applyAlignment="1">
      <alignment horizontal="center" vertical="center"/>
    </xf>
    <xf numFmtId="0" fontId="7" fillId="5" borderId="8" xfId="0" applyFont="1" applyFill="1" applyBorder="1" applyAlignment="1">
      <alignment horizontal="center"/>
    </xf>
    <xf numFmtId="0" fontId="5" fillId="8" borderId="0" xfId="0" applyFont="1" applyFill="1" applyAlignment="1">
      <alignment horizontal="left"/>
    </xf>
    <xf numFmtId="0" fontId="5" fillId="8" borderId="0" xfId="0" applyFont="1" applyFill="1" applyBorder="1" applyAlignment="1">
      <alignment horizontal="left"/>
    </xf>
    <xf numFmtId="0" fontId="9" fillId="10" borderId="4" xfId="0" applyFont="1" applyFill="1" applyBorder="1" applyAlignment="1">
      <alignment horizontal="left"/>
    </xf>
    <xf numFmtId="0" fontId="9" fillId="4" borderId="0" xfId="0" applyFont="1" applyFill="1" applyBorder="1" applyAlignment="1">
      <alignment horizontal="left" vertical="top" wrapText="1"/>
    </xf>
    <xf numFmtId="0" fontId="5" fillId="8" borderId="0" xfId="0" applyFont="1" applyFill="1" applyAlignment="1">
      <alignment horizontal="left"/>
    </xf>
    <xf numFmtId="0" fontId="13" fillId="0" borderId="0" xfId="0" applyFont="1"/>
    <xf numFmtId="0" fontId="14" fillId="8" borderId="11" xfId="0" applyFont="1" applyFill="1" applyBorder="1"/>
    <xf numFmtId="0" fontId="15" fillId="8" borderId="0" xfId="0" applyFont="1" applyFill="1"/>
    <xf numFmtId="0" fontId="13" fillId="0" borderId="0" xfId="0" applyFont="1" applyFill="1"/>
    <xf numFmtId="0" fontId="16" fillId="9" borderId="4" xfId="0" applyFont="1" applyFill="1" applyBorder="1"/>
    <xf numFmtId="0" fontId="13"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9" fillId="2" borderId="4" xfId="0" applyFont="1" applyFill="1" applyBorder="1" applyAlignment="1">
      <alignment vertical="center"/>
    </xf>
    <xf numFmtId="0" fontId="20"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0" xfId="0" applyFont="1" applyFill="1" applyBorder="1" applyAlignment="1">
      <alignment vertical="top"/>
    </xf>
    <xf numFmtId="170" fontId="13" fillId="7" borderId="4" xfId="0" applyNumberFormat="1" applyFont="1" applyFill="1" applyBorder="1" applyAlignment="1">
      <alignment horizontal="center"/>
    </xf>
    <xf numFmtId="170" fontId="18" fillId="7" borderId="4" xfId="0" applyNumberFormat="1" applyFont="1" applyFill="1" applyBorder="1" applyAlignment="1">
      <alignment horizontal="center"/>
    </xf>
    <xf numFmtId="170" fontId="13" fillId="7" borderId="0" xfId="0" applyNumberFormat="1" applyFont="1" applyFill="1" applyBorder="1" applyAlignment="1">
      <alignment horizontal="center"/>
    </xf>
    <xf numFmtId="170" fontId="13" fillId="3" borderId="4" xfId="0" applyNumberFormat="1" applyFont="1" applyFill="1" applyBorder="1" applyAlignment="1">
      <alignment horizontal="center"/>
    </xf>
    <xf numFmtId="0" fontId="13" fillId="7" borderId="0" xfId="0" applyFont="1" applyFill="1" applyBorder="1" applyAlignment="1">
      <alignment vertic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3" fillId="7" borderId="0" xfId="0" applyFont="1" applyFill="1" applyBorder="1" applyAlignment="1">
      <alignment horizontal="left" vertical="top" wrapText="1"/>
    </xf>
    <xf numFmtId="0" fontId="14" fillId="8" borderId="0" xfId="0" applyFont="1" applyFill="1"/>
    <xf numFmtId="0" fontId="13" fillId="7" borderId="0" xfId="0" applyFont="1" applyFill="1" applyBorder="1" applyAlignment="1">
      <alignment horizontal="left"/>
    </xf>
    <xf numFmtId="0" fontId="13" fillId="0" borderId="0" xfId="0" applyFont="1" applyAlignment="1">
      <alignment horizontal="left"/>
    </xf>
    <xf numFmtId="0" fontId="13" fillId="7" borderId="0" xfId="0" applyFont="1" applyFill="1" applyBorder="1" applyAlignment="1">
      <alignment horizontal="left" wrapText="1"/>
    </xf>
    <xf numFmtId="0" fontId="13" fillId="0" borderId="0" xfId="0" applyFont="1" applyFill="1" applyBorder="1" applyAlignment="1">
      <alignment horizontal="left"/>
    </xf>
    <xf numFmtId="0" fontId="16" fillId="2" borderId="3" xfId="0" applyFont="1" applyFill="1" applyBorder="1"/>
    <xf numFmtId="0" fontId="13"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1" fillId="0" borderId="0" xfId="2" applyNumberFormat="1" applyFont="1"/>
    <xf numFmtId="168" fontId="16" fillId="2" borderId="7" xfId="2" applyNumberFormat="1" applyFont="1" applyFill="1" applyBorder="1"/>
    <xf numFmtId="10" fontId="13" fillId="0" borderId="0" xfId="1" applyNumberFormat="1" applyFont="1"/>
    <xf numFmtId="10" fontId="13" fillId="0" borderId="0" xfId="0" applyNumberFormat="1" applyFont="1"/>
    <xf numFmtId="171" fontId="13" fillId="0" borderId="0" xfId="1" applyNumberFormat="1" applyFont="1"/>
    <xf numFmtId="0" fontId="14"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1" fillId="0" borderId="0" xfId="3" applyNumberFormat="1" applyFont="1" applyAlignment="1"/>
    <xf numFmtId="172" fontId="16" fillId="2" borderId="7" xfId="2" applyNumberFormat="1" applyFont="1" applyFill="1" applyBorder="1" applyAlignment="1"/>
    <xf numFmtId="169" fontId="23" fillId="0" borderId="0" xfId="3" applyNumberFormat="1" applyFont="1" applyAlignment="1">
      <alignment horizontal="right"/>
    </xf>
    <xf numFmtId="169" fontId="23" fillId="0" borderId="0" xfId="3" applyNumberFormat="1" applyFont="1" applyAlignment="1">
      <alignment horizontal="center" vertical="center"/>
    </xf>
    <xf numFmtId="0" fontId="7" fillId="2" borderId="6" xfId="0"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170" fontId="7" fillId="9" borderId="0" xfId="0" applyNumberFormat="1" applyFont="1" applyFill="1" applyBorder="1" applyAlignment="1"/>
    <xf numFmtId="170" fontId="7" fillId="9" borderId="3" xfId="0" applyNumberFormat="1" applyFont="1" applyFill="1" applyBorder="1" applyAlignment="1"/>
    <xf numFmtId="2" fontId="4" fillId="10" borderId="14" xfId="0" applyNumberFormat="1" applyFont="1" applyFill="1" applyBorder="1" applyAlignment="1">
      <alignment horizontal="center"/>
    </xf>
    <xf numFmtId="1" fontId="4" fillId="10" borderId="14" xfId="0" applyNumberFormat="1" applyFont="1" applyFill="1" applyBorder="1" applyAlignment="1">
      <alignment horizontal="center"/>
    </xf>
    <xf numFmtId="2" fontId="4" fillId="10" borderId="14" xfId="3" applyNumberFormat="1" applyFont="1" applyFill="1" applyBorder="1" applyAlignment="1">
      <alignment horizontal="center"/>
    </xf>
    <xf numFmtId="4" fontId="4" fillId="10" borderId="14" xfId="0" applyNumberFormat="1" applyFont="1" applyFill="1" applyBorder="1" applyAlignment="1">
      <alignment horizontal="center"/>
    </xf>
    <xf numFmtId="4" fontId="4" fillId="10" borderId="4" xfId="0" applyNumberFormat="1"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24"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5"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6" fillId="4" borderId="5" xfId="0" applyFont="1" applyFill="1" applyBorder="1"/>
    <xf numFmtId="0" fontId="2" fillId="4" borderId="4" xfId="0" applyFont="1" applyFill="1" applyBorder="1" applyAlignment="1">
      <alignment horizontal="left"/>
    </xf>
    <xf numFmtId="167" fontId="27"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0" fontId="6" fillId="4" borderId="4" xfId="0" applyFont="1" applyFill="1" applyBorder="1" applyAlignment="1">
      <alignment horizontal="left"/>
    </xf>
    <xf numFmtId="167" fontId="28"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170" fontId="2" fillId="7" borderId="4" xfId="0" applyNumberFormat="1" applyFont="1" applyFill="1" applyBorder="1" applyAlignment="1">
      <alignment horizontal="left"/>
    </xf>
    <xf numFmtId="0" fontId="7" fillId="5" borderId="4" xfId="0" applyFont="1" applyFill="1" applyBorder="1" applyAlignment="1">
      <alignment horizontal="right"/>
    </xf>
    <xf numFmtId="168" fontId="2" fillId="10" borderId="4" xfId="2" applyNumberFormat="1" applyFont="1" applyFill="1" applyBorder="1" applyAlignment="1">
      <alignment horizontal="center"/>
    </xf>
    <xf numFmtId="168" fontId="6" fillId="11" borderId="4" xfId="2" applyNumberFormat="1" applyFont="1" applyFill="1" applyBorder="1"/>
    <xf numFmtId="0" fontId="4" fillId="5" borderId="4" xfId="0" applyFont="1" applyFill="1" applyBorder="1"/>
    <xf numFmtId="168" fontId="7" fillId="5" borderId="4" xfId="2" applyNumberFormat="1" applyFont="1" applyFill="1" applyBorder="1"/>
    <xf numFmtId="0" fontId="7" fillId="5" borderId="4" xfId="0" applyFont="1" applyFill="1" applyBorder="1" applyAlignment="1">
      <alignment horizontal="lef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3" fontId="7" fillId="11" borderId="4" xfId="0" applyNumberFormat="1" applyFont="1" applyFill="1" applyBorder="1"/>
    <xf numFmtId="0" fontId="7" fillId="11" borderId="4" xfId="0" applyFont="1" applyFill="1" applyBorder="1" applyAlignment="1">
      <alignment horizontal="right"/>
    </xf>
    <xf numFmtId="0" fontId="7" fillId="11" borderId="4" xfId="0" applyFont="1" applyFill="1" applyBorder="1" applyAlignment="1">
      <alignment horizontal="left"/>
    </xf>
    <xf numFmtId="0" fontId="7" fillId="11" borderId="4" xfId="0" applyFont="1" applyFill="1" applyBorder="1" applyAlignment="1">
      <alignment horizontal="center"/>
    </xf>
    <xf numFmtId="0" fontId="9" fillId="4" borderId="4" xfId="0" applyFont="1" applyFill="1" applyBorder="1"/>
    <xf numFmtId="0" fontId="17" fillId="7" borderId="10"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3" fillId="7" borderId="0" xfId="0" applyFont="1" applyFill="1" applyBorder="1" applyAlignment="1">
      <alignment horizontal="left" wrapText="1"/>
    </xf>
    <xf numFmtId="0" fontId="1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7" fillId="9" borderId="5" xfId="0" applyFont="1" applyFill="1" applyBorder="1" applyAlignment="1">
      <alignment horizontal="left" vertical="center"/>
    </xf>
    <xf numFmtId="0" fontId="16" fillId="9" borderId="5" xfId="0" applyFont="1" applyFill="1" applyBorder="1" applyAlignment="1">
      <alignment horizontal="left" vertical="center"/>
    </xf>
    <xf numFmtId="170" fontId="21" fillId="7" borderId="5" xfId="0" applyNumberFormat="1" applyFont="1" applyFill="1" applyBorder="1" applyAlignment="1">
      <alignment horizontal="left"/>
    </xf>
    <xf numFmtId="170" fontId="21" fillId="7" borderId="2" xfId="0" applyNumberFormat="1" applyFont="1" applyFill="1" applyBorder="1" applyAlignment="1">
      <alignment horizontal="left"/>
    </xf>
    <xf numFmtId="0" fontId="13" fillId="2" borderId="11" xfId="0" applyFont="1" applyFill="1" applyBorder="1" applyAlignment="1">
      <alignment horizontal="center"/>
    </xf>
    <xf numFmtId="0" fontId="13" fillId="2" borderId="12" xfId="0" applyFont="1" applyFill="1" applyBorder="1" applyAlignment="1">
      <alignment horizontal="center"/>
    </xf>
    <xf numFmtId="0" fontId="13" fillId="7" borderId="1" xfId="0" applyFont="1" applyFill="1" applyBorder="1" applyAlignment="1">
      <alignment horizontal="left" wrapText="1"/>
    </xf>
    <xf numFmtId="0" fontId="22" fillId="7" borderId="0" xfId="0" quotePrefix="1" applyFont="1" applyFill="1" applyBorder="1" applyAlignment="1">
      <alignment horizontal="left" vertical="top" wrapText="1"/>
    </xf>
    <xf numFmtId="0" fontId="13" fillId="7" borderId="0" xfId="0" quotePrefix="1" applyFont="1" applyFill="1" applyBorder="1" applyAlignment="1">
      <alignment horizontal="left" vertical="top" wrapText="1"/>
    </xf>
    <xf numFmtId="0" fontId="1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8" borderId="8" xfId="0" applyFont="1" applyFill="1" applyBorder="1" applyAlignment="1">
      <alignment horizontal="left"/>
    </xf>
    <xf numFmtId="0" fontId="5" fillId="8" borderId="0" xfId="0" applyFont="1" applyFill="1" applyBorder="1" applyAlignment="1">
      <alignment horizontal="left"/>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10" fontId="25" fillId="14" borderId="12" xfId="0" applyNumberFormat="1" applyFont="1" applyFill="1" applyBorder="1" applyAlignment="1">
      <alignment horizontal="center"/>
    </xf>
    <xf numFmtId="10" fontId="25" fillId="14" borderId="0" xfId="0" applyNumberFormat="1" applyFont="1" applyFill="1" applyBorder="1" applyAlignment="1">
      <alignment horizontal="center"/>
    </xf>
    <xf numFmtId="0" fontId="4" fillId="4" borderId="1" xfId="0" applyFont="1" applyFill="1" applyBorder="1" applyAlignment="1">
      <alignment horizontal="left" vertical="top" wrapText="1"/>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7" fontId="28"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S61"/>
  <sheetViews>
    <sheetView showGridLines="0" tabSelected="1" zoomScale="90" zoomScaleNormal="90" workbookViewId="0">
      <selection activeCell="H60" sqref="H60"/>
    </sheetView>
  </sheetViews>
  <sheetFormatPr defaultColWidth="9.140625" defaultRowHeight="12.75" x14ac:dyDescent="0.2"/>
  <cols>
    <col min="1" max="1" width="2.42578125" style="116" customWidth="1"/>
    <col min="2" max="2" width="41.85546875" style="116" customWidth="1"/>
    <col min="3" max="3" width="26.28515625" style="116" customWidth="1"/>
    <col min="4" max="4" width="16.7109375" style="116" customWidth="1"/>
    <col min="5" max="5" width="15.28515625" style="116" customWidth="1"/>
    <col min="6" max="6" width="14" style="116" customWidth="1"/>
    <col min="7" max="7" width="12.85546875" style="116" customWidth="1"/>
    <col min="8" max="8" width="13.28515625" style="116" customWidth="1"/>
    <col min="9" max="9" width="11.5703125" style="116" customWidth="1"/>
    <col min="10" max="16384" width="9.140625" style="116"/>
  </cols>
  <sheetData>
    <row r="1" spans="2:19" ht="13.5" customHeight="1" x14ac:dyDescent="0.2"/>
    <row r="2" spans="2:19" x14ac:dyDescent="0.2">
      <c r="B2" s="117" t="s">
        <v>7</v>
      </c>
      <c r="C2" s="118"/>
      <c r="D2" s="118"/>
      <c r="E2" s="118"/>
      <c r="F2" s="118"/>
      <c r="G2" s="118"/>
      <c r="H2" s="118"/>
      <c r="O2" s="119"/>
      <c r="P2" s="119"/>
      <c r="Q2" s="119"/>
      <c r="R2" s="119"/>
      <c r="S2" s="119"/>
    </row>
    <row r="3" spans="2:19" ht="75.75" customHeight="1" x14ac:dyDescent="0.2">
      <c r="B3" s="120" t="s">
        <v>56</v>
      </c>
      <c r="C3" s="224" t="s">
        <v>87</v>
      </c>
      <c r="D3" s="225"/>
      <c r="E3" s="225"/>
      <c r="F3" s="225"/>
      <c r="G3" s="225"/>
      <c r="H3" s="225"/>
      <c r="M3" s="121"/>
      <c r="N3" s="121"/>
      <c r="O3" s="119"/>
      <c r="P3" s="119"/>
      <c r="Q3" s="119"/>
      <c r="R3" s="119"/>
      <c r="S3" s="119"/>
    </row>
    <row r="4" spans="2:19" ht="55.5" customHeight="1" x14ac:dyDescent="0.2">
      <c r="B4" s="122"/>
      <c r="C4" s="233"/>
      <c r="D4" s="234"/>
      <c r="E4" s="234"/>
      <c r="F4" s="123"/>
      <c r="G4" s="123"/>
      <c r="H4" s="123"/>
      <c r="M4" s="121"/>
      <c r="N4" s="121"/>
      <c r="O4" s="119"/>
      <c r="P4" s="119"/>
      <c r="Q4" s="119"/>
      <c r="R4" s="119"/>
      <c r="S4" s="119"/>
    </row>
    <row r="5" spans="2:19" ht="15" customHeight="1" x14ac:dyDescent="0.2">
      <c r="B5" s="124" t="s">
        <v>13</v>
      </c>
      <c r="C5" s="125"/>
      <c r="D5" s="126" t="s">
        <v>116</v>
      </c>
      <c r="E5" s="126" t="s">
        <v>117</v>
      </c>
      <c r="F5" s="127"/>
      <c r="G5" s="127"/>
      <c r="H5" s="127"/>
      <c r="M5" s="121"/>
      <c r="N5" s="121"/>
      <c r="O5" s="119"/>
      <c r="P5" s="119"/>
      <c r="Q5" s="119"/>
      <c r="R5" s="119"/>
      <c r="S5" s="119"/>
    </row>
    <row r="6" spans="2:19" x14ac:dyDescent="0.2">
      <c r="B6" s="128" t="s">
        <v>41</v>
      </c>
      <c r="C6" s="129"/>
      <c r="D6" s="130" t="s">
        <v>84</v>
      </c>
      <c r="E6" s="129" t="s">
        <v>84</v>
      </c>
      <c r="F6" s="131"/>
      <c r="G6" s="131"/>
      <c r="H6" s="131"/>
      <c r="M6" s="121"/>
      <c r="N6" s="121"/>
      <c r="O6" s="119"/>
      <c r="P6" s="119"/>
      <c r="Q6" s="119"/>
      <c r="R6" s="119"/>
      <c r="S6" s="119"/>
    </row>
    <row r="7" spans="2:19" x14ac:dyDescent="0.2">
      <c r="B7" s="229" t="s">
        <v>131</v>
      </c>
      <c r="C7" s="209" t="s">
        <v>66</v>
      </c>
      <c r="D7" s="132">
        <f>'Proposed price'!Q15</f>
        <v>86.101066759681686</v>
      </c>
      <c r="E7" s="132">
        <f>'Proposed price'!Q35</f>
        <v>142.39679895462876</v>
      </c>
      <c r="F7" s="133"/>
      <c r="G7" s="133"/>
      <c r="H7" s="133"/>
      <c r="O7" s="119"/>
      <c r="P7" s="119"/>
      <c r="Q7" s="119"/>
      <c r="R7" s="119"/>
      <c r="S7" s="119"/>
    </row>
    <row r="8" spans="2:19" x14ac:dyDescent="0.2">
      <c r="B8" s="230"/>
      <c r="C8" s="209" t="s">
        <v>104</v>
      </c>
      <c r="D8" s="132">
        <f>'Proposed price'!AH18</f>
        <v>2117.4038532792915</v>
      </c>
      <c r="E8" s="132">
        <f>'Proposed price'!AH36</f>
        <v>3130.7270327883389</v>
      </c>
      <c r="F8" s="133"/>
      <c r="G8" s="133"/>
      <c r="H8" s="133"/>
      <c r="O8" s="119"/>
      <c r="P8" s="119"/>
      <c r="Q8" s="119"/>
      <c r="R8" s="119"/>
      <c r="S8" s="119"/>
    </row>
    <row r="9" spans="2:19" x14ac:dyDescent="0.2">
      <c r="B9" s="230"/>
      <c r="C9" s="209" t="s">
        <v>67</v>
      </c>
      <c r="D9" s="132">
        <f>'Proposed price'!AY15</f>
        <v>86.101066759681686</v>
      </c>
      <c r="E9" s="132">
        <f>'Proposed price'!AY35</f>
        <v>142.39679895462876</v>
      </c>
      <c r="F9" s="133"/>
      <c r="G9" s="133"/>
      <c r="H9" s="133"/>
      <c r="O9" s="119"/>
      <c r="P9" s="119"/>
      <c r="Q9" s="119"/>
      <c r="R9" s="119"/>
      <c r="S9" s="119"/>
    </row>
    <row r="10" spans="2:19" x14ac:dyDescent="0.2">
      <c r="B10" s="230"/>
      <c r="C10" s="209" t="s">
        <v>68</v>
      </c>
      <c r="D10" s="132">
        <f>'Proposed price'!BP15</f>
        <v>749.07928080923057</v>
      </c>
      <c r="E10" s="132">
        <f>'Proposed price'!BP35</f>
        <v>1238.8521509052707</v>
      </c>
      <c r="F10" s="133"/>
      <c r="G10" s="133"/>
      <c r="H10" s="133"/>
      <c r="O10" s="119"/>
      <c r="P10" s="119"/>
      <c r="Q10" s="119"/>
      <c r="R10" s="119"/>
      <c r="S10" s="119"/>
    </row>
    <row r="11" spans="2:19" x14ac:dyDescent="0.2">
      <c r="B11" s="134" t="s">
        <v>47</v>
      </c>
      <c r="C11" s="231" t="s">
        <v>77</v>
      </c>
      <c r="D11" s="232"/>
      <c r="E11" s="232"/>
      <c r="F11" s="135"/>
      <c r="G11" s="135"/>
      <c r="H11" s="135"/>
      <c r="O11" s="119"/>
      <c r="P11" s="119"/>
      <c r="Q11" s="119"/>
      <c r="R11" s="119"/>
      <c r="S11" s="119"/>
    </row>
    <row r="12" spans="2:19" x14ac:dyDescent="0.2">
      <c r="B12" s="136" t="s">
        <v>5</v>
      </c>
      <c r="C12" s="137"/>
      <c r="D12" s="137"/>
      <c r="E12" s="137"/>
      <c r="F12" s="137"/>
      <c r="G12" s="137"/>
      <c r="H12" s="138"/>
      <c r="O12" s="119"/>
      <c r="P12" s="119"/>
      <c r="Q12" s="119"/>
      <c r="R12" s="119"/>
      <c r="S12" s="119"/>
    </row>
    <row r="13" spans="2:19" ht="183.75" customHeight="1" x14ac:dyDescent="0.2">
      <c r="B13" s="227" t="s">
        <v>130</v>
      </c>
      <c r="C13" s="227"/>
      <c r="D13" s="227"/>
      <c r="E13" s="227"/>
      <c r="F13" s="227"/>
      <c r="G13" s="227"/>
      <c r="H13" s="227"/>
      <c r="O13" s="119"/>
      <c r="P13" s="119"/>
      <c r="Q13" s="119"/>
      <c r="R13" s="119"/>
      <c r="S13" s="119"/>
    </row>
    <row r="14" spans="2:19" x14ac:dyDescent="0.2">
      <c r="B14" s="139"/>
      <c r="C14" s="139"/>
      <c r="D14" s="139"/>
      <c r="E14" s="139"/>
      <c r="F14" s="139"/>
      <c r="G14" s="139"/>
      <c r="H14" s="139"/>
      <c r="O14" s="119"/>
      <c r="P14" s="119"/>
      <c r="Q14" s="119"/>
      <c r="R14" s="119"/>
      <c r="S14" s="119"/>
    </row>
    <row r="15" spans="2:19" x14ac:dyDescent="0.2">
      <c r="O15" s="119"/>
      <c r="P15" s="119"/>
      <c r="Q15" s="119"/>
      <c r="R15" s="119"/>
      <c r="S15" s="119"/>
    </row>
    <row r="16" spans="2:19" x14ac:dyDescent="0.2">
      <c r="B16" s="140" t="s">
        <v>34</v>
      </c>
      <c r="C16" s="118"/>
      <c r="D16" s="118"/>
      <c r="E16" s="118"/>
      <c r="F16" s="118"/>
      <c r="G16" s="118"/>
      <c r="H16" s="118"/>
      <c r="O16" s="119"/>
      <c r="P16" s="119"/>
      <c r="Q16" s="119"/>
      <c r="R16" s="119"/>
      <c r="S16" s="119"/>
    </row>
    <row r="17" spans="2:9" x14ac:dyDescent="0.2">
      <c r="B17" s="226"/>
      <c r="C17" s="226"/>
      <c r="D17" s="226"/>
      <c r="E17" s="226"/>
      <c r="F17" s="226"/>
      <c r="G17" s="226"/>
      <c r="H17" s="226"/>
    </row>
    <row r="18" spans="2:9" ht="124.5" customHeight="1" x14ac:dyDescent="0.2">
      <c r="B18" s="228" t="s">
        <v>176</v>
      </c>
      <c r="C18" s="228"/>
      <c r="D18" s="228"/>
      <c r="E18" s="228"/>
      <c r="F18" s="228"/>
      <c r="G18" s="228"/>
      <c r="H18" s="228"/>
      <c r="I18" s="119"/>
    </row>
    <row r="19" spans="2:9" x14ac:dyDescent="0.2">
      <c r="B19" s="141"/>
      <c r="C19" s="141"/>
      <c r="D19" s="141"/>
      <c r="E19" s="141"/>
      <c r="F19" s="141"/>
      <c r="G19" s="141"/>
      <c r="H19" s="141"/>
    </row>
    <row r="20" spans="2:9" x14ac:dyDescent="0.2">
      <c r="B20" s="142"/>
      <c r="C20" s="142"/>
      <c r="D20" s="142"/>
      <c r="E20" s="142"/>
      <c r="F20" s="142"/>
      <c r="G20" s="142"/>
      <c r="H20" s="142"/>
    </row>
    <row r="21" spans="2:9" x14ac:dyDescent="0.2">
      <c r="B21" s="140" t="s">
        <v>42</v>
      </c>
      <c r="C21" s="118"/>
      <c r="D21" s="118"/>
      <c r="E21" s="118"/>
      <c r="F21" s="118"/>
      <c r="G21" s="118"/>
      <c r="H21" s="118"/>
    </row>
    <row r="22" spans="2:9" x14ac:dyDescent="0.2">
      <c r="B22" s="226"/>
      <c r="C22" s="226"/>
      <c r="D22" s="226"/>
      <c r="E22" s="226"/>
      <c r="F22" s="226"/>
      <c r="G22" s="226"/>
      <c r="H22" s="226"/>
    </row>
    <row r="23" spans="2:9" x14ac:dyDescent="0.2">
      <c r="B23" s="236" t="s">
        <v>70</v>
      </c>
      <c r="C23" s="237"/>
      <c r="D23" s="237"/>
      <c r="E23" s="237"/>
      <c r="F23" s="237"/>
      <c r="G23" s="237"/>
      <c r="H23" s="237"/>
    </row>
    <row r="24" spans="2:9" x14ac:dyDescent="0.2">
      <c r="B24" s="236" t="s">
        <v>129</v>
      </c>
      <c r="C24" s="236"/>
      <c r="D24" s="236"/>
      <c r="E24" s="236"/>
      <c r="F24" s="236"/>
      <c r="G24" s="236"/>
      <c r="H24" s="236"/>
    </row>
    <row r="25" spans="2:9" x14ac:dyDescent="0.2">
      <c r="B25" s="237"/>
      <c r="C25" s="238"/>
      <c r="D25" s="238"/>
      <c r="E25" s="238"/>
      <c r="F25" s="238"/>
      <c r="G25" s="238"/>
      <c r="H25" s="238"/>
    </row>
    <row r="26" spans="2:9" x14ac:dyDescent="0.2">
      <c r="B26" s="143"/>
      <c r="C26" s="143"/>
      <c r="D26" s="143"/>
      <c r="E26" s="143"/>
      <c r="F26" s="143"/>
      <c r="G26" s="143"/>
      <c r="H26" s="143"/>
    </row>
    <row r="27" spans="2:9" x14ac:dyDescent="0.2">
      <c r="B27" s="226"/>
      <c r="C27" s="226"/>
      <c r="D27" s="226"/>
      <c r="E27" s="226"/>
      <c r="F27" s="226"/>
      <c r="G27" s="226"/>
      <c r="H27" s="226"/>
    </row>
    <row r="28" spans="2:9" x14ac:dyDescent="0.2">
      <c r="B28" s="141"/>
      <c r="C28" s="141"/>
      <c r="D28" s="141"/>
      <c r="E28" s="141"/>
      <c r="F28" s="141"/>
      <c r="G28" s="141"/>
      <c r="H28" s="141"/>
    </row>
    <row r="29" spans="2:9" x14ac:dyDescent="0.2">
      <c r="B29" s="141"/>
      <c r="C29" s="141"/>
      <c r="D29" s="141"/>
      <c r="E29" s="141"/>
      <c r="F29" s="141"/>
      <c r="G29" s="141"/>
      <c r="H29" s="141"/>
    </row>
    <row r="30" spans="2:9" x14ac:dyDescent="0.2">
      <c r="B30" s="141"/>
      <c r="C30" s="141"/>
      <c r="D30" s="141"/>
      <c r="E30" s="141"/>
      <c r="F30" s="141"/>
      <c r="G30" s="141"/>
      <c r="H30" s="141"/>
    </row>
    <row r="31" spans="2:9" x14ac:dyDescent="0.2">
      <c r="B31" s="141"/>
      <c r="C31" s="141"/>
      <c r="D31" s="141"/>
      <c r="E31" s="141"/>
      <c r="F31" s="141"/>
      <c r="G31" s="141"/>
      <c r="H31" s="141"/>
    </row>
    <row r="32" spans="2:9" x14ac:dyDescent="0.2">
      <c r="B32" s="144"/>
      <c r="C32" s="144"/>
      <c r="D32" s="144"/>
      <c r="E32" s="144"/>
      <c r="F32" s="144"/>
      <c r="G32" s="144"/>
      <c r="H32" s="144"/>
      <c r="I32" s="119"/>
    </row>
    <row r="33" spans="2:8" x14ac:dyDescent="0.2">
      <c r="B33" s="140" t="s">
        <v>6</v>
      </c>
    </row>
    <row r="34" spans="2:8" x14ac:dyDescent="0.2">
      <c r="B34" s="145" t="s">
        <v>14</v>
      </c>
      <c r="C34" s="146" t="s">
        <v>29</v>
      </c>
      <c r="D34" s="146"/>
      <c r="E34" s="146"/>
      <c r="F34" s="146"/>
      <c r="G34" s="146"/>
      <c r="H34" s="146"/>
    </row>
    <row r="35" spans="2:8" x14ac:dyDescent="0.2">
      <c r="B35" s="147" t="s">
        <v>45</v>
      </c>
      <c r="C35" s="146" t="s">
        <v>52</v>
      </c>
      <c r="D35" s="146"/>
      <c r="E35" s="146"/>
      <c r="F35" s="146"/>
      <c r="G35" s="146"/>
      <c r="H35" s="146"/>
    </row>
    <row r="36" spans="2:8" x14ac:dyDescent="0.2">
      <c r="B36" s="147" t="s">
        <v>46</v>
      </c>
      <c r="C36" s="146" t="s">
        <v>53</v>
      </c>
      <c r="D36" s="146"/>
      <c r="E36" s="146"/>
      <c r="F36" s="146"/>
      <c r="G36" s="146"/>
      <c r="H36" s="146"/>
    </row>
    <row r="37" spans="2:8" x14ac:dyDescent="0.2">
      <c r="B37" s="147" t="s">
        <v>15</v>
      </c>
      <c r="C37" s="146" t="s">
        <v>30</v>
      </c>
      <c r="D37" s="146"/>
      <c r="E37" s="146"/>
      <c r="F37" s="146"/>
      <c r="G37" s="146"/>
      <c r="H37" s="146"/>
    </row>
    <row r="40" spans="2:8" x14ac:dyDescent="0.2">
      <c r="B40" s="140" t="s">
        <v>35</v>
      </c>
      <c r="C40" s="118"/>
      <c r="D40" s="118"/>
      <c r="E40" s="118"/>
      <c r="F40" s="118"/>
      <c r="G40" s="118"/>
      <c r="H40" s="118"/>
    </row>
    <row r="42" spans="2:8" x14ac:dyDescent="0.2">
      <c r="B42" s="148"/>
      <c r="C42" s="149" t="s">
        <v>36</v>
      </c>
      <c r="D42" s="149" t="s">
        <v>37</v>
      </c>
      <c r="E42" s="149" t="s">
        <v>38</v>
      </c>
      <c r="F42" s="149" t="s">
        <v>40</v>
      </c>
      <c r="G42" s="149" t="s">
        <v>39</v>
      </c>
      <c r="H42" s="150" t="s">
        <v>1</v>
      </c>
    </row>
    <row r="43" spans="2:8" x14ac:dyDescent="0.2">
      <c r="C43" s="151"/>
      <c r="D43" s="151"/>
      <c r="E43" s="151"/>
      <c r="F43" s="151"/>
      <c r="G43" s="151"/>
      <c r="H43" s="151"/>
    </row>
    <row r="44" spans="2:8" x14ac:dyDescent="0.2">
      <c r="B44" s="165" t="s">
        <v>132</v>
      </c>
      <c r="C44" s="152">
        <f>'Forecast Revenue - Costs'!D34</f>
        <v>77801.653431647195</v>
      </c>
      <c r="D44" s="152">
        <f>'Forecast Revenue - Costs'!E34</f>
        <v>77801.653431647195</v>
      </c>
      <c r="E44" s="152">
        <f>'Forecast Revenue - Costs'!F34</f>
        <v>78522.353761910868</v>
      </c>
      <c r="F44" s="152">
        <f>'Forecast Revenue - Costs'!G34</f>
        <v>80054.592278283162</v>
      </c>
      <c r="G44" s="152">
        <f>'Forecast Revenue - Costs'!H34</f>
        <v>82343.398398660007</v>
      </c>
      <c r="H44" s="152">
        <f>SUM(C44:G44)</f>
        <v>396523.65130214841</v>
      </c>
    </row>
    <row r="45" spans="2:8" x14ac:dyDescent="0.2">
      <c r="C45" s="153"/>
      <c r="D45" s="154"/>
      <c r="E45" s="153"/>
      <c r="F45" s="153"/>
      <c r="G45" s="153"/>
    </row>
    <row r="46" spans="2:8" x14ac:dyDescent="0.2">
      <c r="B46" s="165" t="s">
        <v>133</v>
      </c>
      <c r="C46" s="152">
        <f>SUM('Forecast Revenue - Costs'!D35:D37)</f>
        <v>56751.981090079935</v>
      </c>
      <c r="D46" s="152">
        <f>SUM('Forecast Revenue - Costs'!E35:E37)</f>
        <v>56751.981090079935</v>
      </c>
      <c r="E46" s="152">
        <f>SUM('Forecast Revenue - Costs'!F35:F37)</f>
        <v>57277.691916401527</v>
      </c>
      <c r="F46" s="152">
        <f>SUM('Forecast Revenue - Costs'!G35:G37)</f>
        <v>58395.374735097022</v>
      </c>
      <c r="G46" s="152">
        <f>SUM('Forecast Revenue - Costs'!H35:H37)</f>
        <v>60064.931562402802</v>
      </c>
      <c r="H46" s="152">
        <f>SUM(C46:G46)</f>
        <v>289241.96039406123</v>
      </c>
    </row>
    <row r="47" spans="2:8" x14ac:dyDescent="0.2">
      <c r="C47" s="153"/>
      <c r="D47" s="154"/>
      <c r="E47" s="153"/>
      <c r="F47" s="153"/>
      <c r="G47" s="153"/>
    </row>
    <row r="48" spans="2:8" x14ac:dyDescent="0.2">
      <c r="B48" s="165" t="s">
        <v>134</v>
      </c>
      <c r="C48" s="152">
        <f t="shared" ref="C48:H48" si="0">+C44+C46</f>
        <v>134553.63452172713</v>
      </c>
      <c r="D48" s="152">
        <f t="shared" si="0"/>
        <v>134553.63452172713</v>
      </c>
      <c r="E48" s="152">
        <f t="shared" si="0"/>
        <v>135800.0456783124</v>
      </c>
      <c r="F48" s="152">
        <f t="shared" si="0"/>
        <v>138449.9670133802</v>
      </c>
      <c r="G48" s="152">
        <f t="shared" si="0"/>
        <v>142408.32996106282</v>
      </c>
      <c r="H48" s="152">
        <f t="shared" si="0"/>
        <v>685765.61169620964</v>
      </c>
    </row>
    <row r="49" spans="2:9" x14ac:dyDescent="0.2">
      <c r="C49" s="155"/>
      <c r="D49" s="155"/>
      <c r="E49" s="155"/>
      <c r="F49" s="155"/>
      <c r="G49" s="155"/>
    </row>
    <row r="50" spans="2:9" x14ac:dyDescent="0.2">
      <c r="B50" s="156" t="s">
        <v>6</v>
      </c>
    </row>
    <row r="51" spans="2:9" ht="14.25" customHeight="1" x14ac:dyDescent="0.2">
      <c r="B51" s="235"/>
      <c r="C51" s="235"/>
      <c r="D51" s="235"/>
      <c r="E51" s="235"/>
      <c r="F51" s="235"/>
      <c r="G51" s="235"/>
      <c r="H51" s="235"/>
    </row>
    <row r="52" spans="2:9" x14ac:dyDescent="0.2">
      <c r="B52" s="226"/>
      <c r="C52" s="226"/>
      <c r="D52" s="226"/>
      <c r="E52" s="226"/>
      <c r="F52" s="226"/>
      <c r="G52" s="226"/>
      <c r="H52" s="226"/>
      <c r="I52" s="119"/>
    </row>
    <row r="53" spans="2:9" ht="27.75" customHeight="1" x14ac:dyDescent="0.2">
      <c r="B53" s="226"/>
      <c r="C53" s="226"/>
      <c r="D53" s="226"/>
      <c r="E53" s="226"/>
      <c r="F53" s="226"/>
      <c r="G53" s="226"/>
      <c r="H53" s="226"/>
    </row>
    <row r="56" spans="2:9" x14ac:dyDescent="0.2">
      <c r="B56" s="140" t="s">
        <v>107</v>
      </c>
      <c r="C56" s="118"/>
      <c r="D56" s="118"/>
      <c r="E56" s="118"/>
      <c r="F56" s="118"/>
      <c r="G56" s="118"/>
      <c r="H56" s="118"/>
    </row>
    <row r="57" spans="2:9" x14ac:dyDescent="0.2">
      <c r="B57" s="157"/>
    </row>
    <row r="58" spans="2:9" x14ac:dyDescent="0.2">
      <c r="B58" s="158"/>
      <c r="C58" s="159" t="s">
        <v>36</v>
      </c>
      <c r="D58" s="159" t="s">
        <v>37</v>
      </c>
      <c r="E58" s="159" t="s">
        <v>38</v>
      </c>
      <c r="F58" s="159" t="s">
        <v>40</v>
      </c>
      <c r="G58" s="159" t="s">
        <v>39</v>
      </c>
      <c r="H58" s="160" t="s">
        <v>1</v>
      </c>
    </row>
    <row r="59" spans="2:9" x14ac:dyDescent="0.2">
      <c r="C59" s="161"/>
      <c r="D59" s="161"/>
      <c r="E59" s="161"/>
      <c r="F59" s="161"/>
      <c r="G59" s="161"/>
      <c r="H59" s="161"/>
    </row>
    <row r="60" spans="2:9" x14ac:dyDescent="0.2">
      <c r="B60" s="158" t="s">
        <v>12</v>
      </c>
      <c r="C60" s="162">
        <f>'Forecast Revenue - Costs'!D17</f>
        <v>350</v>
      </c>
      <c r="D60" s="162">
        <f>'Forecast Revenue - Costs'!E17</f>
        <v>350</v>
      </c>
      <c r="E60" s="162">
        <f>'Forecast Revenue - Costs'!F17</f>
        <v>350</v>
      </c>
      <c r="F60" s="162">
        <f>'Forecast Revenue - Costs'!G17</f>
        <v>350</v>
      </c>
      <c r="G60" s="162">
        <f>'Forecast Revenue - Costs'!H17</f>
        <v>350</v>
      </c>
      <c r="H60" s="162">
        <f>SUM(C60:G60)</f>
        <v>1750</v>
      </c>
    </row>
    <row r="61" spans="2:9" x14ac:dyDescent="0.2">
      <c r="C61" s="163"/>
      <c r="D61" s="163"/>
      <c r="E61" s="163"/>
      <c r="F61" s="163"/>
      <c r="G61" s="163"/>
      <c r="H61" s="164"/>
    </row>
  </sheetData>
  <mergeCells count="13">
    <mergeCell ref="B51:H53"/>
    <mergeCell ref="B22:H22"/>
    <mergeCell ref="B23:H23"/>
    <mergeCell ref="B24:H24"/>
    <mergeCell ref="B25:H25"/>
    <mergeCell ref="B27:H27"/>
    <mergeCell ref="C3:H3"/>
    <mergeCell ref="B17:H17"/>
    <mergeCell ref="B13:H13"/>
    <mergeCell ref="B18:H18"/>
    <mergeCell ref="B7:B10"/>
    <mergeCell ref="C11:E11"/>
    <mergeCell ref="C4:E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16</v>
      </c>
      <c r="C2" s="42"/>
      <c r="D2" s="42"/>
      <c r="E2" s="42"/>
      <c r="F2" s="42"/>
      <c r="G2" s="42"/>
      <c r="H2" s="42"/>
      <c r="I2" s="42"/>
      <c r="J2" s="42"/>
      <c r="K2" s="42"/>
    </row>
    <row r="3" spans="2:14" x14ac:dyDescent="0.2">
      <c r="B3" s="31" t="s">
        <v>0</v>
      </c>
      <c r="C3" s="43"/>
      <c r="D3" s="241" t="str">
        <f>'AER Summary'!C3</f>
        <v>Testing &amp; commissioning of streetlights / mains / UG pillars / cables (NEW)</v>
      </c>
      <c r="E3" s="242"/>
      <c r="F3" s="242"/>
      <c r="G3" s="242"/>
      <c r="H3" s="242"/>
      <c r="I3" s="242"/>
      <c r="J3" s="242"/>
      <c r="K3" s="242"/>
      <c r="N3" s="29"/>
    </row>
    <row r="4" spans="2:14" x14ac:dyDescent="0.2">
      <c r="N4" s="29"/>
    </row>
    <row r="5" spans="2:14" x14ac:dyDescent="0.2">
      <c r="B5" s="243" t="s">
        <v>86</v>
      </c>
      <c r="C5" s="243"/>
      <c r="D5" s="243"/>
      <c r="E5" s="243"/>
      <c r="F5" s="243"/>
      <c r="G5" s="243"/>
      <c r="H5" s="243"/>
      <c r="I5" s="243"/>
      <c r="J5" s="243"/>
      <c r="K5" s="243"/>
      <c r="N5" s="29"/>
    </row>
    <row r="6" spans="2:14" ht="51.75" customHeight="1" x14ac:dyDescent="0.2">
      <c r="B6" s="244" t="s">
        <v>76</v>
      </c>
      <c r="C6" s="245"/>
      <c r="D6" s="245"/>
      <c r="E6" s="245"/>
      <c r="F6" s="245"/>
      <c r="G6" s="245"/>
      <c r="H6" s="245"/>
      <c r="I6" s="245"/>
      <c r="J6" s="245"/>
      <c r="K6" s="245"/>
      <c r="N6" s="29"/>
    </row>
    <row r="9" spans="2:14" x14ac:dyDescent="0.2">
      <c r="B9" s="243" t="s">
        <v>43</v>
      </c>
      <c r="C9" s="243"/>
      <c r="D9" s="243"/>
      <c r="E9" s="243"/>
      <c r="F9" s="243"/>
      <c r="G9" s="243"/>
      <c r="H9" s="243"/>
      <c r="I9" s="243"/>
      <c r="J9" s="243"/>
      <c r="K9" s="243"/>
    </row>
    <row r="10" spans="2:14" ht="15" customHeight="1" x14ac:dyDescent="0.2">
      <c r="B10" s="240" t="s">
        <v>69</v>
      </c>
      <c r="C10" s="240"/>
      <c r="D10" s="240"/>
      <c r="E10" s="240"/>
      <c r="F10" s="240"/>
      <c r="G10" s="240"/>
      <c r="H10" s="240"/>
      <c r="I10" s="240"/>
      <c r="J10" s="240"/>
      <c r="K10" s="240"/>
    </row>
    <row r="11" spans="2:14" ht="24.75" customHeight="1" x14ac:dyDescent="0.2">
      <c r="B11" s="246"/>
      <c r="C11" s="246"/>
      <c r="D11" s="246"/>
      <c r="E11" s="246"/>
      <c r="F11" s="246"/>
      <c r="G11" s="246"/>
      <c r="H11" s="246"/>
      <c r="I11" s="246"/>
      <c r="J11" s="246"/>
      <c r="K11" s="246"/>
      <c r="L11" s="47"/>
      <c r="M11" s="30"/>
      <c r="N11" s="30"/>
    </row>
    <row r="12" spans="2:14" x14ac:dyDescent="0.2">
      <c r="B12" s="246"/>
      <c r="C12" s="246"/>
      <c r="D12" s="246"/>
      <c r="E12" s="246"/>
      <c r="F12" s="246"/>
      <c r="G12" s="246"/>
      <c r="H12" s="246"/>
      <c r="I12" s="246"/>
      <c r="J12" s="246"/>
      <c r="K12" s="246"/>
      <c r="L12" s="47"/>
      <c r="M12" s="30"/>
      <c r="N12" s="30"/>
    </row>
    <row r="13" spans="2:14" x14ac:dyDescent="0.2">
      <c r="B13" s="246"/>
      <c r="C13" s="246"/>
      <c r="D13" s="246"/>
      <c r="E13" s="246"/>
      <c r="F13" s="246"/>
      <c r="G13" s="246"/>
      <c r="H13" s="246"/>
      <c r="I13" s="246"/>
      <c r="J13" s="246"/>
      <c r="K13" s="246"/>
      <c r="L13" s="47"/>
      <c r="M13" s="30"/>
      <c r="N13" s="30"/>
    </row>
    <row r="14" spans="2:14" ht="48" customHeight="1" x14ac:dyDescent="0.2">
      <c r="B14" s="246"/>
      <c r="C14" s="246"/>
      <c r="D14" s="246"/>
      <c r="E14" s="246"/>
      <c r="F14" s="246"/>
      <c r="G14" s="246"/>
      <c r="H14" s="246"/>
      <c r="I14" s="246"/>
      <c r="J14" s="246"/>
      <c r="K14" s="246"/>
      <c r="L14" s="47"/>
      <c r="M14" s="30"/>
      <c r="N14" s="30"/>
    </row>
    <row r="15" spans="2:14" x14ac:dyDescent="0.2">
      <c r="B15" s="246"/>
      <c r="C15" s="246"/>
      <c r="D15" s="246"/>
      <c r="E15" s="246"/>
      <c r="F15" s="246"/>
      <c r="G15" s="246"/>
      <c r="H15" s="246"/>
      <c r="I15" s="246"/>
      <c r="J15" s="246"/>
      <c r="K15" s="246"/>
      <c r="L15" s="47"/>
      <c r="M15" s="30"/>
      <c r="N15" s="30"/>
    </row>
    <row r="16" spans="2:14" x14ac:dyDescent="0.2">
      <c r="B16" s="246"/>
      <c r="C16" s="246"/>
      <c r="D16" s="246"/>
      <c r="E16" s="246"/>
      <c r="F16" s="246"/>
      <c r="G16" s="246"/>
      <c r="H16" s="246"/>
      <c r="I16" s="246"/>
      <c r="J16" s="246"/>
      <c r="K16" s="246"/>
      <c r="L16" s="47"/>
      <c r="M16" s="30"/>
      <c r="N16" s="30"/>
    </row>
    <row r="17" spans="2:14" x14ac:dyDescent="0.2">
      <c r="L17" s="47"/>
      <c r="M17" s="30"/>
      <c r="N17" s="30"/>
    </row>
    <row r="18" spans="2:14" x14ac:dyDescent="0.2">
      <c r="L18" s="47"/>
      <c r="M18" s="30"/>
      <c r="N18" s="30"/>
    </row>
    <row r="19" spans="2:14" x14ac:dyDescent="0.2">
      <c r="B19" s="243" t="s">
        <v>44</v>
      </c>
      <c r="C19" s="243"/>
      <c r="D19" s="243"/>
      <c r="E19" s="243"/>
      <c r="F19" s="243"/>
      <c r="G19" s="243"/>
      <c r="H19" s="243"/>
      <c r="I19" s="243"/>
      <c r="J19" s="243"/>
      <c r="K19" s="243"/>
      <c r="L19" s="47"/>
      <c r="M19" s="30"/>
      <c r="N19" s="30"/>
    </row>
    <row r="20" spans="2:14" ht="152.25" customHeight="1" x14ac:dyDescent="0.2">
      <c r="B20" s="240" t="str">
        <f>'AER Summary'!B13:H13</f>
        <v xml:space="preserve">
Testing &amp; commissioning of streetlights / mains / UG pillars / cables
The completion of commissioning tests by Essential Energy of new electrical assets which form part of the contestable connection work including:
- Overhead and Underground streetlight commissioning;
- Overhead and Underground live low voltage connection - connection of Distribution Mains  (other than completed under an AP);
- Underground pillar box / pit commissioning;
- Underground cable tests (IR / VLF Test)
Essential Energy will perform the required testing and commissioning activities as per current policies and the subsequent recording in Essential Energy's asset system.</v>
      </c>
      <c r="C20" s="240"/>
      <c r="D20" s="240"/>
      <c r="E20" s="240"/>
      <c r="F20" s="240"/>
      <c r="G20" s="240"/>
      <c r="H20" s="240"/>
      <c r="I20" s="240"/>
      <c r="J20" s="240"/>
      <c r="K20" s="240"/>
    </row>
    <row r="21" spans="2:14" x14ac:dyDescent="0.2">
      <c r="B21" s="239"/>
      <c r="C21" s="239"/>
      <c r="D21" s="239"/>
      <c r="E21" s="239"/>
      <c r="F21" s="239"/>
      <c r="G21" s="239"/>
      <c r="H21" s="239"/>
      <c r="I21" s="239"/>
      <c r="J21" s="239"/>
      <c r="K21" s="23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4" sqref="B34"/>
    </sheetView>
  </sheetViews>
  <sheetFormatPr defaultColWidth="9.140625" defaultRowHeight="12.75" x14ac:dyDescent="0.2"/>
  <cols>
    <col min="1" max="1" width="3.5703125" style="48" customWidth="1"/>
    <col min="2" max="2" width="58.7109375" style="48" customWidth="1"/>
    <col min="3" max="3" width="65.140625" style="48" customWidth="1"/>
    <col min="4" max="4" width="12.85546875" style="48" customWidth="1"/>
    <col min="5" max="8" width="11.28515625" style="48" customWidth="1"/>
    <col min="9" max="9" width="12.7109375" style="48" customWidth="1"/>
    <col min="10" max="16384" width="9.140625" style="48"/>
  </cols>
  <sheetData>
    <row r="2" spans="1:9" x14ac:dyDescent="0.2">
      <c r="B2" s="44" t="s">
        <v>100</v>
      </c>
      <c r="C2" s="27"/>
      <c r="D2" s="27"/>
      <c r="E2" s="27"/>
      <c r="F2" s="27"/>
      <c r="G2" s="27"/>
      <c r="H2" s="27"/>
      <c r="I2" s="27"/>
    </row>
    <row r="3" spans="1:9" x14ac:dyDescent="0.2">
      <c r="B3" s="14" t="s">
        <v>20</v>
      </c>
      <c r="C3" s="14" t="s">
        <v>3</v>
      </c>
      <c r="D3" s="60" t="s">
        <v>59</v>
      </c>
      <c r="E3" s="60" t="s">
        <v>58</v>
      </c>
      <c r="F3" s="60" t="s">
        <v>57</v>
      </c>
      <c r="G3" s="60" t="s">
        <v>126</v>
      </c>
      <c r="H3" s="60" t="s">
        <v>127</v>
      </c>
      <c r="I3" s="210" t="s">
        <v>1</v>
      </c>
    </row>
    <row r="4" spans="1:9" x14ac:dyDescent="0.2">
      <c r="B4" s="3" t="s">
        <v>21</v>
      </c>
      <c r="C4" s="3"/>
      <c r="D4" s="211"/>
      <c r="E4" s="211"/>
      <c r="F4" s="211"/>
      <c r="G4" s="211"/>
      <c r="H4" s="211"/>
      <c r="I4" s="212">
        <f>SUM(D4:H4)</f>
        <v>0</v>
      </c>
    </row>
    <row r="5" spans="1:9" x14ac:dyDescent="0.2">
      <c r="B5" s="3" t="s">
        <v>23</v>
      </c>
      <c r="C5" s="3"/>
      <c r="D5" s="211"/>
      <c r="E5" s="211"/>
      <c r="F5" s="211"/>
      <c r="G5" s="211"/>
      <c r="H5" s="211"/>
      <c r="I5" s="212">
        <f t="shared" ref="I5:I8" si="0">SUM(D5:H5)</f>
        <v>0</v>
      </c>
    </row>
    <row r="6" spans="1:9" x14ac:dyDescent="0.2">
      <c r="B6" s="3" t="s">
        <v>24</v>
      </c>
      <c r="C6" s="3"/>
      <c r="D6" s="211">
        <v>0</v>
      </c>
      <c r="E6" s="211">
        <v>0</v>
      </c>
      <c r="F6" s="211">
        <v>0</v>
      </c>
      <c r="G6" s="211">
        <v>0</v>
      </c>
      <c r="H6" s="211">
        <v>0</v>
      </c>
      <c r="I6" s="212">
        <f t="shared" si="0"/>
        <v>0</v>
      </c>
    </row>
    <row r="7" spans="1:9" x14ac:dyDescent="0.2">
      <c r="B7" s="3" t="s">
        <v>25</v>
      </c>
      <c r="C7" s="3"/>
      <c r="D7" s="211"/>
      <c r="E7" s="211"/>
      <c r="F7" s="211"/>
      <c r="G7" s="211"/>
      <c r="H7" s="211"/>
      <c r="I7" s="212">
        <f t="shared" si="0"/>
        <v>0</v>
      </c>
    </row>
    <row r="8" spans="1:9" x14ac:dyDescent="0.2">
      <c r="B8" s="3" t="s">
        <v>22</v>
      </c>
      <c r="C8" s="3"/>
      <c r="D8" s="211"/>
      <c r="E8" s="211"/>
      <c r="F8" s="211"/>
      <c r="G8" s="211"/>
      <c r="H8" s="211"/>
      <c r="I8" s="212">
        <f t="shared" si="0"/>
        <v>0</v>
      </c>
    </row>
    <row r="9" spans="1:9" x14ac:dyDescent="0.2">
      <c r="B9" s="14" t="s">
        <v>1</v>
      </c>
      <c r="C9" s="213"/>
      <c r="D9" s="214">
        <f t="shared" ref="D9:I9" si="1">SUM(D4:D8)</f>
        <v>0</v>
      </c>
      <c r="E9" s="214">
        <f t="shared" si="1"/>
        <v>0</v>
      </c>
      <c r="F9" s="214">
        <f t="shared" si="1"/>
        <v>0</v>
      </c>
      <c r="G9" s="214">
        <f t="shared" ref="G9:H9" si="2">SUM(G4:G8)</f>
        <v>0</v>
      </c>
      <c r="H9" s="214">
        <f t="shared" si="2"/>
        <v>0</v>
      </c>
      <c r="I9" s="214">
        <f t="shared" si="1"/>
        <v>0</v>
      </c>
    </row>
    <row r="10" spans="1:9" x14ac:dyDescent="0.2">
      <c r="B10" s="52"/>
      <c r="C10" s="53"/>
      <c r="D10" s="54"/>
      <c r="E10" s="54"/>
      <c r="F10" s="54"/>
      <c r="G10" s="54"/>
      <c r="H10" s="54"/>
      <c r="I10" s="54"/>
    </row>
    <row r="11" spans="1:9" x14ac:dyDescent="0.2">
      <c r="B11" s="55" t="s">
        <v>10</v>
      </c>
      <c r="C11" s="22"/>
      <c r="D11" s="22"/>
      <c r="E11" s="22"/>
      <c r="F11" s="22"/>
      <c r="G11" s="22"/>
      <c r="H11" s="22"/>
      <c r="I11" s="22"/>
    </row>
    <row r="12" spans="1:9" x14ac:dyDescent="0.2">
      <c r="B12" s="215" t="s">
        <v>4</v>
      </c>
      <c r="C12" s="215" t="s">
        <v>9</v>
      </c>
      <c r="D12" s="60" t="s">
        <v>59</v>
      </c>
      <c r="E12" s="60" t="s">
        <v>58</v>
      </c>
      <c r="F12" s="60" t="s">
        <v>57</v>
      </c>
      <c r="G12" s="60" t="s">
        <v>124</v>
      </c>
      <c r="H12" s="60" t="s">
        <v>125</v>
      </c>
      <c r="I12" s="210" t="s">
        <v>1</v>
      </c>
    </row>
    <row r="13" spans="1:9" x14ac:dyDescent="0.2">
      <c r="B13" s="3" t="s">
        <v>19</v>
      </c>
      <c r="C13" s="3" t="s">
        <v>50</v>
      </c>
      <c r="D13" s="93"/>
      <c r="E13" s="93"/>
      <c r="F13" s="93"/>
      <c r="G13" s="93"/>
      <c r="H13" s="93"/>
      <c r="I13" s="166">
        <f>SUM(D13:H13)</f>
        <v>0</v>
      </c>
    </row>
    <row r="14" spans="1:9" x14ac:dyDescent="0.2">
      <c r="B14" s="3"/>
      <c r="C14" s="216"/>
      <c r="D14" s="7"/>
      <c r="E14" s="7"/>
      <c r="F14" s="7"/>
      <c r="G14" s="7"/>
      <c r="H14" s="7"/>
      <c r="I14" s="166"/>
    </row>
    <row r="15" spans="1:9" x14ac:dyDescent="0.2">
      <c r="A15" s="56"/>
      <c r="B15" s="217" t="s">
        <v>54</v>
      </c>
      <c r="C15" s="14"/>
      <c r="D15" s="218">
        <f t="shared" ref="D15:I15" si="3">SUM(D13:D14)</f>
        <v>0</v>
      </c>
      <c r="E15" s="218">
        <f t="shared" si="3"/>
        <v>0</v>
      </c>
      <c r="F15" s="218">
        <f t="shared" si="3"/>
        <v>0</v>
      </c>
      <c r="G15" s="218">
        <f t="shared" ref="G15:H15" si="4">SUM(G13:G14)</f>
        <v>0</v>
      </c>
      <c r="H15" s="218">
        <f t="shared" si="4"/>
        <v>0</v>
      </c>
      <c r="I15" s="219">
        <f t="shared" si="3"/>
        <v>0</v>
      </c>
    </row>
    <row r="17" spans="1:9" x14ac:dyDescent="0.2">
      <c r="A17" s="56"/>
      <c r="B17" s="9" t="s">
        <v>6</v>
      </c>
      <c r="C17" s="1"/>
      <c r="D17" s="8"/>
      <c r="E17" s="8"/>
      <c r="F17" s="8"/>
      <c r="G17" s="8"/>
      <c r="H17" s="8"/>
      <c r="I17" s="8"/>
    </row>
    <row r="18" spans="1:9" x14ac:dyDescent="0.2">
      <c r="B18" s="247" t="s">
        <v>122</v>
      </c>
      <c r="C18" s="248"/>
      <c r="D18" s="248"/>
      <c r="E18" s="248"/>
      <c r="F18" s="248"/>
      <c r="G18" s="248"/>
      <c r="H18" s="248"/>
      <c r="I18" s="248"/>
    </row>
    <row r="19" spans="1:9" x14ac:dyDescent="0.2">
      <c r="B19" s="249"/>
      <c r="C19" s="250"/>
      <c r="D19" s="250"/>
      <c r="E19" s="250"/>
      <c r="F19" s="250"/>
      <c r="G19" s="250"/>
      <c r="H19" s="250"/>
      <c r="I19" s="250"/>
    </row>
    <row r="20" spans="1:9" x14ac:dyDescent="0.2">
      <c r="B20" s="57"/>
      <c r="C20" s="28"/>
      <c r="D20" s="28"/>
      <c r="E20" s="28"/>
      <c r="F20" s="28"/>
      <c r="G20" s="114"/>
      <c r="H20" s="114"/>
      <c r="I20" s="28"/>
    </row>
    <row r="21" spans="1:9" x14ac:dyDescent="0.2">
      <c r="B21" s="1"/>
      <c r="C21" s="1"/>
      <c r="D21" s="8"/>
      <c r="E21" s="8"/>
      <c r="F21" s="8"/>
      <c r="G21" s="8"/>
      <c r="H21" s="8"/>
      <c r="I21" s="8"/>
    </row>
    <row r="22" spans="1:9" x14ac:dyDescent="0.2">
      <c r="B22" s="55" t="s">
        <v>118</v>
      </c>
      <c r="C22" s="22"/>
      <c r="D22" s="22"/>
      <c r="E22" s="22"/>
      <c r="F22" s="22"/>
      <c r="G22" s="22"/>
      <c r="H22" s="22"/>
      <c r="I22" s="22"/>
    </row>
    <row r="23" spans="1:9" x14ac:dyDescent="0.2">
      <c r="B23" s="270" t="s">
        <v>11</v>
      </c>
      <c r="C23" s="271"/>
      <c r="D23" s="271"/>
      <c r="E23" s="271"/>
      <c r="F23" s="271"/>
      <c r="G23" s="271"/>
      <c r="H23" s="271"/>
      <c r="I23" s="272"/>
    </row>
    <row r="24" spans="1:9" x14ac:dyDescent="0.2">
      <c r="B24" s="251"/>
      <c r="C24" s="252"/>
      <c r="D24" s="252"/>
      <c r="E24" s="252"/>
      <c r="F24" s="252"/>
      <c r="G24" s="252"/>
      <c r="H24" s="252"/>
      <c r="I24" s="252"/>
    </row>
    <row r="25" spans="1:9" x14ac:dyDescent="0.2">
      <c r="B25" s="253"/>
      <c r="C25" s="254"/>
      <c r="D25" s="254"/>
      <c r="E25" s="254"/>
      <c r="F25" s="254"/>
      <c r="G25" s="254"/>
      <c r="H25" s="254"/>
      <c r="I25" s="254"/>
    </row>
    <row r="26" spans="1:9" x14ac:dyDescent="0.2">
      <c r="B26" s="58"/>
      <c r="C26" s="13"/>
      <c r="D26" s="13"/>
      <c r="E26" s="13"/>
      <c r="F26" s="13"/>
      <c r="G26" s="13"/>
      <c r="H26" s="13"/>
      <c r="I26" s="13"/>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Q46"/>
  <sheetViews>
    <sheetView showGridLines="0" zoomScale="90" zoomScaleNormal="90" workbookViewId="0">
      <selection activeCell="BF33" sqref="BF33"/>
    </sheetView>
  </sheetViews>
  <sheetFormatPr defaultColWidth="9.140625" defaultRowHeight="12.75" x14ac:dyDescent="0.2"/>
  <cols>
    <col min="1" max="1" width="2.85546875" style="1" customWidth="1"/>
    <col min="2" max="2" width="79" style="1" customWidth="1"/>
    <col min="3" max="3" width="15.140625" style="73" bestFit="1" customWidth="1"/>
    <col min="4" max="4" width="9.140625" style="86"/>
    <col min="5" max="5" width="9.140625" style="70"/>
    <col min="6" max="14" width="9.140625" style="82"/>
    <col min="15" max="15" width="9.140625" style="1"/>
    <col min="16" max="17" width="9.140625" style="41"/>
    <col min="18" max="18" width="2.85546875" style="1" customWidth="1"/>
    <col min="19" max="19" width="82.28515625" style="1" customWidth="1"/>
    <col min="20" max="20" width="15.7109375" style="1" customWidth="1"/>
    <col min="21" max="32" width="9.140625" style="1"/>
    <col min="33" max="33" width="9.85546875" style="1" bestFit="1" customWidth="1"/>
    <col min="34" max="34" width="12.85546875" style="1" bestFit="1" customWidth="1"/>
    <col min="35" max="35" width="3.28515625" style="1" customWidth="1"/>
    <col min="36" max="36" width="80" style="1" bestFit="1" customWidth="1"/>
    <col min="37" max="37" width="15.7109375" style="1" customWidth="1"/>
    <col min="38" max="51" width="9.140625" style="1"/>
    <col min="52" max="52" width="4" style="1" customWidth="1"/>
    <col min="53" max="53" width="72.28515625" style="1" bestFit="1" customWidth="1"/>
    <col min="54" max="54" width="15.42578125" style="1" customWidth="1"/>
    <col min="55" max="55" width="12.5703125" style="1" customWidth="1"/>
    <col min="56" max="56" width="9.140625" style="1"/>
    <col min="57" max="65" width="9.28515625" style="1" customWidth="1"/>
    <col min="66" max="67" width="9.140625" style="1"/>
    <col min="68" max="68" width="10.5703125" style="1" customWidth="1"/>
    <col min="69" max="69" width="5" style="1" customWidth="1"/>
    <col min="70" max="70" width="53.7109375" style="1" customWidth="1"/>
    <col min="71" max="71" width="15.7109375" style="1" customWidth="1"/>
    <col min="72" max="16384" width="9.140625" style="1"/>
  </cols>
  <sheetData>
    <row r="1" spans="1:69" ht="9" customHeight="1" x14ac:dyDescent="0.2"/>
    <row r="2" spans="1:69" x14ac:dyDescent="0.2">
      <c r="B2" s="167" t="s">
        <v>55</v>
      </c>
      <c r="C2" s="168"/>
      <c r="D2" s="168"/>
      <c r="E2" s="168"/>
      <c r="F2" s="168"/>
      <c r="G2" s="168"/>
      <c r="H2" s="260" t="s">
        <v>146</v>
      </c>
      <c r="I2" s="260"/>
      <c r="J2" s="260"/>
      <c r="K2" s="260"/>
      <c r="L2" s="260"/>
      <c r="M2" s="260"/>
      <c r="N2" s="260"/>
      <c r="O2" s="260"/>
      <c r="P2" s="260"/>
      <c r="Q2" s="260"/>
      <c r="S2" s="167" t="s">
        <v>49</v>
      </c>
      <c r="T2" s="168"/>
      <c r="U2" s="168"/>
      <c r="V2" s="168"/>
      <c r="W2" s="168"/>
      <c r="X2" s="168"/>
      <c r="Y2" s="260" t="s">
        <v>146</v>
      </c>
      <c r="Z2" s="260"/>
      <c r="AA2" s="260"/>
      <c r="AB2" s="260"/>
      <c r="AC2" s="260"/>
      <c r="AD2" s="260"/>
      <c r="AE2" s="260"/>
      <c r="AF2" s="260"/>
      <c r="AG2" s="260"/>
      <c r="AH2" s="260"/>
      <c r="AJ2" s="167" t="s">
        <v>55</v>
      </c>
      <c r="AK2" s="168"/>
      <c r="AL2" s="168"/>
      <c r="AM2" s="168"/>
      <c r="AN2" s="168"/>
      <c r="AO2" s="168"/>
      <c r="AP2" s="260" t="s">
        <v>146</v>
      </c>
      <c r="AQ2" s="260"/>
      <c r="AR2" s="260"/>
      <c r="AS2" s="260"/>
      <c r="AT2" s="260"/>
      <c r="AU2" s="260"/>
      <c r="AV2" s="260"/>
      <c r="AW2" s="260"/>
      <c r="AX2" s="260"/>
      <c r="AY2" s="260"/>
      <c r="BA2" s="167" t="s">
        <v>55</v>
      </c>
      <c r="BB2" s="168"/>
      <c r="BC2" s="168"/>
      <c r="BD2" s="168"/>
      <c r="BE2" s="168"/>
      <c r="BF2" s="168"/>
      <c r="BG2" s="260" t="s">
        <v>146</v>
      </c>
      <c r="BH2" s="260"/>
      <c r="BI2" s="260"/>
      <c r="BJ2" s="260"/>
      <c r="BK2" s="260"/>
      <c r="BL2" s="260"/>
      <c r="BM2" s="260"/>
      <c r="BN2" s="260"/>
      <c r="BO2" s="260"/>
      <c r="BP2" s="260"/>
    </row>
    <row r="3" spans="1:69" ht="15.75" x14ac:dyDescent="0.25">
      <c r="B3" s="59" t="s">
        <v>78</v>
      </c>
      <c r="C3" s="46"/>
      <c r="D3" s="83"/>
      <c r="E3" s="66"/>
      <c r="F3" s="74"/>
      <c r="G3" s="74"/>
      <c r="H3" s="261" t="s">
        <v>147</v>
      </c>
      <c r="I3" s="261"/>
      <c r="J3" s="261"/>
      <c r="K3" s="261"/>
      <c r="L3" s="261"/>
      <c r="M3" s="261"/>
      <c r="N3" s="261"/>
      <c r="O3" s="261"/>
      <c r="P3" s="261"/>
      <c r="Q3" s="261"/>
      <c r="S3" s="59" t="s">
        <v>79</v>
      </c>
      <c r="T3" s="42"/>
      <c r="U3" s="42"/>
      <c r="V3" s="42"/>
      <c r="W3" s="42"/>
      <c r="X3" s="115"/>
      <c r="Y3" s="261" t="s">
        <v>147</v>
      </c>
      <c r="Z3" s="261"/>
      <c r="AA3" s="261"/>
      <c r="AB3" s="261"/>
      <c r="AC3" s="261"/>
      <c r="AD3" s="261"/>
      <c r="AE3" s="261"/>
      <c r="AF3" s="261"/>
      <c r="AG3" s="261"/>
      <c r="AH3" s="261"/>
      <c r="AJ3" s="59" t="s">
        <v>80</v>
      </c>
      <c r="AK3" s="42"/>
      <c r="AL3" s="42"/>
      <c r="AM3" s="42"/>
      <c r="AN3" s="42"/>
      <c r="AO3" s="115"/>
      <c r="AP3" s="261" t="s">
        <v>147</v>
      </c>
      <c r="AQ3" s="261"/>
      <c r="AR3" s="261"/>
      <c r="AS3" s="261"/>
      <c r="AT3" s="261"/>
      <c r="AU3" s="261"/>
      <c r="AV3" s="261"/>
      <c r="AW3" s="261"/>
      <c r="AX3" s="261"/>
      <c r="AY3" s="261"/>
      <c r="BA3" s="59" t="s">
        <v>81</v>
      </c>
      <c r="BB3" s="42"/>
      <c r="BC3" s="42"/>
      <c r="BD3" s="42"/>
      <c r="BE3" s="42"/>
      <c r="BF3" s="115"/>
      <c r="BG3" s="261" t="s">
        <v>147</v>
      </c>
      <c r="BH3" s="261"/>
      <c r="BI3" s="261"/>
      <c r="BJ3" s="261"/>
      <c r="BK3" s="261"/>
      <c r="BL3" s="261"/>
      <c r="BM3" s="261"/>
      <c r="BN3" s="261"/>
      <c r="BO3" s="261"/>
      <c r="BP3" s="261"/>
    </row>
    <row r="4" spans="1:69" s="30" customFormat="1" ht="3" customHeight="1" x14ac:dyDescent="0.2">
      <c r="B4" s="32"/>
      <c r="C4" s="71"/>
      <c r="D4" s="84"/>
      <c r="E4" s="67"/>
      <c r="F4" s="75"/>
      <c r="G4" s="75"/>
      <c r="H4" s="75"/>
      <c r="I4" s="75"/>
      <c r="J4" s="75"/>
      <c r="K4" s="75"/>
      <c r="L4" s="75"/>
      <c r="M4" s="75"/>
      <c r="N4" s="75"/>
      <c r="O4" s="32"/>
      <c r="P4" s="32"/>
      <c r="Q4" s="32"/>
      <c r="S4" s="32"/>
      <c r="T4" s="32"/>
      <c r="U4" s="32"/>
      <c r="V4" s="32"/>
      <c r="W4" s="32"/>
      <c r="X4" s="32"/>
      <c r="Y4" s="32"/>
      <c r="Z4" s="32"/>
      <c r="AA4" s="32"/>
      <c r="AB4" s="32"/>
      <c r="AC4" s="32"/>
      <c r="AD4" s="32"/>
      <c r="AE4" s="32"/>
      <c r="AF4" s="32"/>
      <c r="AG4" s="32"/>
      <c r="AH4" s="32"/>
      <c r="AJ4" s="32"/>
      <c r="AK4" s="32"/>
      <c r="AL4" s="32"/>
      <c r="AM4" s="32"/>
      <c r="AN4" s="32"/>
      <c r="AO4" s="32"/>
      <c r="AP4" s="32"/>
      <c r="AQ4" s="32"/>
      <c r="AR4" s="32"/>
      <c r="AS4" s="32"/>
      <c r="AT4" s="32"/>
      <c r="AU4" s="32"/>
      <c r="AV4" s="32"/>
      <c r="AW4" s="32"/>
      <c r="AX4" s="32"/>
      <c r="AY4" s="32"/>
      <c r="BA4" s="32"/>
      <c r="BB4" s="32"/>
      <c r="BC4" s="32"/>
      <c r="BD4" s="32"/>
      <c r="BE4" s="32"/>
      <c r="BF4" s="32"/>
      <c r="BG4" s="32"/>
      <c r="BH4" s="32"/>
      <c r="BI4" s="32"/>
      <c r="BJ4" s="32"/>
      <c r="BK4" s="32"/>
      <c r="BL4" s="32"/>
      <c r="BM4" s="32"/>
      <c r="BN4" s="32"/>
      <c r="BO4" s="32"/>
      <c r="BP4" s="32"/>
    </row>
    <row r="5" spans="1:69" ht="76.5" x14ac:dyDescent="0.2">
      <c r="B5" s="33" t="s">
        <v>18</v>
      </c>
      <c r="C5" s="33" t="s">
        <v>31</v>
      </c>
      <c r="D5" s="169" t="s">
        <v>64</v>
      </c>
      <c r="E5" s="170" t="s">
        <v>33</v>
      </c>
      <c r="F5" s="169" t="s">
        <v>32</v>
      </c>
      <c r="G5" s="169" t="s">
        <v>135</v>
      </c>
      <c r="H5" s="169" t="s">
        <v>136</v>
      </c>
      <c r="I5" s="169" t="s">
        <v>137</v>
      </c>
      <c r="J5" s="169" t="s">
        <v>138</v>
      </c>
      <c r="K5" s="169" t="s">
        <v>139</v>
      </c>
      <c r="L5" s="169" t="s">
        <v>140</v>
      </c>
      <c r="M5" s="169" t="s">
        <v>141</v>
      </c>
      <c r="N5" s="169" t="s">
        <v>142</v>
      </c>
      <c r="O5" s="94" t="s">
        <v>143</v>
      </c>
      <c r="P5" s="95" t="s">
        <v>144</v>
      </c>
      <c r="Q5" s="95" t="s">
        <v>145</v>
      </c>
      <c r="R5" s="49"/>
      <c r="S5" s="33" t="s">
        <v>18</v>
      </c>
      <c r="T5" s="33" t="s">
        <v>31</v>
      </c>
      <c r="U5" s="94" t="s">
        <v>64</v>
      </c>
      <c r="V5" s="94" t="s">
        <v>33</v>
      </c>
      <c r="W5" s="94" t="s">
        <v>32</v>
      </c>
      <c r="X5" s="169" t="s">
        <v>135</v>
      </c>
      <c r="Y5" s="169" t="s">
        <v>136</v>
      </c>
      <c r="Z5" s="169" t="s">
        <v>137</v>
      </c>
      <c r="AA5" s="169" t="s">
        <v>138</v>
      </c>
      <c r="AB5" s="169" t="s">
        <v>139</v>
      </c>
      <c r="AC5" s="169" t="s">
        <v>140</v>
      </c>
      <c r="AD5" s="169" t="s">
        <v>141</v>
      </c>
      <c r="AE5" s="169" t="s">
        <v>142</v>
      </c>
      <c r="AF5" s="94" t="s">
        <v>143</v>
      </c>
      <c r="AG5" s="95" t="s">
        <v>144</v>
      </c>
      <c r="AH5" s="95" t="s">
        <v>145</v>
      </c>
      <c r="AJ5" s="33" t="s">
        <v>18</v>
      </c>
      <c r="AK5" s="33" t="s">
        <v>31</v>
      </c>
      <c r="AL5" s="94" t="s">
        <v>64</v>
      </c>
      <c r="AM5" s="94" t="s">
        <v>33</v>
      </c>
      <c r="AN5" s="94" t="s">
        <v>32</v>
      </c>
      <c r="AO5" s="94" t="s">
        <v>135</v>
      </c>
      <c r="AP5" s="94" t="s">
        <v>136</v>
      </c>
      <c r="AQ5" s="94" t="s">
        <v>137</v>
      </c>
      <c r="AR5" s="94" t="s">
        <v>138</v>
      </c>
      <c r="AS5" s="94" t="s">
        <v>139</v>
      </c>
      <c r="AT5" s="94" t="s">
        <v>140</v>
      </c>
      <c r="AU5" s="94" t="s">
        <v>141</v>
      </c>
      <c r="AV5" s="94" t="s">
        <v>142</v>
      </c>
      <c r="AW5" s="94" t="s">
        <v>143</v>
      </c>
      <c r="AX5" s="95" t="s">
        <v>144</v>
      </c>
      <c r="AY5" s="95" t="s">
        <v>145</v>
      </c>
      <c r="BA5" s="33" t="s">
        <v>18</v>
      </c>
      <c r="BB5" s="33" t="s">
        <v>31</v>
      </c>
      <c r="BC5" s="94" t="s">
        <v>64</v>
      </c>
      <c r="BD5" s="94" t="s">
        <v>33</v>
      </c>
      <c r="BE5" s="94" t="s">
        <v>32</v>
      </c>
      <c r="BF5" s="94" t="s">
        <v>135</v>
      </c>
      <c r="BG5" s="94" t="s">
        <v>136</v>
      </c>
      <c r="BH5" s="94" t="s">
        <v>137</v>
      </c>
      <c r="BI5" s="94" t="s">
        <v>138</v>
      </c>
      <c r="BJ5" s="94" t="s">
        <v>139</v>
      </c>
      <c r="BK5" s="94" t="s">
        <v>140</v>
      </c>
      <c r="BL5" s="94" t="s">
        <v>141</v>
      </c>
      <c r="BM5" s="94" t="s">
        <v>142</v>
      </c>
      <c r="BN5" s="94" t="s">
        <v>143</v>
      </c>
      <c r="BO5" s="95" t="s">
        <v>144</v>
      </c>
      <c r="BP5" s="34" t="s">
        <v>145</v>
      </c>
    </row>
    <row r="6" spans="1:69" x14ac:dyDescent="0.2">
      <c r="B6" s="101" t="s">
        <v>109</v>
      </c>
      <c r="C6" s="102"/>
      <c r="D6" s="102"/>
      <c r="E6" s="102"/>
      <c r="F6" s="102"/>
      <c r="G6" s="102"/>
      <c r="H6" s="102"/>
      <c r="I6" s="102"/>
      <c r="J6" s="102"/>
      <c r="K6" s="102"/>
      <c r="L6" s="102"/>
      <c r="M6" s="102"/>
      <c r="N6" s="102"/>
      <c r="O6" s="102"/>
      <c r="P6" s="102"/>
      <c r="Q6" s="104"/>
      <c r="R6" s="20"/>
      <c r="S6" s="101" t="s">
        <v>112</v>
      </c>
      <c r="T6" s="102"/>
      <c r="U6" s="102"/>
      <c r="V6" s="102"/>
      <c r="W6" s="102"/>
      <c r="X6" s="102"/>
      <c r="Y6" s="102"/>
      <c r="Z6" s="102"/>
      <c r="AA6" s="102"/>
      <c r="AB6" s="102"/>
      <c r="AC6" s="102"/>
      <c r="AD6" s="102"/>
      <c r="AE6" s="102"/>
      <c r="AF6" s="102"/>
      <c r="AG6" s="102"/>
      <c r="AH6" s="104"/>
      <c r="AJ6" s="101" t="s">
        <v>113</v>
      </c>
      <c r="AK6" s="102"/>
      <c r="AL6" s="102"/>
      <c r="AM6" s="102"/>
      <c r="AN6" s="102"/>
      <c r="AO6" s="102"/>
      <c r="AP6" s="102"/>
      <c r="AQ6" s="102"/>
      <c r="AR6" s="102"/>
      <c r="AS6" s="102"/>
      <c r="AT6" s="102"/>
      <c r="AU6" s="102"/>
      <c r="AV6" s="102"/>
      <c r="AW6" s="102"/>
      <c r="AX6" s="103"/>
      <c r="AY6" s="104"/>
      <c r="BA6" s="101" t="s">
        <v>115</v>
      </c>
      <c r="BB6" s="102"/>
      <c r="BC6" s="102"/>
      <c r="BD6" s="102"/>
      <c r="BE6" s="102"/>
      <c r="BF6" s="102"/>
      <c r="BG6" s="102"/>
      <c r="BH6" s="102"/>
      <c r="BI6" s="102"/>
      <c r="BJ6" s="102"/>
      <c r="BK6" s="102"/>
      <c r="BL6" s="102"/>
      <c r="BM6" s="102"/>
      <c r="BN6" s="102"/>
      <c r="BO6" s="172"/>
      <c r="BP6" s="91"/>
    </row>
    <row r="7" spans="1:69" x14ac:dyDescent="0.2">
      <c r="B7" s="96" t="s">
        <v>82</v>
      </c>
      <c r="C7" s="97" t="s">
        <v>71</v>
      </c>
      <c r="D7" s="98">
        <v>0.1</v>
      </c>
      <c r="E7" s="99">
        <v>1</v>
      </c>
      <c r="F7" s="100">
        <f>E7*D7</f>
        <v>0.1</v>
      </c>
      <c r="G7" s="88">
        <v>0</v>
      </c>
      <c r="H7" s="88">
        <f>IF(G7=0,VLOOKUP(C:C,[1]Inputs!$B$20:$H$25,7,FALSE)*F7,VLOOKUP(C:C,[1]Inputs!$B$20:$I$25,8,FALSE)*F7)</f>
        <v>7.9838346469665016</v>
      </c>
      <c r="I7" s="88">
        <f>VLOOKUP(C:C,[1]Inputs!$C$54:$G$59,5,FALSE)*F7</f>
        <v>1.9732436288346318</v>
      </c>
      <c r="J7" s="88"/>
      <c r="K7" s="88"/>
      <c r="L7" s="88"/>
      <c r="M7" s="88">
        <f>SUM(H7:J7)</f>
        <v>9.957078275801134</v>
      </c>
      <c r="N7" s="88">
        <f>[1]Inputs!$M$43*M7</f>
        <v>4.6392677416511674</v>
      </c>
      <c r="O7" s="78">
        <f>[1]Inputs!$M$48*M7</f>
        <v>1.5968921687171693</v>
      </c>
      <c r="P7" s="78">
        <f>[1]Inputs!$H$13*SUM(M7:O7)</f>
        <v>1.0269751657668678</v>
      </c>
      <c r="Q7" s="78">
        <f t="shared" ref="Q7" si="0">SUM(M7:P7)</f>
        <v>17.220213351936337</v>
      </c>
      <c r="S7" s="96" t="s">
        <v>91</v>
      </c>
      <c r="T7" s="97" t="s">
        <v>92</v>
      </c>
      <c r="U7" s="173">
        <v>1</v>
      </c>
      <c r="V7" s="174">
        <v>1</v>
      </c>
      <c r="W7" s="175">
        <f t="shared" ref="W7:W15" si="1">V7*U7</f>
        <v>1</v>
      </c>
      <c r="X7" s="88">
        <v>0</v>
      </c>
      <c r="Y7" s="88">
        <f>IF(X7=0,VLOOKUP(T:T,[1]Inputs!$B$20:$H$25,7,FALSE)*W7,VLOOKUP(T:T,[1]Inputs!$B$20:$I$25,8,FALSE)*W7)</f>
        <v>73.74148301772</v>
      </c>
      <c r="Z7" s="88">
        <f>VLOOKUP(T:T,[1]Inputs!$C$54:$G$59,5,FALSE)*W7</f>
        <v>0</v>
      </c>
      <c r="AA7" s="88"/>
      <c r="AB7" s="88"/>
      <c r="AC7" s="88"/>
      <c r="AD7" s="88">
        <f>SUM(Y7:AA7)</f>
        <v>73.74148301772</v>
      </c>
      <c r="AE7" s="88">
        <f>[1]Inputs!$M$43*AD7</f>
        <v>34.358119310666993</v>
      </c>
      <c r="AF7" s="78">
        <f>[1]Inputs!$M$48*AD7</f>
        <v>11.826480969500322</v>
      </c>
      <c r="AG7" s="78">
        <f>[1]Inputs!$H$13*SUM(AD7:AF7)</f>
        <v>7.6057122027520139</v>
      </c>
      <c r="AH7" s="78">
        <f t="shared" ref="AH7" si="2">SUM(AD7:AG7)</f>
        <v>127.53179550063933</v>
      </c>
      <c r="AJ7" s="96" t="s">
        <v>90</v>
      </c>
      <c r="AK7" s="97" t="s">
        <v>71</v>
      </c>
      <c r="AL7" s="98">
        <v>0.1</v>
      </c>
      <c r="AM7" s="99">
        <v>1</v>
      </c>
      <c r="AN7" s="100">
        <f>AM7*AL7</f>
        <v>0.1</v>
      </c>
      <c r="AO7" s="100">
        <v>0</v>
      </c>
      <c r="AP7" s="100">
        <f>IF(AO7=0,VLOOKUP(AK:AK,[1]Inputs!$B$20:$H$25,7,FALSE)*AN7,VLOOKUP(AK:AK,[1]Inputs!$B$20:$I$25,8,FALSE)*AN7)</f>
        <v>7.9838346469665016</v>
      </c>
      <c r="AQ7" s="100">
        <f>VLOOKUP(AK:AK,[1]Inputs!$C$54:$G$59,5,FALSE)*AN7</f>
        <v>1.9732436288346318</v>
      </c>
      <c r="AR7" s="100"/>
      <c r="AS7" s="100"/>
      <c r="AT7" s="100"/>
      <c r="AU7" s="100">
        <f>SUM(AP7:AR7)</f>
        <v>9.957078275801134</v>
      </c>
      <c r="AV7" s="100">
        <f>[1]Inputs!$M$43*AU7</f>
        <v>4.6392677416511674</v>
      </c>
      <c r="AW7" s="176">
        <f>[1]Inputs!$M$48*AU7</f>
        <v>1.5968921687171693</v>
      </c>
      <c r="AX7" s="176">
        <f>[1]Inputs!$H$13*SUM(AU7:AW7)</f>
        <v>1.0269751657668678</v>
      </c>
      <c r="AY7" s="176">
        <f t="shared" ref="AY7:AY10" si="3">SUM(AU7:AX7)</f>
        <v>17.220213351936337</v>
      </c>
      <c r="BA7" s="96" t="s">
        <v>74</v>
      </c>
      <c r="BB7" s="97" t="s">
        <v>71</v>
      </c>
      <c r="BC7" s="98">
        <v>0.5</v>
      </c>
      <c r="BD7" s="99">
        <v>2</v>
      </c>
      <c r="BE7" s="100">
        <f>BD7*BC7</f>
        <v>1</v>
      </c>
      <c r="BF7" s="100">
        <v>0</v>
      </c>
      <c r="BG7" s="100">
        <f>IF(BF7=0,VLOOKUP(BB:BB,[1]Inputs!$B$20:$H$25,7,FALSE)*BE7,VLOOKUP(BB:BB,[1]Inputs!$B$20:$I$25,8,FALSE)*BE7)</f>
        <v>79.838346469665012</v>
      </c>
      <c r="BH7" s="100">
        <f>VLOOKUP(BB:BB,[1]Inputs!$C$54:$G$59,5,FALSE)*BE7</f>
        <v>19.732436288346317</v>
      </c>
      <c r="BI7" s="100"/>
      <c r="BJ7" s="100"/>
      <c r="BK7" s="100"/>
      <c r="BL7" s="100">
        <f>SUM(BG7:BI7)</f>
        <v>99.570782758011333</v>
      </c>
      <c r="BM7" s="100">
        <f>[1]Inputs!$M$43*BL7</f>
        <v>46.392677416511667</v>
      </c>
      <c r="BN7" s="176">
        <f>[1]Inputs!$M$48*BL7</f>
        <v>15.968921687171692</v>
      </c>
      <c r="BO7" s="176">
        <f>[1]Inputs!$H$13*SUM(BL7:BN7)</f>
        <v>10.269751657668678</v>
      </c>
      <c r="BP7" s="177">
        <f t="shared" ref="BP7:BP10" si="4">SUM(BL7:BO7)</f>
        <v>172.20213351936337</v>
      </c>
    </row>
    <row r="8" spans="1:69" x14ac:dyDescent="0.2">
      <c r="B8" s="63" t="s">
        <v>85</v>
      </c>
      <c r="C8" s="62" t="s">
        <v>71</v>
      </c>
      <c r="D8" s="77">
        <v>0.1</v>
      </c>
      <c r="E8" s="68">
        <v>1</v>
      </c>
      <c r="F8" s="88">
        <f t="shared" ref="F8:F10" si="5">E8*D8</f>
        <v>0.1</v>
      </c>
      <c r="G8" s="88">
        <v>0</v>
      </c>
      <c r="H8" s="88">
        <f>IF(G8=0,VLOOKUP(C:C,[1]Inputs!$B$20:$H$25,7,FALSE)*F8,VLOOKUP(C:C,[1]Inputs!$B$20:$I$25,8,FALSE)*F8)</f>
        <v>7.9838346469665016</v>
      </c>
      <c r="I8" s="88">
        <f>VLOOKUP(C:C,[1]Inputs!$C$54:$G$59,5,FALSE)*F8</f>
        <v>1.9732436288346318</v>
      </c>
      <c r="J8" s="88"/>
      <c r="K8" s="88"/>
      <c r="L8" s="88"/>
      <c r="M8" s="88">
        <f t="shared" ref="M8:M10" si="6">SUM(H8:J8)</f>
        <v>9.957078275801134</v>
      </c>
      <c r="N8" s="88">
        <f>[1]Inputs!$M$43*M8</f>
        <v>4.6392677416511674</v>
      </c>
      <c r="O8" s="78">
        <f>[1]Inputs!$M$48*M8</f>
        <v>1.5968921687171693</v>
      </c>
      <c r="P8" s="78">
        <f>[1]Inputs!$H$13*SUM(M8:O8)</f>
        <v>1.0269751657668678</v>
      </c>
      <c r="Q8" s="78">
        <f t="shared" ref="Q8:Q10" si="7">SUM(M8:P8)</f>
        <v>17.220213351936337</v>
      </c>
      <c r="R8" s="49"/>
      <c r="S8" s="64" t="s">
        <v>93</v>
      </c>
      <c r="T8" s="105" t="s">
        <v>92</v>
      </c>
      <c r="U8" s="106">
        <v>1</v>
      </c>
      <c r="V8" s="108">
        <v>1</v>
      </c>
      <c r="W8" s="175">
        <f t="shared" si="1"/>
        <v>1</v>
      </c>
      <c r="X8" s="88">
        <v>0</v>
      </c>
      <c r="Y8" s="88">
        <f>IF(X8=0,VLOOKUP(T:T,[1]Inputs!$B$20:$H$25,7,FALSE)*W8,VLOOKUP(T:T,[1]Inputs!$B$20:$I$25,8,FALSE)*W8)</f>
        <v>73.74148301772</v>
      </c>
      <c r="Z8" s="88">
        <f>VLOOKUP(T:T,[1]Inputs!$C$54:$G$59,5,FALSE)*W8</f>
        <v>0</v>
      </c>
      <c r="AA8" s="88"/>
      <c r="AB8" s="88"/>
      <c r="AC8" s="88"/>
      <c r="AD8" s="88">
        <f t="shared" ref="AD8:AD15" si="8">SUM(Y8:AA8)</f>
        <v>73.74148301772</v>
      </c>
      <c r="AE8" s="88">
        <f>[1]Inputs!$M$43*AD8</f>
        <v>34.358119310666993</v>
      </c>
      <c r="AF8" s="78">
        <f>[1]Inputs!$M$48*AD8</f>
        <v>11.826480969500322</v>
      </c>
      <c r="AG8" s="78">
        <f>[1]Inputs!$H$13*SUM(AD8:AF8)</f>
        <v>7.6057122027520139</v>
      </c>
      <c r="AH8" s="78">
        <f t="shared" ref="AH8:AH15" si="9">SUM(AD8:AG8)</f>
        <v>127.53179550063933</v>
      </c>
      <c r="AJ8" s="63" t="s">
        <v>85</v>
      </c>
      <c r="AK8" s="62" t="s">
        <v>71</v>
      </c>
      <c r="AL8" s="77">
        <v>0.1</v>
      </c>
      <c r="AM8" s="68">
        <v>1</v>
      </c>
      <c r="AN8" s="88">
        <f t="shared" ref="AN8:AN10" si="10">AM8*AL8</f>
        <v>0.1</v>
      </c>
      <c r="AO8" s="88">
        <v>0</v>
      </c>
      <c r="AP8" s="88">
        <f>IF(AO8=0,VLOOKUP(AK:AK,[1]Inputs!$B$20:$H$25,7,FALSE)*AN8,VLOOKUP(AK:AK,[1]Inputs!$B$20:$I$25,8,FALSE)*AN8)</f>
        <v>7.9838346469665016</v>
      </c>
      <c r="AQ8" s="88">
        <f>VLOOKUP(AK:AK,[1]Inputs!$C$54:$G$59,5,FALSE)*AN8</f>
        <v>1.9732436288346318</v>
      </c>
      <c r="AR8" s="88"/>
      <c r="AS8" s="88"/>
      <c r="AT8" s="88"/>
      <c r="AU8" s="88">
        <f t="shared" ref="AU8:AU10" si="11">SUM(AP8:AR8)</f>
        <v>9.957078275801134</v>
      </c>
      <c r="AV8" s="88">
        <f>[1]Inputs!$M$43*AU8</f>
        <v>4.6392677416511674</v>
      </c>
      <c r="AW8" s="177">
        <f>[1]Inputs!$M$48*AU8</f>
        <v>1.5968921687171693</v>
      </c>
      <c r="AX8" s="176">
        <f>[1]Inputs!$H$13*SUM(AU8:AW8)</f>
        <v>1.0269751657668678</v>
      </c>
      <c r="AY8" s="176">
        <f t="shared" si="3"/>
        <v>17.220213351936337</v>
      </c>
      <c r="AZ8" s="90"/>
      <c r="BA8" s="63" t="s">
        <v>75</v>
      </c>
      <c r="BB8" s="62" t="s">
        <v>71</v>
      </c>
      <c r="BC8" s="77">
        <v>0.25</v>
      </c>
      <c r="BD8" s="68">
        <v>1</v>
      </c>
      <c r="BE8" s="88">
        <f t="shared" ref="BE8:BE12" si="12">BD8*BC8</f>
        <v>0.25</v>
      </c>
      <c r="BF8" s="88">
        <v>0</v>
      </c>
      <c r="BG8" s="88">
        <f>IF(BF8=0,VLOOKUP(BB:BB,[1]Inputs!$B$20:$H$25,7,FALSE)*BE8,VLOOKUP(BB:BB,[1]Inputs!$B$20:$I$25,8,FALSE)*BE8)</f>
        <v>19.959586617416253</v>
      </c>
      <c r="BH8" s="88">
        <f>VLOOKUP(BB:BB,[1]Inputs!$C$54:$G$59,5,FALSE)*BE8</f>
        <v>4.9331090720865793</v>
      </c>
      <c r="BI8" s="88"/>
      <c r="BJ8" s="88"/>
      <c r="BK8" s="88"/>
      <c r="BL8" s="88">
        <f t="shared" ref="BL8:BL10" si="13">SUM(BG8:BI8)</f>
        <v>24.892695689502833</v>
      </c>
      <c r="BM8" s="88">
        <f>[1]Inputs!$M$43*BL8</f>
        <v>11.598169354127917</v>
      </c>
      <c r="BN8" s="177">
        <f>[1]Inputs!$M$48*BL8</f>
        <v>3.992230421792923</v>
      </c>
      <c r="BO8" s="177">
        <f>[1]Inputs!$H$13*SUM(BL8:BN8)</f>
        <v>2.5674379144171695</v>
      </c>
      <c r="BP8" s="177">
        <f t="shared" si="4"/>
        <v>43.050533379840843</v>
      </c>
      <c r="BQ8" s="90"/>
    </row>
    <row r="9" spans="1:69" ht="26.25" customHeight="1" x14ac:dyDescent="0.2">
      <c r="A9" s="50"/>
      <c r="B9" s="64" t="s">
        <v>72</v>
      </c>
      <c r="C9" s="62" t="s">
        <v>71</v>
      </c>
      <c r="D9" s="78">
        <v>0.1</v>
      </c>
      <c r="E9" s="68">
        <v>2</v>
      </c>
      <c r="F9" s="87">
        <f t="shared" si="5"/>
        <v>0.2</v>
      </c>
      <c r="G9" s="88">
        <v>0</v>
      </c>
      <c r="H9" s="88">
        <f>IF(G9=0,VLOOKUP(C:C,[1]Inputs!$B$20:$H$25,7,FALSE)*F9,VLOOKUP(C:C,[1]Inputs!$B$20:$I$25,8,FALSE)*F9)</f>
        <v>15.967669293933003</v>
      </c>
      <c r="I9" s="88">
        <f>VLOOKUP(C:C,[1]Inputs!$C$54:$G$59,5,FALSE)*F9</f>
        <v>3.9464872576692636</v>
      </c>
      <c r="J9" s="88"/>
      <c r="K9" s="88"/>
      <c r="L9" s="88"/>
      <c r="M9" s="88">
        <f t="shared" si="6"/>
        <v>19.914156551602268</v>
      </c>
      <c r="N9" s="88">
        <f>[1]Inputs!$M$43*M9</f>
        <v>9.2785354833023348</v>
      </c>
      <c r="O9" s="78">
        <f>[1]Inputs!$M$48*M9</f>
        <v>3.1937843374343386</v>
      </c>
      <c r="P9" s="78">
        <f>[1]Inputs!$H$13*SUM(M9:O9)</f>
        <v>2.0539503315337355</v>
      </c>
      <c r="Q9" s="78">
        <f t="shared" si="7"/>
        <v>34.440426703872674</v>
      </c>
      <c r="R9" s="49"/>
      <c r="S9" s="65" t="s">
        <v>94</v>
      </c>
      <c r="T9" s="62" t="s">
        <v>95</v>
      </c>
      <c r="U9" s="78">
        <v>0.5</v>
      </c>
      <c r="V9" s="107">
        <v>1</v>
      </c>
      <c r="W9" s="175">
        <f t="shared" si="1"/>
        <v>0.5</v>
      </c>
      <c r="X9" s="88">
        <v>0</v>
      </c>
      <c r="Y9" s="88">
        <f>IF(X9=0,VLOOKUP(T:T,[1]Inputs!$B$20:$H$25,7,FALSE)*W9,VLOOKUP(T:T,[1]Inputs!$B$20:$I$25,8,FALSE)*W9)</f>
        <v>51.630298810072496</v>
      </c>
      <c r="Z9" s="88">
        <f>VLOOKUP(T:T,[1]Inputs!$C$54:$G$59,5,FALSE)*W9</f>
        <v>0</v>
      </c>
      <c r="AA9" s="88"/>
      <c r="AB9" s="88"/>
      <c r="AC9" s="88"/>
      <c r="AD9" s="88">
        <f t="shared" si="8"/>
        <v>51.630298810072496</v>
      </c>
      <c r="AE9" s="88">
        <f>[1]Inputs!$M$43*AD9</f>
        <v>24.055930176174893</v>
      </c>
      <c r="AF9" s="78">
        <f>[1]Inputs!$M$48*AD9</f>
        <v>8.2803426421490585</v>
      </c>
      <c r="AG9" s="78">
        <f>[1]Inputs!$H$13*SUM(AD9:AF9)</f>
        <v>5.3251599726729033</v>
      </c>
      <c r="AH9" s="78">
        <f t="shared" si="9"/>
        <v>89.291731601069358</v>
      </c>
      <c r="AJ9" s="64" t="s">
        <v>72</v>
      </c>
      <c r="AK9" s="62" t="s">
        <v>71</v>
      </c>
      <c r="AL9" s="78">
        <v>0.1</v>
      </c>
      <c r="AM9" s="68">
        <v>2</v>
      </c>
      <c r="AN9" s="87">
        <f t="shared" si="10"/>
        <v>0.2</v>
      </c>
      <c r="AO9" s="87">
        <v>0</v>
      </c>
      <c r="AP9" s="87">
        <f>IF(AO9=0,VLOOKUP(AK:AK,[1]Inputs!$B$20:$H$25,7,FALSE)*AN9,VLOOKUP(AK:AK,[1]Inputs!$B$20:$I$25,8,FALSE)*AN9)</f>
        <v>15.967669293933003</v>
      </c>
      <c r="AQ9" s="87">
        <f>VLOOKUP(AK:AK,[1]Inputs!$C$54:$G$59,5,FALSE)*AN9</f>
        <v>3.9464872576692636</v>
      </c>
      <c r="AR9" s="87"/>
      <c r="AS9" s="87"/>
      <c r="AT9" s="87"/>
      <c r="AU9" s="87">
        <f t="shared" si="11"/>
        <v>19.914156551602268</v>
      </c>
      <c r="AV9" s="87">
        <f>[1]Inputs!$M$43*AU9</f>
        <v>9.2785354833023348</v>
      </c>
      <c r="AW9" s="177">
        <f>[1]Inputs!$M$48*AU9</f>
        <v>3.1937843374343386</v>
      </c>
      <c r="AX9" s="176">
        <f>[1]Inputs!$H$13*SUM(AU9:AW9)</f>
        <v>2.0539503315337355</v>
      </c>
      <c r="AY9" s="176">
        <f t="shared" si="3"/>
        <v>34.440426703872674</v>
      </c>
      <c r="AZ9" s="90"/>
      <c r="BA9" s="64" t="s">
        <v>98</v>
      </c>
      <c r="BB9" s="62" t="s">
        <v>71</v>
      </c>
      <c r="BC9" s="78">
        <v>0.5</v>
      </c>
      <c r="BD9" s="68">
        <v>2</v>
      </c>
      <c r="BE9" s="87">
        <f t="shared" si="12"/>
        <v>1</v>
      </c>
      <c r="BF9" s="87">
        <v>0</v>
      </c>
      <c r="BG9" s="87">
        <f>IF(BF9=0,VLOOKUP(BB:BB,[1]Inputs!$B$20:$H$25,7,FALSE)*BE9,VLOOKUP(BB:BB,[1]Inputs!$B$20:$I$25,8,FALSE)*BE9)</f>
        <v>79.838346469665012</v>
      </c>
      <c r="BH9" s="87">
        <f>VLOOKUP(BB:BB,[1]Inputs!$C$54:$G$59,5,FALSE)*BE9</f>
        <v>19.732436288346317</v>
      </c>
      <c r="BI9" s="87"/>
      <c r="BJ9" s="87"/>
      <c r="BK9" s="87"/>
      <c r="BL9" s="87">
        <f t="shared" si="13"/>
        <v>99.570782758011333</v>
      </c>
      <c r="BM9" s="87">
        <f>[1]Inputs!$M$43*BL9</f>
        <v>46.392677416511667</v>
      </c>
      <c r="BN9" s="177">
        <f>[1]Inputs!$M$48*BL9</f>
        <v>15.968921687171692</v>
      </c>
      <c r="BO9" s="177">
        <f>[1]Inputs!$H$13*SUM(BL9:BN9)</f>
        <v>10.269751657668678</v>
      </c>
      <c r="BP9" s="177">
        <f t="shared" si="4"/>
        <v>172.20213351936337</v>
      </c>
    </row>
    <row r="10" spans="1:69" ht="25.5" x14ac:dyDescent="0.2">
      <c r="B10" s="65" t="s">
        <v>73</v>
      </c>
      <c r="C10" s="62" t="s">
        <v>71</v>
      </c>
      <c r="D10" s="79">
        <v>0.1</v>
      </c>
      <c r="E10" s="68">
        <v>1</v>
      </c>
      <c r="F10" s="87">
        <f t="shared" si="5"/>
        <v>0.1</v>
      </c>
      <c r="G10" s="88">
        <v>0</v>
      </c>
      <c r="H10" s="88">
        <f>IF(G10=0,VLOOKUP(C:C,[1]Inputs!$B$20:$H$25,7,FALSE)*F10,VLOOKUP(C:C,[1]Inputs!$B$20:$I$25,8,FALSE)*F10)</f>
        <v>7.9838346469665016</v>
      </c>
      <c r="I10" s="88">
        <f>VLOOKUP(C:C,[1]Inputs!$C$54:$G$59,5,FALSE)*F10</f>
        <v>1.9732436288346318</v>
      </c>
      <c r="J10" s="88"/>
      <c r="K10" s="88"/>
      <c r="L10" s="88"/>
      <c r="M10" s="88">
        <f t="shared" si="6"/>
        <v>9.957078275801134</v>
      </c>
      <c r="N10" s="88">
        <f>[1]Inputs!$M$43*M10</f>
        <v>4.6392677416511674</v>
      </c>
      <c r="O10" s="78">
        <f>[1]Inputs!$M$48*M10</f>
        <v>1.5968921687171693</v>
      </c>
      <c r="P10" s="78">
        <f>[1]Inputs!$H$13*SUM(M10:O10)</f>
        <v>1.0269751657668678</v>
      </c>
      <c r="Q10" s="78">
        <f t="shared" si="7"/>
        <v>17.220213351936337</v>
      </c>
      <c r="S10" s="63" t="s">
        <v>96</v>
      </c>
      <c r="T10" s="62" t="s">
        <v>95</v>
      </c>
      <c r="U10" s="78">
        <v>1</v>
      </c>
      <c r="V10" s="107">
        <v>1</v>
      </c>
      <c r="W10" s="175">
        <f t="shared" si="1"/>
        <v>1</v>
      </c>
      <c r="X10" s="88">
        <v>0</v>
      </c>
      <c r="Y10" s="88">
        <f>IF(X10=0,VLOOKUP(T:T,[1]Inputs!$B$20:$H$25,7,FALSE)*W10,VLOOKUP(T:T,[1]Inputs!$B$20:$I$25,8,FALSE)*W10)</f>
        <v>103.26059762014499</v>
      </c>
      <c r="Z10" s="88">
        <f>VLOOKUP(T:T,[1]Inputs!$C$54:$G$59,5,FALSE)*W10</f>
        <v>0</v>
      </c>
      <c r="AA10" s="88"/>
      <c r="AB10" s="88"/>
      <c r="AC10" s="88"/>
      <c r="AD10" s="88">
        <f t="shared" si="8"/>
        <v>103.26059762014499</v>
      </c>
      <c r="AE10" s="88">
        <f>[1]Inputs!$M$43*AD10</f>
        <v>48.111860352349787</v>
      </c>
      <c r="AF10" s="78">
        <f>[1]Inputs!$M$48*AD10</f>
        <v>16.560685284298117</v>
      </c>
      <c r="AG10" s="78">
        <f>[1]Inputs!$H$13*SUM(AD10:AF10)</f>
        <v>10.650319945345807</v>
      </c>
      <c r="AH10" s="78">
        <f t="shared" si="9"/>
        <v>178.58346320213872</v>
      </c>
      <c r="AJ10" s="65" t="s">
        <v>73</v>
      </c>
      <c r="AK10" s="62" t="s">
        <v>71</v>
      </c>
      <c r="AL10" s="79">
        <v>0.1</v>
      </c>
      <c r="AM10" s="68">
        <v>1</v>
      </c>
      <c r="AN10" s="87">
        <f t="shared" si="10"/>
        <v>0.1</v>
      </c>
      <c r="AO10" s="87">
        <v>0</v>
      </c>
      <c r="AP10" s="87">
        <f>IF(AO10=0,VLOOKUP(AK:AK,[1]Inputs!$B$20:$H$25,7,FALSE)*AN10,VLOOKUP(AK:AK,[1]Inputs!$B$20:$I$25,8,FALSE)*AN10)</f>
        <v>7.9838346469665016</v>
      </c>
      <c r="AQ10" s="87">
        <f>VLOOKUP(AK:AK,[1]Inputs!$C$54:$G$59,5,FALSE)*AN10</f>
        <v>1.9732436288346318</v>
      </c>
      <c r="AR10" s="87"/>
      <c r="AS10" s="87"/>
      <c r="AT10" s="87"/>
      <c r="AU10" s="87">
        <f t="shared" si="11"/>
        <v>9.957078275801134</v>
      </c>
      <c r="AV10" s="87">
        <f>[1]Inputs!$M$43*AU10</f>
        <v>4.6392677416511674</v>
      </c>
      <c r="AW10" s="177">
        <f>[1]Inputs!$M$48*AU10</f>
        <v>1.5968921687171693</v>
      </c>
      <c r="AX10" s="176">
        <f>[1]Inputs!$H$13*SUM(AU10:AW10)</f>
        <v>1.0269751657668678</v>
      </c>
      <c r="AY10" s="176">
        <f t="shared" si="3"/>
        <v>17.220213351936337</v>
      </c>
      <c r="BA10" s="65" t="s">
        <v>121</v>
      </c>
      <c r="BB10" s="62" t="s">
        <v>71</v>
      </c>
      <c r="BC10" s="79">
        <v>0.5</v>
      </c>
      <c r="BD10" s="68">
        <v>2</v>
      </c>
      <c r="BE10" s="87">
        <f t="shared" si="12"/>
        <v>1</v>
      </c>
      <c r="BF10" s="87">
        <v>0</v>
      </c>
      <c r="BG10" s="87">
        <f>IF(BF10=0,VLOOKUP(BB:BB,[1]Inputs!$B$20:$H$25,7,FALSE)*BE10,VLOOKUP(BB:BB,[1]Inputs!$B$20:$I$25,8,FALSE)*BE10)</f>
        <v>79.838346469665012</v>
      </c>
      <c r="BH10" s="87">
        <f>VLOOKUP(BB:BB,[1]Inputs!$C$54:$G$59,5,FALSE)*BE10</f>
        <v>19.732436288346317</v>
      </c>
      <c r="BI10" s="87"/>
      <c r="BJ10" s="87"/>
      <c r="BK10" s="87"/>
      <c r="BL10" s="87">
        <f t="shared" si="13"/>
        <v>99.570782758011333</v>
      </c>
      <c r="BM10" s="87">
        <f>[1]Inputs!$M$43*BL10</f>
        <v>46.392677416511667</v>
      </c>
      <c r="BN10" s="177">
        <f>[1]Inputs!$M$48*BL10</f>
        <v>15.968921687171692</v>
      </c>
      <c r="BO10" s="177">
        <f>[1]Inputs!$H$13*SUM(BL10:BN10)</f>
        <v>10.269751657668678</v>
      </c>
      <c r="BP10" s="177">
        <f t="shared" si="4"/>
        <v>172.20213351936337</v>
      </c>
    </row>
    <row r="11" spans="1:69" x14ac:dyDescent="0.2">
      <c r="B11" s="63"/>
      <c r="C11" s="62"/>
      <c r="D11" s="80"/>
      <c r="E11" s="68"/>
      <c r="F11" s="87"/>
      <c r="G11" s="87"/>
      <c r="H11" s="87"/>
      <c r="I11" s="87"/>
      <c r="J11" s="87"/>
      <c r="K11" s="87"/>
      <c r="L11" s="87"/>
      <c r="M11" s="87"/>
      <c r="N11" s="87"/>
      <c r="O11" s="35"/>
      <c r="P11" s="37"/>
      <c r="Q11" s="37"/>
      <c r="S11" s="63" t="s">
        <v>88</v>
      </c>
      <c r="T11" s="62" t="s">
        <v>71</v>
      </c>
      <c r="U11" s="76">
        <v>1</v>
      </c>
      <c r="V11" s="68">
        <v>3</v>
      </c>
      <c r="W11" s="175">
        <f t="shared" si="1"/>
        <v>3</v>
      </c>
      <c r="X11" s="88">
        <v>0</v>
      </c>
      <c r="Y11" s="88">
        <f>IF(X11=0,VLOOKUP(T:T,[1]Inputs!$B$20:$H$25,7,FALSE)*W11,VLOOKUP(T:T,[1]Inputs!$B$20:$I$25,8,FALSE)*W11)</f>
        <v>239.51503940899505</v>
      </c>
      <c r="Z11" s="88">
        <f>VLOOKUP(T:T,[1]Inputs!$C$54:$G$59,5,FALSE)*W11</f>
        <v>59.197308865038949</v>
      </c>
      <c r="AA11" s="88"/>
      <c r="AB11" s="88"/>
      <c r="AC11" s="88"/>
      <c r="AD11" s="88">
        <f t="shared" si="8"/>
        <v>298.71234827403401</v>
      </c>
      <c r="AE11" s="88">
        <f>[1]Inputs!$M$43*AD11</f>
        <v>139.17803224953502</v>
      </c>
      <c r="AF11" s="78">
        <f>[1]Inputs!$M$48*AD11</f>
        <v>47.906765061515074</v>
      </c>
      <c r="AG11" s="78">
        <f>[1]Inputs!$H$13*SUM(AD11:AF11)</f>
        <v>30.809254973006034</v>
      </c>
      <c r="AH11" s="78">
        <f t="shared" si="9"/>
        <v>516.60640055809017</v>
      </c>
      <c r="AJ11" s="63"/>
      <c r="AK11" s="62"/>
      <c r="AL11" s="80"/>
      <c r="AM11" s="68"/>
      <c r="AN11" s="87"/>
      <c r="AO11" s="87"/>
      <c r="AP11" s="87"/>
      <c r="AQ11" s="87"/>
      <c r="AR11" s="87"/>
      <c r="AS11" s="87"/>
      <c r="AT11" s="87"/>
      <c r="AU11" s="87"/>
      <c r="AV11" s="87"/>
      <c r="AW11" s="35"/>
      <c r="AX11" s="37"/>
      <c r="AY11" s="37"/>
      <c r="BA11" s="64" t="s">
        <v>99</v>
      </c>
      <c r="BB11" s="62" t="s">
        <v>71</v>
      </c>
      <c r="BC11" s="80">
        <v>0.5</v>
      </c>
      <c r="BD11" s="68">
        <v>2</v>
      </c>
      <c r="BE11" s="87">
        <f t="shared" si="12"/>
        <v>1</v>
      </c>
      <c r="BF11" s="87">
        <v>0</v>
      </c>
      <c r="BG11" s="87">
        <f>IF(BF11=0,VLOOKUP(BB:BB,[1]Inputs!$B$20:$H$25,7,FALSE)*BE11,VLOOKUP(BB:BB,[1]Inputs!$B$20:$I$25,8,FALSE)*BE11)</f>
        <v>79.838346469665012</v>
      </c>
      <c r="BH11" s="87">
        <f>VLOOKUP(BB:BB,[1]Inputs!$C$54:$G$59,5,FALSE)*BE11</f>
        <v>19.732436288346317</v>
      </c>
      <c r="BI11" s="87"/>
      <c r="BJ11" s="87"/>
      <c r="BK11" s="87"/>
      <c r="BL11" s="87">
        <f t="shared" ref="BL11:BL12" si="14">SUM(BG11:BI11)</f>
        <v>99.570782758011333</v>
      </c>
      <c r="BM11" s="87">
        <f>[1]Inputs!$M$43*BL11</f>
        <v>46.392677416511667</v>
      </c>
      <c r="BN11" s="177">
        <f>[1]Inputs!$M$48*BL11</f>
        <v>15.968921687171692</v>
      </c>
      <c r="BO11" s="177">
        <f>[1]Inputs!$H$13*SUM(BL11:BN11)</f>
        <v>10.269751657668678</v>
      </c>
      <c r="BP11" s="177">
        <f t="shared" ref="BP11:BP12" si="15">SUM(BL11:BO11)</f>
        <v>172.20213351936337</v>
      </c>
    </row>
    <row r="12" spans="1:69" x14ac:dyDescent="0.2">
      <c r="B12" s="63"/>
      <c r="C12" s="62"/>
      <c r="D12" s="80"/>
      <c r="E12" s="68"/>
      <c r="F12" s="87"/>
      <c r="G12" s="87"/>
      <c r="H12" s="87"/>
      <c r="I12" s="87"/>
      <c r="J12" s="87"/>
      <c r="K12" s="87"/>
      <c r="L12" s="87"/>
      <c r="M12" s="87"/>
      <c r="N12" s="87"/>
      <c r="O12" s="35"/>
      <c r="P12" s="36"/>
      <c r="Q12" s="36"/>
      <c r="R12" s="51"/>
      <c r="S12" s="63" t="s">
        <v>85</v>
      </c>
      <c r="T12" s="62" t="s">
        <v>71</v>
      </c>
      <c r="U12" s="77">
        <v>1</v>
      </c>
      <c r="V12" s="68">
        <v>1</v>
      </c>
      <c r="W12" s="175">
        <f t="shared" si="1"/>
        <v>1</v>
      </c>
      <c r="X12" s="88">
        <v>0</v>
      </c>
      <c r="Y12" s="88">
        <f>IF(X12=0,VLOOKUP(T:T,[1]Inputs!$B$20:$H$25,7,FALSE)*W12,VLOOKUP(T:T,[1]Inputs!$B$20:$I$25,8,FALSE)*W12)</f>
        <v>79.838346469665012</v>
      </c>
      <c r="Z12" s="88">
        <f>VLOOKUP(T:T,[1]Inputs!$C$54:$G$59,5,FALSE)*W12</f>
        <v>19.732436288346317</v>
      </c>
      <c r="AA12" s="88"/>
      <c r="AB12" s="88"/>
      <c r="AC12" s="88"/>
      <c r="AD12" s="88">
        <f t="shared" si="8"/>
        <v>99.570782758011333</v>
      </c>
      <c r="AE12" s="88">
        <f>[1]Inputs!$M$43*AD12</f>
        <v>46.392677416511667</v>
      </c>
      <c r="AF12" s="78">
        <f>[1]Inputs!$M$48*AD12</f>
        <v>15.968921687171692</v>
      </c>
      <c r="AG12" s="78">
        <f>[1]Inputs!$H$13*SUM(AD12:AF12)</f>
        <v>10.269751657668678</v>
      </c>
      <c r="AH12" s="78">
        <f t="shared" si="9"/>
        <v>172.20213351936337</v>
      </c>
      <c r="AJ12" s="63"/>
      <c r="AK12" s="62"/>
      <c r="AL12" s="80"/>
      <c r="AM12" s="68"/>
      <c r="AN12" s="87"/>
      <c r="AO12" s="87"/>
      <c r="AP12" s="87"/>
      <c r="AQ12" s="87"/>
      <c r="AR12" s="87"/>
      <c r="AS12" s="87"/>
      <c r="AT12" s="87"/>
      <c r="AU12" s="87"/>
      <c r="AV12" s="87"/>
      <c r="AW12" s="35"/>
      <c r="AX12" s="36"/>
      <c r="AY12" s="36"/>
      <c r="BA12" s="65" t="s">
        <v>73</v>
      </c>
      <c r="BB12" s="62" t="s">
        <v>71</v>
      </c>
      <c r="BC12" s="80">
        <v>0.1</v>
      </c>
      <c r="BD12" s="68">
        <v>1</v>
      </c>
      <c r="BE12" s="87">
        <f t="shared" si="12"/>
        <v>0.1</v>
      </c>
      <c r="BF12" s="87">
        <v>0</v>
      </c>
      <c r="BG12" s="87">
        <f>IF(BF12=0,VLOOKUP(BB:BB,[1]Inputs!$B$20:$H$25,7,FALSE)*BE12,VLOOKUP(BB:BB,[1]Inputs!$B$20:$I$25,8,FALSE)*BE12)</f>
        <v>7.9838346469665016</v>
      </c>
      <c r="BH12" s="87">
        <f>VLOOKUP(BB:BB,[1]Inputs!$C$54:$G$59,5,FALSE)*BE12</f>
        <v>1.9732436288346318</v>
      </c>
      <c r="BI12" s="87"/>
      <c r="BJ12" s="87"/>
      <c r="BK12" s="87"/>
      <c r="BL12" s="87">
        <f t="shared" si="14"/>
        <v>9.957078275801134</v>
      </c>
      <c r="BM12" s="87">
        <f>[1]Inputs!$M$43*BL12</f>
        <v>4.6392677416511674</v>
      </c>
      <c r="BN12" s="177">
        <f>[1]Inputs!$M$48*BL12</f>
        <v>1.5968921687171693</v>
      </c>
      <c r="BO12" s="177">
        <f>[1]Inputs!$H$13*SUM(BL12:BN12)</f>
        <v>1.0269751657668678</v>
      </c>
      <c r="BP12" s="177">
        <f t="shared" si="15"/>
        <v>17.220213351936337</v>
      </c>
    </row>
    <row r="13" spans="1:69" x14ac:dyDescent="0.2">
      <c r="B13" s="63" t="s">
        <v>83</v>
      </c>
      <c r="C13" s="62"/>
      <c r="D13" s="80"/>
      <c r="E13" s="68"/>
      <c r="F13" s="87"/>
      <c r="G13" s="87"/>
      <c r="H13" s="87"/>
      <c r="I13" s="87"/>
      <c r="J13" s="87"/>
      <c r="K13" s="87"/>
      <c r="L13" s="87"/>
      <c r="M13" s="87"/>
      <c r="N13" s="87"/>
      <c r="O13" s="36"/>
      <c r="P13" s="36"/>
      <c r="Q13" s="36"/>
      <c r="S13" s="64" t="s">
        <v>148</v>
      </c>
      <c r="T13" s="62" t="s">
        <v>71</v>
      </c>
      <c r="U13" s="78">
        <v>1.5</v>
      </c>
      <c r="V13" s="68">
        <v>3</v>
      </c>
      <c r="W13" s="175">
        <f t="shared" si="1"/>
        <v>4.5</v>
      </c>
      <c r="X13" s="88">
        <v>0</v>
      </c>
      <c r="Y13" s="88">
        <f>IF(X13=0,VLOOKUP(T:T,[1]Inputs!$B$20:$H$25,7,FALSE)*W13,VLOOKUP(T:T,[1]Inputs!$B$20:$I$25,8,FALSE)*W13)</f>
        <v>359.27255911349255</v>
      </c>
      <c r="Z13" s="88">
        <f>VLOOKUP(T:T,[1]Inputs!$C$54:$G$59,5,FALSE)*W13</f>
        <v>88.79596329755843</v>
      </c>
      <c r="AA13" s="88"/>
      <c r="AB13" s="88"/>
      <c r="AC13" s="88"/>
      <c r="AD13" s="88">
        <f t="shared" si="8"/>
        <v>448.06852241105099</v>
      </c>
      <c r="AE13" s="88">
        <f>[1]Inputs!$M$43*AD13</f>
        <v>208.7670483743025</v>
      </c>
      <c r="AF13" s="78">
        <f>[1]Inputs!$M$48*AD13</f>
        <v>71.860147592272611</v>
      </c>
      <c r="AG13" s="78">
        <f>[1]Inputs!$H$13*SUM(AD13:AF13)</f>
        <v>46.213882459509051</v>
      </c>
      <c r="AH13" s="78">
        <f t="shared" si="9"/>
        <v>774.90960083713514</v>
      </c>
      <c r="AJ13" s="63" t="s">
        <v>89</v>
      </c>
      <c r="AK13" s="62"/>
      <c r="AL13" s="80"/>
      <c r="AM13" s="68"/>
      <c r="AN13" s="87"/>
      <c r="AO13" s="87"/>
      <c r="AP13" s="87"/>
      <c r="AQ13" s="87"/>
      <c r="AR13" s="87"/>
      <c r="AS13" s="87"/>
      <c r="AT13" s="87"/>
      <c r="AU13" s="87"/>
      <c r="AV13" s="87"/>
      <c r="AW13" s="36"/>
      <c r="AX13" s="36"/>
      <c r="AY13" s="36"/>
      <c r="BA13" s="63"/>
      <c r="BB13" s="62"/>
      <c r="BC13" s="80"/>
      <c r="BD13" s="68"/>
      <c r="BE13" s="87"/>
      <c r="BF13" s="87"/>
      <c r="BG13" s="87"/>
      <c r="BH13" s="87"/>
      <c r="BI13" s="87"/>
      <c r="BJ13" s="87"/>
      <c r="BK13" s="87"/>
      <c r="BL13" s="87"/>
      <c r="BM13" s="87"/>
      <c r="BN13" s="36"/>
      <c r="BO13" s="36"/>
      <c r="BP13" s="36"/>
    </row>
    <row r="14" spans="1:69" x14ac:dyDescent="0.2">
      <c r="B14" s="63"/>
      <c r="C14" s="62"/>
      <c r="D14" s="78"/>
      <c r="E14" s="68"/>
      <c r="F14" s="87"/>
      <c r="G14" s="87"/>
      <c r="H14" s="87"/>
      <c r="I14" s="87"/>
      <c r="J14" s="87"/>
      <c r="K14" s="87"/>
      <c r="L14" s="87"/>
      <c r="M14" s="87"/>
      <c r="N14" s="87"/>
      <c r="O14" s="36"/>
      <c r="P14" s="37"/>
      <c r="Q14" s="37"/>
      <c r="S14" s="65" t="s">
        <v>73</v>
      </c>
      <c r="T14" s="62" t="s">
        <v>71</v>
      </c>
      <c r="U14" s="79">
        <v>0.5</v>
      </c>
      <c r="V14" s="68">
        <v>1</v>
      </c>
      <c r="W14" s="175">
        <f t="shared" si="1"/>
        <v>0.5</v>
      </c>
      <c r="X14" s="88">
        <v>0</v>
      </c>
      <c r="Y14" s="88">
        <f>IF(X14=0,VLOOKUP(T:T,[1]Inputs!$B$20:$H$25,7,FALSE)*W14,VLOOKUP(T:T,[1]Inputs!$B$20:$I$25,8,FALSE)*W14)</f>
        <v>39.919173234832506</v>
      </c>
      <c r="Z14" s="88">
        <f>VLOOKUP(T:T,[1]Inputs!$C$54:$G$59,5,FALSE)*W14</f>
        <v>9.8662181441731587</v>
      </c>
      <c r="AA14" s="88"/>
      <c r="AB14" s="88"/>
      <c r="AC14" s="88"/>
      <c r="AD14" s="88">
        <f t="shared" si="8"/>
        <v>49.785391379005667</v>
      </c>
      <c r="AE14" s="88">
        <f>[1]Inputs!$M$43*AD14</f>
        <v>23.196338708255833</v>
      </c>
      <c r="AF14" s="78">
        <f>[1]Inputs!$M$48*AD14</f>
        <v>7.984460843585846</v>
      </c>
      <c r="AG14" s="78">
        <f>[1]Inputs!$H$13*SUM(AD14:AF14)</f>
        <v>5.134875828834339</v>
      </c>
      <c r="AH14" s="78">
        <f t="shared" si="9"/>
        <v>86.101066759681686</v>
      </c>
      <c r="AJ14" s="63"/>
      <c r="AK14" s="62"/>
      <c r="AL14" s="78"/>
      <c r="AM14" s="68"/>
      <c r="AN14" s="87"/>
      <c r="AO14" s="87"/>
      <c r="AP14" s="87"/>
      <c r="AQ14" s="87"/>
      <c r="AR14" s="87"/>
      <c r="AS14" s="87"/>
      <c r="AT14" s="87"/>
      <c r="AU14" s="87"/>
      <c r="AV14" s="87"/>
      <c r="AW14" s="36"/>
      <c r="AX14" s="37"/>
      <c r="AY14" s="37"/>
      <c r="BA14" s="63"/>
      <c r="BB14" s="62"/>
      <c r="BC14" s="78"/>
      <c r="BD14" s="68"/>
      <c r="BE14" s="87"/>
      <c r="BF14" s="87"/>
      <c r="BG14" s="87"/>
      <c r="BH14" s="87"/>
      <c r="BI14" s="87"/>
      <c r="BJ14" s="87"/>
      <c r="BK14" s="87"/>
      <c r="BL14" s="87"/>
      <c r="BM14" s="87"/>
      <c r="BN14" s="36"/>
      <c r="BO14" s="36"/>
      <c r="BP14" s="36"/>
    </row>
    <row r="15" spans="1:69" x14ac:dyDescent="0.2">
      <c r="B15" s="255" t="s">
        <v>1</v>
      </c>
      <c r="C15" s="256"/>
      <c r="D15" s="256"/>
      <c r="E15" s="257"/>
      <c r="F15" s="89">
        <f>SUM(F7:F14)</f>
        <v>0.5</v>
      </c>
      <c r="G15" s="89">
        <f t="shared" ref="G15:Q15" si="16">SUM(G7:G14)</f>
        <v>0</v>
      </c>
      <c r="H15" s="89">
        <f t="shared" si="16"/>
        <v>39.919173234832506</v>
      </c>
      <c r="I15" s="89">
        <f t="shared" si="16"/>
        <v>9.8662181441731587</v>
      </c>
      <c r="J15" s="89">
        <f t="shared" si="16"/>
        <v>0</v>
      </c>
      <c r="K15" s="89">
        <f t="shared" si="16"/>
        <v>0</v>
      </c>
      <c r="L15" s="89">
        <f t="shared" si="16"/>
        <v>0</v>
      </c>
      <c r="M15" s="89">
        <f t="shared" si="16"/>
        <v>49.785391379005674</v>
      </c>
      <c r="N15" s="89">
        <f t="shared" si="16"/>
        <v>23.196338708255837</v>
      </c>
      <c r="O15" s="89">
        <f t="shared" si="16"/>
        <v>7.9844608435858468</v>
      </c>
      <c r="P15" s="89">
        <f t="shared" si="16"/>
        <v>5.134875828834339</v>
      </c>
      <c r="Q15" s="89">
        <f t="shared" si="16"/>
        <v>86.101066759681686</v>
      </c>
      <c r="R15" s="49"/>
      <c r="S15" s="63" t="s">
        <v>97</v>
      </c>
      <c r="T15" s="62" t="s">
        <v>95</v>
      </c>
      <c r="U15" s="80">
        <v>0.25</v>
      </c>
      <c r="V15" s="68">
        <v>1</v>
      </c>
      <c r="W15" s="175">
        <f t="shared" si="1"/>
        <v>0.25</v>
      </c>
      <c r="X15" s="88">
        <v>0</v>
      </c>
      <c r="Y15" s="88">
        <f>IF(X15=0,VLOOKUP(T:T,[1]Inputs!$B$20:$H$25,7,FALSE)*W15,VLOOKUP(T:T,[1]Inputs!$B$20:$I$25,8,FALSE)*W15)</f>
        <v>25.815149405036248</v>
      </c>
      <c r="Z15" s="88">
        <f>VLOOKUP(T:T,[1]Inputs!$C$54:$G$59,5,FALSE)*W15</f>
        <v>0</v>
      </c>
      <c r="AA15" s="88"/>
      <c r="AB15" s="88"/>
      <c r="AC15" s="88"/>
      <c r="AD15" s="88">
        <f t="shared" si="8"/>
        <v>25.815149405036248</v>
      </c>
      <c r="AE15" s="88">
        <f>[1]Inputs!$M$43*AD15</f>
        <v>12.027965088087447</v>
      </c>
      <c r="AF15" s="78">
        <f>[1]Inputs!$M$48*AD15</f>
        <v>4.1401713210745292</v>
      </c>
      <c r="AG15" s="78">
        <f>[1]Inputs!$H$13*SUM(AD15:AF15)</f>
        <v>2.6625799863364517</v>
      </c>
      <c r="AH15" s="78">
        <f t="shared" si="9"/>
        <v>44.645865800534679</v>
      </c>
      <c r="AJ15" s="255" t="s">
        <v>1</v>
      </c>
      <c r="AK15" s="256"/>
      <c r="AL15" s="256"/>
      <c r="AM15" s="257"/>
      <c r="AN15" s="89">
        <f>SUM(AN7:AN14)</f>
        <v>0.5</v>
      </c>
      <c r="AO15" s="89">
        <f t="shared" ref="AO15:AY15" si="17">SUM(AO7:AO14)</f>
        <v>0</v>
      </c>
      <c r="AP15" s="89">
        <f t="shared" si="17"/>
        <v>39.919173234832506</v>
      </c>
      <c r="AQ15" s="89">
        <f t="shared" si="17"/>
        <v>9.8662181441731587</v>
      </c>
      <c r="AR15" s="89">
        <f t="shared" si="17"/>
        <v>0</v>
      </c>
      <c r="AS15" s="89">
        <f t="shared" si="17"/>
        <v>0</v>
      </c>
      <c r="AT15" s="89">
        <f t="shared" si="17"/>
        <v>0</v>
      </c>
      <c r="AU15" s="89">
        <f t="shared" si="17"/>
        <v>49.785391379005674</v>
      </c>
      <c r="AV15" s="89">
        <f t="shared" si="17"/>
        <v>23.196338708255837</v>
      </c>
      <c r="AW15" s="89">
        <f t="shared" si="17"/>
        <v>7.9844608435858468</v>
      </c>
      <c r="AX15" s="89">
        <f t="shared" si="17"/>
        <v>5.134875828834339</v>
      </c>
      <c r="AY15" s="89">
        <f t="shared" si="17"/>
        <v>86.101066759681686</v>
      </c>
      <c r="BA15" s="255" t="s">
        <v>1</v>
      </c>
      <c r="BB15" s="256"/>
      <c r="BC15" s="256"/>
      <c r="BD15" s="257"/>
      <c r="BE15" s="89">
        <f>SUM(BE7:BE14)</f>
        <v>4.3499999999999996</v>
      </c>
      <c r="BF15" s="89">
        <f t="shared" ref="BF15:BO15" si="18">SUM(BF7:BF14)</f>
        <v>0</v>
      </c>
      <c r="BG15" s="89">
        <f t="shared" si="18"/>
        <v>347.29680714304277</v>
      </c>
      <c r="BH15" s="89">
        <f t="shared" si="18"/>
        <v>85.836097854306487</v>
      </c>
      <c r="BI15" s="89">
        <f t="shared" si="18"/>
        <v>0</v>
      </c>
      <c r="BJ15" s="89">
        <f t="shared" si="18"/>
        <v>0</v>
      </c>
      <c r="BK15" s="89">
        <f t="shared" si="18"/>
        <v>0</v>
      </c>
      <c r="BL15" s="89">
        <f t="shared" si="18"/>
        <v>433.13290499734927</v>
      </c>
      <c r="BM15" s="89">
        <f t="shared" si="18"/>
        <v>201.80814676182575</v>
      </c>
      <c r="BN15" s="89">
        <f t="shared" si="18"/>
        <v>69.464809339196862</v>
      </c>
      <c r="BO15" s="89">
        <f t="shared" si="18"/>
        <v>44.673419710858752</v>
      </c>
      <c r="BP15" s="89">
        <f>SUM(BP7:BP14)</f>
        <v>749.07928080923057</v>
      </c>
    </row>
    <row r="16" spans="1:69" x14ac:dyDescent="0.2">
      <c r="B16" s="38"/>
      <c r="C16" s="72"/>
      <c r="D16" s="85"/>
      <c r="E16" s="69"/>
      <c r="F16" s="81"/>
      <c r="G16" s="81"/>
      <c r="H16" s="81"/>
      <c r="I16" s="81"/>
      <c r="J16" s="81"/>
      <c r="K16" s="81"/>
      <c r="L16" s="81"/>
      <c r="M16" s="81"/>
      <c r="N16" s="81"/>
      <c r="O16" s="39"/>
      <c r="P16" s="40"/>
      <c r="Q16" s="40"/>
      <c r="S16" s="63"/>
      <c r="T16" s="62"/>
      <c r="U16" s="80"/>
      <c r="V16" s="68"/>
      <c r="W16" s="87"/>
      <c r="X16" s="87"/>
      <c r="Y16" s="87"/>
      <c r="Z16" s="87"/>
      <c r="AA16" s="87"/>
      <c r="AB16" s="87"/>
      <c r="AC16" s="87"/>
      <c r="AD16" s="87"/>
      <c r="AE16" s="87"/>
      <c r="AF16" s="35"/>
      <c r="AG16" s="37"/>
      <c r="AH16" s="37"/>
    </row>
    <row r="17" spans="2:68" x14ac:dyDescent="0.2">
      <c r="S17" s="63"/>
      <c r="T17" s="62"/>
      <c r="U17" s="80"/>
      <c r="V17" s="68"/>
      <c r="W17" s="87"/>
      <c r="X17" s="87"/>
      <c r="Y17" s="87"/>
      <c r="Z17" s="87"/>
      <c r="AA17" s="87"/>
      <c r="AB17" s="87"/>
      <c r="AC17" s="87"/>
      <c r="AD17" s="87"/>
      <c r="AE17" s="87"/>
      <c r="AF17" s="35"/>
      <c r="AG17" s="36"/>
      <c r="AH17" s="36"/>
    </row>
    <row r="18" spans="2:68" x14ac:dyDescent="0.2">
      <c r="S18" s="255" t="s">
        <v>1</v>
      </c>
      <c r="T18" s="256"/>
      <c r="U18" s="256"/>
      <c r="V18" s="257"/>
      <c r="W18" s="89">
        <f>SUM(W7:W17)</f>
        <v>12.75</v>
      </c>
      <c r="X18" s="89">
        <f t="shared" ref="X18:AH18" si="19">SUM(X7:X17)</f>
        <v>0</v>
      </c>
      <c r="Y18" s="89">
        <f t="shared" si="19"/>
        <v>1046.7341300976789</v>
      </c>
      <c r="Z18" s="89">
        <f t="shared" si="19"/>
        <v>177.59192659511686</v>
      </c>
      <c r="AA18" s="89">
        <f t="shared" si="19"/>
        <v>0</v>
      </c>
      <c r="AB18" s="89">
        <f t="shared" si="19"/>
        <v>0</v>
      </c>
      <c r="AC18" s="89">
        <f t="shared" si="19"/>
        <v>0</v>
      </c>
      <c r="AD18" s="89">
        <f t="shared" si="19"/>
        <v>1224.3260566927956</v>
      </c>
      <c r="AE18" s="89">
        <f t="shared" si="19"/>
        <v>570.44609098655098</v>
      </c>
      <c r="AF18" s="89">
        <f t="shared" si="19"/>
        <v>196.35445637106756</v>
      </c>
      <c r="AG18" s="89">
        <f t="shared" si="19"/>
        <v>126.2772492288773</v>
      </c>
      <c r="AH18" s="89">
        <f t="shared" si="19"/>
        <v>2117.4038532792915</v>
      </c>
    </row>
    <row r="20" spans="2:68" x14ac:dyDescent="0.2">
      <c r="R20" s="49"/>
    </row>
    <row r="22" spans="2:68" x14ac:dyDescent="0.2">
      <c r="B22" s="258" t="s">
        <v>55</v>
      </c>
      <c r="C22" s="259"/>
      <c r="D22" s="259"/>
      <c r="E22" s="259"/>
      <c r="F22" s="259"/>
      <c r="G22" s="259"/>
      <c r="H22" s="259"/>
      <c r="I22" s="259"/>
      <c r="J22" s="259"/>
      <c r="K22" s="259"/>
      <c r="L22" s="259"/>
      <c r="M22" s="259"/>
      <c r="N22" s="259"/>
      <c r="O22" s="259"/>
      <c r="P22" s="259"/>
      <c r="Q22" s="112"/>
      <c r="S22" s="167" t="s">
        <v>49</v>
      </c>
      <c r="T22" s="168"/>
      <c r="U22" s="168"/>
      <c r="V22" s="168"/>
      <c r="W22" s="168"/>
      <c r="X22" s="168"/>
      <c r="Y22" s="168"/>
      <c r="Z22" s="168"/>
      <c r="AA22" s="168"/>
      <c r="AB22" s="168"/>
      <c r="AC22" s="168"/>
      <c r="AD22" s="168"/>
      <c r="AE22" s="168"/>
      <c r="AF22" s="168"/>
      <c r="AG22" s="168"/>
      <c r="AH22" s="168"/>
      <c r="AJ22" s="258" t="s">
        <v>55</v>
      </c>
      <c r="AK22" s="259"/>
      <c r="AL22" s="259"/>
      <c r="AM22" s="259"/>
      <c r="AN22" s="259"/>
      <c r="AO22" s="259"/>
      <c r="AP22" s="259"/>
      <c r="AQ22" s="259"/>
      <c r="AR22" s="259"/>
      <c r="AS22" s="259"/>
      <c r="AT22" s="259"/>
      <c r="AU22" s="259"/>
      <c r="AV22" s="259"/>
      <c r="AW22" s="259"/>
      <c r="AX22" s="112"/>
      <c r="AY22" s="112"/>
      <c r="BA22" s="167" t="s">
        <v>55</v>
      </c>
      <c r="BB22" s="168"/>
      <c r="BC22" s="168"/>
      <c r="BD22" s="168"/>
      <c r="BE22" s="168"/>
      <c r="BF22" s="168"/>
      <c r="BG22" s="168"/>
      <c r="BH22" s="168"/>
      <c r="BI22" s="168"/>
      <c r="BJ22" s="168"/>
      <c r="BK22" s="168"/>
      <c r="BL22" s="168"/>
      <c r="BM22" s="168"/>
      <c r="BN22" s="168"/>
      <c r="BO22" s="168"/>
      <c r="BP22" s="112"/>
    </row>
    <row r="23" spans="2:68" ht="15.75" x14ac:dyDescent="0.25">
      <c r="B23" s="59" t="s">
        <v>78</v>
      </c>
      <c r="C23" s="46"/>
      <c r="D23" s="83"/>
      <c r="E23" s="66"/>
      <c r="F23" s="74"/>
      <c r="G23" s="74"/>
      <c r="H23" s="74"/>
      <c r="I23" s="74"/>
      <c r="J23" s="74"/>
      <c r="K23" s="74"/>
      <c r="L23" s="74"/>
      <c r="M23" s="74"/>
      <c r="N23" s="74"/>
      <c r="O23" s="111"/>
      <c r="P23" s="111"/>
      <c r="Q23" s="111"/>
      <c r="S23" s="59" t="s">
        <v>79</v>
      </c>
      <c r="T23" s="111"/>
      <c r="U23" s="111"/>
      <c r="V23" s="111"/>
      <c r="W23" s="111"/>
      <c r="X23" s="115"/>
      <c r="Y23" s="115"/>
      <c r="Z23" s="115"/>
      <c r="AA23" s="115"/>
      <c r="AB23" s="115"/>
      <c r="AC23" s="115"/>
      <c r="AD23" s="115"/>
      <c r="AE23" s="115"/>
      <c r="AF23" s="111"/>
      <c r="AG23" s="111"/>
      <c r="AH23" s="111"/>
      <c r="AJ23" s="59" t="s">
        <v>80</v>
      </c>
      <c r="AK23" s="111"/>
      <c r="AL23" s="111"/>
      <c r="AM23" s="111"/>
      <c r="AN23" s="111"/>
      <c r="AO23" s="115"/>
      <c r="AP23" s="115"/>
      <c r="AQ23" s="115"/>
      <c r="AR23" s="115"/>
      <c r="AS23" s="115"/>
      <c r="AT23" s="115"/>
      <c r="AU23" s="115"/>
      <c r="AV23" s="115"/>
      <c r="AW23" s="111"/>
      <c r="AX23" s="111"/>
      <c r="AY23" s="111"/>
      <c r="BA23" s="59" t="s">
        <v>81</v>
      </c>
      <c r="BB23" s="111"/>
      <c r="BC23" s="111"/>
      <c r="BD23" s="111"/>
      <c r="BE23" s="111"/>
      <c r="BF23" s="115"/>
      <c r="BG23" s="115"/>
      <c r="BH23" s="115"/>
      <c r="BI23" s="115"/>
      <c r="BJ23" s="115"/>
      <c r="BK23" s="115"/>
      <c r="BL23" s="115"/>
      <c r="BM23" s="115"/>
      <c r="BN23" s="111"/>
      <c r="BO23" s="111"/>
      <c r="BP23" s="111"/>
    </row>
    <row r="24" spans="2:68" ht="3" customHeight="1" x14ac:dyDescent="0.2">
      <c r="B24" s="32"/>
      <c r="C24" s="71"/>
      <c r="D24" s="84"/>
      <c r="E24" s="67"/>
      <c r="F24" s="75"/>
      <c r="G24" s="75"/>
      <c r="H24" s="75"/>
      <c r="I24" s="75"/>
      <c r="J24" s="75"/>
      <c r="K24" s="75"/>
      <c r="L24" s="75"/>
      <c r="M24" s="75"/>
      <c r="N24" s="75"/>
      <c r="O24" s="32"/>
      <c r="P24" s="32"/>
      <c r="Q24" s="32"/>
      <c r="R24" s="30"/>
      <c r="S24" s="32"/>
      <c r="T24" s="32"/>
      <c r="U24" s="32"/>
      <c r="V24" s="32"/>
      <c r="W24" s="32"/>
      <c r="X24" s="32"/>
      <c r="Y24" s="32"/>
      <c r="Z24" s="32"/>
      <c r="AA24" s="32"/>
      <c r="AB24" s="32"/>
      <c r="AC24" s="32"/>
      <c r="AD24" s="32"/>
      <c r="AE24" s="32"/>
      <c r="AF24" s="32"/>
      <c r="AG24" s="32"/>
      <c r="AH24" s="32"/>
      <c r="AI24" s="30"/>
      <c r="AJ24" s="32"/>
      <c r="AK24" s="32"/>
      <c r="AL24" s="32"/>
      <c r="AM24" s="32"/>
      <c r="AN24" s="32"/>
      <c r="AO24" s="32"/>
      <c r="AP24" s="32"/>
      <c r="AQ24" s="32"/>
      <c r="AR24" s="32"/>
      <c r="AS24" s="32"/>
      <c r="AT24" s="32"/>
      <c r="AU24" s="32"/>
      <c r="AV24" s="32"/>
      <c r="AW24" s="32"/>
      <c r="AX24" s="32"/>
      <c r="AY24" s="32"/>
      <c r="AZ24" s="30"/>
      <c r="BA24" s="32"/>
      <c r="BB24" s="32"/>
      <c r="BC24" s="32"/>
      <c r="BD24" s="32"/>
      <c r="BE24" s="32"/>
      <c r="BF24" s="32"/>
      <c r="BG24" s="32"/>
      <c r="BH24" s="32"/>
      <c r="BI24" s="32"/>
      <c r="BJ24" s="32"/>
      <c r="BK24" s="32"/>
      <c r="BL24" s="32"/>
      <c r="BM24" s="32"/>
      <c r="BN24" s="32"/>
      <c r="BO24" s="32"/>
      <c r="BP24" s="32"/>
    </row>
    <row r="25" spans="2:68" ht="76.5" x14ac:dyDescent="0.2">
      <c r="B25" s="33" t="s">
        <v>18</v>
      </c>
      <c r="C25" s="33" t="s">
        <v>31</v>
      </c>
      <c r="D25" s="169" t="s">
        <v>64</v>
      </c>
      <c r="E25" s="170" t="s">
        <v>33</v>
      </c>
      <c r="F25" s="169" t="s">
        <v>32</v>
      </c>
      <c r="G25" s="169" t="s">
        <v>135</v>
      </c>
      <c r="H25" s="169" t="s">
        <v>136</v>
      </c>
      <c r="I25" s="169" t="s">
        <v>137</v>
      </c>
      <c r="J25" s="169" t="s">
        <v>138</v>
      </c>
      <c r="K25" s="169" t="s">
        <v>139</v>
      </c>
      <c r="L25" s="169" t="s">
        <v>140</v>
      </c>
      <c r="M25" s="169" t="s">
        <v>141</v>
      </c>
      <c r="N25" s="169" t="s">
        <v>142</v>
      </c>
      <c r="O25" s="94" t="s">
        <v>143</v>
      </c>
      <c r="P25" s="95" t="s">
        <v>144</v>
      </c>
      <c r="Q25" s="95" t="s">
        <v>145</v>
      </c>
      <c r="R25" s="49"/>
      <c r="S25" s="33" t="s">
        <v>18</v>
      </c>
      <c r="T25" s="33" t="s">
        <v>31</v>
      </c>
      <c r="U25" s="94" t="s">
        <v>64</v>
      </c>
      <c r="V25" s="94" t="s">
        <v>33</v>
      </c>
      <c r="W25" s="94" t="s">
        <v>32</v>
      </c>
      <c r="X25" s="94" t="s">
        <v>135</v>
      </c>
      <c r="Y25" s="94" t="s">
        <v>136</v>
      </c>
      <c r="Z25" s="94" t="s">
        <v>137</v>
      </c>
      <c r="AA25" s="94" t="s">
        <v>138</v>
      </c>
      <c r="AB25" s="94" t="s">
        <v>139</v>
      </c>
      <c r="AC25" s="94" t="s">
        <v>140</v>
      </c>
      <c r="AD25" s="94" t="s">
        <v>141</v>
      </c>
      <c r="AE25" s="94" t="s">
        <v>142</v>
      </c>
      <c r="AF25" s="94" t="s">
        <v>143</v>
      </c>
      <c r="AG25" s="95" t="s">
        <v>144</v>
      </c>
      <c r="AH25" s="95" t="s">
        <v>145</v>
      </c>
      <c r="AJ25" s="33" t="s">
        <v>18</v>
      </c>
      <c r="AK25" s="33" t="s">
        <v>31</v>
      </c>
      <c r="AL25" s="94" t="s">
        <v>64</v>
      </c>
      <c r="AM25" s="94" t="s">
        <v>33</v>
      </c>
      <c r="AN25" s="94" t="s">
        <v>32</v>
      </c>
      <c r="AO25" s="94" t="s">
        <v>135</v>
      </c>
      <c r="AP25" s="94" t="s">
        <v>136</v>
      </c>
      <c r="AQ25" s="94" t="s">
        <v>137</v>
      </c>
      <c r="AR25" s="94" t="s">
        <v>138</v>
      </c>
      <c r="AS25" s="94" t="s">
        <v>139</v>
      </c>
      <c r="AT25" s="94" t="s">
        <v>140</v>
      </c>
      <c r="AU25" s="94" t="s">
        <v>141</v>
      </c>
      <c r="AV25" s="94" t="s">
        <v>142</v>
      </c>
      <c r="AW25" s="94" t="s">
        <v>143</v>
      </c>
      <c r="AX25" s="95" t="s">
        <v>144</v>
      </c>
      <c r="AY25" s="95" t="s">
        <v>145</v>
      </c>
      <c r="BA25" s="33" t="s">
        <v>18</v>
      </c>
      <c r="BB25" s="33" t="s">
        <v>31</v>
      </c>
      <c r="BC25" s="94" t="s">
        <v>64</v>
      </c>
      <c r="BD25" s="94" t="s">
        <v>33</v>
      </c>
      <c r="BE25" s="94" t="s">
        <v>32</v>
      </c>
      <c r="BF25" s="94" t="s">
        <v>135</v>
      </c>
      <c r="BG25" s="94" t="s">
        <v>136</v>
      </c>
      <c r="BH25" s="94" t="s">
        <v>137</v>
      </c>
      <c r="BI25" s="94" t="s">
        <v>138</v>
      </c>
      <c r="BJ25" s="94" t="s">
        <v>139</v>
      </c>
      <c r="BK25" s="94" t="s">
        <v>140</v>
      </c>
      <c r="BL25" s="94" t="s">
        <v>141</v>
      </c>
      <c r="BM25" s="94" t="s">
        <v>142</v>
      </c>
      <c r="BN25" s="94" t="s">
        <v>143</v>
      </c>
      <c r="BO25" s="95" t="s">
        <v>144</v>
      </c>
      <c r="BP25" s="34" t="s">
        <v>145</v>
      </c>
    </row>
    <row r="26" spans="2:68" x14ac:dyDescent="0.2">
      <c r="B26" s="101" t="s">
        <v>110</v>
      </c>
      <c r="C26" s="102"/>
      <c r="D26" s="102"/>
      <c r="E26" s="102"/>
      <c r="F26" s="102"/>
      <c r="G26" s="102"/>
      <c r="H26" s="102"/>
      <c r="I26" s="102"/>
      <c r="J26" s="102"/>
      <c r="K26" s="102"/>
      <c r="L26" s="102"/>
      <c r="M26" s="102"/>
      <c r="N26" s="102"/>
      <c r="O26" s="102"/>
      <c r="P26" s="102"/>
      <c r="Q26" s="104"/>
      <c r="R26" s="49"/>
      <c r="S26" s="171" t="s">
        <v>111</v>
      </c>
      <c r="T26" s="171"/>
      <c r="U26" s="171"/>
      <c r="V26" s="171"/>
      <c r="W26" s="171"/>
      <c r="X26" s="171"/>
      <c r="Y26" s="171"/>
      <c r="Z26" s="171"/>
      <c r="AA26" s="171"/>
      <c r="AB26" s="171"/>
      <c r="AC26" s="171"/>
      <c r="AD26" s="171"/>
      <c r="AE26" s="171"/>
      <c r="AF26" s="171"/>
      <c r="AG26" s="171"/>
      <c r="AH26" s="171"/>
      <c r="AJ26" s="101" t="s">
        <v>114</v>
      </c>
      <c r="AK26" s="102"/>
      <c r="AL26" s="102"/>
      <c r="AM26" s="102"/>
      <c r="AN26" s="102"/>
      <c r="AO26" s="102"/>
      <c r="AP26" s="102"/>
      <c r="AQ26" s="102"/>
      <c r="AR26" s="102"/>
      <c r="AS26" s="102"/>
      <c r="AT26" s="102"/>
      <c r="AU26" s="102"/>
      <c r="AV26" s="102"/>
      <c r="AW26" s="102"/>
      <c r="AX26" s="103"/>
      <c r="AY26" s="104"/>
      <c r="BA26" s="101" t="s">
        <v>119</v>
      </c>
      <c r="BB26" s="102"/>
      <c r="BC26" s="102"/>
      <c r="BD26" s="102"/>
      <c r="BE26" s="102"/>
      <c r="BF26" s="102"/>
      <c r="BG26" s="102"/>
      <c r="BH26" s="102"/>
      <c r="BI26" s="102"/>
      <c r="BJ26" s="102"/>
      <c r="BK26" s="102"/>
      <c r="BL26" s="102"/>
      <c r="BM26" s="102"/>
      <c r="BN26" s="102"/>
      <c r="BO26" s="172"/>
      <c r="BP26" s="91"/>
    </row>
    <row r="27" spans="2:68" x14ac:dyDescent="0.2">
      <c r="B27" s="96" t="s">
        <v>82</v>
      </c>
      <c r="C27" s="97" t="s">
        <v>71</v>
      </c>
      <c r="D27" s="98">
        <v>0.1</v>
      </c>
      <c r="E27" s="99">
        <v>1</v>
      </c>
      <c r="F27" s="100">
        <f>E27*D27</f>
        <v>0.1</v>
      </c>
      <c r="G27" s="88">
        <v>1</v>
      </c>
      <c r="H27" s="88">
        <f>IF(G27=0,VLOOKUP(C:C,[1]Inputs!$B$20:$H$25,7,FALSE)*F27,VLOOKUP(C:C,[1]Inputs!$B$20:$I$25,8,FALSE)*F27)</f>
        <v>14.494102558317273</v>
      </c>
      <c r="I27" s="88">
        <f>VLOOKUP(C:C,[1]Inputs!$C$54:$G$59,5,FALSE)*F27</f>
        <v>1.9732436288346318</v>
      </c>
      <c r="J27" s="88"/>
      <c r="K27" s="88"/>
      <c r="L27" s="88"/>
      <c r="M27" s="88">
        <f>SUM(H27:J27)</f>
        <v>16.467346187151904</v>
      </c>
      <c r="N27" s="88">
        <f>[1]Inputs!$M$43*M27</f>
        <v>7.6725748096531268</v>
      </c>
      <c r="O27" s="78">
        <f>[1]Inputs!$M$48*M27</f>
        <v>2.6409932148194968</v>
      </c>
      <c r="P27" s="78">
        <f>[1]Inputs!$H$13*SUM(M27:O27)</f>
        <v>1.6984455793012276</v>
      </c>
      <c r="Q27" s="78">
        <f t="shared" ref="Q27:Q30" si="20">SUM(M27:P27)</f>
        <v>28.479359790925756</v>
      </c>
      <c r="S27" s="96" t="s">
        <v>91</v>
      </c>
      <c r="T27" s="97" t="s">
        <v>92</v>
      </c>
      <c r="U27" s="173">
        <v>1</v>
      </c>
      <c r="V27" s="174">
        <v>1</v>
      </c>
      <c r="W27" s="175">
        <f t="shared" ref="W27:W35" si="21">V27*U27</f>
        <v>1</v>
      </c>
      <c r="X27" s="175">
        <v>0</v>
      </c>
      <c r="Y27" s="175">
        <f>IF(X27=0,VLOOKUP(T:T,[1]Inputs!$B$20:$H$25,7,FALSE)*W27,VLOOKUP(T:T,[1]Inputs!$B$20:$I$25,8,FALSE)*W27)</f>
        <v>73.74148301772</v>
      </c>
      <c r="Z27" s="175">
        <f>VLOOKUP(T:T,[1]Inputs!$C$54:$G$59,5,FALSE)*W27</f>
        <v>0</v>
      </c>
      <c r="AA27" s="175"/>
      <c r="AB27" s="175"/>
      <c r="AC27" s="175"/>
      <c r="AD27" s="175">
        <f>SUM(Y27:AA27)</f>
        <v>73.74148301772</v>
      </c>
      <c r="AE27" s="175">
        <f>[1]Inputs!$M$43*AD27</f>
        <v>34.358119310666993</v>
      </c>
      <c r="AF27" s="176">
        <f>[1]Inputs!$M$48*AD27</f>
        <v>11.826480969500322</v>
      </c>
      <c r="AG27" s="176">
        <f>[1]Inputs!$H$13*SUM(AD27:AF27)</f>
        <v>7.6057122027520139</v>
      </c>
      <c r="AH27" s="176">
        <f t="shared" ref="AH27:AH35" si="22">SUM(AD27:AG27)</f>
        <v>127.53179550063933</v>
      </c>
      <c r="AJ27" s="96" t="s">
        <v>90</v>
      </c>
      <c r="AK27" s="97" t="s">
        <v>71</v>
      </c>
      <c r="AL27" s="98">
        <v>0.1</v>
      </c>
      <c r="AM27" s="99">
        <v>1</v>
      </c>
      <c r="AN27" s="100">
        <f>AM27*AL27</f>
        <v>0.1</v>
      </c>
      <c r="AO27" s="100">
        <v>1</v>
      </c>
      <c r="AP27" s="100">
        <f>IF(AO27=0,VLOOKUP(AK:AK,[1]Inputs!$B$20:$H$25,7,FALSE)*AN27,VLOOKUP(AK:AK,[1]Inputs!$B$20:$I$25,8,FALSE)*AN27)</f>
        <v>14.494102558317273</v>
      </c>
      <c r="AQ27" s="100">
        <f>VLOOKUP(AK:AK,[1]Inputs!$C$54:$G$59,5,FALSE)*AN27</f>
        <v>1.9732436288346318</v>
      </c>
      <c r="AR27" s="100"/>
      <c r="AS27" s="100"/>
      <c r="AT27" s="100"/>
      <c r="AU27" s="100">
        <f>SUM(AP27:AR27)</f>
        <v>16.467346187151904</v>
      </c>
      <c r="AV27" s="100">
        <f>[1]Inputs!$M$43*AU27</f>
        <v>7.6725748096531268</v>
      </c>
      <c r="AW27" s="176">
        <f>[1]Inputs!$M$48*AU27</f>
        <v>2.6409932148194968</v>
      </c>
      <c r="AX27" s="176">
        <f>[1]Inputs!$H$13*SUM(AU27:AW27)</f>
        <v>1.6984455793012276</v>
      </c>
      <c r="AY27" s="176">
        <f t="shared" ref="AY27:AY30" si="23">SUM(AU27:AX27)</f>
        <v>28.479359790925756</v>
      </c>
      <c r="BA27" s="96" t="s">
        <v>74</v>
      </c>
      <c r="BB27" s="97" t="s">
        <v>71</v>
      </c>
      <c r="BC27" s="98">
        <v>0.5</v>
      </c>
      <c r="BD27" s="99">
        <v>2</v>
      </c>
      <c r="BE27" s="100">
        <f>BD27*BC27</f>
        <v>1</v>
      </c>
      <c r="BF27" s="100">
        <v>1</v>
      </c>
      <c r="BG27" s="100">
        <f>IF(BF27=0,VLOOKUP(BB:BB,[1]Inputs!$B$20:$H$25,7,FALSE)*BE27,VLOOKUP(BB:BB,[1]Inputs!$B$20:$I$25,8,FALSE)*BE27)</f>
        <v>144.94102558317272</v>
      </c>
      <c r="BH27" s="100">
        <f>VLOOKUP(BB:BB,[1]Inputs!$C$54:$G$59,5,FALSE)*BE27</f>
        <v>19.732436288346317</v>
      </c>
      <c r="BI27" s="100"/>
      <c r="BJ27" s="100"/>
      <c r="BK27" s="100"/>
      <c r="BL27" s="100">
        <f>SUM(BG27:BI27)</f>
        <v>164.67346187151904</v>
      </c>
      <c r="BM27" s="100">
        <f>[1]Inputs!$M$43*BL27</f>
        <v>76.725748096531277</v>
      </c>
      <c r="BN27" s="176">
        <f>[1]Inputs!$M$48*BL27</f>
        <v>26.409932148194969</v>
      </c>
      <c r="BO27" s="176">
        <f>[1]Inputs!$H$13*SUM(BL27:BN27)</f>
        <v>16.98445579301228</v>
      </c>
      <c r="BP27" s="177">
        <f t="shared" ref="BP27:BP32" si="24">SUM(BL27:BO27)</f>
        <v>284.79359790925758</v>
      </c>
    </row>
    <row r="28" spans="2:68" x14ac:dyDescent="0.2">
      <c r="B28" s="63" t="s">
        <v>85</v>
      </c>
      <c r="C28" s="62" t="s">
        <v>71</v>
      </c>
      <c r="D28" s="77">
        <v>0.1</v>
      </c>
      <c r="E28" s="68">
        <v>1</v>
      </c>
      <c r="F28" s="88">
        <f t="shared" ref="F28:F30" si="25">E28*D28</f>
        <v>0.1</v>
      </c>
      <c r="G28" s="88">
        <v>1</v>
      </c>
      <c r="H28" s="88">
        <f>IF(G28=0,VLOOKUP(C:C,[1]Inputs!$B$20:$H$25,7,FALSE)*F28,VLOOKUP(C:C,[1]Inputs!$B$20:$I$25,8,FALSE)*F28)</f>
        <v>14.494102558317273</v>
      </c>
      <c r="I28" s="88">
        <f>VLOOKUP(C:C,[1]Inputs!$C$54:$G$59,5,FALSE)*F28</f>
        <v>1.9732436288346318</v>
      </c>
      <c r="J28" s="88"/>
      <c r="K28" s="88"/>
      <c r="L28" s="88"/>
      <c r="M28" s="88">
        <f t="shared" ref="M28:M30" si="26">SUM(H28:J28)</f>
        <v>16.467346187151904</v>
      </c>
      <c r="N28" s="88">
        <f>[1]Inputs!$M$43*M28</f>
        <v>7.6725748096531268</v>
      </c>
      <c r="O28" s="78">
        <f>[1]Inputs!$M$48*M28</f>
        <v>2.6409932148194968</v>
      </c>
      <c r="P28" s="78">
        <f>[1]Inputs!$H$13*SUM(M28:O28)</f>
        <v>1.6984455793012276</v>
      </c>
      <c r="Q28" s="78">
        <f t="shared" si="20"/>
        <v>28.479359790925756</v>
      </c>
      <c r="R28" s="49"/>
      <c r="S28" s="64" t="s">
        <v>93</v>
      </c>
      <c r="T28" s="105" t="s">
        <v>92</v>
      </c>
      <c r="U28" s="106">
        <v>1</v>
      </c>
      <c r="V28" s="108">
        <v>1</v>
      </c>
      <c r="W28" s="175">
        <f t="shared" si="21"/>
        <v>1</v>
      </c>
      <c r="X28" s="109">
        <v>0</v>
      </c>
      <c r="Y28" s="109">
        <f>IF(X28=0,VLOOKUP(T:T,[1]Inputs!$B$20:$H$25,7,FALSE)*W28,VLOOKUP(T:T,[1]Inputs!$B$20:$I$25,8,FALSE)*W28)</f>
        <v>73.74148301772</v>
      </c>
      <c r="Z28" s="109">
        <f>VLOOKUP(T:T,[1]Inputs!$C$54:$G$59,5,FALSE)*W28</f>
        <v>0</v>
      </c>
      <c r="AA28" s="109"/>
      <c r="AB28" s="109"/>
      <c r="AC28" s="109"/>
      <c r="AD28" s="109">
        <f t="shared" ref="AD28:AD35" si="27">SUM(Y28:AA28)</f>
        <v>73.74148301772</v>
      </c>
      <c r="AE28" s="109">
        <f>[1]Inputs!$M$43*AD28</f>
        <v>34.358119310666993</v>
      </c>
      <c r="AF28" s="177">
        <f>[1]Inputs!$M$48*AD28</f>
        <v>11.826480969500322</v>
      </c>
      <c r="AG28" s="177">
        <f>[1]Inputs!$H$13*SUM(AD28:AF28)</f>
        <v>7.6057122027520139</v>
      </c>
      <c r="AH28" s="177">
        <f t="shared" si="22"/>
        <v>127.53179550063933</v>
      </c>
      <c r="AJ28" s="63" t="s">
        <v>85</v>
      </c>
      <c r="AK28" s="62" t="s">
        <v>71</v>
      </c>
      <c r="AL28" s="77">
        <v>0.1</v>
      </c>
      <c r="AM28" s="68">
        <v>1</v>
      </c>
      <c r="AN28" s="88">
        <f t="shared" ref="AN28:AN30" si="28">AM28*AL28</f>
        <v>0.1</v>
      </c>
      <c r="AO28" s="88">
        <v>1</v>
      </c>
      <c r="AP28" s="88">
        <f>IF(AO28=0,VLOOKUP(AK:AK,[1]Inputs!$B$20:$H$25,7,FALSE)*AN28,VLOOKUP(AK:AK,[1]Inputs!$B$20:$I$25,8,FALSE)*AN28)</f>
        <v>14.494102558317273</v>
      </c>
      <c r="AQ28" s="88">
        <f>VLOOKUP(AK:AK,[1]Inputs!$C$54:$G$59,5,FALSE)*AN28</f>
        <v>1.9732436288346318</v>
      </c>
      <c r="AR28" s="88"/>
      <c r="AS28" s="88"/>
      <c r="AT28" s="88"/>
      <c r="AU28" s="88">
        <f t="shared" ref="AU28:AU30" si="29">SUM(AP28:AR28)</f>
        <v>16.467346187151904</v>
      </c>
      <c r="AV28" s="88">
        <f>[1]Inputs!$M$43*AU28</f>
        <v>7.6725748096531268</v>
      </c>
      <c r="AW28" s="177">
        <f>[1]Inputs!$M$48*AU28</f>
        <v>2.6409932148194968</v>
      </c>
      <c r="AX28" s="176">
        <f>[1]Inputs!$H$13*SUM(AU28:AW28)</f>
        <v>1.6984455793012276</v>
      </c>
      <c r="AY28" s="176">
        <f t="shared" si="23"/>
        <v>28.479359790925756</v>
      </c>
      <c r="AZ28" s="90"/>
      <c r="BA28" s="63" t="s">
        <v>75</v>
      </c>
      <c r="BB28" s="62" t="s">
        <v>71</v>
      </c>
      <c r="BC28" s="77">
        <v>0.25</v>
      </c>
      <c r="BD28" s="68">
        <v>1</v>
      </c>
      <c r="BE28" s="88">
        <f t="shared" ref="BE28:BE32" si="30">BD28*BC28</f>
        <v>0.25</v>
      </c>
      <c r="BF28" s="88">
        <v>1</v>
      </c>
      <c r="BG28" s="88">
        <f>IF(BF28=0,VLOOKUP(BB:BB,[1]Inputs!$B$20:$H$25,7,FALSE)*BE28,VLOOKUP(BB:BB,[1]Inputs!$B$20:$I$25,8,FALSE)*BE28)</f>
        <v>36.235256395793179</v>
      </c>
      <c r="BH28" s="88">
        <f>VLOOKUP(BB:BB,[1]Inputs!$C$54:$G$59,5,FALSE)*BE28</f>
        <v>4.9331090720865793</v>
      </c>
      <c r="BI28" s="88"/>
      <c r="BJ28" s="88"/>
      <c r="BK28" s="88"/>
      <c r="BL28" s="88">
        <f t="shared" ref="BL28:BL32" si="31">SUM(BG28:BI28)</f>
        <v>41.168365467879759</v>
      </c>
      <c r="BM28" s="88">
        <f>[1]Inputs!$M$43*BL28</f>
        <v>19.181437024132819</v>
      </c>
      <c r="BN28" s="177">
        <f>[1]Inputs!$M$48*BL28</f>
        <v>6.6024830370487422</v>
      </c>
      <c r="BO28" s="177">
        <f>[1]Inputs!$H$13*SUM(BL28:BN28)</f>
        <v>4.2461139482530701</v>
      </c>
      <c r="BP28" s="177">
        <f t="shared" si="24"/>
        <v>71.198399477314396</v>
      </c>
    </row>
    <row r="29" spans="2:68" ht="25.5" x14ac:dyDescent="0.2">
      <c r="B29" s="64" t="s">
        <v>72</v>
      </c>
      <c r="C29" s="62" t="s">
        <v>71</v>
      </c>
      <c r="D29" s="78">
        <v>0.1</v>
      </c>
      <c r="E29" s="68">
        <v>2</v>
      </c>
      <c r="F29" s="87">
        <f t="shared" si="25"/>
        <v>0.2</v>
      </c>
      <c r="G29" s="88">
        <v>1</v>
      </c>
      <c r="H29" s="88">
        <f>IF(G29=0,VLOOKUP(C:C,[1]Inputs!$B$20:$H$25,7,FALSE)*F29,VLOOKUP(C:C,[1]Inputs!$B$20:$I$25,8,FALSE)*F29)</f>
        <v>28.988205116634546</v>
      </c>
      <c r="I29" s="88">
        <f>VLOOKUP(C:C,[1]Inputs!$C$54:$G$59,5,FALSE)*F29</f>
        <v>3.9464872576692636</v>
      </c>
      <c r="J29" s="88"/>
      <c r="K29" s="88"/>
      <c r="L29" s="88"/>
      <c r="M29" s="88">
        <f t="shared" si="26"/>
        <v>32.934692374303808</v>
      </c>
      <c r="N29" s="88">
        <f>[1]Inputs!$M$43*M29</f>
        <v>15.345149619306254</v>
      </c>
      <c r="O29" s="78">
        <f>[1]Inputs!$M$48*M29</f>
        <v>5.2819864296389936</v>
      </c>
      <c r="P29" s="78">
        <f>[1]Inputs!$H$13*SUM(M29:O29)</f>
        <v>3.3968911586024553</v>
      </c>
      <c r="Q29" s="78">
        <f t="shared" si="20"/>
        <v>56.958719581851511</v>
      </c>
      <c r="R29" s="49"/>
      <c r="S29" s="65" t="s">
        <v>94</v>
      </c>
      <c r="T29" s="62" t="s">
        <v>95</v>
      </c>
      <c r="U29" s="78">
        <v>0.5</v>
      </c>
      <c r="V29" s="107">
        <v>1</v>
      </c>
      <c r="W29" s="175">
        <f t="shared" si="21"/>
        <v>0.5</v>
      </c>
      <c r="X29" s="88">
        <v>0</v>
      </c>
      <c r="Y29" s="88">
        <f>IF(X29=0,VLOOKUP(T:T,[1]Inputs!$B$20:$H$25,7,FALSE)*W29,VLOOKUP(T:T,[1]Inputs!$B$20:$I$25,8,FALSE)*W29)</f>
        <v>51.630298810072496</v>
      </c>
      <c r="Z29" s="88">
        <f>VLOOKUP(T:T,[1]Inputs!$C$54:$G$59,5,FALSE)*W29</f>
        <v>0</v>
      </c>
      <c r="AA29" s="88"/>
      <c r="AB29" s="88"/>
      <c r="AC29" s="88"/>
      <c r="AD29" s="88">
        <f t="shared" si="27"/>
        <v>51.630298810072496</v>
      </c>
      <c r="AE29" s="88">
        <f>[1]Inputs!$M$43*AD29</f>
        <v>24.055930176174893</v>
      </c>
      <c r="AF29" s="177">
        <f>[1]Inputs!$M$48*AD29</f>
        <v>8.2803426421490585</v>
      </c>
      <c r="AG29" s="177">
        <f>[1]Inputs!$H$13*SUM(AD29:AF29)</f>
        <v>5.3251599726729033</v>
      </c>
      <c r="AH29" s="177">
        <f t="shared" si="22"/>
        <v>89.291731601069358</v>
      </c>
      <c r="AJ29" s="64" t="s">
        <v>72</v>
      </c>
      <c r="AK29" s="62" t="s">
        <v>71</v>
      </c>
      <c r="AL29" s="78">
        <v>0.1</v>
      </c>
      <c r="AM29" s="68">
        <v>2</v>
      </c>
      <c r="AN29" s="87">
        <f t="shared" si="28"/>
        <v>0.2</v>
      </c>
      <c r="AO29" s="87">
        <v>1</v>
      </c>
      <c r="AP29" s="87">
        <f>IF(AO29=0,VLOOKUP(AK:AK,[1]Inputs!$B$20:$H$25,7,FALSE)*AN29,VLOOKUP(AK:AK,[1]Inputs!$B$20:$I$25,8,FALSE)*AN29)</f>
        <v>28.988205116634546</v>
      </c>
      <c r="AQ29" s="87">
        <f>VLOOKUP(AK:AK,[1]Inputs!$C$54:$G$59,5,FALSE)*AN29</f>
        <v>3.9464872576692636</v>
      </c>
      <c r="AR29" s="87"/>
      <c r="AS29" s="87"/>
      <c r="AT29" s="87"/>
      <c r="AU29" s="87">
        <f t="shared" si="29"/>
        <v>32.934692374303808</v>
      </c>
      <c r="AV29" s="87">
        <f>[1]Inputs!$M$43*AU29</f>
        <v>15.345149619306254</v>
      </c>
      <c r="AW29" s="177">
        <f>[1]Inputs!$M$48*AU29</f>
        <v>5.2819864296389936</v>
      </c>
      <c r="AX29" s="176">
        <f>[1]Inputs!$H$13*SUM(AU29:AW29)</f>
        <v>3.3968911586024553</v>
      </c>
      <c r="AY29" s="176">
        <f t="shared" si="23"/>
        <v>56.958719581851511</v>
      </c>
      <c r="AZ29" s="90"/>
      <c r="BA29" s="64" t="s">
        <v>98</v>
      </c>
      <c r="BB29" s="62" t="s">
        <v>71</v>
      </c>
      <c r="BC29" s="78">
        <v>0.5</v>
      </c>
      <c r="BD29" s="68">
        <v>2</v>
      </c>
      <c r="BE29" s="87">
        <f t="shared" si="30"/>
        <v>1</v>
      </c>
      <c r="BF29" s="87">
        <v>1</v>
      </c>
      <c r="BG29" s="87">
        <f>IF(BF29=0,VLOOKUP(BB:BB,[1]Inputs!$B$20:$H$25,7,FALSE)*BE29,VLOOKUP(BB:BB,[1]Inputs!$B$20:$I$25,8,FALSE)*BE29)</f>
        <v>144.94102558317272</v>
      </c>
      <c r="BH29" s="87">
        <f>VLOOKUP(BB:BB,[1]Inputs!$C$54:$G$59,5,FALSE)*BE29</f>
        <v>19.732436288346317</v>
      </c>
      <c r="BI29" s="87"/>
      <c r="BJ29" s="87"/>
      <c r="BK29" s="87"/>
      <c r="BL29" s="87">
        <f t="shared" si="31"/>
        <v>164.67346187151904</v>
      </c>
      <c r="BM29" s="87">
        <f>[1]Inputs!$M$43*BL29</f>
        <v>76.725748096531277</v>
      </c>
      <c r="BN29" s="177">
        <f>[1]Inputs!$M$48*BL29</f>
        <v>26.409932148194969</v>
      </c>
      <c r="BO29" s="177">
        <f>[1]Inputs!$H$13*SUM(BL29:BN29)</f>
        <v>16.98445579301228</v>
      </c>
      <c r="BP29" s="177">
        <f t="shared" si="24"/>
        <v>284.79359790925758</v>
      </c>
    </row>
    <row r="30" spans="2:68" ht="25.5" x14ac:dyDescent="0.2">
      <c r="B30" s="65" t="s">
        <v>73</v>
      </c>
      <c r="C30" s="62" t="s">
        <v>71</v>
      </c>
      <c r="D30" s="79">
        <v>0.1</v>
      </c>
      <c r="E30" s="68">
        <v>1</v>
      </c>
      <c r="F30" s="87">
        <f t="shared" si="25"/>
        <v>0.1</v>
      </c>
      <c r="G30" s="88">
        <v>1</v>
      </c>
      <c r="H30" s="88">
        <f>IF(G30=0,VLOOKUP(C:C,[1]Inputs!$B$20:$H$25,7,FALSE)*F30,VLOOKUP(C:C,[1]Inputs!$B$20:$I$25,8,FALSE)*F30)</f>
        <v>14.494102558317273</v>
      </c>
      <c r="I30" s="88">
        <f>VLOOKUP(C:C,[1]Inputs!$C$54:$G$59,5,FALSE)*F30</f>
        <v>1.9732436288346318</v>
      </c>
      <c r="J30" s="88"/>
      <c r="K30" s="88"/>
      <c r="L30" s="88"/>
      <c r="M30" s="88">
        <f t="shared" si="26"/>
        <v>16.467346187151904</v>
      </c>
      <c r="N30" s="88">
        <f>[1]Inputs!$M$43*M30</f>
        <v>7.6725748096531268</v>
      </c>
      <c r="O30" s="78">
        <f>[1]Inputs!$M$48*M30</f>
        <v>2.6409932148194968</v>
      </c>
      <c r="P30" s="78">
        <f>[1]Inputs!$H$13*SUM(M30:O30)</f>
        <v>1.6984455793012276</v>
      </c>
      <c r="Q30" s="78">
        <f t="shared" si="20"/>
        <v>28.479359790925756</v>
      </c>
      <c r="S30" s="63" t="s">
        <v>96</v>
      </c>
      <c r="T30" s="62" t="s">
        <v>95</v>
      </c>
      <c r="U30" s="78">
        <v>1</v>
      </c>
      <c r="V30" s="107">
        <v>1</v>
      </c>
      <c r="W30" s="175">
        <f t="shared" si="21"/>
        <v>1</v>
      </c>
      <c r="X30" s="88">
        <v>0</v>
      </c>
      <c r="Y30" s="88">
        <f>IF(X30=0,VLOOKUP(T:T,[1]Inputs!$B$20:$H$25,7,FALSE)*W30,VLOOKUP(T:T,[1]Inputs!$B$20:$I$25,8,FALSE)*W30)</f>
        <v>103.26059762014499</v>
      </c>
      <c r="Z30" s="88">
        <f>VLOOKUP(T:T,[1]Inputs!$C$54:$G$59,5,FALSE)*W30</f>
        <v>0</v>
      </c>
      <c r="AA30" s="88"/>
      <c r="AB30" s="88"/>
      <c r="AC30" s="88"/>
      <c r="AD30" s="88">
        <f t="shared" si="27"/>
        <v>103.26059762014499</v>
      </c>
      <c r="AE30" s="88">
        <f>[1]Inputs!$M$43*AD30</f>
        <v>48.111860352349787</v>
      </c>
      <c r="AF30" s="177">
        <f>[1]Inputs!$M$48*AD30</f>
        <v>16.560685284298117</v>
      </c>
      <c r="AG30" s="177">
        <f>[1]Inputs!$H$13*SUM(AD30:AF30)</f>
        <v>10.650319945345807</v>
      </c>
      <c r="AH30" s="177">
        <f t="shared" si="22"/>
        <v>178.58346320213872</v>
      </c>
      <c r="AJ30" s="65" t="s">
        <v>73</v>
      </c>
      <c r="AK30" s="62" t="s">
        <v>71</v>
      </c>
      <c r="AL30" s="79">
        <v>0.1</v>
      </c>
      <c r="AM30" s="68">
        <v>1</v>
      </c>
      <c r="AN30" s="87">
        <f t="shared" si="28"/>
        <v>0.1</v>
      </c>
      <c r="AO30" s="87">
        <v>1</v>
      </c>
      <c r="AP30" s="87">
        <f>IF(AO30=0,VLOOKUP(AK:AK,[1]Inputs!$B$20:$H$25,7,FALSE)*AN30,VLOOKUP(AK:AK,[1]Inputs!$B$20:$I$25,8,FALSE)*AN30)</f>
        <v>14.494102558317273</v>
      </c>
      <c r="AQ30" s="87">
        <f>VLOOKUP(AK:AK,[1]Inputs!$C$54:$G$59,5,FALSE)*AN30</f>
        <v>1.9732436288346318</v>
      </c>
      <c r="AR30" s="87"/>
      <c r="AS30" s="87"/>
      <c r="AT30" s="87"/>
      <c r="AU30" s="87">
        <f t="shared" si="29"/>
        <v>16.467346187151904</v>
      </c>
      <c r="AV30" s="87">
        <f>[1]Inputs!$M$43*AU30</f>
        <v>7.6725748096531268</v>
      </c>
      <c r="AW30" s="177">
        <f>[1]Inputs!$M$48*AU30</f>
        <v>2.6409932148194968</v>
      </c>
      <c r="AX30" s="176">
        <f>[1]Inputs!$H$13*SUM(AU30:AW30)</f>
        <v>1.6984455793012276</v>
      </c>
      <c r="AY30" s="176">
        <f t="shared" si="23"/>
        <v>28.479359790925756</v>
      </c>
      <c r="BA30" s="65" t="s">
        <v>121</v>
      </c>
      <c r="BB30" s="62" t="s">
        <v>71</v>
      </c>
      <c r="BC30" s="79">
        <v>0.5</v>
      </c>
      <c r="BD30" s="68">
        <v>2</v>
      </c>
      <c r="BE30" s="87">
        <f t="shared" si="30"/>
        <v>1</v>
      </c>
      <c r="BF30" s="87">
        <v>1</v>
      </c>
      <c r="BG30" s="87">
        <f>IF(BF30=0,VLOOKUP(BB:BB,[1]Inputs!$B$20:$H$25,7,FALSE)*BE30,VLOOKUP(BB:BB,[1]Inputs!$B$20:$I$25,8,FALSE)*BE30)</f>
        <v>144.94102558317272</v>
      </c>
      <c r="BH30" s="87">
        <f>VLOOKUP(BB:BB,[1]Inputs!$C$54:$G$59,5,FALSE)*BE30</f>
        <v>19.732436288346317</v>
      </c>
      <c r="BI30" s="87"/>
      <c r="BJ30" s="87"/>
      <c r="BK30" s="87"/>
      <c r="BL30" s="87">
        <f t="shared" si="31"/>
        <v>164.67346187151904</v>
      </c>
      <c r="BM30" s="87">
        <f>[1]Inputs!$M$43*BL30</f>
        <v>76.725748096531277</v>
      </c>
      <c r="BN30" s="177">
        <f>[1]Inputs!$M$48*BL30</f>
        <v>26.409932148194969</v>
      </c>
      <c r="BO30" s="177">
        <f>[1]Inputs!$H$13*SUM(BL30:BN30)</f>
        <v>16.98445579301228</v>
      </c>
      <c r="BP30" s="177">
        <f t="shared" si="24"/>
        <v>284.79359790925758</v>
      </c>
    </row>
    <row r="31" spans="2:68" x14ac:dyDescent="0.2">
      <c r="B31" s="63"/>
      <c r="C31" s="62"/>
      <c r="D31" s="80"/>
      <c r="E31" s="68"/>
      <c r="F31" s="87"/>
      <c r="G31" s="87"/>
      <c r="H31" s="87"/>
      <c r="I31" s="87"/>
      <c r="J31" s="87"/>
      <c r="K31" s="87"/>
      <c r="L31" s="87"/>
      <c r="M31" s="87"/>
      <c r="N31" s="87"/>
      <c r="O31" s="35"/>
      <c r="P31" s="37"/>
      <c r="Q31" s="37"/>
      <c r="S31" s="63" t="s">
        <v>88</v>
      </c>
      <c r="T31" s="62" t="s">
        <v>71</v>
      </c>
      <c r="U31" s="76">
        <v>1</v>
      </c>
      <c r="V31" s="68">
        <v>3</v>
      </c>
      <c r="W31" s="175">
        <f t="shared" si="21"/>
        <v>3</v>
      </c>
      <c r="X31" s="87">
        <v>1</v>
      </c>
      <c r="Y31" s="87">
        <f>IF(X31=0,VLOOKUP(T:T,[1]Inputs!$B$20:$H$25,7,FALSE)*W31,VLOOKUP(T:T,[1]Inputs!$B$20:$I$25,8,FALSE)*W31)</f>
        <v>434.82307674951812</v>
      </c>
      <c r="Z31" s="87">
        <f>VLOOKUP(T:T,[1]Inputs!$C$54:$G$59,5,FALSE)*W31</f>
        <v>59.197308865038949</v>
      </c>
      <c r="AA31" s="87"/>
      <c r="AB31" s="87"/>
      <c r="AC31" s="87"/>
      <c r="AD31" s="87">
        <f t="shared" si="27"/>
        <v>494.02038561455709</v>
      </c>
      <c r="AE31" s="87">
        <f>[1]Inputs!$M$43*AD31</f>
        <v>230.1772442895938</v>
      </c>
      <c r="AF31" s="177">
        <f>[1]Inputs!$M$48*AD31</f>
        <v>79.229796444584906</v>
      </c>
      <c r="AG31" s="177">
        <f>[1]Inputs!$H$13*SUM(AD31:AF31)</f>
        <v>50.95336737903682</v>
      </c>
      <c r="AH31" s="177">
        <f t="shared" si="22"/>
        <v>854.38079372777247</v>
      </c>
      <c r="AJ31" s="63"/>
      <c r="AK31" s="62"/>
      <c r="AL31" s="80"/>
      <c r="AM31" s="68"/>
      <c r="AN31" s="87"/>
      <c r="AO31" s="87"/>
      <c r="AP31" s="87"/>
      <c r="AQ31" s="87"/>
      <c r="AR31" s="87"/>
      <c r="AS31" s="87"/>
      <c r="AT31" s="87"/>
      <c r="AU31" s="87"/>
      <c r="AV31" s="87"/>
      <c r="AW31" s="35"/>
      <c r="AX31" s="37"/>
      <c r="AY31" s="37"/>
      <c r="BA31" s="64" t="s">
        <v>99</v>
      </c>
      <c r="BB31" s="62" t="s">
        <v>71</v>
      </c>
      <c r="BC31" s="80">
        <v>0.5</v>
      </c>
      <c r="BD31" s="68">
        <v>2</v>
      </c>
      <c r="BE31" s="87">
        <f t="shared" si="30"/>
        <v>1</v>
      </c>
      <c r="BF31" s="87">
        <v>1</v>
      </c>
      <c r="BG31" s="87">
        <f>IF(BF31=0,VLOOKUP(BB:BB,[1]Inputs!$B$20:$H$25,7,FALSE)*BE31,VLOOKUP(BB:BB,[1]Inputs!$B$20:$I$25,8,FALSE)*BE31)</f>
        <v>144.94102558317272</v>
      </c>
      <c r="BH31" s="87">
        <f>VLOOKUP(BB:BB,[1]Inputs!$C$54:$G$59,5,FALSE)*BE31</f>
        <v>19.732436288346317</v>
      </c>
      <c r="BI31" s="87"/>
      <c r="BJ31" s="87"/>
      <c r="BK31" s="87"/>
      <c r="BL31" s="87">
        <f t="shared" si="31"/>
        <v>164.67346187151904</v>
      </c>
      <c r="BM31" s="87">
        <f>[1]Inputs!$M$43*BL31</f>
        <v>76.725748096531277</v>
      </c>
      <c r="BN31" s="177">
        <f>[1]Inputs!$M$48*BL31</f>
        <v>26.409932148194969</v>
      </c>
      <c r="BO31" s="177">
        <f>[1]Inputs!$H$13*SUM(BL31:BN31)</f>
        <v>16.98445579301228</v>
      </c>
      <c r="BP31" s="177">
        <f t="shared" si="24"/>
        <v>284.79359790925758</v>
      </c>
    </row>
    <row r="32" spans="2:68" x14ac:dyDescent="0.2">
      <c r="B32" s="63"/>
      <c r="C32" s="62"/>
      <c r="D32" s="80"/>
      <c r="E32" s="68"/>
      <c r="F32" s="87"/>
      <c r="G32" s="87"/>
      <c r="H32" s="87"/>
      <c r="I32" s="87"/>
      <c r="J32" s="87"/>
      <c r="K32" s="87"/>
      <c r="L32" s="87"/>
      <c r="M32" s="87"/>
      <c r="N32" s="87"/>
      <c r="O32" s="35"/>
      <c r="P32" s="36"/>
      <c r="Q32" s="36"/>
      <c r="R32" s="51"/>
      <c r="S32" s="63" t="s">
        <v>85</v>
      </c>
      <c r="T32" s="62" t="s">
        <v>71</v>
      </c>
      <c r="U32" s="77">
        <v>1</v>
      </c>
      <c r="V32" s="68">
        <v>1</v>
      </c>
      <c r="W32" s="175">
        <f t="shared" si="21"/>
        <v>1</v>
      </c>
      <c r="X32" s="88">
        <v>1</v>
      </c>
      <c r="Y32" s="88">
        <f>IF(X32=0,VLOOKUP(T:T,[1]Inputs!$B$20:$H$25,7,FALSE)*W32,VLOOKUP(T:T,[1]Inputs!$B$20:$I$25,8,FALSE)*W32)</f>
        <v>144.94102558317272</v>
      </c>
      <c r="Z32" s="88">
        <f>VLOOKUP(T:T,[1]Inputs!$C$54:$G$59,5,FALSE)*W32</f>
        <v>19.732436288346317</v>
      </c>
      <c r="AA32" s="88"/>
      <c r="AB32" s="88"/>
      <c r="AC32" s="88"/>
      <c r="AD32" s="88">
        <f t="shared" si="27"/>
        <v>164.67346187151904</v>
      </c>
      <c r="AE32" s="88">
        <f>[1]Inputs!$M$43*AD32</f>
        <v>76.725748096531277</v>
      </c>
      <c r="AF32" s="177">
        <f>[1]Inputs!$M$48*AD32</f>
        <v>26.409932148194969</v>
      </c>
      <c r="AG32" s="177">
        <f>[1]Inputs!$H$13*SUM(AD32:AF32)</f>
        <v>16.98445579301228</v>
      </c>
      <c r="AH32" s="177">
        <f t="shared" si="22"/>
        <v>284.79359790925758</v>
      </c>
      <c r="AJ32" s="63"/>
      <c r="AK32" s="62"/>
      <c r="AL32" s="80"/>
      <c r="AM32" s="68"/>
      <c r="AN32" s="87"/>
      <c r="AO32" s="87"/>
      <c r="AP32" s="87"/>
      <c r="AQ32" s="87"/>
      <c r="AR32" s="87"/>
      <c r="AS32" s="87"/>
      <c r="AT32" s="87"/>
      <c r="AU32" s="87"/>
      <c r="AV32" s="87"/>
      <c r="AW32" s="35"/>
      <c r="AX32" s="36"/>
      <c r="AY32" s="36"/>
      <c r="BA32" s="65" t="s">
        <v>73</v>
      </c>
      <c r="BB32" s="62" t="s">
        <v>71</v>
      </c>
      <c r="BC32" s="80">
        <v>0.1</v>
      </c>
      <c r="BD32" s="68">
        <v>1</v>
      </c>
      <c r="BE32" s="87">
        <f t="shared" si="30"/>
        <v>0.1</v>
      </c>
      <c r="BF32" s="87">
        <v>1</v>
      </c>
      <c r="BG32" s="87">
        <f>IF(BF32=0,VLOOKUP(BB:BB,[1]Inputs!$B$20:$H$25,7,FALSE)*BE32,VLOOKUP(BB:BB,[1]Inputs!$B$20:$I$25,8,FALSE)*BE32)</f>
        <v>14.494102558317273</v>
      </c>
      <c r="BH32" s="87">
        <f>VLOOKUP(BB:BB,[1]Inputs!$C$54:$G$59,5,FALSE)*BE32</f>
        <v>1.9732436288346318</v>
      </c>
      <c r="BI32" s="87"/>
      <c r="BJ32" s="87"/>
      <c r="BK32" s="87"/>
      <c r="BL32" s="87">
        <f t="shared" si="31"/>
        <v>16.467346187151904</v>
      </c>
      <c r="BM32" s="87">
        <f>[1]Inputs!$M$43*BL32</f>
        <v>7.6725748096531268</v>
      </c>
      <c r="BN32" s="177">
        <f>[1]Inputs!$M$48*BL32</f>
        <v>2.6409932148194968</v>
      </c>
      <c r="BO32" s="177">
        <f>[1]Inputs!$H$13*SUM(BL32:BN32)</f>
        <v>1.6984455793012276</v>
      </c>
      <c r="BP32" s="177">
        <f t="shared" si="24"/>
        <v>28.479359790925756</v>
      </c>
    </row>
    <row r="33" spans="2:68" x14ac:dyDescent="0.2">
      <c r="B33" s="63" t="s">
        <v>83</v>
      </c>
      <c r="C33" s="62"/>
      <c r="D33" s="80"/>
      <c r="E33" s="68"/>
      <c r="F33" s="87"/>
      <c r="G33" s="87"/>
      <c r="H33" s="87"/>
      <c r="I33" s="87"/>
      <c r="J33" s="87"/>
      <c r="K33" s="87"/>
      <c r="L33" s="87"/>
      <c r="M33" s="87"/>
      <c r="N33" s="87"/>
      <c r="O33" s="36"/>
      <c r="P33" s="36"/>
      <c r="Q33" s="36"/>
      <c r="S33" s="64" t="s">
        <v>148</v>
      </c>
      <c r="T33" s="62" t="s">
        <v>71</v>
      </c>
      <c r="U33" s="78">
        <v>1.5</v>
      </c>
      <c r="V33" s="68">
        <v>3</v>
      </c>
      <c r="W33" s="175">
        <f t="shared" si="21"/>
        <v>4.5</v>
      </c>
      <c r="X33" s="87">
        <v>1</v>
      </c>
      <c r="Y33" s="87">
        <f>IF(X33=0,VLOOKUP(T:T,[1]Inputs!$B$20:$H$25,7,FALSE)*W33,VLOOKUP(T:T,[1]Inputs!$B$20:$I$25,8,FALSE)*W33)</f>
        <v>652.23461512427718</v>
      </c>
      <c r="Z33" s="87">
        <f>VLOOKUP(T:T,[1]Inputs!$C$54:$G$59,5,FALSE)*W33</f>
        <v>88.79596329755843</v>
      </c>
      <c r="AA33" s="87"/>
      <c r="AB33" s="87"/>
      <c r="AC33" s="87"/>
      <c r="AD33" s="87">
        <f t="shared" si="27"/>
        <v>741.03057842183557</v>
      </c>
      <c r="AE33" s="87">
        <f>[1]Inputs!$M$43*AD33</f>
        <v>345.26586643439066</v>
      </c>
      <c r="AF33" s="177">
        <f>[1]Inputs!$M$48*AD33</f>
        <v>118.84469466687734</v>
      </c>
      <c r="AG33" s="177">
        <f>[1]Inputs!$H$13*SUM(AD33:AF33)</f>
        <v>76.43005106855523</v>
      </c>
      <c r="AH33" s="177">
        <f t="shared" si="22"/>
        <v>1281.5711905916587</v>
      </c>
      <c r="AJ33" s="63" t="s">
        <v>89</v>
      </c>
      <c r="AK33" s="62"/>
      <c r="AL33" s="80"/>
      <c r="AM33" s="68"/>
      <c r="AN33" s="87"/>
      <c r="AO33" s="87"/>
      <c r="AP33" s="87"/>
      <c r="AQ33" s="87"/>
      <c r="AR33" s="87"/>
      <c r="AS33" s="87"/>
      <c r="AT33" s="87"/>
      <c r="AU33" s="87"/>
      <c r="AV33" s="87"/>
      <c r="AW33" s="36"/>
      <c r="AX33" s="36"/>
      <c r="AY33" s="36"/>
      <c r="BA33" s="63"/>
      <c r="BB33" s="62"/>
      <c r="BC33" s="80"/>
      <c r="BD33" s="68"/>
      <c r="BE33" s="87"/>
      <c r="BF33" s="87"/>
      <c r="BG33" s="87"/>
      <c r="BH33" s="87"/>
      <c r="BI33" s="87"/>
      <c r="BJ33" s="87"/>
      <c r="BK33" s="87"/>
      <c r="BL33" s="87"/>
      <c r="BM33" s="87"/>
      <c r="BN33" s="36"/>
      <c r="BO33" s="36"/>
      <c r="BP33" s="36"/>
    </row>
    <row r="34" spans="2:68" x14ac:dyDescent="0.2">
      <c r="B34" s="63"/>
      <c r="C34" s="62"/>
      <c r="D34" s="78"/>
      <c r="E34" s="68"/>
      <c r="F34" s="87"/>
      <c r="G34" s="87"/>
      <c r="H34" s="87"/>
      <c r="I34" s="87"/>
      <c r="J34" s="87"/>
      <c r="K34" s="87"/>
      <c r="L34" s="87"/>
      <c r="M34" s="87"/>
      <c r="N34" s="87"/>
      <c r="O34" s="36"/>
      <c r="P34" s="37"/>
      <c r="Q34" s="37"/>
      <c r="S34" s="65" t="s">
        <v>73</v>
      </c>
      <c r="T34" s="62" t="s">
        <v>71</v>
      </c>
      <c r="U34" s="79">
        <v>0.5</v>
      </c>
      <c r="V34" s="68">
        <v>1</v>
      </c>
      <c r="W34" s="175">
        <f t="shared" si="21"/>
        <v>0.5</v>
      </c>
      <c r="X34" s="87">
        <v>1</v>
      </c>
      <c r="Y34" s="87">
        <f>IF(X34=0,VLOOKUP(T:T,[1]Inputs!$B$20:$H$25,7,FALSE)*W34,VLOOKUP(T:T,[1]Inputs!$B$20:$I$25,8,FALSE)*W34)</f>
        <v>72.470512791586359</v>
      </c>
      <c r="Z34" s="87">
        <f>VLOOKUP(T:T,[1]Inputs!$C$54:$G$59,5,FALSE)*W34</f>
        <v>9.8662181441731587</v>
      </c>
      <c r="AA34" s="87"/>
      <c r="AB34" s="87"/>
      <c r="AC34" s="87"/>
      <c r="AD34" s="87">
        <f t="shared" si="27"/>
        <v>82.336730935759519</v>
      </c>
      <c r="AE34" s="87">
        <f>[1]Inputs!$M$43*AD34</f>
        <v>38.362874048265638</v>
      </c>
      <c r="AF34" s="177">
        <f>[1]Inputs!$M$48*AD34</f>
        <v>13.204966074097484</v>
      </c>
      <c r="AG34" s="177">
        <f>[1]Inputs!$H$13*SUM(AD34:AF34)</f>
        <v>8.4922278965061402</v>
      </c>
      <c r="AH34" s="177">
        <f t="shared" si="22"/>
        <v>142.39679895462879</v>
      </c>
      <c r="AJ34" s="63"/>
      <c r="AK34" s="62"/>
      <c r="AL34" s="78"/>
      <c r="AM34" s="68"/>
      <c r="AN34" s="87"/>
      <c r="AO34" s="87"/>
      <c r="AP34" s="87"/>
      <c r="AQ34" s="87"/>
      <c r="AR34" s="87"/>
      <c r="AS34" s="87"/>
      <c r="AT34" s="87"/>
      <c r="AU34" s="87"/>
      <c r="AV34" s="87"/>
      <c r="AW34" s="36"/>
      <c r="AX34" s="37"/>
      <c r="AY34" s="37"/>
      <c r="BA34" s="63"/>
      <c r="BB34" s="62"/>
      <c r="BC34" s="78"/>
      <c r="BD34" s="68"/>
      <c r="BE34" s="87"/>
      <c r="BF34" s="87"/>
      <c r="BG34" s="87"/>
      <c r="BH34" s="87"/>
      <c r="BI34" s="87"/>
      <c r="BJ34" s="87"/>
      <c r="BK34" s="87"/>
      <c r="BL34" s="87"/>
      <c r="BM34" s="87"/>
      <c r="BN34" s="36"/>
      <c r="BO34" s="36"/>
      <c r="BP34" s="36"/>
    </row>
    <row r="35" spans="2:68" x14ac:dyDescent="0.2">
      <c r="B35" s="255" t="s">
        <v>1</v>
      </c>
      <c r="C35" s="256"/>
      <c r="D35" s="256"/>
      <c r="E35" s="257"/>
      <c r="F35" s="89">
        <f>SUM(F27:F34)</f>
        <v>0.5</v>
      </c>
      <c r="G35" s="89">
        <f t="shared" ref="G35:Q35" si="32">SUM(G27:G34)</f>
        <v>4</v>
      </c>
      <c r="H35" s="89">
        <f t="shared" si="32"/>
        <v>72.470512791586373</v>
      </c>
      <c r="I35" s="89">
        <f t="shared" si="32"/>
        <v>9.8662181441731587</v>
      </c>
      <c r="J35" s="89">
        <f t="shared" si="32"/>
        <v>0</v>
      </c>
      <c r="K35" s="89">
        <f t="shared" si="32"/>
        <v>0</v>
      </c>
      <c r="L35" s="89">
        <f t="shared" si="32"/>
        <v>0</v>
      </c>
      <c r="M35" s="89">
        <f t="shared" si="32"/>
        <v>82.336730935759519</v>
      </c>
      <c r="N35" s="89">
        <f t="shared" si="32"/>
        <v>38.362874048265631</v>
      </c>
      <c r="O35" s="89">
        <f t="shared" si="32"/>
        <v>13.204966074097484</v>
      </c>
      <c r="P35" s="89">
        <f t="shared" si="32"/>
        <v>8.4922278965061384</v>
      </c>
      <c r="Q35" s="89">
        <f t="shared" si="32"/>
        <v>142.39679895462876</v>
      </c>
      <c r="R35" s="49"/>
      <c r="S35" s="63" t="s">
        <v>97</v>
      </c>
      <c r="T35" s="62" t="s">
        <v>95</v>
      </c>
      <c r="U35" s="80">
        <v>0.25</v>
      </c>
      <c r="V35" s="68">
        <v>1</v>
      </c>
      <c r="W35" s="175">
        <f t="shared" si="21"/>
        <v>0.25</v>
      </c>
      <c r="X35" s="87">
        <v>0</v>
      </c>
      <c r="Y35" s="87">
        <f>IF(X35=0,VLOOKUP(T:T,[1]Inputs!$B$20:$H$25,7,FALSE)*W35,VLOOKUP(T:T,[1]Inputs!$B$20:$I$25,8,FALSE)*W35)</f>
        <v>25.815149405036248</v>
      </c>
      <c r="Z35" s="87">
        <f>VLOOKUP(T:T,[1]Inputs!$C$54:$G$59,5,FALSE)*W35</f>
        <v>0</v>
      </c>
      <c r="AA35" s="87"/>
      <c r="AB35" s="87"/>
      <c r="AC35" s="87"/>
      <c r="AD35" s="87">
        <f t="shared" si="27"/>
        <v>25.815149405036248</v>
      </c>
      <c r="AE35" s="87">
        <f>[1]Inputs!$M$43*AD35</f>
        <v>12.027965088087447</v>
      </c>
      <c r="AF35" s="177">
        <f>[1]Inputs!$M$48*AD35</f>
        <v>4.1401713210745292</v>
      </c>
      <c r="AG35" s="177">
        <f>[1]Inputs!$H$13*SUM(AD35:AF35)</f>
        <v>2.6625799863364517</v>
      </c>
      <c r="AH35" s="177">
        <f t="shared" si="22"/>
        <v>44.645865800534679</v>
      </c>
      <c r="AJ35" s="255" t="s">
        <v>1</v>
      </c>
      <c r="AK35" s="256"/>
      <c r="AL35" s="256"/>
      <c r="AM35" s="257"/>
      <c r="AN35" s="89">
        <f>SUM(AN27:AN34)</f>
        <v>0.5</v>
      </c>
      <c r="AO35" s="89">
        <f t="shared" ref="AO35:AY35" si="33">SUM(AO27:AO34)</f>
        <v>4</v>
      </c>
      <c r="AP35" s="89">
        <f t="shared" si="33"/>
        <v>72.470512791586373</v>
      </c>
      <c r="AQ35" s="89">
        <f t="shared" si="33"/>
        <v>9.8662181441731587</v>
      </c>
      <c r="AR35" s="89">
        <f t="shared" si="33"/>
        <v>0</v>
      </c>
      <c r="AS35" s="89">
        <f t="shared" si="33"/>
        <v>0</v>
      </c>
      <c r="AT35" s="89">
        <f t="shared" si="33"/>
        <v>0</v>
      </c>
      <c r="AU35" s="89">
        <f t="shared" si="33"/>
        <v>82.336730935759519</v>
      </c>
      <c r="AV35" s="89">
        <f t="shared" si="33"/>
        <v>38.362874048265631</v>
      </c>
      <c r="AW35" s="89">
        <f t="shared" si="33"/>
        <v>13.204966074097484</v>
      </c>
      <c r="AX35" s="89">
        <f t="shared" si="33"/>
        <v>8.4922278965061384</v>
      </c>
      <c r="AY35" s="89">
        <f t="shared" si="33"/>
        <v>142.39679895462876</v>
      </c>
      <c r="BA35" s="255" t="s">
        <v>1</v>
      </c>
      <c r="BB35" s="256"/>
      <c r="BC35" s="256"/>
      <c r="BD35" s="257"/>
      <c r="BE35" s="89">
        <f>SUM(BE27:BE34)</f>
        <v>4.3499999999999996</v>
      </c>
      <c r="BF35" s="89">
        <f t="shared" ref="BF35:BP35" si="34">SUM(BF27:BF34)</f>
        <v>6</v>
      </c>
      <c r="BG35" s="89">
        <f t="shared" si="34"/>
        <v>630.49346128680145</v>
      </c>
      <c r="BH35" s="89">
        <f t="shared" si="34"/>
        <v>85.836097854306487</v>
      </c>
      <c r="BI35" s="89">
        <f t="shared" si="34"/>
        <v>0</v>
      </c>
      <c r="BJ35" s="89">
        <f t="shared" si="34"/>
        <v>0</v>
      </c>
      <c r="BK35" s="89">
        <f t="shared" si="34"/>
        <v>0</v>
      </c>
      <c r="BL35" s="89">
        <f t="shared" si="34"/>
        <v>716.32955914110778</v>
      </c>
      <c r="BM35" s="89">
        <f t="shared" si="34"/>
        <v>333.75700421991104</v>
      </c>
      <c r="BN35" s="89">
        <f t="shared" si="34"/>
        <v>114.88320484464812</v>
      </c>
      <c r="BO35" s="89">
        <f t="shared" si="34"/>
        <v>73.882382699603411</v>
      </c>
      <c r="BP35" s="89">
        <f t="shared" si="34"/>
        <v>1238.8521509052707</v>
      </c>
    </row>
    <row r="36" spans="2:68" x14ac:dyDescent="0.2">
      <c r="S36" s="255" t="s">
        <v>1</v>
      </c>
      <c r="T36" s="256"/>
      <c r="U36" s="256"/>
      <c r="V36" s="257"/>
      <c r="W36" s="89">
        <f>SUM(W27:W35)</f>
        <v>12.75</v>
      </c>
      <c r="X36" s="89">
        <f t="shared" ref="X36:AH36" si="35">SUM(X27:X35)</f>
        <v>4</v>
      </c>
      <c r="Y36" s="89">
        <f t="shared" si="35"/>
        <v>1632.6582421192481</v>
      </c>
      <c r="Z36" s="89">
        <f t="shared" si="35"/>
        <v>177.59192659511686</v>
      </c>
      <c r="AA36" s="89">
        <f t="shared" si="35"/>
        <v>0</v>
      </c>
      <c r="AB36" s="89">
        <f t="shared" si="35"/>
        <v>0</v>
      </c>
      <c r="AC36" s="89">
        <f t="shared" si="35"/>
        <v>0</v>
      </c>
      <c r="AD36" s="89">
        <f t="shared" si="35"/>
        <v>1810.2501687143649</v>
      </c>
      <c r="AE36" s="89">
        <f t="shared" si="35"/>
        <v>843.44372710672747</v>
      </c>
      <c r="AF36" s="89">
        <f t="shared" si="35"/>
        <v>290.32355052027702</v>
      </c>
      <c r="AG36" s="89">
        <f t="shared" si="35"/>
        <v>186.70958644696967</v>
      </c>
      <c r="AH36" s="89">
        <f t="shared" si="35"/>
        <v>3130.7270327883389</v>
      </c>
    </row>
    <row r="46" spans="2:68" x14ac:dyDescent="0.2">
      <c r="R46" s="49"/>
    </row>
  </sheetData>
  <mergeCells count="18">
    <mergeCell ref="AP3:AY3"/>
    <mergeCell ref="BG2:BP2"/>
    <mergeCell ref="BG3:BP3"/>
    <mergeCell ref="S18:V18"/>
    <mergeCell ref="AJ15:AM15"/>
    <mergeCell ref="BA15:BD15"/>
    <mergeCell ref="AP2:AY2"/>
    <mergeCell ref="B15:E15"/>
    <mergeCell ref="H2:Q2"/>
    <mergeCell ref="H3:Q3"/>
    <mergeCell ref="Y2:AH2"/>
    <mergeCell ref="Y3:AH3"/>
    <mergeCell ref="B35:E35"/>
    <mergeCell ref="AJ35:AM35"/>
    <mergeCell ref="BA35:BD35"/>
    <mergeCell ref="S36:V36"/>
    <mergeCell ref="B22:P22"/>
    <mergeCell ref="AJ22:AW22"/>
  </mergeCells>
  <pageMargins left="0.7" right="0.7" top="0.75" bottom="0.75" header="0.3" footer="0.3"/>
  <pageSetup paperSize="8"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5" sqref="B35"/>
    </sheetView>
  </sheetViews>
  <sheetFormatPr defaultColWidth="9.140625" defaultRowHeight="12.75" x14ac:dyDescent="0.2"/>
  <cols>
    <col min="1" max="1" width="3.140625" style="48" customWidth="1"/>
    <col min="2" max="2" width="80" style="48" bestFit="1" customWidth="1"/>
    <col min="3" max="3" width="65.140625" style="48" customWidth="1"/>
    <col min="4" max="4" width="12.85546875" style="48" customWidth="1"/>
    <col min="5" max="8" width="11.28515625" style="48" customWidth="1"/>
    <col min="9" max="9" width="12.7109375" style="48" customWidth="1"/>
    <col min="10" max="16384" width="9.140625" style="48"/>
  </cols>
  <sheetData>
    <row r="2" spans="2:9" x14ac:dyDescent="0.2">
      <c r="B2" s="21" t="s">
        <v>8</v>
      </c>
      <c r="C2" s="22"/>
      <c r="D2" s="22"/>
      <c r="E2" s="22"/>
      <c r="F2" s="22"/>
      <c r="G2" s="22"/>
      <c r="H2" s="22"/>
      <c r="I2" s="22"/>
    </row>
    <row r="3" spans="2:9" x14ac:dyDescent="0.2">
      <c r="B3" s="1"/>
      <c r="C3" s="1"/>
      <c r="D3" s="1"/>
      <c r="E3" s="1"/>
      <c r="F3" s="1"/>
      <c r="G3" s="1"/>
      <c r="H3" s="1"/>
      <c r="I3" s="1"/>
    </row>
    <row r="4" spans="2:9" x14ac:dyDescent="0.2">
      <c r="B4" s="21" t="s">
        <v>2</v>
      </c>
      <c r="C4" s="22"/>
      <c r="D4" s="22"/>
      <c r="E4" s="22"/>
      <c r="F4" s="22"/>
      <c r="G4" s="22"/>
      <c r="H4" s="22"/>
      <c r="I4" s="22"/>
    </row>
    <row r="5" spans="2:9" x14ac:dyDescent="0.2">
      <c r="B5" s="221" t="s">
        <v>101</v>
      </c>
      <c r="C5" s="221" t="s">
        <v>9</v>
      </c>
      <c r="D5" s="222" t="s">
        <v>59</v>
      </c>
      <c r="E5" s="222" t="s">
        <v>58</v>
      </c>
      <c r="F5" s="222" t="s">
        <v>57</v>
      </c>
      <c r="G5" s="222" t="s">
        <v>124</v>
      </c>
      <c r="H5" s="222" t="s">
        <v>125</v>
      </c>
      <c r="I5" s="220" t="s">
        <v>1</v>
      </c>
    </row>
    <row r="6" spans="2:9" ht="15" customHeight="1" x14ac:dyDescent="0.2">
      <c r="B6" s="113" t="s">
        <v>70</v>
      </c>
      <c r="C6" s="25" t="s">
        <v>128</v>
      </c>
      <c r="D6" s="24"/>
      <c r="E6" s="24"/>
      <c r="F6" s="24"/>
      <c r="G6" s="24"/>
      <c r="H6" s="24"/>
      <c r="I6" s="212">
        <f>SUM(D6:H6)</f>
        <v>0</v>
      </c>
    </row>
    <row r="7" spans="2:9" x14ac:dyDescent="0.2">
      <c r="B7" s="3"/>
      <c r="C7" s="23"/>
      <c r="D7" s="24"/>
      <c r="E7" s="24"/>
      <c r="F7" s="24"/>
      <c r="G7" s="24"/>
      <c r="H7" s="24"/>
      <c r="I7" s="212">
        <f t="shared" ref="I7:I9" si="0">SUM(D7:H7)</f>
        <v>0</v>
      </c>
    </row>
    <row r="8" spans="2:9" x14ac:dyDescent="0.2">
      <c r="B8" s="3"/>
      <c r="C8" s="23"/>
      <c r="D8" s="24"/>
      <c r="E8" s="24"/>
      <c r="F8" s="24"/>
      <c r="G8" s="24"/>
      <c r="H8" s="24"/>
      <c r="I8" s="212">
        <f t="shared" si="0"/>
        <v>0</v>
      </c>
    </row>
    <row r="9" spans="2:9" x14ac:dyDescent="0.2">
      <c r="B9" s="3"/>
      <c r="C9" s="23"/>
      <c r="D9" s="24"/>
      <c r="E9" s="24"/>
      <c r="F9" s="24"/>
      <c r="G9" s="24"/>
      <c r="H9" s="24"/>
      <c r="I9" s="212">
        <f t="shared" si="0"/>
        <v>0</v>
      </c>
    </row>
    <row r="10" spans="2:9" x14ac:dyDescent="0.2">
      <c r="B10" s="14" t="s">
        <v>1</v>
      </c>
      <c r="C10" s="14"/>
      <c r="D10" s="214">
        <f t="shared" ref="D10:I10" si="1">SUM(D6:D9)</f>
        <v>0</v>
      </c>
      <c r="E10" s="214">
        <f t="shared" si="1"/>
        <v>0</v>
      </c>
      <c r="F10" s="214">
        <f t="shared" si="1"/>
        <v>0</v>
      </c>
      <c r="G10" s="214">
        <f t="shared" ref="G10:H10" si="2">SUM(G6:G9)</f>
        <v>0</v>
      </c>
      <c r="H10" s="214">
        <f t="shared" si="2"/>
        <v>0</v>
      </c>
      <c r="I10" s="214">
        <f t="shared" si="1"/>
        <v>0</v>
      </c>
    </row>
    <row r="11" spans="2:9" x14ac:dyDescent="0.2">
      <c r="B11" s="1"/>
      <c r="C11" s="1"/>
      <c r="D11" s="1"/>
      <c r="E11" s="1"/>
      <c r="F11" s="1"/>
      <c r="G11" s="1"/>
      <c r="H11" s="1"/>
      <c r="I11" s="1"/>
    </row>
    <row r="12" spans="2:9" x14ac:dyDescent="0.2">
      <c r="B12" s="21" t="s">
        <v>10</v>
      </c>
      <c r="C12" s="22"/>
      <c r="D12" s="22"/>
      <c r="E12" s="22"/>
      <c r="F12" s="22"/>
      <c r="G12" s="22"/>
      <c r="H12" s="22"/>
      <c r="I12" s="22"/>
    </row>
    <row r="13" spans="2:9" x14ac:dyDescent="0.2">
      <c r="B13" s="221" t="s">
        <v>4</v>
      </c>
      <c r="C13" s="221" t="s">
        <v>9</v>
      </c>
      <c r="D13" s="222" t="s">
        <v>59</v>
      </c>
      <c r="E13" s="222" t="s">
        <v>58</v>
      </c>
      <c r="F13" s="222" t="s">
        <v>57</v>
      </c>
      <c r="G13" s="222" t="s">
        <v>124</v>
      </c>
      <c r="H13" s="222" t="s">
        <v>125</v>
      </c>
      <c r="I13" s="220" t="s">
        <v>1</v>
      </c>
    </row>
    <row r="14" spans="2:9" x14ac:dyDescent="0.2">
      <c r="B14" s="3" t="s">
        <v>19</v>
      </c>
      <c r="C14" s="3" t="s">
        <v>65</v>
      </c>
      <c r="D14" s="93"/>
      <c r="E14" s="93"/>
      <c r="F14" s="93"/>
      <c r="G14" s="93"/>
      <c r="H14" s="93"/>
      <c r="I14" s="166">
        <f>SUM(D14:H14)</f>
        <v>0</v>
      </c>
    </row>
    <row r="15" spans="2:9" x14ac:dyDescent="0.2">
      <c r="B15" s="3"/>
      <c r="C15" s="216"/>
      <c r="D15" s="7"/>
      <c r="E15" s="7"/>
      <c r="F15" s="7"/>
      <c r="G15" s="7"/>
      <c r="H15" s="7"/>
      <c r="I15" s="166">
        <f t="shared" ref="I15:I16" si="3">SUM(D15:H15)</f>
        <v>0</v>
      </c>
    </row>
    <row r="16" spans="2:9" x14ac:dyDescent="0.2">
      <c r="B16" s="3"/>
      <c r="C16" s="3"/>
      <c r="D16" s="7"/>
      <c r="E16" s="7"/>
      <c r="F16" s="7"/>
      <c r="G16" s="7"/>
      <c r="H16" s="7"/>
      <c r="I16" s="166">
        <f t="shared" si="3"/>
        <v>0</v>
      </c>
    </row>
    <row r="17" spans="2:9" x14ac:dyDescent="0.2">
      <c r="B17" s="217" t="s">
        <v>17</v>
      </c>
      <c r="C17" s="14"/>
      <c r="D17" s="218">
        <f t="shared" ref="D17:F17" si="4">SUM(D14:D16)</f>
        <v>0</v>
      </c>
      <c r="E17" s="218">
        <f t="shared" si="4"/>
        <v>0</v>
      </c>
      <c r="F17" s="218">
        <f t="shared" si="4"/>
        <v>0</v>
      </c>
      <c r="G17" s="218">
        <f t="shared" ref="G17:H17" si="5">SUM(G14:G16)</f>
        <v>0</v>
      </c>
      <c r="H17" s="218">
        <f t="shared" si="5"/>
        <v>0</v>
      </c>
      <c r="I17" s="218">
        <f>SUM(I14:I16)</f>
        <v>0</v>
      </c>
    </row>
    <row r="18" spans="2:9" x14ac:dyDescent="0.2">
      <c r="B18" s="1"/>
      <c r="C18" s="1"/>
      <c r="D18" s="8"/>
      <c r="E18" s="8"/>
      <c r="F18" s="8"/>
      <c r="G18" s="8"/>
      <c r="H18" s="8"/>
      <c r="I18" s="8"/>
    </row>
    <row r="19" spans="2:9" x14ac:dyDescent="0.2">
      <c r="B19" s="9" t="s">
        <v>6</v>
      </c>
      <c r="C19" s="1"/>
      <c r="D19" s="8"/>
      <c r="E19" s="8"/>
      <c r="F19" s="8"/>
      <c r="G19" s="8"/>
      <c r="H19" s="8"/>
      <c r="I19" s="8"/>
    </row>
    <row r="20" spans="2:9" x14ac:dyDescent="0.2">
      <c r="B20" s="248" t="s">
        <v>123</v>
      </c>
      <c r="C20" s="248"/>
      <c r="D20" s="248"/>
      <c r="E20" s="248"/>
      <c r="F20" s="248"/>
      <c r="G20" s="248"/>
      <c r="H20" s="248"/>
      <c r="I20" s="248"/>
    </row>
    <row r="21" spans="2:9" x14ac:dyDescent="0.2">
      <c r="B21" s="250"/>
      <c r="C21" s="250"/>
      <c r="D21" s="250"/>
      <c r="E21" s="250"/>
      <c r="F21" s="250"/>
      <c r="G21" s="250"/>
      <c r="H21" s="250"/>
      <c r="I21" s="250"/>
    </row>
    <row r="22" spans="2:9" x14ac:dyDescent="0.2">
      <c r="B22" s="1"/>
      <c r="C22" s="1"/>
      <c r="D22" s="8"/>
      <c r="E22" s="8"/>
      <c r="F22" s="8"/>
      <c r="G22" s="8"/>
      <c r="H22" s="8"/>
      <c r="I22" s="8"/>
    </row>
    <row r="23" spans="2:9" x14ac:dyDescent="0.2">
      <c r="B23" s="21" t="s">
        <v>2</v>
      </c>
      <c r="C23" s="22"/>
      <c r="D23" s="22"/>
      <c r="E23" s="22"/>
      <c r="F23" s="22"/>
      <c r="G23" s="22"/>
      <c r="H23" s="22"/>
      <c r="I23" s="22"/>
    </row>
    <row r="24" spans="2:9" x14ac:dyDescent="0.2">
      <c r="B24" s="10" t="s">
        <v>11</v>
      </c>
      <c r="C24" s="11"/>
      <c r="D24" s="11"/>
      <c r="E24" s="11"/>
      <c r="F24" s="11"/>
      <c r="G24" s="11"/>
      <c r="H24" s="11"/>
      <c r="I24" s="11"/>
    </row>
    <row r="25" spans="2:9" x14ac:dyDescent="0.2">
      <c r="B25" s="252"/>
      <c r="C25" s="252"/>
      <c r="D25" s="252"/>
      <c r="E25" s="252"/>
      <c r="F25" s="252"/>
      <c r="G25" s="252"/>
      <c r="H25" s="252"/>
      <c r="I25" s="252"/>
    </row>
    <row r="26" spans="2:9" x14ac:dyDescent="0.2">
      <c r="B26" s="254"/>
      <c r="C26" s="254"/>
      <c r="D26" s="254"/>
      <c r="E26" s="254"/>
      <c r="F26" s="254"/>
      <c r="G26" s="254"/>
      <c r="H26" s="254"/>
      <c r="I26" s="254"/>
    </row>
    <row r="27" spans="2:9" x14ac:dyDescent="0.2">
      <c r="B27" s="12"/>
      <c r="C27" s="13"/>
      <c r="D27" s="13"/>
      <c r="E27" s="13"/>
      <c r="F27" s="13"/>
      <c r="G27" s="13"/>
      <c r="H27" s="13"/>
      <c r="I27" s="13"/>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81E0D-6E8F-4261-9932-E823A00BD58C}">
  <dimension ref="B1:O64"/>
  <sheetViews>
    <sheetView zoomScale="90" zoomScaleNormal="90" workbookViewId="0">
      <selection activeCell="B28" sqref="B28"/>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155</v>
      </c>
      <c r="D1" s="185">
        <f>[1]Inputs!H16</f>
        <v>1</v>
      </c>
      <c r="E1" s="185">
        <f>[1]Inputs!I16</f>
        <v>1</v>
      </c>
      <c r="F1" s="185">
        <f>[1]Inputs!J16</f>
        <v>1.0109999999999999</v>
      </c>
      <c r="G1" s="185">
        <f>[1]Inputs!K16</f>
        <v>1.0231319999999999</v>
      </c>
      <c r="H1" s="185">
        <f>[1]Inputs!L16</f>
        <v>1.0337725727999998</v>
      </c>
      <c r="K1" s="186">
        <f>D1</f>
        <v>1</v>
      </c>
      <c r="L1" s="186">
        <f t="shared" ref="L1:O5" si="0">E1</f>
        <v>1</v>
      </c>
      <c r="M1" s="186">
        <f t="shared" si="0"/>
        <v>1.0109999999999999</v>
      </c>
      <c r="N1" s="186">
        <f t="shared" si="0"/>
        <v>1.0231319999999999</v>
      </c>
      <c r="O1" s="186">
        <f t="shared" si="0"/>
        <v>1.0337725727999998</v>
      </c>
    </row>
    <row r="2" spans="2:15" x14ac:dyDescent="0.25">
      <c r="B2" t="s">
        <v>156</v>
      </c>
      <c r="D2" s="185">
        <f>[1]Inputs!H61</f>
        <v>0.04</v>
      </c>
      <c r="E2" s="185">
        <f>[1]Inputs!I61</f>
        <v>0.04</v>
      </c>
      <c r="F2" s="185">
        <f>[1]Inputs!J61</f>
        <v>0.04</v>
      </c>
      <c r="G2" s="185">
        <f>[1]Inputs!K61</f>
        <v>0.04</v>
      </c>
      <c r="H2" s="185">
        <f>[1]Inputs!L61</f>
        <v>0.04</v>
      </c>
      <c r="K2" s="186"/>
      <c r="L2" s="186"/>
      <c r="M2" s="186"/>
      <c r="N2" s="186"/>
      <c r="O2" s="186"/>
    </row>
    <row r="3" spans="2:15" x14ac:dyDescent="0.25">
      <c r="B3" t="s">
        <v>157</v>
      </c>
      <c r="D3" s="186">
        <f>[1]Inputs!$M$43</f>
        <v>0.46592661151676018</v>
      </c>
      <c r="E3" s="186">
        <f>[1]Inputs!$M$43</f>
        <v>0.46592661151676018</v>
      </c>
      <c r="F3" s="186">
        <f>[1]Inputs!$M$43</f>
        <v>0.46592661151676018</v>
      </c>
      <c r="G3" s="186">
        <f>[1]Inputs!$M$43</f>
        <v>0.46592661151676018</v>
      </c>
      <c r="H3" s="186">
        <f>[1]Inputs!$M$43</f>
        <v>0.46592661151676018</v>
      </c>
      <c r="K3" s="186">
        <f t="shared" ref="K3:K5" si="1">D3</f>
        <v>0.46592661151676018</v>
      </c>
      <c r="L3" s="186">
        <f t="shared" si="0"/>
        <v>0.46592661151676018</v>
      </c>
      <c r="M3" s="186">
        <f t="shared" si="0"/>
        <v>0.46592661151676018</v>
      </c>
      <c r="N3" s="186">
        <f t="shared" si="0"/>
        <v>0.46592661151676018</v>
      </c>
      <c r="O3" s="186">
        <f t="shared" si="0"/>
        <v>0.46592661151676018</v>
      </c>
    </row>
    <row r="4" spans="2:15" x14ac:dyDescent="0.25">
      <c r="B4" t="s">
        <v>158</v>
      </c>
      <c r="D4" s="186">
        <f>[1]Inputs!$M$48</f>
        <v>0.16037758511933414</v>
      </c>
      <c r="E4" s="186">
        <f>[1]Inputs!$M$48</f>
        <v>0.16037758511933414</v>
      </c>
      <c r="F4" s="186">
        <f>[1]Inputs!$M$48</f>
        <v>0.16037758511933414</v>
      </c>
      <c r="G4" s="186">
        <f>[1]Inputs!$M$48</f>
        <v>0.16037758511933414</v>
      </c>
      <c r="H4" s="186">
        <f>[1]Inputs!$M$48</f>
        <v>0.16037758511933414</v>
      </c>
      <c r="K4" s="186">
        <f t="shared" si="1"/>
        <v>0.16037758511933414</v>
      </c>
      <c r="L4" s="186">
        <f t="shared" si="0"/>
        <v>0.16037758511933414</v>
      </c>
      <c r="M4" s="186">
        <f t="shared" si="0"/>
        <v>0.16037758511933414</v>
      </c>
      <c r="N4" s="186">
        <f t="shared" si="0"/>
        <v>0.16037758511933414</v>
      </c>
      <c r="O4" s="186">
        <f t="shared" si="0"/>
        <v>0.16037758511933414</v>
      </c>
    </row>
    <row r="5" spans="2:15" x14ac:dyDescent="0.25">
      <c r="B5" t="s">
        <v>159</v>
      </c>
      <c r="D5" s="186">
        <f>[1]Inputs!$H$13</f>
        <v>6.3420000000000004E-2</v>
      </c>
      <c r="E5" s="186">
        <f>[1]Inputs!$H$13</f>
        <v>6.3420000000000004E-2</v>
      </c>
      <c r="F5" s="186">
        <f>[1]Inputs!$H$13</f>
        <v>6.3420000000000004E-2</v>
      </c>
      <c r="G5" s="186">
        <f>[1]Inputs!$H$13</f>
        <v>6.3420000000000004E-2</v>
      </c>
      <c r="H5" s="186">
        <f>[1]Inputs!$H$13</f>
        <v>6.3420000000000004E-2</v>
      </c>
      <c r="K5" s="186">
        <f t="shared" si="1"/>
        <v>6.3420000000000004E-2</v>
      </c>
      <c r="L5" s="186">
        <f t="shared" si="0"/>
        <v>6.3420000000000004E-2</v>
      </c>
      <c r="M5" s="186">
        <f t="shared" si="0"/>
        <v>6.3420000000000004E-2</v>
      </c>
      <c r="N5" s="186">
        <f t="shared" si="0"/>
        <v>6.3420000000000004E-2</v>
      </c>
      <c r="O5" s="186">
        <f t="shared" si="0"/>
        <v>6.3420000000000004E-2</v>
      </c>
    </row>
    <row r="6" spans="2:15" s="187" customFormat="1" ht="15.75" x14ac:dyDescent="0.25">
      <c r="D6" s="264" t="s">
        <v>160</v>
      </c>
      <c r="E6" s="264"/>
      <c r="F6" s="264"/>
      <c r="G6" s="264"/>
      <c r="H6" s="264"/>
      <c r="J6" s="265" t="s">
        <v>161</v>
      </c>
      <c r="K6" s="265"/>
      <c r="L6" s="265"/>
      <c r="M6" s="265"/>
      <c r="N6" s="265"/>
      <c r="O6" s="265"/>
    </row>
    <row r="7" spans="2:15" x14ac:dyDescent="0.25">
      <c r="B7" s="188" t="s">
        <v>174</v>
      </c>
      <c r="C7" s="189"/>
      <c r="D7" s="189" t="s">
        <v>162</v>
      </c>
      <c r="E7" s="189" t="s">
        <v>163</v>
      </c>
      <c r="F7" s="189" t="s">
        <v>164</v>
      </c>
      <c r="G7" s="189" t="s">
        <v>165</v>
      </c>
      <c r="H7" s="189" t="s">
        <v>166</v>
      </c>
      <c r="J7" s="189"/>
      <c r="K7" s="189" t="s">
        <v>162</v>
      </c>
      <c r="L7" s="189" t="s">
        <v>163</v>
      </c>
      <c r="M7" s="189" t="s">
        <v>164</v>
      </c>
      <c r="N7" s="189" t="s">
        <v>165</v>
      </c>
      <c r="O7" s="189" t="s">
        <v>166</v>
      </c>
    </row>
    <row r="8" spans="2:15" x14ac:dyDescent="0.25">
      <c r="B8" s="190" t="s">
        <v>136</v>
      </c>
      <c r="C8" s="191"/>
      <c r="D8" s="192">
        <f t="shared" ref="D8:D14" si="2">(D19*D$27)+(D31*D$39)+(D43*D$51)+(D55*D$63)</f>
        <v>50578.927685542047</v>
      </c>
      <c r="E8" s="192">
        <f t="shared" ref="E8:H8" si="3">(E19*E$27)+(E31*E$39)+(E43*E$51)+(E55*E$63)</f>
        <v>50578.927685542047</v>
      </c>
      <c r="F8" s="192">
        <f t="shared" si="3"/>
        <v>51135.295890083005</v>
      </c>
      <c r="G8" s="192">
        <f t="shared" si="3"/>
        <v>52318.157554612408</v>
      </c>
      <c r="H8" s="192">
        <f t="shared" si="3"/>
        <v>54085.076339387408</v>
      </c>
      <c r="J8" s="191"/>
      <c r="K8" s="192">
        <f t="shared" ref="K8:K14" si="4">(K19*K$27)+(K31*K$39)+(K43*K$51)+(K55*K$63)</f>
        <v>14939.284156609569</v>
      </c>
      <c r="L8" s="192">
        <f t="shared" ref="L8:O8" si="5">(L19*L$27)+(L31*L$39)+(L43*L$51)+(L55*L$63)</f>
        <v>14939.284156609569</v>
      </c>
      <c r="M8" s="192">
        <f t="shared" si="5"/>
        <v>15103.61628233227</v>
      </c>
      <c r="N8" s="192">
        <f t="shared" si="5"/>
        <v>15452.993134175182</v>
      </c>
      <c r="O8" s="192">
        <f t="shared" si="5"/>
        <v>15974.880469777008</v>
      </c>
    </row>
    <row r="9" spans="2:15" x14ac:dyDescent="0.25">
      <c r="B9" s="190" t="s">
        <v>137</v>
      </c>
      <c r="C9" s="191"/>
      <c r="D9" s="192">
        <f t="shared" si="2"/>
        <v>10472.990560039807</v>
      </c>
      <c r="E9" s="192">
        <f t="shared" ref="E9:H9" si="6">(E20*E$27)+(E32*E$39)+(E44*E$51)+(E56*E$63)</f>
        <v>10472.990560039807</v>
      </c>
      <c r="F9" s="192">
        <f t="shared" si="6"/>
        <v>10472.990560039807</v>
      </c>
      <c r="G9" s="192">
        <f t="shared" si="6"/>
        <v>10472.990560039807</v>
      </c>
      <c r="H9" s="192">
        <f t="shared" si="6"/>
        <v>10472.990560039807</v>
      </c>
      <c r="J9" s="191"/>
      <c r="K9" s="192">
        <f t="shared" si="4"/>
        <v>1810.4510294557747</v>
      </c>
      <c r="L9" s="192">
        <f t="shared" ref="L9:O9" si="7">(L20*L$27)+(L32*L$39)+(L44*L$51)+(L56*L$63)</f>
        <v>1810.4510294557747</v>
      </c>
      <c r="M9" s="192">
        <f t="shared" si="7"/>
        <v>1810.4510294557747</v>
      </c>
      <c r="N9" s="192">
        <f t="shared" si="7"/>
        <v>1810.4510294557747</v>
      </c>
      <c r="O9" s="192">
        <f t="shared" si="7"/>
        <v>1810.4510294557747</v>
      </c>
    </row>
    <row r="10" spans="2:15" x14ac:dyDescent="0.25">
      <c r="B10" s="190" t="s">
        <v>138</v>
      </c>
      <c r="C10" s="191"/>
      <c r="D10" s="192">
        <f t="shared" si="2"/>
        <v>0</v>
      </c>
      <c r="E10" s="192">
        <f t="shared" ref="E10:H10" si="8">(E21*E$27)+(E33*E$39)+(E45*E$51)+(E57*E$63)</f>
        <v>0</v>
      </c>
      <c r="F10" s="192">
        <f t="shared" si="8"/>
        <v>0</v>
      </c>
      <c r="G10" s="192">
        <f t="shared" si="8"/>
        <v>0</v>
      </c>
      <c r="H10" s="192">
        <f t="shared" si="8"/>
        <v>0</v>
      </c>
      <c r="J10" s="191"/>
      <c r="K10" s="192">
        <f t="shared" si="4"/>
        <v>0</v>
      </c>
      <c r="L10" s="192">
        <f t="shared" ref="L10:O10" si="9">(L21*L$27)+(L33*L$39)+(L45*L$51)+(L57*L$63)</f>
        <v>0</v>
      </c>
      <c r="M10" s="192">
        <f t="shared" si="9"/>
        <v>0</v>
      </c>
      <c r="N10" s="192">
        <f t="shared" si="9"/>
        <v>0</v>
      </c>
      <c r="O10" s="192">
        <f t="shared" si="9"/>
        <v>0</v>
      </c>
    </row>
    <row r="11" spans="2:15" x14ac:dyDescent="0.25">
      <c r="B11" s="193" t="s">
        <v>167</v>
      </c>
      <c r="C11" s="193"/>
      <c r="D11" s="194">
        <f t="shared" si="2"/>
        <v>61051.918245581852</v>
      </c>
      <c r="E11" s="194">
        <f t="shared" ref="E11:H11" si="10">(E22*E$27)+(E34*E$39)+(E46*E$51)+(E58*E$63)</f>
        <v>61051.918245581852</v>
      </c>
      <c r="F11" s="194">
        <f t="shared" si="10"/>
        <v>61608.286450122818</v>
      </c>
      <c r="G11" s="194">
        <f t="shared" si="10"/>
        <v>62791.148114652213</v>
      </c>
      <c r="H11" s="194">
        <f t="shared" si="10"/>
        <v>64558.066899427227</v>
      </c>
      <c r="J11" s="193"/>
      <c r="K11" s="194">
        <f t="shared" si="4"/>
        <v>16749.73518606534</v>
      </c>
      <c r="L11" s="194">
        <f t="shared" ref="L11:O11" si="11">(L22*L$27)+(L34*L$39)+(L46*L$51)+(L58*L$63)</f>
        <v>16749.73518606534</v>
      </c>
      <c r="M11" s="194">
        <f t="shared" si="11"/>
        <v>16914.067311788043</v>
      </c>
      <c r="N11" s="194">
        <f t="shared" si="11"/>
        <v>17263.444163630953</v>
      </c>
      <c r="O11" s="194">
        <f t="shared" si="11"/>
        <v>17785.331499232783</v>
      </c>
    </row>
    <row r="12" spans="2:15" x14ac:dyDescent="0.25">
      <c r="B12" s="191" t="s">
        <v>142</v>
      </c>
      <c r="C12" s="191"/>
      <c r="D12" s="192">
        <f t="shared" si="2"/>
        <v>28445.713394762221</v>
      </c>
      <c r="E12" s="192">
        <f t="shared" ref="E12:H12" si="12">(E23*E$27)+(E35*E$39)+(E47*E$51)+(E59*E$63)</f>
        <v>28445.713394762221</v>
      </c>
      <c r="F12" s="192">
        <f t="shared" si="12"/>
        <v>28704.940147059649</v>
      </c>
      <c r="G12" s="192">
        <f t="shared" si="12"/>
        <v>29256.066874306911</v>
      </c>
      <c r="H12" s="192">
        <f t="shared" si="12"/>
        <v>30079.321356522436</v>
      </c>
      <c r="J12" s="191"/>
      <c r="K12" s="192">
        <f t="shared" si="4"/>
        <v>7804.1473590464757</v>
      </c>
      <c r="L12" s="192">
        <f t="shared" ref="L12:O12" si="13">(L23*L$27)+(L35*L$39)+(L47*L$51)+(L59*L$63)</f>
        <v>7804.1473590464757</v>
      </c>
      <c r="M12" s="192">
        <f t="shared" si="13"/>
        <v>7880.7140695478001</v>
      </c>
      <c r="N12" s="192">
        <f t="shared" si="13"/>
        <v>8043.4980422693616</v>
      </c>
      <c r="O12" s="192">
        <f t="shared" si="13"/>
        <v>8286.6592401398302</v>
      </c>
    </row>
    <row r="13" spans="2:15" x14ac:dyDescent="0.25">
      <c r="B13" s="191" t="s">
        <v>143</v>
      </c>
      <c r="C13" s="191"/>
      <c r="D13" s="192">
        <f t="shared" si="2"/>
        <v>9791.3592151294342</v>
      </c>
      <c r="E13" s="192">
        <f t="shared" ref="E13:H13" si="14">(E24*E$27)+(E36*E$39)+(E48*E$51)+(E60*E$63)</f>
        <v>9791.3592151294342</v>
      </c>
      <c r="F13" s="192">
        <f t="shared" si="14"/>
        <v>9880.5882042108933</v>
      </c>
      <c r="G13" s="192">
        <f t="shared" si="14"/>
        <v>10070.292701498352</v>
      </c>
      <c r="H13" s="192">
        <f t="shared" si="14"/>
        <v>10353.666869302557</v>
      </c>
      <c r="J13" s="191"/>
      <c r="K13" s="192">
        <f t="shared" si="4"/>
        <v>2686.2820805295005</v>
      </c>
      <c r="L13" s="192">
        <f t="shared" ref="L13:O13" si="15">(L24*L$27)+(L36*L$39)+(L48*L$51)+(L60*L$63)</f>
        <v>2686.2820805295005</v>
      </c>
      <c r="M13" s="192">
        <f t="shared" si="15"/>
        <v>2712.6372700104343</v>
      </c>
      <c r="N13" s="192">
        <f t="shared" si="15"/>
        <v>2768.6694858055957</v>
      </c>
      <c r="O13" s="192">
        <f t="shared" si="15"/>
        <v>2852.3685163937803</v>
      </c>
    </row>
    <row r="14" spans="2:15" x14ac:dyDescent="0.25">
      <c r="B14" s="191" t="s">
        <v>153</v>
      </c>
      <c r="C14" s="191"/>
      <c r="D14" s="192">
        <f t="shared" si="2"/>
        <v>6296.9078000541303</v>
      </c>
      <c r="E14" s="192">
        <f t="shared" ref="E14:H14" si="16">(E25*E$27)+(E37*E$39)+(E49*E$51)+(E61*E$63)</f>
        <v>6296.9078000541303</v>
      </c>
      <c r="F14" s="192">
        <f t="shared" si="16"/>
        <v>6354.2917347043676</v>
      </c>
      <c r="G14" s="192">
        <f t="shared" si="16"/>
        <v>6476.2923377288134</v>
      </c>
      <c r="H14" s="192">
        <f t="shared" si="16"/>
        <v>6658.5327160434954</v>
      </c>
      <c r="J14" s="191"/>
      <c r="K14" s="192">
        <f t="shared" si="4"/>
        <v>1727.5712405581721</v>
      </c>
      <c r="L14" s="192">
        <f t="shared" ref="L14:O14" si="17">(L25*L$27)+(L37*L$39)+(L49*L$51)+(L61*L$63)</f>
        <v>1727.5712405581721</v>
      </c>
      <c r="M14" s="192">
        <f t="shared" si="17"/>
        <v>1744.5204908683809</v>
      </c>
      <c r="N14" s="192">
        <f t="shared" si="17"/>
        <v>1780.5552934879888</v>
      </c>
      <c r="O14" s="192">
        <f t="shared" si="17"/>
        <v>1834.3828640007046</v>
      </c>
    </row>
    <row r="15" spans="2:15" s="196" customFormat="1" x14ac:dyDescent="0.25">
      <c r="B15" s="195" t="s">
        <v>168</v>
      </c>
      <c r="C15" s="191"/>
      <c r="D15" s="194">
        <f>SUM(D11:D14)</f>
        <v>105585.89865552764</v>
      </c>
      <c r="E15" s="194">
        <f t="shared" ref="E15:H15" si="18">SUM(E11:E14)</f>
        <v>105585.89865552764</v>
      </c>
      <c r="F15" s="194">
        <f t="shared" si="18"/>
        <v>106548.10653609774</v>
      </c>
      <c r="G15" s="194">
        <f t="shared" si="18"/>
        <v>108593.80002818629</v>
      </c>
      <c r="H15" s="194">
        <f t="shared" si="18"/>
        <v>111649.58784129571</v>
      </c>
      <c r="J15" s="191"/>
      <c r="K15" s="194">
        <f>SUM(K11:K14)</f>
        <v>28967.735866199491</v>
      </c>
      <c r="L15" s="194">
        <f t="shared" ref="L15" si="19">SUM(L11:L14)</f>
        <v>28967.735866199491</v>
      </c>
      <c r="M15" s="194">
        <f t="shared" ref="M15" si="20">SUM(M11:M14)</f>
        <v>29251.939142214658</v>
      </c>
      <c r="N15" s="194">
        <f t="shared" ref="N15" si="21">SUM(N11:N14)</f>
        <v>29856.1669851939</v>
      </c>
      <c r="O15" s="194">
        <f t="shared" ref="O15" si="22">SUM(O11:O14)</f>
        <v>30758.742119767099</v>
      </c>
    </row>
    <row r="16" spans="2:15" s="181" customFormat="1" x14ac:dyDescent="0.25">
      <c r="B16" s="197" t="s">
        <v>169</v>
      </c>
      <c r="C16" s="193"/>
      <c r="D16" s="194">
        <f>D28+D40+D52+D64-D15</f>
        <v>0</v>
      </c>
      <c r="E16" s="194">
        <f t="shared" ref="E16:H16" si="23">E28+E40+E52+E64-E15</f>
        <v>0</v>
      </c>
      <c r="F16" s="194">
        <f t="shared" si="23"/>
        <v>0</v>
      </c>
      <c r="G16" s="194">
        <f t="shared" si="23"/>
        <v>0</v>
      </c>
      <c r="H16" s="194">
        <f t="shared" si="23"/>
        <v>0</v>
      </c>
      <c r="J16" s="193"/>
      <c r="K16" s="194">
        <f>K28+K40+K52+K64-K15</f>
        <v>0</v>
      </c>
      <c r="L16" s="194">
        <f t="shared" ref="L16" si="24">L28+L40+L52+L64-L15</f>
        <v>0</v>
      </c>
      <c r="M16" s="194">
        <f t="shared" ref="M16" si="25">M28+M40+M52+M64-M15</f>
        <v>0</v>
      </c>
      <c r="N16" s="194">
        <f t="shared" ref="N16" si="26">N28+N40+N52+N64-N15</f>
        <v>0</v>
      </c>
      <c r="O16" s="194">
        <f t="shared" ref="O16" si="27">O28+O40+O52+O64-O15</f>
        <v>0</v>
      </c>
    </row>
    <row r="17" spans="2:15" s="181" customFormat="1" x14ac:dyDescent="0.25">
      <c r="C17" s="198"/>
    </row>
    <row r="18" spans="2:15" x14ac:dyDescent="0.25">
      <c r="B18" s="199" t="s">
        <v>66</v>
      </c>
      <c r="C18" s="182"/>
      <c r="D18" s="262" t="s">
        <v>170</v>
      </c>
      <c r="E18" s="263"/>
      <c r="F18" s="263"/>
      <c r="G18" s="263"/>
      <c r="H18" s="263"/>
      <c r="J18" s="182"/>
      <c r="K18" s="262" t="s">
        <v>170</v>
      </c>
      <c r="L18" s="263"/>
      <c r="M18" s="263"/>
      <c r="N18" s="263"/>
      <c r="O18" s="263"/>
    </row>
    <row r="19" spans="2:15" x14ac:dyDescent="0.25">
      <c r="B19" s="200" t="s">
        <v>136</v>
      </c>
      <c r="C19" s="201">
        <f>'Proposed price'!H15</f>
        <v>39.919173234832506</v>
      </c>
      <c r="D19" s="202">
        <f>C19*D$1</f>
        <v>39.919173234832506</v>
      </c>
      <c r="E19" s="202">
        <f>D19*E1</f>
        <v>39.919173234832506</v>
      </c>
      <c r="F19" s="202">
        <f>E19*F1</f>
        <v>40.358284140415662</v>
      </c>
      <c r="G19" s="202">
        <f>F19*G1</f>
        <v>41.291851969151757</v>
      </c>
      <c r="H19" s="202">
        <f>G19*H1</f>
        <v>42.686384045826749</v>
      </c>
      <c r="J19" s="201">
        <f>'Proposed price'!H35</f>
        <v>72.470512791586373</v>
      </c>
      <c r="K19" s="202">
        <f>J19*K$1</f>
        <v>72.470512791586373</v>
      </c>
      <c r="L19" s="202">
        <f>K19*L1</f>
        <v>72.470512791586373</v>
      </c>
      <c r="M19" s="202">
        <f>L19*M1</f>
        <v>73.267688432293809</v>
      </c>
      <c r="N19" s="202">
        <f>M19*N1</f>
        <v>74.962516601109627</v>
      </c>
      <c r="O19" s="202">
        <f>N19*O1</f>
        <v>77.494193650291791</v>
      </c>
    </row>
    <row r="20" spans="2:15" x14ac:dyDescent="0.25">
      <c r="B20" s="200" t="s">
        <v>137</v>
      </c>
      <c r="C20" s="201">
        <f>'Proposed price'!I15</f>
        <v>9.8662181441731587</v>
      </c>
      <c r="D20" s="202">
        <f>C20</f>
        <v>9.8662181441731587</v>
      </c>
      <c r="E20" s="202">
        <f t="shared" ref="E20:H21" si="28">D20</f>
        <v>9.8662181441731587</v>
      </c>
      <c r="F20" s="202">
        <f t="shared" si="28"/>
        <v>9.8662181441731587</v>
      </c>
      <c r="G20" s="202">
        <f t="shared" si="28"/>
        <v>9.8662181441731587</v>
      </c>
      <c r="H20" s="202">
        <f t="shared" si="28"/>
        <v>9.8662181441731587</v>
      </c>
      <c r="J20" s="201">
        <f>'Proposed price'!I35</f>
        <v>9.8662181441731587</v>
      </c>
      <c r="K20" s="202">
        <f>J20</f>
        <v>9.8662181441731587</v>
      </c>
      <c r="L20" s="202">
        <f t="shared" ref="L20:O21" si="29">K20</f>
        <v>9.8662181441731587</v>
      </c>
      <c r="M20" s="202">
        <f t="shared" si="29"/>
        <v>9.8662181441731587</v>
      </c>
      <c r="N20" s="202">
        <f t="shared" si="29"/>
        <v>9.8662181441731587</v>
      </c>
      <c r="O20" s="202">
        <f t="shared" si="29"/>
        <v>9.8662181441731587</v>
      </c>
    </row>
    <row r="21" spans="2:15" x14ac:dyDescent="0.25">
      <c r="B21" s="200" t="s">
        <v>138</v>
      </c>
      <c r="C21" s="201">
        <f>'Proposed price'!J15</f>
        <v>0</v>
      </c>
      <c r="D21" s="202">
        <f>C21</f>
        <v>0</v>
      </c>
      <c r="E21" s="202">
        <f t="shared" si="28"/>
        <v>0</v>
      </c>
      <c r="F21" s="202">
        <f t="shared" si="28"/>
        <v>0</v>
      </c>
      <c r="G21" s="202">
        <f t="shared" si="28"/>
        <v>0</v>
      </c>
      <c r="H21" s="202">
        <f t="shared" si="28"/>
        <v>0</v>
      </c>
      <c r="J21" s="201">
        <f>'Proposed price'!J35</f>
        <v>0</v>
      </c>
      <c r="K21" s="202">
        <f>J21</f>
        <v>0</v>
      </c>
      <c r="L21" s="202">
        <f t="shared" si="29"/>
        <v>0</v>
      </c>
      <c r="M21" s="202">
        <f t="shared" si="29"/>
        <v>0</v>
      </c>
      <c r="N21" s="202">
        <f t="shared" si="29"/>
        <v>0</v>
      </c>
      <c r="O21" s="202">
        <f t="shared" si="29"/>
        <v>0</v>
      </c>
    </row>
    <row r="22" spans="2:15" s="181" customFormat="1" x14ac:dyDescent="0.25">
      <c r="B22" s="203" t="s">
        <v>167</v>
      </c>
      <c r="C22" s="273">
        <f>'Proposed price'!M15</f>
        <v>49.785391379005674</v>
      </c>
      <c r="D22" s="193">
        <f>SUM(D19:D21)</f>
        <v>49.785391379005667</v>
      </c>
      <c r="E22" s="193">
        <f t="shared" ref="E22:H22" si="30">SUM(E19:E21)</f>
        <v>49.785391379005667</v>
      </c>
      <c r="F22" s="193">
        <f t="shared" si="30"/>
        <v>50.224502284588823</v>
      </c>
      <c r="G22" s="193">
        <f t="shared" si="30"/>
        <v>51.158070113324918</v>
      </c>
      <c r="H22" s="193">
        <f t="shared" si="30"/>
        <v>52.552602189999909</v>
      </c>
      <c r="J22" s="273">
        <f>'Proposed price'!M35</f>
        <v>82.336730935759519</v>
      </c>
      <c r="K22" s="193">
        <f>SUM(K19:K21)</f>
        <v>82.336730935759533</v>
      </c>
      <c r="L22" s="193">
        <f t="shared" ref="L22:O22" si="31">SUM(L19:L21)</f>
        <v>82.336730935759533</v>
      </c>
      <c r="M22" s="193">
        <f t="shared" si="31"/>
        <v>83.13390657646697</v>
      </c>
      <c r="N22" s="193">
        <f t="shared" si="31"/>
        <v>84.828734745282787</v>
      </c>
      <c r="O22" s="193">
        <f t="shared" si="31"/>
        <v>87.360411794464952</v>
      </c>
    </row>
    <row r="23" spans="2:15" x14ac:dyDescent="0.25">
      <c r="B23" s="200" t="s">
        <v>142</v>
      </c>
      <c r="C23" s="201">
        <f>'Proposed price'!N15</f>
        <v>23.196338708255837</v>
      </c>
      <c r="D23" s="202">
        <f>D22*D$3</f>
        <v>23.196338708255833</v>
      </c>
      <c r="E23" s="202">
        <f t="shared" ref="E23:H23" si="32">E22*E$3</f>
        <v>23.196338708255833</v>
      </c>
      <c r="F23" s="202">
        <f t="shared" si="32"/>
        <v>23.40093216457425</v>
      </c>
      <c r="G23" s="202">
        <f t="shared" si="32"/>
        <v>23.835906259638318</v>
      </c>
      <c r="H23" s="202">
        <f t="shared" si="32"/>
        <v>24.485655864774927</v>
      </c>
      <c r="J23" s="201">
        <f>'Proposed price'!N35</f>
        <v>38.362874048265631</v>
      </c>
      <c r="K23" s="202">
        <f>K22*K$3</f>
        <v>38.362874048265645</v>
      </c>
      <c r="L23" s="202">
        <f t="shared" ref="L23:O23" si="33">L22*L$3</f>
        <v>38.362874048265645</v>
      </c>
      <c r="M23" s="202">
        <f t="shared" si="33"/>
        <v>38.734299393324157</v>
      </c>
      <c r="N23" s="202">
        <f t="shared" si="33"/>
        <v>39.523964939123672</v>
      </c>
      <c r="O23" s="202">
        <f t="shared" si="33"/>
        <v>40.703540648103868</v>
      </c>
    </row>
    <row r="24" spans="2:15" x14ac:dyDescent="0.25">
      <c r="B24" s="200" t="s">
        <v>143</v>
      </c>
      <c r="C24" s="201">
        <f>'Proposed price'!O15</f>
        <v>7.9844608435858468</v>
      </c>
      <c r="D24" s="202">
        <f>D22*D$4</f>
        <v>7.984460843585846</v>
      </c>
      <c r="E24" s="202">
        <f t="shared" ref="E24:H24" si="34">E22*E$4</f>
        <v>7.984460843585846</v>
      </c>
      <c r="F24" s="202">
        <f t="shared" si="34"/>
        <v>8.0548843902228366</v>
      </c>
      <c r="G24" s="202">
        <f t="shared" si="34"/>
        <v>8.2046077441406311</v>
      </c>
      <c r="H24" s="202">
        <f t="shared" si="34"/>
        <v>8.4282594309692165</v>
      </c>
      <c r="J24" s="201">
        <f>'Proposed price'!O35</f>
        <v>13.204966074097484</v>
      </c>
      <c r="K24" s="202">
        <f>K22*K$4</f>
        <v>13.204966074097488</v>
      </c>
      <c r="L24" s="202">
        <f t="shared" ref="L24:O24" si="35">L22*L$4</f>
        <v>13.204966074097488</v>
      </c>
      <c r="M24" s="202">
        <f t="shared" si="35"/>
        <v>13.332815178270105</v>
      </c>
      <c r="N24" s="202">
        <f t="shared" si="35"/>
        <v>13.604627627177008</v>
      </c>
      <c r="O24" s="202">
        <f t="shared" si="35"/>
        <v>14.010651878626884</v>
      </c>
    </row>
    <row r="25" spans="2:15" x14ac:dyDescent="0.25">
      <c r="B25" s="200" t="s">
        <v>144</v>
      </c>
      <c r="C25" s="201">
        <f>'Proposed price'!P15</f>
        <v>5.134875828834339</v>
      </c>
      <c r="D25" s="202">
        <f>SUM(D22:D24)*D$5</f>
        <v>5.134875828834339</v>
      </c>
      <c r="E25" s="202">
        <f t="shared" ref="E25:H25" si="36">SUM(E22:E24)*E$5</f>
        <v>5.134875828834339</v>
      </c>
      <c r="F25" s="202">
        <f t="shared" si="36"/>
        <v>5.1801658207938548</v>
      </c>
      <c r="G25" s="202">
        <f t="shared" si="36"/>
        <v>5.2764542047067273</v>
      </c>
      <c r="H25" s="202">
        <f t="shared" si="36"/>
        <v>5.4202865389458887</v>
      </c>
      <c r="J25" s="201">
        <f>'Proposed price'!P35</f>
        <v>8.4922278965061384</v>
      </c>
      <c r="K25" s="202">
        <f>SUM(K22:K24)*K$5</f>
        <v>8.4922278965061402</v>
      </c>
      <c r="L25" s="202">
        <f t="shared" ref="L25:O25" si="37">SUM(L22:L24)*L$5</f>
        <v>8.4922278965061402</v>
      </c>
      <c r="M25" s="202">
        <f t="shared" si="37"/>
        <v>8.5744487612100428</v>
      </c>
      <c r="N25" s="202">
        <f t="shared" si="37"/>
        <v>8.7492536981006239</v>
      </c>
      <c r="O25" s="202">
        <f t="shared" si="37"/>
        <v>9.0103714060502309</v>
      </c>
    </row>
    <row r="26" spans="2:15" s="181" customFormat="1" x14ac:dyDescent="0.25">
      <c r="B26" s="204" t="s">
        <v>171</v>
      </c>
      <c r="C26" s="201">
        <f>'Proposed price'!Q15</f>
        <v>86.101066759681686</v>
      </c>
      <c r="D26" s="206">
        <f>SUM(D22:D25)</f>
        <v>86.101066759681686</v>
      </c>
      <c r="E26" s="206">
        <f t="shared" ref="E26:H26" si="38">SUM(E22:E25)</f>
        <v>86.101066759681686</v>
      </c>
      <c r="F26" s="206">
        <f t="shared" si="38"/>
        <v>86.860484660179765</v>
      </c>
      <c r="G26" s="206">
        <f t="shared" si="38"/>
        <v>88.475038321810587</v>
      </c>
      <c r="H26" s="206">
        <f t="shared" si="38"/>
        <v>90.886804024689951</v>
      </c>
      <c r="J26" s="205">
        <f>'Proposed price'!Q35</f>
        <v>142.39679895462876</v>
      </c>
      <c r="K26" s="206">
        <f>SUM(K22:K25)</f>
        <v>142.39679895462879</v>
      </c>
      <c r="L26" s="206">
        <f t="shared" ref="L26:O26" si="39">SUM(L22:L25)</f>
        <v>142.39679895462879</v>
      </c>
      <c r="M26" s="206">
        <f t="shared" si="39"/>
        <v>143.77546990927127</v>
      </c>
      <c r="N26" s="206">
        <f t="shared" si="39"/>
        <v>146.7065810096841</v>
      </c>
      <c r="O26" s="206">
        <f t="shared" si="39"/>
        <v>151.08497572724593</v>
      </c>
    </row>
    <row r="27" spans="2:15" x14ac:dyDescent="0.25">
      <c r="B27" s="207" t="s">
        <v>172</v>
      </c>
      <c r="C27" s="202"/>
      <c r="D27" s="208">
        <v>100</v>
      </c>
      <c r="E27" s="208">
        <v>100</v>
      </c>
      <c r="F27" s="208">
        <v>100</v>
      </c>
      <c r="G27" s="208">
        <v>100</v>
      </c>
      <c r="H27" s="208">
        <v>100</v>
      </c>
      <c r="J27" s="202"/>
      <c r="K27" s="208">
        <v>20</v>
      </c>
      <c r="L27" s="208">
        <v>20</v>
      </c>
      <c r="M27" s="208">
        <v>20</v>
      </c>
      <c r="N27" s="208">
        <v>20</v>
      </c>
      <c r="O27" s="208">
        <v>20</v>
      </c>
    </row>
    <row r="28" spans="2:15" s="181" customFormat="1" x14ac:dyDescent="0.25">
      <c r="B28" s="195" t="s">
        <v>173</v>
      </c>
      <c r="C28" s="193"/>
      <c r="D28" s="194">
        <f>D26*D27</f>
        <v>8610.1066759681689</v>
      </c>
      <c r="E28" s="194">
        <f t="shared" ref="E28:H28" si="40">E26*E27</f>
        <v>8610.1066759681689</v>
      </c>
      <c r="F28" s="194">
        <f t="shared" si="40"/>
        <v>8686.0484660179773</v>
      </c>
      <c r="G28" s="194">
        <f t="shared" si="40"/>
        <v>8847.5038321810589</v>
      </c>
      <c r="H28" s="194">
        <f t="shared" si="40"/>
        <v>9088.6804024689955</v>
      </c>
      <c r="J28" s="193"/>
      <c r="K28" s="194">
        <f>K27*K26</f>
        <v>2847.935979092576</v>
      </c>
      <c r="L28" s="194">
        <f t="shared" ref="L28:O28" si="41">L27*L26</f>
        <v>2847.935979092576</v>
      </c>
      <c r="M28" s="194">
        <f t="shared" si="41"/>
        <v>2875.5093981854252</v>
      </c>
      <c r="N28" s="194">
        <f t="shared" si="41"/>
        <v>2934.131620193682</v>
      </c>
      <c r="O28" s="194">
        <f t="shared" si="41"/>
        <v>3021.6995145449187</v>
      </c>
    </row>
    <row r="30" spans="2:15" x14ac:dyDescent="0.25">
      <c r="B30" s="199" t="s">
        <v>104</v>
      </c>
      <c r="C30" s="182"/>
      <c r="D30" s="262" t="s">
        <v>170</v>
      </c>
      <c r="E30" s="263"/>
      <c r="F30" s="263"/>
      <c r="G30" s="263"/>
      <c r="H30" s="263"/>
      <c r="J30" s="182"/>
      <c r="K30" s="262" t="s">
        <v>170</v>
      </c>
      <c r="L30" s="263"/>
      <c r="M30" s="263"/>
      <c r="N30" s="263"/>
      <c r="O30" s="263"/>
    </row>
    <row r="31" spans="2:15" x14ac:dyDescent="0.25">
      <c r="B31" s="200" t="s">
        <v>136</v>
      </c>
      <c r="C31" s="201">
        <f>'Proposed price'!Y18</f>
        <v>1046.7341300976789</v>
      </c>
      <c r="D31" s="202">
        <f>C31*D$1</f>
        <v>1046.7341300976789</v>
      </c>
      <c r="E31" s="202">
        <f t="shared" ref="E31:H31" si="42">D31*E$1</f>
        <v>1046.7341300976789</v>
      </c>
      <c r="F31" s="202">
        <f t="shared" si="42"/>
        <v>1058.2482055287533</v>
      </c>
      <c r="G31" s="202">
        <f t="shared" si="42"/>
        <v>1082.7276030190444</v>
      </c>
      <c r="H31" s="202">
        <f t="shared" si="42"/>
        <v>1119.2940998145743</v>
      </c>
      <c r="J31" s="201">
        <f>'Proposed price'!Y36</f>
        <v>1632.6582421192481</v>
      </c>
      <c r="K31" s="202">
        <f>J31*K$1</f>
        <v>1632.6582421192481</v>
      </c>
      <c r="L31" s="202">
        <f t="shared" ref="L31:O31" si="43">K31*L$1</f>
        <v>1632.6582421192481</v>
      </c>
      <c r="M31" s="202">
        <f t="shared" si="43"/>
        <v>1650.6174827825598</v>
      </c>
      <c r="N31" s="202">
        <f t="shared" si="43"/>
        <v>1688.7995663942859</v>
      </c>
      <c r="O31" s="202">
        <f t="shared" si="43"/>
        <v>1745.8346726949451</v>
      </c>
    </row>
    <row r="32" spans="2:15" x14ac:dyDescent="0.25">
      <c r="B32" s="200" t="s">
        <v>137</v>
      </c>
      <c r="C32" s="201">
        <f>'Proposed price'!Z18</f>
        <v>177.59192659511686</v>
      </c>
      <c r="D32" s="202">
        <f>C32</f>
        <v>177.59192659511686</v>
      </c>
      <c r="E32" s="202">
        <f>D32</f>
        <v>177.59192659511686</v>
      </c>
      <c r="F32" s="202">
        <f t="shared" ref="F32:H32" si="44">E32</f>
        <v>177.59192659511686</v>
      </c>
      <c r="G32" s="202">
        <f t="shared" si="44"/>
        <v>177.59192659511686</v>
      </c>
      <c r="H32" s="202">
        <f t="shared" si="44"/>
        <v>177.59192659511686</v>
      </c>
      <c r="J32" s="201">
        <f>'Proposed price'!Z36</f>
        <v>177.59192659511686</v>
      </c>
      <c r="K32" s="202">
        <f>J32</f>
        <v>177.59192659511686</v>
      </c>
      <c r="L32" s="202">
        <f t="shared" ref="L32:O33" si="45">K32</f>
        <v>177.59192659511686</v>
      </c>
      <c r="M32" s="202">
        <f t="shared" si="45"/>
        <v>177.59192659511686</v>
      </c>
      <c r="N32" s="202">
        <f t="shared" si="45"/>
        <v>177.59192659511686</v>
      </c>
      <c r="O32" s="202">
        <f t="shared" si="45"/>
        <v>177.59192659511686</v>
      </c>
    </row>
    <row r="33" spans="2:15" x14ac:dyDescent="0.25">
      <c r="B33" s="200" t="s">
        <v>138</v>
      </c>
      <c r="C33" s="201">
        <f>'Proposed price'!AA18</f>
        <v>0</v>
      </c>
      <c r="D33" s="202">
        <f>C33</f>
        <v>0</v>
      </c>
      <c r="E33" s="202">
        <f t="shared" ref="E33:H33" si="46">D33</f>
        <v>0</v>
      </c>
      <c r="F33" s="202">
        <f t="shared" si="46"/>
        <v>0</v>
      </c>
      <c r="G33" s="202">
        <f t="shared" si="46"/>
        <v>0</v>
      </c>
      <c r="H33" s="202">
        <f t="shared" si="46"/>
        <v>0</v>
      </c>
      <c r="J33" s="201">
        <f>'Proposed price'!AA36</f>
        <v>0</v>
      </c>
      <c r="K33" s="202">
        <f>J33</f>
        <v>0</v>
      </c>
      <c r="L33" s="202">
        <f t="shared" si="45"/>
        <v>0</v>
      </c>
      <c r="M33" s="202">
        <f t="shared" si="45"/>
        <v>0</v>
      </c>
      <c r="N33" s="202">
        <f t="shared" si="45"/>
        <v>0</v>
      </c>
      <c r="O33" s="202">
        <f t="shared" si="45"/>
        <v>0</v>
      </c>
    </row>
    <row r="34" spans="2:15" x14ac:dyDescent="0.25">
      <c r="B34" s="203" t="s">
        <v>167</v>
      </c>
      <c r="C34" s="273">
        <f>'Proposed price'!AD18</f>
        <v>1224.3260566927956</v>
      </c>
      <c r="D34" s="193">
        <f>SUM(D31:D33)</f>
        <v>1224.3260566927956</v>
      </c>
      <c r="E34" s="193">
        <f t="shared" ref="E34:H34" si="47">SUM(E31:E33)</f>
        <v>1224.3260566927956</v>
      </c>
      <c r="F34" s="193">
        <f t="shared" si="47"/>
        <v>1235.84013212387</v>
      </c>
      <c r="G34" s="193">
        <f t="shared" si="47"/>
        <v>1260.3195296141612</v>
      </c>
      <c r="H34" s="193">
        <f t="shared" si="47"/>
        <v>1296.8860264096911</v>
      </c>
      <c r="I34" s="181"/>
      <c r="J34" s="273">
        <f>'Proposed price'!AD36</f>
        <v>1810.2501687143649</v>
      </c>
      <c r="K34" s="193">
        <f>SUM(K31:K33)</f>
        <v>1810.2501687143649</v>
      </c>
      <c r="L34" s="193">
        <f t="shared" ref="L34:O34" si="48">SUM(L31:L33)</f>
        <v>1810.2501687143649</v>
      </c>
      <c r="M34" s="193">
        <f t="shared" si="48"/>
        <v>1828.2094093776766</v>
      </c>
      <c r="N34" s="193">
        <f t="shared" si="48"/>
        <v>1866.3914929894026</v>
      </c>
      <c r="O34" s="193">
        <f t="shared" si="48"/>
        <v>1923.4265992900619</v>
      </c>
    </row>
    <row r="35" spans="2:15" x14ac:dyDescent="0.25">
      <c r="B35" s="200" t="s">
        <v>142</v>
      </c>
      <c r="C35" s="201">
        <f>'Proposed price'!AE18</f>
        <v>570.44609098655098</v>
      </c>
      <c r="D35" s="202">
        <f>D34*D$3</f>
        <v>570.4460909865511</v>
      </c>
      <c r="E35" s="202">
        <f t="shared" ref="E35:H35" si="49">E34*E$3</f>
        <v>570.4460909865511</v>
      </c>
      <c r="F35" s="202">
        <f t="shared" si="49"/>
        <v>575.81080513689994</v>
      </c>
      <c r="G35" s="202">
        <f t="shared" si="49"/>
        <v>587.21640786152318</v>
      </c>
      <c r="H35" s="202">
        <f t="shared" si="49"/>
        <v>604.25371180850289</v>
      </c>
      <c r="J35" s="201">
        <f>'Proposed price'!AE36</f>
        <v>843.44372710672747</v>
      </c>
      <c r="K35" s="202">
        <f>K34*K$3</f>
        <v>843.44372710672747</v>
      </c>
      <c r="L35" s="202">
        <f t="shared" ref="L35:O35" si="50">L34*L$3</f>
        <v>843.44372710672747</v>
      </c>
      <c r="M35" s="202">
        <f t="shared" si="50"/>
        <v>851.8114152543983</v>
      </c>
      <c r="N35" s="202">
        <f t="shared" si="50"/>
        <v>869.60146409225945</v>
      </c>
      <c r="O35" s="202">
        <f t="shared" si="50"/>
        <v>896.17563790842382</v>
      </c>
    </row>
    <row r="36" spans="2:15" x14ac:dyDescent="0.25">
      <c r="B36" s="200" t="s">
        <v>143</v>
      </c>
      <c r="C36" s="201">
        <f>'Proposed price'!AF18</f>
        <v>196.35445637106756</v>
      </c>
      <c r="D36" s="202">
        <f>D34*D$4</f>
        <v>196.35445637106756</v>
      </c>
      <c r="E36" s="202">
        <f t="shared" ref="E36:H36" si="51">E34*E$4</f>
        <v>196.35445637106756</v>
      </c>
      <c r="F36" s="202">
        <f t="shared" si="51"/>
        <v>198.20105598358512</v>
      </c>
      <c r="G36" s="202">
        <f t="shared" si="51"/>
        <v>202.12700263825431</v>
      </c>
      <c r="H36" s="202">
        <f t="shared" si="51"/>
        <v>207.99144909059527</v>
      </c>
      <c r="J36" s="201">
        <f>'Proposed price'!AF36</f>
        <v>290.32355052027702</v>
      </c>
      <c r="K36" s="202">
        <f>K34*K$4</f>
        <v>290.32355052027708</v>
      </c>
      <c r="L36" s="202">
        <f t="shared" ref="L36:O36" si="52">L34*L$4</f>
        <v>290.32355052027708</v>
      </c>
      <c r="M36" s="202">
        <f t="shared" si="52"/>
        <v>293.20381016843595</v>
      </c>
      <c r="N36" s="202">
        <f t="shared" si="52"/>
        <v>299.32736053290904</v>
      </c>
      <c r="O36" s="202">
        <f t="shared" si="52"/>
        <v>308.47451314843329</v>
      </c>
    </row>
    <row r="37" spans="2:15" x14ac:dyDescent="0.25">
      <c r="B37" s="200" t="s">
        <v>144</v>
      </c>
      <c r="C37" s="201">
        <f>'Proposed price'!AG18</f>
        <v>126.2772492288773</v>
      </c>
      <c r="D37" s="202">
        <f>SUM(D34:D36)*D$5</f>
        <v>126.27724922887728</v>
      </c>
      <c r="E37" s="202">
        <f t="shared" ref="E37:H37" si="53">SUM(E34:E36)*E$5</f>
        <v>126.27724922887728</v>
      </c>
      <c r="F37" s="202">
        <f t="shared" si="53"/>
        <v>127.464813411557</v>
      </c>
      <c r="G37" s="202">
        <f t="shared" si="53"/>
        <v>129.98962366202602</v>
      </c>
      <c r="H37" s="202">
        <f t="shared" si="53"/>
        <v>133.76109989912342</v>
      </c>
      <c r="J37" s="201">
        <f>'Proposed price'!AG36</f>
        <v>186.70958644696967</v>
      </c>
      <c r="K37" s="202">
        <f>SUM(K34:K36)*K$5</f>
        <v>186.70958644696964</v>
      </c>
      <c r="L37" s="202">
        <f t="shared" ref="L37:O37" si="54">SUM(L34:L36)*L$5</f>
        <v>186.70958644696964</v>
      </c>
      <c r="M37" s="202">
        <f t="shared" si="54"/>
        <v>188.56190633904842</v>
      </c>
      <c r="N37" s="202">
        <f t="shared" si="54"/>
        <v>192.50001454311612</v>
      </c>
      <c r="O37" s="202">
        <f t="shared" si="54"/>
        <v>198.38262750700159</v>
      </c>
    </row>
    <row r="38" spans="2:15" s="181" customFormat="1" x14ac:dyDescent="0.25">
      <c r="B38" s="204" t="s">
        <v>171</v>
      </c>
      <c r="C38" s="205">
        <f>'Proposed price'!AH18</f>
        <v>2117.4038532792915</v>
      </c>
      <c r="D38" s="206">
        <f>SUM(D34:D37)</f>
        <v>2117.4038532792915</v>
      </c>
      <c r="E38" s="206">
        <f t="shared" ref="E38:H38" si="55">SUM(E34:E37)</f>
        <v>2117.4038532792915</v>
      </c>
      <c r="F38" s="206">
        <f t="shared" si="55"/>
        <v>2137.3168066559119</v>
      </c>
      <c r="G38" s="206">
        <f t="shared" si="55"/>
        <v>2179.6525637759651</v>
      </c>
      <c r="H38" s="206">
        <f t="shared" si="55"/>
        <v>2242.8922872079129</v>
      </c>
      <c r="J38" s="205">
        <f>'Proposed price'!AH36</f>
        <v>3130.7270327883389</v>
      </c>
      <c r="K38" s="206">
        <f>SUM(K34:K37)</f>
        <v>3130.7270327883389</v>
      </c>
      <c r="L38" s="206">
        <f t="shared" ref="L38:O38" si="56">SUM(L34:L37)</f>
        <v>3130.7270327883389</v>
      </c>
      <c r="M38" s="206">
        <f t="shared" si="56"/>
        <v>3161.7865411395596</v>
      </c>
      <c r="N38" s="206">
        <f t="shared" si="56"/>
        <v>3227.8203321576875</v>
      </c>
      <c r="O38" s="206">
        <f t="shared" si="56"/>
        <v>3326.4593778539202</v>
      </c>
    </row>
    <row r="39" spans="2:15" x14ac:dyDescent="0.25">
      <c r="B39" s="207" t="s">
        <v>172</v>
      </c>
      <c r="C39" s="202"/>
      <c r="D39" s="208">
        <v>25</v>
      </c>
      <c r="E39" s="208">
        <v>25</v>
      </c>
      <c r="F39" s="208">
        <v>25</v>
      </c>
      <c r="G39" s="208">
        <v>25</v>
      </c>
      <c r="H39" s="208">
        <v>25</v>
      </c>
      <c r="J39" s="202"/>
      <c r="K39" s="208">
        <v>5</v>
      </c>
      <c r="L39" s="208">
        <v>5</v>
      </c>
      <c r="M39" s="208">
        <v>5</v>
      </c>
      <c r="N39" s="208">
        <v>5</v>
      </c>
      <c r="O39" s="208">
        <v>5</v>
      </c>
    </row>
    <row r="40" spans="2:15" s="181" customFormat="1" x14ac:dyDescent="0.25">
      <c r="B40" s="195" t="s">
        <v>173</v>
      </c>
      <c r="C40" s="193"/>
      <c r="D40" s="194">
        <f>D38*D39</f>
        <v>52935.096331982291</v>
      </c>
      <c r="E40" s="194">
        <f t="shared" ref="E40:H40" si="57">E38*E39</f>
        <v>52935.096331982291</v>
      </c>
      <c r="F40" s="194">
        <f t="shared" si="57"/>
        <v>53432.920166397802</v>
      </c>
      <c r="G40" s="194">
        <f t="shared" si="57"/>
        <v>54491.314094399124</v>
      </c>
      <c r="H40" s="194">
        <f t="shared" si="57"/>
        <v>56072.307180197822</v>
      </c>
      <c r="J40" s="193"/>
      <c r="K40" s="194">
        <f>K39*K38</f>
        <v>15653.635163941693</v>
      </c>
      <c r="L40" s="194">
        <f t="shared" ref="L40:O40" si="58">L39*L38</f>
        <v>15653.635163941693</v>
      </c>
      <c r="M40" s="194">
        <f t="shared" si="58"/>
        <v>15808.932705697798</v>
      </c>
      <c r="N40" s="194">
        <f t="shared" si="58"/>
        <v>16139.101660788438</v>
      </c>
      <c r="O40" s="194">
        <f t="shared" si="58"/>
        <v>16632.296889269601</v>
      </c>
    </row>
    <row r="42" spans="2:15" x14ac:dyDescent="0.25">
      <c r="B42" s="199" t="s">
        <v>67</v>
      </c>
      <c r="C42" s="182"/>
      <c r="D42" s="262" t="s">
        <v>170</v>
      </c>
      <c r="E42" s="263"/>
      <c r="F42" s="263"/>
      <c r="G42" s="263"/>
      <c r="H42" s="263"/>
      <c r="J42" s="182"/>
      <c r="K42" s="262" t="s">
        <v>170</v>
      </c>
      <c r="L42" s="263"/>
      <c r="M42" s="263"/>
      <c r="N42" s="263"/>
      <c r="O42" s="263"/>
    </row>
    <row r="43" spans="2:15" x14ac:dyDescent="0.25">
      <c r="B43" s="200" t="s">
        <v>136</v>
      </c>
      <c r="C43" s="201">
        <f>'Proposed price'!AP15</f>
        <v>39.919173234832506</v>
      </c>
      <c r="D43" s="202">
        <f>C43*D$1</f>
        <v>39.919173234832506</v>
      </c>
      <c r="E43" s="202">
        <f t="shared" ref="E43:H43" si="59">D43*E$1</f>
        <v>39.919173234832506</v>
      </c>
      <c r="F43" s="202">
        <f t="shared" si="59"/>
        <v>40.358284140415662</v>
      </c>
      <c r="G43" s="202">
        <f t="shared" si="59"/>
        <v>41.291851969151757</v>
      </c>
      <c r="H43" s="202">
        <f t="shared" si="59"/>
        <v>42.686384045826749</v>
      </c>
      <c r="J43" s="201">
        <f>'Proposed price'!AP35</f>
        <v>72.470512791586373</v>
      </c>
      <c r="K43" s="202">
        <f>J43*K$1</f>
        <v>72.470512791586373</v>
      </c>
      <c r="L43" s="202">
        <f t="shared" ref="L43:O43" si="60">K43*L$1</f>
        <v>72.470512791586373</v>
      </c>
      <c r="M43" s="202">
        <f t="shared" si="60"/>
        <v>73.267688432293809</v>
      </c>
      <c r="N43" s="202">
        <f t="shared" si="60"/>
        <v>74.962516601109627</v>
      </c>
      <c r="O43" s="202">
        <f t="shared" si="60"/>
        <v>77.494193650291791</v>
      </c>
    </row>
    <row r="44" spans="2:15" x14ac:dyDescent="0.25">
      <c r="B44" s="200" t="s">
        <v>137</v>
      </c>
      <c r="C44" s="201">
        <f>'Proposed price'!AQ15</f>
        <v>9.8662181441731587</v>
      </c>
      <c r="D44" s="202">
        <f>C44</f>
        <v>9.8662181441731587</v>
      </c>
      <c r="E44" s="202">
        <f t="shared" ref="E44:H44" si="61">D44</f>
        <v>9.8662181441731587</v>
      </c>
      <c r="F44" s="202">
        <f t="shared" si="61"/>
        <v>9.8662181441731587</v>
      </c>
      <c r="G44" s="202">
        <f t="shared" si="61"/>
        <v>9.8662181441731587</v>
      </c>
      <c r="H44" s="202">
        <f t="shared" si="61"/>
        <v>9.8662181441731587</v>
      </c>
      <c r="J44" s="201">
        <f>'Proposed price'!AQ35</f>
        <v>9.8662181441731587</v>
      </c>
      <c r="K44" s="202">
        <f>J44</f>
        <v>9.8662181441731587</v>
      </c>
      <c r="L44" s="202">
        <f t="shared" ref="L44:O45" si="62">K44</f>
        <v>9.8662181441731587</v>
      </c>
      <c r="M44" s="202">
        <f t="shared" si="62"/>
        <v>9.8662181441731587</v>
      </c>
      <c r="N44" s="202">
        <f t="shared" si="62"/>
        <v>9.8662181441731587</v>
      </c>
      <c r="O44" s="202">
        <f t="shared" si="62"/>
        <v>9.8662181441731587</v>
      </c>
    </row>
    <row r="45" spans="2:15" x14ac:dyDescent="0.25">
      <c r="B45" s="200" t="s">
        <v>138</v>
      </c>
      <c r="C45" s="201">
        <f>'Proposed price'!AR15</f>
        <v>0</v>
      </c>
      <c r="D45" s="202">
        <f>C45</f>
        <v>0</v>
      </c>
      <c r="E45" s="202">
        <f t="shared" ref="E45:H45" si="63">D45</f>
        <v>0</v>
      </c>
      <c r="F45" s="202">
        <f t="shared" si="63"/>
        <v>0</v>
      </c>
      <c r="G45" s="202">
        <f t="shared" si="63"/>
        <v>0</v>
      </c>
      <c r="H45" s="202">
        <f t="shared" si="63"/>
        <v>0</v>
      </c>
      <c r="J45" s="201">
        <f>'Proposed price'!AR35</f>
        <v>0</v>
      </c>
      <c r="K45" s="202">
        <f>J45</f>
        <v>0</v>
      </c>
      <c r="L45" s="202">
        <f t="shared" si="62"/>
        <v>0</v>
      </c>
      <c r="M45" s="202">
        <f t="shared" si="62"/>
        <v>0</v>
      </c>
      <c r="N45" s="202">
        <f t="shared" si="62"/>
        <v>0</v>
      </c>
      <c r="O45" s="202">
        <f t="shared" si="62"/>
        <v>0</v>
      </c>
    </row>
    <row r="46" spans="2:15" x14ac:dyDescent="0.25">
      <c r="B46" s="203" t="s">
        <v>167</v>
      </c>
      <c r="C46" s="273">
        <f>'Proposed price'!AU15</f>
        <v>49.785391379005674</v>
      </c>
      <c r="D46" s="193">
        <f>SUM(D43:D45)</f>
        <v>49.785391379005667</v>
      </c>
      <c r="E46" s="193">
        <f t="shared" ref="E46:H46" si="64">SUM(E43:E45)</f>
        <v>49.785391379005667</v>
      </c>
      <c r="F46" s="193">
        <f t="shared" si="64"/>
        <v>50.224502284588823</v>
      </c>
      <c r="G46" s="193">
        <f t="shared" si="64"/>
        <v>51.158070113324918</v>
      </c>
      <c r="H46" s="193">
        <f t="shared" si="64"/>
        <v>52.552602189999909</v>
      </c>
      <c r="I46" s="181"/>
      <c r="J46" s="273">
        <f>'Proposed price'!AU35</f>
        <v>82.336730935759519</v>
      </c>
      <c r="K46" s="193">
        <f>SUM(K43:K45)</f>
        <v>82.336730935759533</v>
      </c>
      <c r="L46" s="193">
        <f t="shared" ref="L46:O46" si="65">SUM(L43:L45)</f>
        <v>82.336730935759533</v>
      </c>
      <c r="M46" s="193">
        <f t="shared" si="65"/>
        <v>83.13390657646697</v>
      </c>
      <c r="N46" s="193">
        <f t="shared" si="65"/>
        <v>84.828734745282787</v>
      </c>
      <c r="O46" s="193">
        <f t="shared" si="65"/>
        <v>87.360411794464952</v>
      </c>
    </row>
    <row r="47" spans="2:15" x14ac:dyDescent="0.25">
      <c r="B47" s="200" t="s">
        <v>142</v>
      </c>
      <c r="C47" s="201">
        <f>'Proposed price'!AV15</f>
        <v>23.196338708255837</v>
      </c>
      <c r="D47" s="202">
        <f>D46*D$3</f>
        <v>23.196338708255833</v>
      </c>
      <c r="E47" s="202">
        <f t="shared" ref="E47:H47" si="66">E46*E$3</f>
        <v>23.196338708255833</v>
      </c>
      <c r="F47" s="202">
        <f t="shared" si="66"/>
        <v>23.40093216457425</v>
      </c>
      <c r="G47" s="202">
        <f t="shared" si="66"/>
        <v>23.835906259638318</v>
      </c>
      <c r="H47" s="202">
        <f t="shared" si="66"/>
        <v>24.485655864774927</v>
      </c>
      <c r="J47" s="201">
        <f>'Proposed price'!AV35</f>
        <v>38.362874048265631</v>
      </c>
      <c r="K47" s="202">
        <f>K46*K$3</f>
        <v>38.362874048265645</v>
      </c>
      <c r="L47" s="202">
        <f t="shared" ref="L47:O47" si="67">L46*L$3</f>
        <v>38.362874048265645</v>
      </c>
      <c r="M47" s="202">
        <f t="shared" si="67"/>
        <v>38.734299393324157</v>
      </c>
      <c r="N47" s="202">
        <f t="shared" si="67"/>
        <v>39.523964939123672</v>
      </c>
      <c r="O47" s="202">
        <f t="shared" si="67"/>
        <v>40.703540648103868</v>
      </c>
    </row>
    <row r="48" spans="2:15" x14ac:dyDescent="0.25">
      <c r="B48" s="200" t="s">
        <v>143</v>
      </c>
      <c r="C48" s="201">
        <f>'Proposed price'!AW15</f>
        <v>7.9844608435858468</v>
      </c>
      <c r="D48" s="202">
        <f>D46*D$4</f>
        <v>7.984460843585846</v>
      </c>
      <c r="E48" s="202">
        <f t="shared" ref="E48:H48" si="68">E46*E$4</f>
        <v>7.984460843585846</v>
      </c>
      <c r="F48" s="202">
        <f t="shared" si="68"/>
        <v>8.0548843902228366</v>
      </c>
      <c r="G48" s="202">
        <f t="shared" si="68"/>
        <v>8.2046077441406311</v>
      </c>
      <c r="H48" s="202">
        <f t="shared" si="68"/>
        <v>8.4282594309692165</v>
      </c>
      <c r="J48" s="201">
        <f>'Proposed price'!AW35</f>
        <v>13.204966074097484</v>
      </c>
      <c r="K48" s="202">
        <f>K46*K$4</f>
        <v>13.204966074097488</v>
      </c>
      <c r="L48" s="202">
        <f t="shared" ref="L48:O48" si="69">L46*L$4</f>
        <v>13.204966074097488</v>
      </c>
      <c r="M48" s="202">
        <f t="shared" si="69"/>
        <v>13.332815178270105</v>
      </c>
      <c r="N48" s="202">
        <f t="shared" si="69"/>
        <v>13.604627627177008</v>
      </c>
      <c r="O48" s="202">
        <f t="shared" si="69"/>
        <v>14.010651878626884</v>
      </c>
    </row>
    <row r="49" spans="2:15" x14ac:dyDescent="0.25">
      <c r="B49" s="200" t="s">
        <v>144</v>
      </c>
      <c r="C49" s="201">
        <f>'Proposed price'!AX15</f>
        <v>5.134875828834339</v>
      </c>
      <c r="D49" s="202">
        <f>SUM(D46:D48)*D$5</f>
        <v>5.134875828834339</v>
      </c>
      <c r="E49" s="202">
        <f t="shared" ref="E49:H49" si="70">SUM(E46:E48)*E$5</f>
        <v>5.134875828834339</v>
      </c>
      <c r="F49" s="202">
        <f t="shared" si="70"/>
        <v>5.1801658207938548</v>
      </c>
      <c r="G49" s="202">
        <f t="shared" si="70"/>
        <v>5.2764542047067273</v>
      </c>
      <c r="H49" s="202">
        <f t="shared" si="70"/>
        <v>5.4202865389458887</v>
      </c>
      <c r="J49" s="201">
        <f>'Proposed price'!AX35</f>
        <v>8.4922278965061384</v>
      </c>
      <c r="K49" s="202">
        <f>SUM(K46:K48)*K$5</f>
        <v>8.4922278965061402</v>
      </c>
      <c r="L49" s="202">
        <f t="shared" ref="L49:O49" si="71">SUM(L46:L48)*L$5</f>
        <v>8.4922278965061402</v>
      </c>
      <c r="M49" s="202">
        <f t="shared" si="71"/>
        <v>8.5744487612100428</v>
      </c>
      <c r="N49" s="202">
        <f t="shared" si="71"/>
        <v>8.7492536981006239</v>
      </c>
      <c r="O49" s="202">
        <f t="shared" si="71"/>
        <v>9.0103714060502309</v>
      </c>
    </row>
    <row r="50" spans="2:15" x14ac:dyDescent="0.25">
      <c r="B50" s="204" t="s">
        <v>171</v>
      </c>
      <c r="C50" s="205">
        <f>'Proposed price'!AY15</f>
        <v>86.101066759681686</v>
      </c>
      <c r="D50" s="206">
        <f>SUM(D46:D49)</f>
        <v>86.101066759681686</v>
      </c>
      <c r="E50" s="206">
        <f t="shared" ref="E50:H50" si="72">SUM(E46:E49)</f>
        <v>86.101066759681686</v>
      </c>
      <c r="F50" s="206">
        <f t="shared" si="72"/>
        <v>86.860484660179765</v>
      </c>
      <c r="G50" s="206">
        <f t="shared" si="72"/>
        <v>88.475038321810587</v>
      </c>
      <c r="H50" s="206">
        <f t="shared" si="72"/>
        <v>90.886804024689951</v>
      </c>
      <c r="J50" s="205">
        <f>'Proposed price'!AY35</f>
        <v>142.39679895462876</v>
      </c>
      <c r="K50" s="206">
        <f>SUM(K46:K49)</f>
        <v>142.39679895462879</v>
      </c>
      <c r="L50" s="206">
        <f t="shared" ref="L50:O50" si="73">SUM(L46:L49)</f>
        <v>142.39679895462879</v>
      </c>
      <c r="M50" s="206">
        <f t="shared" si="73"/>
        <v>143.77546990927127</v>
      </c>
      <c r="N50" s="206">
        <f t="shared" si="73"/>
        <v>146.7065810096841</v>
      </c>
      <c r="O50" s="206">
        <f t="shared" si="73"/>
        <v>151.08497572724593</v>
      </c>
    </row>
    <row r="51" spans="2:15" x14ac:dyDescent="0.25">
      <c r="B51" s="207" t="s">
        <v>172</v>
      </c>
      <c r="C51" s="202"/>
      <c r="D51" s="208">
        <v>120</v>
      </c>
      <c r="E51" s="208">
        <v>120</v>
      </c>
      <c r="F51" s="208">
        <v>120</v>
      </c>
      <c r="G51" s="208">
        <v>120</v>
      </c>
      <c r="H51" s="208">
        <v>120</v>
      </c>
      <c r="J51" s="202"/>
      <c r="K51" s="208">
        <v>30</v>
      </c>
      <c r="L51" s="208">
        <v>30</v>
      </c>
      <c r="M51" s="208">
        <v>30</v>
      </c>
      <c r="N51" s="208">
        <v>30</v>
      </c>
      <c r="O51" s="208">
        <v>30</v>
      </c>
    </row>
    <row r="52" spans="2:15" x14ac:dyDescent="0.25">
      <c r="B52" s="195" t="s">
        <v>173</v>
      </c>
      <c r="C52" s="193"/>
      <c r="D52" s="194">
        <f>D50*D51</f>
        <v>10332.128011161802</v>
      </c>
      <c r="E52" s="194">
        <f t="shared" ref="E52:H52" si="74">E50*E51</f>
        <v>10332.128011161802</v>
      </c>
      <c r="F52" s="194">
        <f t="shared" si="74"/>
        <v>10423.258159221572</v>
      </c>
      <c r="G52" s="194">
        <f t="shared" si="74"/>
        <v>10617.00459861727</v>
      </c>
      <c r="H52" s="194">
        <f t="shared" si="74"/>
        <v>10906.416482962793</v>
      </c>
      <c r="J52" s="193"/>
      <c r="K52" s="194">
        <f>K51*K50</f>
        <v>4271.9039686388642</v>
      </c>
      <c r="L52" s="194">
        <f t="shared" ref="L52:O52" si="75">L51*L50</f>
        <v>4271.9039686388642</v>
      </c>
      <c r="M52" s="194">
        <f t="shared" si="75"/>
        <v>4313.2640972781383</v>
      </c>
      <c r="N52" s="194">
        <f t="shared" si="75"/>
        <v>4401.1974302905228</v>
      </c>
      <c r="O52" s="194">
        <f t="shared" si="75"/>
        <v>4532.5492718173782</v>
      </c>
    </row>
    <row r="54" spans="2:15" x14ac:dyDescent="0.25">
      <c r="B54" s="199" t="s">
        <v>68</v>
      </c>
      <c r="C54" s="182"/>
      <c r="D54" s="262" t="s">
        <v>170</v>
      </c>
      <c r="E54" s="263"/>
      <c r="F54" s="263"/>
      <c r="G54" s="263"/>
      <c r="H54" s="263"/>
      <c r="J54" s="182"/>
      <c r="K54" s="262" t="s">
        <v>170</v>
      </c>
      <c r="L54" s="263"/>
      <c r="M54" s="263"/>
      <c r="N54" s="263"/>
      <c r="O54" s="263"/>
    </row>
    <row r="55" spans="2:15" x14ac:dyDescent="0.25">
      <c r="B55" s="200" t="s">
        <v>136</v>
      </c>
      <c r="C55" s="201">
        <f>'Proposed price'!BG15</f>
        <v>347.29680714304277</v>
      </c>
      <c r="D55" s="202">
        <f>C55*D$1</f>
        <v>347.29680714304277</v>
      </c>
      <c r="E55" s="202">
        <f t="shared" ref="E55:H55" si="76">D55*E$1</f>
        <v>347.29680714304277</v>
      </c>
      <c r="F55" s="202">
        <f t="shared" si="76"/>
        <v>351.1170720216162</v>
      </c>
      <c r="G55" s="202">
        <f t="shared" si="76"/>
        <v>359.23911213162017</v>
      </c>
      <c r="H55" s="202">
        <f t="shared" si="76"/>
        <v>371.37154119869263</v>
      </c>
      <c r="J55" s="201">
        <f>'Proposed price'!BG35</f>
        <v>630.49346128680145</v>
      </c>
      <c r="K55" s="202">
        <f>J55*K$1</f>
        <v>630.49346128680145</v>
      </c>
      <c r="L55" s="202">
        <f t="shared" ref="L55:O55" si="77">K55*L$1</f>
        <v>630.49346128680145</v>
      </c>
      <c r="M55" s="202">
        <f t="shared" si="77"/>
        <v>637.42888936095619</v>
      </c>
      <c r="N55" s="202">
        <f t="shared" si="77"/>
        <v>652.17389442965384</v>
      </c>
      <c r="O55" s="202">
        <f t="shared" si="77"/>
        <v>674.1994847575387</v>
      </c>
    </row>
    <row r="56" spans="2:15" x14ac:dyDescent="0.25">
      <c r="B56" s="200" t="s">
        <v>137</v>
      </c>
      <c r="C56" s="201">
        <f>'Proposed price'!BH15</f>
        <v>85.836097854306487</v>
      </c>
      <c r="D56" s="202">
        <f>C56</f>
        <v>85.836097854306487</v>
      </c>
      <c r="E56" s="202">
        <f t="shared" ref="E56:H56" si="78">D56</f>
        <v>85.836097854306487</v>
      </c>
      <c r="F56" s="202">
        <f t="shared" si="78"/>
        <v>85.836097854306487</v>
      </c>
      <c r="G56" s="202">
        <f t="shared" si="78"/>
        <v>85.836097854306487</v>
      </c>
      <c r="H56" s="202">
        <f t="shared" si="78"/>
        <v>85.836097854306487</v>
      </c>
      <c r="J56" s="201">
        <f>'Proposed price'!BH35</f>
        <v>85.836097854306487</v>
      </c>
      <c r="K56" s="202">
        <f>J56</f>
        <v>85.836097854306487</v>
      </c>
      <c r="L56" s="202">
        <f t="shared" ref="L56:O57" si="79">K56</f>
        <v>85.836097854306487</v>
      </c>
      <c r="M56" s="202">
        <f t="shared" si="79"/>
        <v>85.836097854306487</v>
      </c>
      <c r="N56" s="202">
        <f t="shared" si="79"/>
        <v>85.836097854306487</v>
      </c>
      <c r="O56" s="202">
        <f t="shared" si="79"/>
        <v>85.836097854306487</v>
      </c>
    </row>
    <row r="57" spans="2:15" x14ac:dyDescent="0.25">
      <c r="B57" s="200" t="s">
        <v>138</v>
      </c>
      <c r="C57" s="201">
        <f>'Proposed price'!BI15</f>
        <v>0</v>
      </c>
      <c r="D57" s="202">
        <f>C57</f>
        <v>0</v>
      </c>
      <c r="E57" s="202">
        <f t="shared" ref="E57:H57" si="80">D57</f>
        <v>0</v>
      </c>
      <c r="F57" s="202">
        <f t="shared" si="80"/>
        <v>0</v>
      </c>
      <c r="G57" s="202">
        <f t="shared" si="80"/>
        <v>0</v>
      </c>
      <c r="H57" s="202">
        <f t="shared" si="80"/>
        <v>0</v>
      </c>
      <c r="J57" s="201">
        <f>'Proposed price'!BI35</f>
        <v>0</v>
      </c>
      <c r="K57" s="202">
        <f>J57</f>
        <v>0</v>
      </c>
      <c r="L57" s="202">
        <f t="shared" si="79"/>
        <v>0</v>
      </c>
      <c r="M57" s="202">
        <f t="shared" si="79"/>
        <v>0</v>
      </c>
      <c r="N57" s="202">
        <f t="shared" si="79"/>
        <v>0</v>
      </c>
      <c r="O57" s="202">
        <f t="shared" si="79"/>
        <v>0</v>
      </c>
    </row>
    <row r="58" spans="2:15" x14ac:dyDescent="0.25">
      <c r="B58" s="203" t="s">
        <v>167</v>
      </c>
      <c r="C58" s="273">
        <f>'Proposed price'!BL15</f>
        <v>433.13290499734927</v>
      </c>
      <c r="D58" s="193">
        <f>SUM(D55:D57)</f>
        <v>433.13290499734927</v>
      </c>
      <c r="E58" s="193">
        <f t="shared" ref="E58:H58" si="81">SUM(E55:E57)</f>
        <v>433.13290499734927</v>
      </c>
      <c r="F58" s="193">
        <f t="shared" si="81"/>
        <v>436.9531698759227</v>
      </c>
      <c r="G58" s="193">
        <f t="shared" si="81"/>
        <v>445.07520998592668</v>
      </c>
      <c r="H58" s="193">
        <f t="shared" si="81"/>
        <v>457.20763905299913</v>
      </c>
      <c r="I58" s="181"/>
      <c r="J58" s="273">
        <f>'Proposed price'!BL35</f>
        <v>716.32955914110778</v>
      </c>
      <c r="K58" s="193">
        <f>SUM(K55:K57)</f>
        <v>716.32955914110789</v>
      </c>
      <c r="L58" s="193">
        <f t="shared" ref="L58:O58" si="82">SUM(L55:L57)</f>
        <v>716.32955914110789</v>
      </c>
      <c r="M58" s="193">
        <f t="shared" si="82"/>
        <v>723.26498721526264</v>
      </c>
      <c r="N58" s="193">
        <f t="shared" si="82"/>
        <v>738.00999228396029</v>
      </c>
      <c r="O58" s="193">
        <f t="shared" si="82"/>
        <v>760.03558261184514</v>
      </c>
    </row>
    <row r="59" spans="2:15" x14ac:dyDescent="0.25">
      <c r="B59" s="200" t="s">
        <v>142</v>
      </c>
      <c r="C59" s="201">
        <f>'Proposed price'!BM15</f>
        <v>201.80814676182575</v>
      </c>
      <c r="D59" s="202">
        <f>D58*D$3</f>
        <v>201.80814676182575</v>
      </c>
      <c r="E59" s="202">
        <f t="shared" ref="E59:H59" si="83">E58*E$3</f>
        <v>201.80814676182575</v>
      </c>
      <c r="F59" s="202">
        <f t="shared" si="83"/>
        <v>203.58810983179595</v>
      </c>
      <c r="G59" s="202">
        <f t="shared" si="83"/>
        <v>207.37238445885333</v>
      </c>
      <c r="H59" s="202">
        <f t="shared" si="83"/>
        <v>213.02520602354184</v>
      </c>
      <c r="J59" s="201">
        <f>'Proposed price'!BM35</f>
        <v>333.75700421991104</v>
      </c>
      <c r="K59" s="202">
        <f>K58*K$3</f>
        <v>333.75700421991104</v>
      </c>
      <c r="L59" s="202">
        <f t="shared" ref="L59:O59" si="84">L58*L$3</f>
        <v>333.75700421991104</v>
      </c>
      <c r="M59" s="202">
        <f t="shared" si="84"/>
        <v>336.98840472192018</v>
      </c>
      <c r="N59" s="202">
        <f t="shared" si="84"/>
        <v>343.85849497037594</v>
      </c>
      <c r="O59" s="202">
        <f t="shared" si="84"/>
        <v>354.12080363850367</v>
      </c>
    </row>
    <row r="60" spans="2:15" x14ac:dyDescent="0.25">
      <c r="B60" s="200" t="s">
        <v>143</v>
      </c>
      <c r="C60" s="201">
        <f>'Proposed price'!BN15</f>
        <v>69.464809339196862</v>
      </c>
      <c r="D60" s="202">
        <f>D58*D$4</f>
        <v>69.464809339196847</v>
      </c>
      <c r="E60" s="202">
        <f t="shared" ref="E60:H60" si="85">E58*E$4</f>
        <v>69.464809339196847</v>
      </c>
      <c r="F60" s="202">
        <f t="shared" si="85"/>
        <v>70.077494194938666</v>
      </c>
      <c r="G60" s="202">
        <f t="shared" si="85"/>
        <v>71.380087374023475</v>
      </c>
      <c r="H60" s="202">
        <f t="shared" si="85"/>
        <v>73.325857049432173</v>
      </c>
      <c r="J60" s="201">
        <f>'Proposed price'!BN35</f>
        <v>114.88320484464812</v>
      </c>
      <c r="K60" s="202">
        <f>K58*K$4</f>
        <v>114.88320484464813</v>
      </c>
      <c r="L60" s="202">
        <f t="shared" ref="L60:O60" si="86">L58*L$4</f>
        <v>114.88320484464813</v>
      </c>
      <c r="M60" s="202">
        <f t="shared" si="86"/>
        <v>115.99549205094991</v>
      </c>
      <c r="N60" s="202">
        <f t="shared" si="86"/>
        <v>118.36026035643998</v>
      </c>
      <c r="O60" s="202">
        <f t="shared" si="86"/>
        <v>121.89267134405391</v>
      </c>
    </row>
    <row r="61" spans="2:15" x14ac:dyDescent="0.25">
      <c r="B61" s="200" t="s">
        <v>144</v>
      </c>
      <c r="C61" s="201">
        <f>'Proposed price'!BO15</f>
        <v>44.673419710858752</v>
      </c>
      <c r="D61" s="202">
        <f>SUM(D58:D60)*D$5</f>
        <v>44.673419710858745</v>
      </c>
      <c r="E61" s="202">
        <f t="shared" ref="E61:H61" si="87">SUM(E58:E60)*E$5</f>
        <v>44.673419710858745</v>
      </c>
      <c r="F61" s="202">
        <f t="shared" si="87"/>
        <v>45.067442640906535</v>
      </c>
      <c r="G61" s="202">
        <f t="shared" si="87"/>
        <v>45.905151580948512</v>
      </c>
      <c r="H61" s="202">
        <f t="shared" si="87"/>
        <v>47.156492888829227</v>
      </c>
      <c r="J61" s="201">
        <f>'Proposed price'!BO35</f>
        <v>73.882382699603411</v>
      </c>
      <c r="K61" s="202">
        <f>SUM(K58:K60)*K$5</f>
        <v>73.882382699603411</v>
      </c>
      <c r="L61" s="202">
        <f t="shared" ref="L61:O61" si="88">SUM(L58:L60)*L$5</f>
        <v>73.882382699603411</v>
      </c>
      <c r="M61" s="202">
        <f t="shared" si="88"/>
        <v>74.597704222527383</v>
      </c>
      <c r="N61" s="202">
        <f t="shared" si="88"/>
        <v>76.118507173475436</v>
      </c>
      <c r="O61" s="202">
        <f t="shared" si="88"/>
        <v>78.390231232637021</v>
      </c>
    </row>
    <row r="62" spans="2:15" x14ac:dyDescent="0.25">
      <c r="B62" s="204" t="s">
        <v>171</v>
      </c>
      <c r="C62" s="205">
        <f>'Proposed price'!BP15</f>
        <v>749.07928080923057</v>
      </c>
      <c r="D62" s="206">
        <f>SUM(D58:D61)</f>
        <v>749.07928080923057</v>
      </c>
      <c r="E62" s="206">
        <f t="shared" ref="E62:H62" si="89">SUM(E58:E61)</f>
        <v>749.07928080923057</v>
      </c>
      <c r="F62" s="206">
        <f t="shared" si="89"/>
        <v>755.68621654356389</v>
      </c>
      <c r="G62" s="206">
        <f t="shared" si="89"/>
        <v>769.73283339975194</v>
      </c>
      <c r="H62" s="206">
        <f t="shared" si="89"/>
        <v>790.71519501480248</v>
      </c>
      <c r="J62" s="205">
        <f>'Proposed price'!BP35</f>
        <v>1238.8521509052707</v>
      </c>
      <c r="K62" s="206">
        <f>SUM(K58:K61)</f>
        <v>1238.8521509052705</v>
      </c>
      <c r="L62" s="206">
        <f t="shared" ref="L62:O62" si="90">SUM(L58:L61)</f>
        <v>1238.8521509052705</v>
      </c>
      <c r="M62" s="206">
        <f t="shared" si="90"/>
        <v>1250.8465882106602</v>
      </c>
      <c r="N62" s="206">
        <f t="shared" si="90"/>
        <v>1276.3472547842516</v>
      </c>
      <c r="O62" s="206">
        <f t="shared" si="90"/>
        <v>1314.4392888270397</v>
      </c>
    </row>
    <row r="63" spans="2:15" x14ac:dyDescent="0.25">
      <c r="B63" s="207" t="s">
        <v>172</v>
      </c>
      <c r="C63" s="202"/>
      <c r="D63" s="208">
        <v>45</v>
      </c>
      <c r="E63" s="208">
        <v>45</v>
      </c>
      <c r="F63" s="208">
        <v>45</v>
      </c>
      <c r="G63" s="208">
        <v>45</v>
      </c>
      <c r="H63" s="208">
        <v>45</v>
      </c>
      <c r="J63" s="202"/>
      <c r="K63" s="208">
        <v>5</v>
      </c>
      <c r="L63" s="208">
        <v>5</v>
      </c>
      <c r="M63" s="208">
        <v>5</v>
      </c>
      <c r="N63" s="208">
        <v>5</v>
      </c>
      <c r="O63" s="208">
        <v>5</v>
      </c>
    </row>
    <row r="64" spans="2:15" x14ac:dyDescent="0.25">
      <c r="B64" s="195" t="s">
        <v>173</v>
      </c>
      <c r="C64" s="193"/>
      <c r="D64" s="194">
        <f>D62*D63</f>
        <v>33708.567636415377</v>
      </c>
      <c r="E64" s="194">
        <f t="shared" ref="E64:H64" si="91">E62*E63</f>
        <v>33708.567636415377</v>
      </c>
      <c r="F64" s="194">
        <f t="shared" si="91"/>
        <v>34005.879744460377</v>
      </c>
      <c r="G64" s="194">
        <f t="shared" si="91"/>
        <v>34637.977502988841</v>
      </c>
      <c r="H64" s="194">
        <f t="shared" si="91"/>
        <v>35582.183775666112</v>
      </c>
      <c r="J64" s="193"/>
      <c r="K64" s="194">
        <f>K63*K62</f>
        <v>6194.2607545263527</v>
      </c>
      <c r="L64" s="194">
        <f t="shared" ref="L64:O64" si="92">L63*L62</f>
        <v>6194.2607545263527</v>
      </c>
      <c r="M64" s="194">
        <f t="shared" si="92"/>
        <v>6254.2329410533011</v>
      </c>
      <c r="N64" s="194">
        <f t="shared" si="92"/>
        <v>6381.7362739212585</v>
      </c>
      <c r="O64" s="194">
        <f t="shared" si="92"/>
        <v>6572.1964441351984</v>
      </c>
    </row>
  </sheetData>
  <mergeCells count="10">
    <mergeCell ref="D42:H42"/>
    <mergeCell ref="K42:O42"/>
    <mergeCell ref="D54:H54"/>
    <mergeCell ref="K54:O54"/>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8"/>
  <sheetViews>
    <sheetView showGridLines="0" zoomScale="90" zoomScaleNormal="90" workbookViewId="0">
      <selection activeCell="B28" sqref="B28"/>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1" t="s">
        <v>51</v>
      </c>
      <c r="C2" s="22"/>
      <c r="D2" s="22"/>
      <c r="E2" s="22"/>
      <c r="F2" s="22"/>
      <c r="G2" s="22"/>
      <c r="H2" s="22"/>
      <c r="I2" s="22"/>
    </row>
    <row r="3" spans="2:9" x14ac:dyDescent="0.25">
      <c r="B3" s="1"/>
      <c r="C3" s="1"/>
      <c r="D3" s="1"/>
      <c r="E3" s="1"/>
      <c r="F3" s="1"/>
      <c r="G3" s="1"/>
      <c r="H3" s="1"/>
      <c r="I3" s="1"/>
    </row>
    <row r="4" spans="2:9" x14ac:dyDescent="0.25">
      <c r="B4" s="215" t="s">
        <v>101</v>
      </c>
      <c r="C4" s="215" t="s">
        <v>3</v>
      </c>
      <c r="D4" s="60" t="s">
        <v>60</v>
      </c>
      <c r="E4" s="60" t="s">
        <v>61</v>
      </c>
      <c r="F4" s="60" t="s">
        <v>62</v>
      </c>
      <c r="G4" s="60" t="s">
        <v>102</v>
      </c>
      <c r="H4" s="60" t="s">
        <v>63</v>
      </c>
      <c r="I4" s="210" t="s">
        <v>1</v>
      </c>
    </row>
    <row r="5" spans="2:9" x14ac:dyDescent="0.25">
      <c r="B5" s="223" t="s">
        <v>120</v>
      </c>
      <c r="C5" s="3" t="s">
        <v>103</v>
      </c>
      <c r="D5" s="24">
        <f>'Forecasts by year'!D28+'Forecasts by year'!K28</f>
        <v>11458.042655060744</v>
      </c>
      <c r="E5" s="24">
        <f>'Forecasts by year'!E28+'Forecasts by year'!L28</f>
        <v>11458.042655060744</v>
      </c>
      <c r="F5" s="24">
        <f>'Forecasts by year'!F28+'Forecasts by year'!M28</f>
        <v>11561.557864203402</v>
      </c>
      <c r="G5" s="24">
        <f>'Forecasts by year'!G28+'Forecasts by year'!N28</f>
        <v>11781.635452374741</v>
      </c>
      <c r="H5" s="24">
        <f>'Forecasts by year'!H28+'Forecasts by year'!O28</f>
        <v>12110.379917013914</v>
      </c>
      <c r="I5" s="212">
        <f t="shared" ref="I5:I8" si="0">SUM(D5:H5)</f>
        <v>58369.658543713551</v>
      </c>
    </row>
    <row r="6" spans="2:9" x14ac:dyDescent="0.25">
      <c r="B6" s="3"/>
      <c r="C6" s="3" t="s">
        <v>105</v>
      </c>
      <c r="D6" s="4">
        <f>'Forecasts by year'!D40+'Forecasts by year'!K40</f>
        <v>68588.731495923988</v>
      </c>
      <c r="E6" s="4">
        <f>'Forecasts by year'!E40+'Forecasts by year'!L40</f>
        <v>68588.731495923988</v>
      </c>
      <c r="F6" s="4">
        <f>'Forecasts by year'!F40+'Forecasts by year'!M40</f>
        <v>69241.852872095595</v>
      </c>
      <c r="G6" s="4">
        <f>'Forecasts by year'!G40+'Forecasts by year'!N40</f>
        <v>70630.415755187569</v>
      </c>
      <c r="H6" s="4">
        <f>'Forecasts by year'!H40+'Forecasts by year'!O40</f>
        <v>72704.60406946743</v>
      </c>
      <c r="I6" s="212">
        <f t="shared" si="0"/>
        <v>349754.33568859857</v>
      </c>
    </row>
    <row r="7" spans="2:9" x14ac:dyDescent="0.25">
      <c r="B7" s="3"/>
      <c r="C7" s="3" t="s">
        <v>106</v>
      </c>
      <c r="D7" s="4">
        <f>'Forecasts by year'!D52+'Forecasts by year'!K52</f>
        <v>14604.031979800666</v>
      </c>
      <c r="E7" s="4">
        <f>'Forecasts by year'!E52+'Forecasts by year'!L52</f>
        <v>14604.031979800666</v>
      </c>
      <c r="F7" s="4">
        <f>'Forecasts by year'!F52+'Forecasts by year'!M52</f>
        <v>14736.522256499709</v>
      </c>
      <c r="G7" s="4">
        <f>'Forecasts by year'!G52+'Forecasts by year'!N52</f>
        <v>15018.202028907792</v>
      </c>
      <c r="H7" s="4">
        <f>'Forecasts by year'!H52+'Forecasts by year'!O52</f>
        <v>15438.965754780173</v>
      </c>
      <c r="I7" s="212">
        <f t="shared" si="0"/>
        <v>74401.753999789013</v>
      </c>
    </row>
    <row r="8" spans="2:9" x14ac:dyDescent="0.25">
      <c r="B8" s="3"/>
      <c r="C8" s="3" t="s">
        <v>68</v>
      </c>
      <c r="D8" s="4">
        <f>'Forecasts by year'!D64+'Forecasts by year'!K64</f>
        <v>39902.82839094173</v>
      </c>
      <c r="E8" s="4">
        <f>'Forecasts by year'!E64+'Forecasts by year'!L64</f>
        <v>39902.82839094173</v>
      </c>
      <c r="F8" s="4">
        <f>'Forecasts by year'!F64+'Forecasts by year'!M64</f>
        <v>40260.112685513675</v>
      </c>
      <c r="G8" s="4">
        <f>'Forecasts by year'!G64+'Forecasts by year'!N64</f>
        <v>41019.713776910095</v>
      </c>
      <c r="H8" s="4">
        <f>'Forecasts by year'!H64+'Forecasts by year'!O64</f>
        <v>42154.380219801307</v>
      </c>
      <c r="I8" s="212">
        <f t="shared" si="0"/>
        <v>203239.86346410852</v>
      </c>
    </row>
    <row r="9" spans="2:9" x14ac:dyDescent="0.25">
      <c r="B9" s="14" t="s">
        <v>1</v>
      </c>
      <c r="C9" s="14"/>
      <c r="D9" s="214">
        <f>SUM(D5:D8)</f>
        <v>134553.63452172713</v>
      </c>
      <c r="E9" s="214">
        <f>SUM(E5:E8)</f>
        <v>134553.63452172713</v>
      </c>
      <c r="F9" s="214">
        <f>SUM(F5:F8)</f>
        <v>135800.0456783124</v>
      </c>
      <c r="G9" s="214">
        <f>SUM(G5:G8)</f>
        <v>138449.9670133802</v>
      </c>
      <c r="H9" s="214">
        <f>SUM(H5:H8)</f>
        <v>142408.32996106282</v>
      </c>
      <c r="I9" s="214">
        <f>SUM(I5:I8)</f>
        <v>685765.61169620964</v>
      </c>
    </row>
    <row r="10" spans="2:9" x14ac:dyDescent="0.25">
      <c r="B10" s="1"/>
      <c r="C10" s="1"/>
      <c r="D10" s="1"/>
      <c r="E10" s="1"/>
      <c r="F10" s="1"/>
      <c r="G10" s="1"/>
      <c r="H10" s="1"/>
      <c r="I10" s="1"/>
    </row>
    <row r="11" spans="2:9" x14ac:dyDescent="0.25">
      <c r="B11" s="21" t="s">
        <v>27</v>
      </c>
      <c r="C11" s="22"/>
      <c r="D11" s="22"/>
      <c r="E11" s="22"/>
      <c r="F11" s="22"/>
      <c r="G11" s="22"/>
      <c r="H11" s="22"/>
      <c r="I11" s="22"/>
    </row>
    <row r="12" spans="2:9" x14ac:dyDescent="0.25">
      <c r="B12" s="215" t="s">
        <v>101</v>
      </c>
      <c r="C12" s="215" t="s">
        <v>3</v>
      </c>
      <c r="D12" s="60" t="s">
        <v>60</v>
      </c>
      <c r="E12" s="60" t="s">
        <v>61</v>
      </c>
      <c r="F12" s="60" t="s">
        <v>62</v>
      </c>
      <c r="G12" s="60" t="s">
        <v>102</v>
      </c>
      <c r="H12" s="60" t="s">
        <v>63</v>
      </c>
      <c r="I12" s="210" t="s">
        <v>1</v>
      </c>
    </row>
    <row r="13" spans="2:9" x14ac:dyDescent="0.25">
      <c r="B13" s="223" t="s">
        <v>120</v>
      </c>
      <c r="C13" s="3" t="s">
        <v>103</v>
      </c>
      <c r="D13" s="93">
        <v>120</v>
      </c>
      <c r="E13" s="93">
        <v>120</v>
      </c>
      <c r="F13" s="93">
        <v>120</v>
      </c>
      <c r="G13" s="93">
        <v>120</v>
      </c>
      <c r="H13" s="93">
        <v>120</v>
      </c>
      <c r="I13" s="166">
        <f>SUM(D13:H13)</f>
        <v>600</v>
      </c>
    </row>
    <row r="14" spans="2:9" x14ac:dyDescent="0.25">
      <c r="B14" s="3"/>
      <c r="C14" s="3" t="s">
        <v>105</v>
      </c>
      <c r="D14" s="93">
        <v>30</v>
      </c>
      <c r="E14" s="93">
        <v>30</v>
      </c>
      <c r="F14" s="93">
        <v>30</v>
      </c>
      <c r="G14" s="93">
        <v>30</v>
      </c>
      <c r="H14" s="93">
        <v>30</v>
      </c>
      <c r="I14" s="166">
        <f>SUM(D14:H14)</f>
        <v>150</v>
      </c>
    </row>
    <row r="15" spans="2:9" x14ac:dyDescent="0.25">
      <c r="B15" s="3"/>
      <c r="C15" s="3" t="s">
        <v>106</v>
      </c>
      <c r="D15" s="93">
        <v>150</v>
      </c>
      <c r="E15" s="93">
        <v>150</v>
      </c>
      <c r="F15" s="93">
        <v>150</v>
      </c>
      <c r="G15" s="93">
        <v>150</v>
      </c>
      <c r="H15" s="93">
        <v>150</v>
      </c>
      <c r="I15" s="166">
        <f>SUM(D15:H15)</f>
        <v>750</v>
      </c>
    </row>
    <row r="16" spans="2:9" x14ac:dyDescent="0.25">
      <c r="B16" s="3"/>
      <c r="C16" s="3" t="s">
        <v>68</v>
      </c>
      <c r="D16" s="7">
        <v>50</v>
      </c>
      <c r="E16" s="7">
        <v>50</v>
      </c>
      <c r="F16" s="7">
        <v>50</v>
      </c>
      <c r="G16" s="7">
        <v>50</v>
      </c>
      <c r="H16" s="7">
        <v>50</v>
      </c>
      <c r="I16" s="166">
        <f>SUM(D16:H16)</f>
        <v>250</v>
      </c>
    </row>
    <row r="17" spans="2:9" x14ac:dyDescent="0.25">
      <c r="B17" s="14" t="s">
        <v>17</v>
      </c>
      <c r="C17" s="14"/>
      <c r="D17" s="218">
        <f>SUM(D13:D16)</f>
        <v>350</v>
      </c>
      <c r="E17" s="218">
        <f>SUM(E13:E16)</f>
        <v>350</v>
      </c>
      <c r="F17" s="218">
        <f>SUM(F13:F16)</f>
        <v>350</v>
      </c>
      <c r="G17" s="218">
        <f>SUM(G13:G16)</f>
        <v>350</v>
      </c>
      <c r="H17" s="218">
        <f>SUM(H13:H16)</f>
        <v>350</v>
      </c>
      <c r="I17" s="218">
        <f>SUM(I13:I16)</f>
        <v>1750</v>
      </c>
    </row>
    <row r="18" spans="2:9" x14ac:dyDescent="0.25">
      <c r="B18" s="1"/>
      <c r="C18" s="1"/>
      <c r="D18" s="8"/>
      <c r="E18" s="8"/>
      <c r="F18" s="8"/>
      <c r="G18" s="8"/>
      <c r="H18" s="8"/>
      <c r="I18" s="8"/>
    </row>
    <row r="19" spans="2:9" x14ac:dyDescent="0.25">
      <c r="B19" s="9" t="s">
        <v>6</v>
      </c>
      <c r="C19" s="1"/>
      <c r="D19" s="8"/>
      <c r="E19" s="8"/>
      <c r="F19" s="8"/>
      <c r="G19" s="8"/>
      <c r="H19" s="8"/>
      <c r="I19" s="8"/>
    </row>
    <row r="20" spans="2:9" x14ac:dyDescent="0.25">
      <c r="B20" s="266" t="s">
        <v>108</v>
      </c>
      <c r="C20" s="267"/>
      <c r="D20" s="267"/>
      <c r="E20" s="267"/>
      <c r="F20" s="267"/>
      <c r="G20" s="267"/>
      <c r="H20" s="267"/>
      <c r="I20" s="267"/>
    </row>
    <row r="21" spans="2:9" x14ac:dyDescent="0.25">
      <c r="B21" s="268"/>
      <c r="C21" s="268"/>
      <c r="D21" s="268"/>
      <c r="E21" s="268"/>
      <c r="F21" s="268"/>
      <c r="G21" s="268"/>
      <c r="H21" s="268"/>
      <c r="I21" s="268"/>
    </row>
    <row r="22" spans="2:9" x14ac:dyDescent="0.25">
      <c r="B22" s="1"/>
      <c r="C22" s="1"/>
      <c r="D22" s="8"/>
      <c r="E22" s="8"/>
      <c r="F22" s="8"/>
      <c r="G22" s="8"/>
      <c r="H22" s="8"/>
      <c r="I22" s="8"/>
    </row>
    <row r="23" spans="2:9" x14ac:dyDescent="0.25">
      <c r="B23" s="21" t="s">
        <v>28</v>
      </c>
      <c r="C23" s="22"/>
      <c r="D23" s="22"/>
      <c r="E23" s="22"/>
      <c r="F23" s="22"/>
      <c r="G23" s="22"/>
      <c r="H23" s="22"/>
      <c r="I23" s="22"/>
    </row>
    <row r="24" spans="2:9" x14ac:dyDescent="0.25">
      <c r="B24" s="10" t="s">
        <v>26</v>
      </c>
      <c r="C24" s="11"/>
      <c r="D24" s="11"/>
      <c r="E24" s="11"/>
      <c r="F24" s="11"/>
      <c r="G24" s="11"/>
      <c r="H24" s="11"/>
      <c r="I24" s="11"/>
    </row>
    <row r="25" spans="2:9" x14ac:dyDescent="0.25">
      <c r="B25" s="252" t="s">
        <v>154</v>
      </c>
      <c r="C25" s="252"/>
      <c r="D25" s="252"/>
      <c r="E25" s="252"/>
      <c r="F25" s="252"/>
      <c r="G25" s="252"/>
      <c r="H25" s="252"/>
      <c r="I25" s="252"/>
    </row>
    <row r="26" spans="2:9" x14ac:dyDescent="0.25">
      <c r="B26" s="254"/>
      <c r="C26" s="254"/>
      <c r="D26" s="254"/>
      <c r="E26" s="254"/>
      <c r="F26" s="254"/>
      <c r="G26" s="254"/>
      <c r="H26" s="254"/>
      <c r="I26" s="254"/>
    </row>
    <row r="27" spans="2:9" x14ac:dyDescent="0.25">
      <c r="B27" s="12"/>
      <c r="C27" s="13"/>
      <c r="D27" s="13"/>
      <c r="E27" s="13"/>
      <c r="F27" s="13"/>
      <c r="G27" s="13"/>
      <c r="H27" s="13"/>
      <c r="I27" s="13"/>
    </row>
    <row r="28" spans="2:9" x14ac:dyDescent="0.25">
      <c r="B28" s="1"/>
      <c r="C28" s="1"/>
      <c r="D28" s="1"/>
      <c r="E28" s="1"/>
      <c r="F28" s="1"/>
      <c r="G28" s="1"/>
      <c r="H28" s="1"/>
      <c r="I28" s="1"/>
    </row>
    <row r="29" spans="2:9" x14ac:dyDescent="0.25">
      <c r="B29" s="26" t="s">
        <v>48</v>
      </c>
      <c r="C29" s="27"/>
      <c r="D29" s="269" t="s">
        <v>149</v>
      </c>
      <c r="E29" s="269"/>
      <c r="F29" s="269"/>
      <c r="G29" s="269"/>
      <c r="H29" s="269"/>
      <c r="I29" s="27"/>
    </row>
    <row r="30" spans="2:9" ht="15.75" customHeight="1" x14ac:dyDescent="0.25">
      <c r="B30" s="2" t="s">
        <v>20</v>
      </c>
      <c r="C30" s="14" t="s">
        <v>3</v>
      </c>
      <c r="D30" s="61" t="s">
        <v>60</v>
      </c>
      <c r="E30" s="61" t="s">
        <v>61</v>
      </c>
      <c r="F30" s="61" t="s">
        <v>62</v>
      </c>
      <c r="G30" s="61" t="s">
        <v>102</v>
      </c>
      <c r="H30" s="110" t="s">
        <v>63</v>
      </c>
      <c r="I30" s="15" t="s">
        <v>1</v>
      </c>
    </row>
    <row r="31" spans="2:9" s="181" customFormat="1" x14ac:dyDescent="0.25">
      <c r="B31" s="178" t="s">
        <v>150</v>
      </c>
      <c r="C31" s="179"/>
      <c r="D31" s="92">
        <f>'Forecasts by year'!D8+'Forecasts by year'!K8</f>
        <v>65518.211842151613</v>
      </c>
      <c r="E31" s="92">
        <f>'Forecasts by year'!E8+'Forecasts by year'!L8</f>
        <v>65518.211842151613</v>
      </c>
      <c r="F31" s="92">
        <f>'Forecasts by year'!F8+'Forecasts by year'!M8</f>
        <v>66238.912172415279</v>
      </c>
      <c r="G31" s="92">
        <f>'Forecasts by year'!G8+'Forecasts by year'!N8</f>
        <v>67771.150688787588</v>
      </c>
      <c r="H31" s="92">
        <f>'Forecasts by year'!H8+'Forecasts by year'!O8</f>
        <v>70059.956809164418</v>
      </c>
      <c r="I31" s="180">
        <f t="shared" ref="I31:I33" si="1">SUM(D31:H31)</f>
        <v>335106.44335467054</v>
      </c>
    </row>
    <row r="32" spans="2:9" s="181" customFormat="1" x14ac:dyDescent="0.25">
      <c r="B32" s="178" t="s">
        <v>151</v>
      </c>
      <c r="C32" s="182"/>
      <c r="D32" s="92">
        <f>'Forecasts by year'!D9+'Forecasts by year'!K9</f>
        <v>12283.441589495582</v>
      </c>
      <c r="E32" s="92">
        <f>'Forecasts by year'!E9+'Forecasts by year'!L9</f>
        <v>12283.441589495582</v>
      </c>
      <c r="F32" s="92">
        <f>'Forecasts by year'!F9+'Forecasts by year'!M9</f>
        <v>12283.441589495582</v>
      </c>
      <c r="G32" s="92">
        <f>'Forecasts by year'!G9+'Forecasts by year'!N9</f>
        <v>12283.441589495582</v>
      </c>
      <c r="H32" s="92">
        <f>'Forecasts by year'!H9+'Forecasts by year'!O9</f>
        <v>12283.441589495582</v>
      </c>
      <c r="I32" s="180">
        <f t="shared" si="1"/>
        <v>61417.207947477909</v>
      </c>
    </row>
    <row r="33" spans="2:9" s="181" customFormat="1" x14ac:dyDescent="0.25">
      <c r="B33" s="178" t="s">
        <v>138</v>
      </c>
      <c r="C33" s="182"/>
      <c r="D33" s="92">
        <f>'Forecasts by year'!D10+'Forecasts by year'!K10</f>
        <v>0</v>
      </c>
      <c r="E33" s="92">
        <f>'Forecasts by year'!E10+'Forecasts by year'!L10</f>
        <v>0</v>
      </c>
      <c r="F33" s="92">
        <f>'Forecasts by year'!F10+'Forecasts by year'!M10</f>
        <v>0</v>
      </c>
      <c r="G33" s="92">
        <f>'Forecasts by year'!G10+'Forecasts by year'!N10</f>
        <v>0</v>
      </c>
      <c r="H33" s="92">
        <f>'Forecasts by year'!H10+'Forecasts by year'!O10</f>
        <v>0</v>
      </c>
      <c r="I33" s="180">
        <f t="shared" si="1"/>
        <v>0</v>
      </c>
    </row>
    <row r="34" spans="2:9" s="181" customFormat="1" x14ac:dyDescent="0.25">
      <c r="B34" s="183" t="s">
        <v>152</v>
      </c>
      <c r="C34" s="182"/>
      <c r="D34" s="184">
        <f>'Forecasts by year'!D11+'Forecasts by year'!K11</f>
        <v>77801.653431647195</v>
      </c>
      <c r="E34" s="184">
        <f>'Forecasts by year'!E11+'Forecasts by year'!L11</f>
        <v>77801.653431647195</v>
      </c>
      <c r="F34" s="184">
        <f>'Forecasts by year'!F11+'Forecasts by year'!M11</f>
        <v>78522.353761910868</v>
      </c>
      <c r="G34" s="184">
        <f>'Forecasts by year'!G11+'Forecasts by year'!N11</f>
        <v>80054.592278283162</v>
      </c>
      <c r="H34" s="184">
        <f>'Forecasts by year'!H11+'Forecasts by year'!O11</f>
        <v>82343.398398660007</v>
      </c>
      <c r="I34" s="180">
        <f>SUM(D34:H34)</f>
        <v>396523.65130214841</v>
      </c>
    </row>
    <row r="35" spans="2:9" x14ac:dyDescent="0.25">
      <c r="B35" s="5" t="s">
        <v>142</v>
      </c>
      <c r="C35" s="6"/>
      <c r="D35" s="92">
        <f>'Forecasts by year'!D12+'Forecasts by year'!K12</f>
        <v>36249.860753808694</v>
      </c>
      <c r="E35" s="92">
        <f>'Forecasts by year'!E12+'Forecasts by year'!L12</f>
        <v>36249.860753808694</v>
      </c>
      <c r="F35" s="92">
        <f>'Forecasts by year'!F12+'Forecasts by year'!M12</f>
        <v>36585.654216607451</v>
      </c>
      <c r="G35" s="92">
        <f>'Forecasts by year'!G12+'Forecasts by year'!N12</f>
        <v>37299.564916576273</v>
      </c>
      <c r="H35" s="92">
        <f>'Forecasts by year'!H12+'Forecasts by year'!O12</f>
        <v>38365.980596662266</v>
      </c>
      <c r="I35" s="180">
        <f>SUM(D35:H35)</f>
        <v>184750.92123746336</v>
      </c>
    </row>
    <row r="36" spans="2:9" x14ac:dyDescent="0.25">
      <c r="B36" s="5" t="s">
        <v>143</v>
      </c>
      <c r="C36" s="3"/>
      <c r="D36" s="92">
        <f>'Forecasts by year'!D13+'Forecasts by year'!K13</f>
        <v>12477.641295658934</v>
      </c>
      <c r="E36" s="92">
        <f>'Forecasts by year'!E13+'Forecasts by year'!L13</f>
        <v>12477.641295658934</v>
      </c>
      <c r="F36" s="92">
        <f>'Forecasts by year'!F13+'Forecasts by year'!M13</f>
        <v>12593.225474221328</v>
      </c>
      <c r="G36" s="92">
        <f>'Forecasts by year'!G13+'Forecasts by year'!N13</f>
        <v>12838.962187303949</v>
      </c>
      <c r="H36" s="92">
        <f>'Forecasts by year'!H13+'Forecasts by year'!O13</f>
        <v>13206.035385696337</v>
      </c>
      <c r="I36" s="180">
        <f>SUM(D36:H36)</f>
        <v>63593.505638539486</v>
      </c>
    </row>
    <row r="37" spans="2:9" x14ac:dyDescent="0.25">
      <c r="B37" s="5" t="s">
        <v>153</v>
      </c>
      <c r="C37" s="3"/>
      <c r="D37" s="92">
        <f>'Forecasts by year'!D14+'Forecasts by year'!K14</f>
        <v>8024.4790406123029</v>
      </c>
      <c r="E37" s="92">
        <f>'Forecasts by year'!E14+'Forecasts by year'!L14</f>
        <v>8024.4790406123029</v>
      </c>
      <c r="F37" s="92">
        <f>'Forecasts by year'!F14+'Forecasts by year'!M14</f>
        <v>8098.8122255727485</v>
      </c>
      <c r="G37" s="92">
        <f>'Forecasts by year'!G14+'Forecasts by year'!N14</f>
        <v>8256.8476312168023</v>
      </c>
      <c r="H37" s="92">
        <f>'Forecasts by year'!H14+'Forecasts by year'!O14</f>
        <v>8492.9155800442004</v>
      </c>
      <c r="I37" s="180">
        <f>SUM(D37:H37)</f>
        <v>40897.533518058357</v>
      </c>
    </row>
    <row r="38" spans="2:9" x14ac:dyDescent="0.25">
      <c r="B38" s="16" t="s">
        <v>1</v>
      </c>
      <c r="C38" s="17"/>
      <c r="D38" s="18" t="s">
        <v>175</v>
      </c>
      <c r="E38" s="18">
        <f t="shared" ref="E38:H38" si="2">SUM(E34:E37)</f>
        <v>134553.63452172713</v>
      </c>
      <c r="F38" s="18">
        <f t="shared" si="2"/>
        <v>135800.0456783124</v>
      </c>
      <c r="G38" s="18">
        <f t="shared" si="2"/>
        <v>138449.96701338017</v>
      </c>
      <c r="H38" s="18">
        <f t="shared" si="2"/>
        <v>142408.32996106282</v>
      </c>
      <c r="I38" s="19">
        <f>SUM(I34:I37)</f>
        <v>685765.61169620953</v>
      </c>
    </row>
  </sheetData>
  <mergeCells count="3">
    <mergeCell ref="B20:I21"/>
    <mergeCell ref="B25:I26"/>
    <mergeCell ref="D29:H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2017-10-06T02:32:43Z</cp:lastPrinted>
  <dcterms:created xsi:type="dcterms:W3CDTF">2013-06-17T01:25:32Z</dcterms:created>
  <dcterms:modified xsi:type="dcterms:W3CDTF">2018-04-17T02:08:34Z</dcterms:modified>
</cp:coreProperties>
</file>