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1_Special Meter Reading - Test\"/>
    </mc:Choice>
  </mc:AlternateContent>
  <xr:revisionPtr revIDLastSave="0" documentId="13_ncr:1_{35CD783A-D14A-4F82-A7AB-A33A76A82949}"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Fee" sheetId="11" r:id="rId4"/>
    <sheet name="Historical Revenue" sheetId="13"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6" i="13" l="1"/>
  <c r="I14" i="15"/>
  <c r="I15" i="15"/>
  <c r="I16" i="15"/>
  <c r="I17" i="15"/>
  <c r="B20" i="9"/>
  <c r="H5" i="17" l="1"/>
  <c r="G5" i="17"/>
  <c r="F5" i="17"/>
  <c r="E5" i="17"/>
  <c r="D5" i="17"/>
  <c r="H2" i="17"/>
  <c r="G2" i="17"/>
  <c r="F2" i="17"/>
  <c r="E2" i="17"/>
  <c r="D2" i="17"/>
  <c r="H1" i="17"/>
  <c r="G1" i="17"/>
  <c r="F1" i="17"/>
  <c r="E1" i="17"/>
  <c r="D1" i="17"/>
  <c r="I23" i="11"/>
  <c r="H23" i="11"/>
  <c r="I22" i="11"/>
  <c r="H22" i="11"/>
  <c r="I21" i="11"/>
  <c r="H21" i="11"/>
  <c r="I20" i="11"/>
  <c r="H20" i="11"/>
  <c r="I19" i="11"/>
  <c r="H19" i="11"/>
  <c r="I14" i="11"/>
  <c r="H14" i="11"/>
  <c r="I13" i="11"/>
  <c r="H13" i="11"/>
  <c r="I12" i="11"/>
  <c r="H12" i="11"/>
  <c r="I11" i="11"/>
  <c r="H11" i="11"/>
  <c r="I10" i="11"/>
  <c r="H10" i="11"/>
  <c r="I9" i="11"/>
  <c r="H9" i="11"/>
  <c r="I8" i="11"/>
  <c r="H8" i="11"/>
  <c r="I7" i="11"/>
  <c r="H7" i="11"/>
  <c r="D39" i="17" l="1"/>
  <c r="D27" i="17"/>
  <c r="L33" i="17"/>
  <c r="M33" i="17" s="1"/>
  <c r="N33" i="17" s="1"/>
  <c r="O33" i="17" s="1"/>
  <c r="K33" i="17"/>
  <c r="K32" i="17"/>
  <c r="L32" i="17" s="1"/>
  <c r="M32" i="17" s="1"/>
  <c r="N32" i="17" s="1"/>
  <c r="O32" i="17" s="1"/>
  <c r="M21" i="17"/>
  <c r="N21" i="17" s="1"/>
  <c r="O21" i="17" s="1"/>
  <c r="L21" i="17"/>
  <c r="K21" i="17"/>
  <c r="L20" i="17"/>
  <c r="M20" i="17" s="1"/>
  <c r="N20" i="17" s="1"/>
  <c r="O20" i="17" s="1"/>
  <c r="K20" i="17"/>
  <c r="N5" i="17"/>
  <c r="K5" i="17"/>
  <c r="M5" i="17"/>
  <c r="M1" i="17"/>
  <c r="O1" i="17"/>
  <c r="N1" i="17"/>
  <c r="L1" i="17"/>
  <c r="K1" i="17"/>
  <c r="K19" i="17" s="1"/>
  <c r="I14" i="13"/>
  <c r="I8" i="13"/>
  <c r="I9" i="13"/>
  <c r="G25" i="11"/>
  <c r="H25" i="11"/>
  <c r="C31" i="17" s="1"/>
  <c r="D31" i="17" s="1"/>
  <c r="E31" i="17" s="1"/>
  <c r="F31" i="17" s="1"/>
  <c r="G31" i="17" s="1"/>
  <c r="H31" i="17" s="1"/>
  <c r="I25" i="11"/>
  <c r="C32" i="17" s="1"/>
  <c r="D32" i="17" s="1"/>
  <c r="E32" i="17" s="1"/>
  <c r="F32" i="17" s="1"/>
  <c r="G32" i="17" s="1"/>
  <c r="H32" i="17" s="1"/>
  <c r="J25" i="11"/>
  <c r="C33" i="17" s="1"/>
  <c r="D33" i="17" s="1"/>
  <c r="E33" i="17" s="1"/>
  <c r="F33" i="17" s="1"/>
  <c r="G33" i="17" s="1"/>
  <c r="H33" i="17" s="1"/>
  <c r="K25" i="11"/>
  <c r="L25" i="11"/>
  <c r="F25" i="11"/>
  <c r="F20" i="11"/>
  <c r="F21" i="11"/>
  <c r="F22" i="11"/>
  <c r="F23" i="11"/>
  <c r="F19" i="11"/>
  <c r="G15" i="11"/>
  <c r="H15" i="11"/>
  <c r="C19" i="17" s="1"/>
  <c r="I15" i="11"/>
  <c r="C20" i="17" s="1"/>
  <c r="D20" i="17" s="1"/>
  <c r="J15" i="11"/>
  <c r="C21" i="17" s="1"/>
  <c r="D21" i="17" s="1"/>
  <c r="K15" i="11"/>
  <c r="L15" i="11"/>
  <c r="F15" i="11"/>
  <c r="M8" i="11"/>
  <c r="M9" i="11"/>
  <c r="M10" i="11"/>
  <c r="M11" i="11"/>
  <c r="M12" i="11"/>
  <c r="M13" i="11"/>
  <c r="M14" i="11"/>
  <c r="M7" i="11"/>
  <c r="F8" i="11"/>
  <c r="F9" i="11"/>
  <c r="F10" i="11"/>
  <c r="F11" i="11"/>
  <c r="F12" i="11"/>
  <c r="F13" i="11"/>
  <c r="F14" i="11"/>
  <c r="F7" i="11"/>
  <c r="D9" i="17" l="1"/>
  <c r="D28" i="16" s="1"/>
  <c r="M15" i="11"/>
  <c r="C22" i="17" s="1"/>
  <c r="E21" i="17"/>
  <c r="D10" i="17"/>
  <c r="D29" i="16" s="1"/>
  <c r="K31" i="17"/>
  <c r="L31" i="17" s="1"/>
  <c r="L34" i="17" s="1"/>
  <c r="D34" i="17"/>
  <c r="K22" i="17"/>
  <c r="L19" i="17"/>
  <c r="L5" i="17"/>
  <c r="E20" i="17"/>
  <c r="O5" i="17"/>
  <c r="D19" i="17"/>
  <c r="D8" i="17" s="1"/>
  <c r="D27" i="16" s="1"/>
  <c r="M21" i="11"/>
  <c r="M23" i="11"/>
  <c r="M22" i="11"/>
  <c r="M20" i="11"/>
  <c r="M19" i="11"/>
  <c r="M31" i="17" l="1"/>
  <c r="N31" i="17" s="1"/>
  <c r="F21" i="17"/>
  <c r="K34" i="17"/>
  <c r="M25" i="11"/>
  <c r="C34" i="17" s="1"/>
  <c r="D22" i="17"/>
  <c r="D11" i="17" s="1"/>
  <c r="D30" i="16" s="1"/>
  <c r="E19" i="17"/>
  <c r="L22" i="17"/>
  <c r="M19" i="17"/>
  <c r="F20" i="17"/>
  <c r="M34" i="17" l="1"/>
  <c r="G21" i="17"/>
  <c r="C43" i="8"/>
  <c r="O31" i="17"/>
  <c r="O34" i="17" s="1"/>
  <c r="N34" i="17"/>
  <c r="E22" i="17"/>
  <c r="F19" i="17"/>
  <c r="N19" i="17"/>
  <c r="M22" i="17"/>
  <c r="G20" i="17"/>
  <c r="H21" i="17" l="1"/>
  <c r="N22" i="17"/>
  <c r="O19" i="17"/>
  <c r="O22" i="17" s="1"/>
  <c r="F22" i="17"/>
  <c r="G19" i="17"/>
  <c r="H20" i="17"/>
  <c r="E34" i="17" l="1"/>
  <c r="G22" i="17"/>
  <c r="H19" i="17"/>
  <c r="F34" i="17" l="1"/>
  <c r="H22" i="17"/>
  <c r="G34" i="17" l="1"/>
  <c r="H34" i="17" l="1"/>
  <c r="E11" i="16" l="1"/>
  <c r="E10" i="16"/>
  <c r="H14" i="15"/>
  <c r="H15" i="15"/>
  <c r="H16" i="15"/>
  <c r="H17" i="15"/>
  <c r="H13" i="15"/>
  <c r="I13" i="15" s="1"/>
  <c r="H5" i="15"/>
  <c r="I5" i="15" s="1"/>
  <c r="H6" i="15"/>
  <c r="I6" i="15" s="1"/>
  <c r="H7" i="15"/>
  <c r="I7" i="15" s="1"/>
  <c r="H8" i="15"/>
  <c r="I8" i="15" s="1"/>
  <c r="H4" i="15"/>
  <c r="G25" i="15"/>
  <c r="H25" i="15"/>
  <c r="I15" i="13"/>
  <c r="G17" i="13"/>
  <c r="H17" i="13"/>
  <c r="H7" i="13"/>
  <c r="I7" i="13" s="1"/>
  <c r="H6" i="13"/>
  <c r="G10" i="13"/>
  <c r="I23" i="15"/>
  <c r="I24" i="15"/>
  <c r="I22" i="15"/>
  <c r="G18" i="15"/>
  <c r="G9" i="15"/>
  <c r="F10" i="16" l="1"/>
  <c r="E27" i="17"/>
  <c r="F11" i="16"/>
  <c r="E39" i="17"/>
  <c r="H10" i="13"/>
  <c r="I6" i="13"/>
  <c r="H18" i="15"/>
  <c r="H9" i="15"/>
  <c r="I4" i="15"/>
  <c r="F17" i="13"/>
  <c r="G11" i="16" l="1"/>
  <c r="F39" i="17"/>
  <c r="E9" i="17"/>
  <c r="E28" i="16" s="1"/>
  <c r="E10" i="17"/>
  <c r="E29" i="16" s="1"/>
  <c r="E8" i="17"/>
  <c r="E27" i="16" s="1"/>
  <c r="E11" i="17"/>
  <c r="E30" i="16" s="1"/>
  <c r="G10" i="16"/>
  <c r="F27" i="17"/>
  <c r="F18" i="15"/>
  <c r="E18" i="15"/>
  <c r="D18" i="15"/>
  <c r="G12" i="16"/>
  <c r="F59" i="8" s="1"/>
  <c r="F9" i="17" l="1"/>
  <c r="F28" i="16" s="1"/>
  <c r="F10" i="17"/>
  <c r="F29" i="16" s="1"/>
  <c r="F8" i="17"/>
  <c r="F27" i="16" s="1"/>
  <c r="F11" i="17"/>
  <c r="F30" i="16" s="1"/>
  <c r="E43" i="8" s="1"/>
  <c r="H10" i="16"/>
  <c r="H27" i="17" s="1"/>
  <c r="G27" i="17"/>
  <c r="I10" i="16"/>
  <c r="D43" i="8"/>
  <c r="H11" i="16"/>
  <c r="G39" i="17"/>
  <c r="I18" i="15"/>
  <c r="H39" i="17" l="1"/>
  <c r="H10" i="17" s="1"/>
  <c r="H29" i="16" s="1"/>
  <c r="I11" i="16"/>
  <c r="G9" i="17"/>
  <c r="G28" i="16" s="1"/>
  <c r="G10" i="17"/>
  <c r="G29" i="16" s="1"/>
  <c r="I29" i="16" s="1"/>
  <c r="G8" i="17"/>
  <c r="G27" i="16" s="1"/>
  <c r="G11" i="17"/>
  <c r="G30" i="16" s="1"/>
  <c r="F43" i="8" s="1"/>
  <c r="H9" i="17"/>
  <c r="H28" i="16" s="1"/>
  <c r="H8" i="17"/>
  <c r="H27" i="16" s="1"/>
  <c r="I27" i="16" s="1"/>
  <c r="H11" i="17"/>
  <c r="H30" i="16" s="1"/>
  <c r="G43" i="8" s="1"/>
  <c r="H12" i="16"/>
  <c r="G59" i="8" s="1"/>
  <c r="I30" i="16" l="1"/>
  <c r="I28" i="16"/>
  <c r="F25" i="15"/>
  <c r="E25" i="15"/>
  <c r="D25" i="15"/>
  <c r="I25" i="15" l="1"/>
  <c r="E9" i="15"/>
  <c r="D9" i="15"/>
  <c r="F12" i="16"/>
  <c r="E59" i="8" s="1"/>
  <c r="E12" i="16"/>
  <c r="D59" i="8" s="1"/>
  <c r="D12" i="16"/>
  <c r="C59" i="8" s="1"/>
  <c r="E17" i="13"/>
  <c r="D17" i="13"/>
  <c r="F10" i="13"/>
  <c r="E10" i="13"/>
  <c r="D10" i="13"/>
  <c r="H59" i="8" l="1"/>
  <c r="I12" i="16"/>
  <c r="I10" i="13"/>
  <c r="I17" i="13"/>
  <c r="F9" i="15"/>
  <c r="I9" i="15" l="1"/>
  <c r="D3" i="9" l="1"/>
  <c r="H43" i="8" l="1"/>
  <c r="F3" i="17" l="1"/>
  <c r="N20" i="11"/>
  <c r="N14" i="11"/>
  <c r="N10" i="11"/>
  <c r="E3" i="17"/>
  <c r="N21" i="11"/>
  <c r="N11" i="11"/>
  <c r="N7" i="11"/>
  <c r="H3" i="17"/>
  <c r="D3" i="17"/>
  <c r="N22" i="11"/>
  <c r="N12" i="11"/>
  <c r="N8" i="11"/>
  <c r="G3" i="17"/>
  <c r="N23" i="11"/>
  <c r="N19" i="11"/>
  <c r="N13" i="11"/>
  <c r="N9" i="11"/>
  <c r="N25" i="11" l="1"/>
  <c r="C35" i="17" s="1"/>
  <c r="N15" i="11"/>
  <c r="C23" i="17" s="1"/>
  <c r="G23" i="17"/>
  <c r="N3" i="17"/>
  <c r="G35" i="17"/>
  <c r="K3" i="17"/>
  <c r="D35" i="17"/>
  <c r="D23" i="17"/>
  <c r="O3" i="17"/>
  <c r="H35" i="17"/>
  <c r="H23" i="17"/>
  <c r="E23" i="17"/>
  <c r="E35" i="17"/>
  <c r="L3" i="17"/>
  <c r="F23" i="17"/>
  <c r="F35" i="17"/>
  <c r="M3" i="17"/>
  <c r="E12" i="17" l="1"/>
  <c r="E31" i="16" s="1"/>
  <c r="D12" i="17"/>
  <c r="D31" i="16" s="1"/>
  <c r="N35" i="17"/>
  <c r="N23" i="17"/>
  <c r="L23" i="17"/>
  <c r="L35" i="17"/>
  <c r="K35" i="17"/>
  <c r="K23" i="17"/>
  <c r="M35" i="17"/>
  <c r="M23" i="17"/>
  <c r="O35" i="17"/>
  <c r="O23" i="17"/>
  <c r="F12" i="17"/>
  <c r="F31" i="16" s="1"/>
  <c r="H12" i="17"/>
  <c r="H31" i="16" s="1"/>
  <c r="G12" i="17"/>
  <c r="G31" i="16" s="1"/>
  <c r="I31" i="16" l="1"/>
  <c r="E4" i="17" l="1"/>
  <c r="O21" i="11"/>
  <c r="O11" i="11"/>
  <c r="O7" i="11"/>
  <c r="H4" i="17"/>
  <c r="D4" i="17"/>
  <c r="O22" i="11"/>
  <c r="O12" i="11"/>
  <c r="O8" i="11"/>
  <c r="G4" i="17"/>
  <c r="O23" i="11"/>
  <c r="O19" i="11"/>
  <c r="O13" i="11"/>
  <c r="O9" i="11"/>
  <c r="F4" i="17"/>
  <c r="O20" i="11"/>
  <c r="O14" i="11"/>
  <c r="O10" i="11"/>
  <c r="P20" i="11" l="1"/>
  <c r="Q20" i="11" s="1"/>
  <c r="O25" i="11"/>
  <c r="C36" i="17" s="1"/>
  <c r="P19" i="11"/>
  <c r="P12" i="11"/>
  <c r="Q12" i="11" s="1"/>
  <c r="O15" i="11"/>
  <c r="C24" i="17" s="1"/>
  <c r="P7" i="11"/>
  <c r="Q7" i="11"/>
  <c r="M4" i="17"/>
  <c r="F24" i="17"/>
  <c r="F25" i="17" s="1"/>
  <c r="F36" i="17"/>
  <c r="P23" i="11"/>
  <c r="Q23" i="11" s="1"/>
  <c r="P22" i="11"/>
  <c r="Q22" i="11" s="1"/>
  <c r="P11" i="11"/>
  <c r="Q11" i="11" s="1"/>
  <c r="P10" i="11"/>
  <c r="Q10" i="11" s="1"/>
  <c r="P9" i="11"/>
  <c r="Q9" i="11" s="1"/>
  <c r="N4" i="17"/>
  <c r="G24" i="17"/>
  <c r="G25" i="17" s="1"/>
  <c r="G36" i="17"/>
  <c r="K4" i="17"/>
  <c r="D36" i="17"/>
  <c r="D37" i="17" s="1"/>
  <c r="D38" i="17" s="1"/>
  <c r="D40" i="17" s="1"/>
  <c r="D5" i="16" s="1"/>
  <c r="D24" i="17"/>
  <c r="P21" i="11"/>
  <c r="Q21" i="11" s="1"/>
  <c r="P14" i="11"/>
  <c r="Q14" i="11" s="1"/>
  <c r="P13" i="11"/>
  <c r="Q13" i="11" s="1"/>
  <c r="P8" i="11"/>
  <c r="Q8" i="11" s="1"/>
  <c r="O4" i="17"/>
  <c r="H24" i="17"/>
  <c r="H25" i="17" s="1"/>
  <c r="H36" i="17"/>
  <c r="L4" i="17"/>
  <c r="E24" i="17"/>
  <c r="E25" i="17" s="1"/>
  <c r="E36" i="17"/>
  <c r="H13" i="17" l="1"/>
  <c r="H32" i="16" s="1"/>
  <c r="H37" i="17"/>
  <c r="H38" i="17" s="1"/>
  <c r="H40" i="17" s="1"/>
  <c r="H5" i="16" s="1"/>
  <c r="N36" i="17"/>
  <c r="N37" i="17" s="1"/>
  <c r="N38" i="17" s="1"/>
  <c r="N24" i="17"/>
  <c r="N25" i="17" s="1"/>
  <c r="N26" i="17" s="1"/>
  <c r="H26" i="17"/>
  <c r="H14" i="17"/>
  <c r="H33" i="16" s="1"/>
  <c r="K24" i="17"/>
  <c r="K25" i="17" s="1"/>
  <c r="K26" i="17" s="1"/>
  <c r="K36" i="17"/>
  <c r="K37" i="17" s="1"/>
  <c r="K38" i="17" s="1"/>
  <c r="E26" i="17"/>
  <c r="G13" i="17"/>
  <c r="G32" i="16" s="1"/>
  <c r="G37" i="17"/>
  <c r="G38" i="17" s="1"/>
  <c r="G40" i="17" s="1"/>
  <c r="G5" i="16" s="1"/>
  <c r="Q15" i="11"/>
  <c r="F26" i="17"/>
  <c r="P25" i="11"/>
  <c r="C37" i="17" s="1"/>
  <c r="E13" i="17"/>
  <c r="E32" i="16" s="1"/>
  <c r="E37" i="17"/>
  <c r="E38" i="17" s="1"/>
  <c r="E40" i="17" s="1"/>
  <c r="E5" i="16" s="1"/>
  <c r="M36" i="17"/>
  <c r="M37" i="17" s="1"/>
  <c r="M38" i="17" s="1"/>
  <c r="M24" i="17"/>
  <c r="M25" i="17" s="1"/>
  <c r="M26" i="17" s="1"/>
  <c r="O36" i="17"/>
  <c r="O37" i="17" s="1"/>
  <c r="O38" i="17" s="1"/>
  <c r="O24" i="17"/>
  <c r="O25" i="17" s="1"/>
  <c r="O26" i="17" s="1"/>
  <c r="L36" i="17"/>
  <c r="L37" i="17" s="1"/>
  <c r="L38" i="17" s="1"/>
  <c r="L24" i="17"/>
  <c r="L25" i="17" s="1"/>
  <c r="L26" i="17" s="1"/>
  <c r="D13" i="17"/>
  <c r="D32" i="16" s="1"/>
  <c r="D25" i="17"/>
  <c r="D14" i="17" s="1"/>
  <c r="D33" i="16" s="1"/>
  <c r="G26" i="17"/>
  <c r="F13" i="17"/>
  <c r="F32" i="16" s="1"/>
  <c r="F37" i="17"/>
  <c r="F38" i="17" s="1"/>
  <c r="F40" i="17" s="1"/>
  <c r="F5" i="16" s="1"/>
  <c r="P15" i="11"/>
  <c r="C25" i="17" s="1"/>
  <c r="Q19" i="11"/>
  <c r="Q25" i="11" s="1"/>
  <c r="I5" i="16" l="1"/>
  <c r="H34" i="16"/>
  <c r="D26" i="17"/>
  <c r="D28" i="17" s="1"/>
  <c r="D4" i="16" s="1"/>
  <c r="D34" i="16"/>
  <c r="E14" i="17"/>
  <c r="E33" i="16" s="1"/>
  <c r="D45" i="8" s="1"/>
  <c r="D47" i="8" s="1"/>
  <c r="F14" i="17"/>
  <c r="F33" i="16" s="1"/>
  <c r="F34" i="16" s="1"/>
  <c r="C45" i="8"/>
  <c r="F15" i="17"/>
  <c r="F28" i="17"/>
  <c r="C38" i="17"/>
  <c r="D9" i="8"/>
  <c r="G14" i="17"/>
  <c r="G33" i="16" s="1"/>
  <c r="F45" i="8" s="1"/>
  <c r="F47" i="8" s="1"/>
  <c r="G15" i="17"/>
  <c r="G28" i="17"/>
  <c r="C26" i="17"/>
  <c r="D8" i="8"/>
  <c r="E15" i="17"/>
  <c r="E28" i="17"/>
  <c r="H15" i="17"/>
  <c r="H28" i="17"/>
  <c r="I32" i="16"/>
  <c r="G45" i="8"/>
  <c r="G47" i="8" s="1"/>
  <c r="D15" i="17" l="1"/>
  <c r="D16" i="17" s="1"/>
  <c r="H16" i="17"/>
  <c r="H4" i="16"/>
  <c r="H6" i="16" s="1"/>
  <c r="D6" i="16"/>
  <c r="G34" i="16"/>
  <c r="E16" i="17"/>
  <c r="E4" i="16"/>
  <c r="E6" i="16" s="1"/>
  <c r="E45" i="8"/>
  <c r="E47" i="8" s="1"/>
  <c r="I33" i="16"/>
  <c r="I34" i="16" s="1"/>
  <c r="G16" i="17"/>
  <c r="G4" i="16"/>
  <c r="G6" i="16" s="1"/>
  <c r="C47" i="8"/>
  <c r="F16" i="17"/>
  <c r="F4" i="16"/>
  <c r="F6" i="16" s="1"/>
  <c r="E34" i="16"/>
  <c r="I4" i="16" l="1"/>
  <c r="I6" i="16" s="1"/>
  <c r="H45" i="8"/>
  <c r="H47" i="8" s="1"/>
</calcChain>
</file>

<file path=xl/sharedStrings.xml><?xml version="1.0" encoding="utf-8"?>
<sst xmlns="http://schemas.openxmlformats.org/spreadsheetml/2006/main" count="315" uniqueCount="163">
  <si>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</si>
  <si>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</si>
  <si>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</si>
  <si>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</si>
  <si>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</si>
  <si>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</si>
  <si>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</si>
  <si>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</si>
  <si>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</si>
  <si>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</si>
  <si>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</si>
  <si>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</si>
  <si>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</si>
  <si>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</si>
  <si>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</si>
  <si>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</si>
  <si>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</si>
  <si>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</si>
  <si>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</si>
  <si>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</si>
  <si>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</si>
  <si>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</si>
  <si>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</si>
  <si>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</si>
  <si>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</si>
  <si>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</si>
  <si>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</si>
  <si>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</si>
  <si>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</si>
  <si>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</si>
  <si>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</si>
  <si>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</si>
  <si>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</si>
  <si>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</si>
  <si>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</si>
  <si>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</si>
  <si>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</si>
  <si>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</si>
  <si>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</si>
  <si>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</si>
  <si>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</si>
  <si>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</si>
  <si>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</si>
  <si>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</si>
  <si>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</si>
  <si>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</si>
  <si>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</si>
  <si>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</si>
  <si>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</si>
  <si>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</si>
  <si>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</si>
  <si>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</si>
  <si>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</si>
  <si>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</si>
  <si>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</si>
  <si>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</si>
  <si>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</si>
  <si>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</si>
  <si>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</si>
  <si>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</si>
  <si>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</si>
  <si>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</si>
  <si>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</si>
  <si>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Special Meter Test</t>
  </si>
  <si>
    <t>Bottom Up Estimation</t>
  </si>
  <si>
    <t>Each Additional Meter</t>
  </si>
  <si>
    <t>1st Meter</t>
  </si>
  <si>
    <t>Meter Test - 1st</t>
  </si>
  <si>
    <t xml:space="preserve">Existing Service Description (2014 - 19) </t>
  </si>
  <si>
    <t xml:space="preserve">
The testing of a single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
‘Meter Test – 1st meter’ charge will apply to the first meter tested for a NMI, all subsequent tests at the same NMI
will be charged ‘Meter Test – each additional meter’ charge.</t>
  </si>
  <si>
    <t>Special meter reading and testing services include:
 - Special meter reading for type 5 and 6 meters and move in and move out metering reading (type 5 and 6 meters)
 - Type 5 meter final read on removed type 5 metering equipment
 - Special meter test (for type 5 and 6 meters)
 - Type 5 and 6 non-standard meter data services
 - Type 5 and 6 current transformer testing.</t>
  </si>
  <si>
    <t>Special Meter Test - 1st  (fixed fee)</t>
  </si>
  <si>
    <t>Special Meter Test - Additional  (fixed fee)</t>
  </si>
  <si>
    <t>Travel to / from site</t>
  </si>
  <si>
    <t>R2b</t>
  </si>
  <si>
    <t>Site entry</t>
  </si>
  <si>
    <t>Install test equipment</t>
  </si>
  <si>
    <t>Test Meter</t>
  </si>
  <si>
    <t>Remove test equipment</t>
  </si>
  <si>
    <t>Remove supply and isolate load</t>
  </si>
  <si>
    <t>Re-energise and connect load</t>
  </si>
  <si>
    <t>Exit site</t>
  </si>
  <si>
    <t>ANS P&amp;L</t>
  </si>
  <si>
    <t>ACSCW 30060 - Special Meter Tests - 1st</t>
  </si>
  <si>
    <t>ACSCW 30070 - Special Meter Tests - Additional</t>
  </si>
  <si>
    <t>FY22/23</t>
  </si>
  <si>
    <t>Projected Volumes for FY2019-24 Regulatory Period</t>
  </si>
  <si>
    <t>Operating Costs (on IO's, work orders, cost objects, cost centres)</t>
  </si>
  <si>
    <t>Metering Officer</t>
  </si>
  <si>
    <t>Special Meter Tests - 1st Meter</t>
  </si>
  <si>
    <t>Special Meter Tests - Additional Meter</t>
  </si>
  <si>
    <t>Project Code</t>
  </si>
  <si>
    <t>Special Meter Tests - 1st</t>
  </si>
  <si>
    <t>Special Meter Tests - Additional</t>
  </si>
  <si>
    <t>Inconsistencies between historical volumes recorded and hours operating costs.</t>
  </si>
  <si>
    <t>Service Order Report</t>
  </si>
  <si>
    <t>Special Meter Test and Off Peak Convesions historical hrs are allocated to all 100 Dept project number due to Project Id reporting.</t>
  </si>
  <si>
    <t>FY14/15 revenue  - N/A</t>
  </si>
  <si>
    <t>FY15/16 revenue  - Actuals</t>
  </si>
  <si>
    <t>FY16/17 revenue  - Actuals</t>
  </si>
  <si>
    <t>FY17/18 revenue  - Pro rata based on YTD Dec17 values</t>
  </si>
  <si>
    <t xml:space="preserve">FY18/19 revenue  - Estimated </t>
  </si>
  <si>
    <t xml:space="preserve">Historical revenue referenced from ANS P&amp;L Report. </t>
  </si>
  <si>
    <t xml:space="preserve">Historical Operating Costs referenced from ANS P&amp;L Report. </t>
  </si>
  <si>
    <t>FY14/15 operating costs  - N/A</t>
  </si>
  <si>
    <t>FY15/16 operating costs  - Actuals</t>
  </si>
  <si>
    <t>FY16/17 operating costs  - Actuals</t>
  </si>
  <si>
    <t>FY17/18 operating costs  - Pro rata based on YTD Dec17 values</t>
  </si>
  <si>
    <t xml:space="preserve">FY18/19 operating costs  - Estimated </t>
  </si>
  <si>
    <t>Meter Test - Additional</t>
  </si>
  <si>
    <t>FY17/18</t>
  </si>
  <si>
    <t>FY18/19</t>
  </si>
  <si>
    <t xml:space="preserve"> - </t>
  </si>
  <si>
    <t>Reduction each year by 4% based on meter replacement values.</t>
  </si>
  <si>
    <t>Special Meter Test (1st &amp; additional)</t>
  </si>
  <si>
    <r>
      <rPr>
        <b/>
        <sz val="10"/>
        <color theme="1"/>
        <rFont val="Arial"/>
        <family val="2"/>
      </rPr>
      <t xml:space="preserve">
Special Meter Test (1st &amp; additional)</t>
    </r>
    <r>
      <rPr>
        <sz val="10"/>
        <color theme="1"/>
        <rFont val="Arial"/>
        <family val="2"/>
      </rPr>
      <t xml:space="preserve">
The testing of a single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
"Meter Test – 1st meter’ charge will apply to the first meter tested for a NMI, all subsequent tests at the same NMI
will be charged ‘Meter Test – each additional meter charge.</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</si>
  <si>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</si>
  <si>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</si>
  <si>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</si>
  <si>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</si>
  <si>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</si>
  <si>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</si>
  <si>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</si>
  <si>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</si>
  <si>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</si>
  <si>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</si>
  <si>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</si>
  <si>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</si>
  <si>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</si>
  <si>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</si>
  <si>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</si>
  <si>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</si>
  <si>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</si>
  <si>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Total Time (Hours)</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</si>
  <si>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</si>
  <si>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</si>
  <si>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</si>
  <si>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</si>
  <si>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</si>
  <si>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</si>
  <si>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</si>
  <si>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</si>
  <si>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</si>
  <si>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</si>
  <si>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</si>
  <si>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</si>
  <si>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</si>
  <si>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</si>
  <si>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</si>
  <si>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</si>
  <si>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</si>
  <si>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</si>
  <si>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</si>
  <si>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</si>
  <si>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</si>
  <si>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</si>
  <si>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</si>
  <si>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</si>
  <si>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1.3-1.4 Special Meter Test (1st &amp; Additional)</t>
  </si>
  <si>
    <t>1.3 Special Meter Test - 1st</t>
  </si>
  <si>
    <t>1.4 Special Meter Test - Additional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</si>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</sst>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83">
    <xf numFmtId="0" fontId="0" fillId="0" borderId="0" xfId="0"/>
    <xf numFmtId="0" fontId="2" fillId="0" borderId="0" xfId="0" applyFont="1"/>
    <xf numFmtId="0" fontId="7" fillId="5" borderId="3" xfId="0" applyFont="1" applyFill="1" applyBorder="1"/>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170" fontId="4" fillId="10" borderId="4"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7" fillId="0" borderId="0" xfId="0" applyFont="1" applyFill="1" applyBorder="1"/>
    <xf numFmtId="3" fontId="7" fillId="0" borderId="0" xfId="0" applyNumberFormat="1" applyFont="1" applyFill="1" applyBorder="1"/>
    <xf numFmtId="0" fontId="12" fillId="8" borderId="8" xfId="0" applyNumberFormat="1" applyFont="1" applyFill="1" applyBorder="1" applyAlignment="1">
      <alignment horizontal="left"/>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4" xfId="3"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0" fontId="4" fillId="4" borderId="1" xfId="0" applyFont="1" applyFill="1" applyBorder="1" applyAlignment="1">
      <alignment vertical="top"/>
    </xf>
    <xf numFmtId="0" fontId="4" fillId="4" borderId="0" xfId="0" applyFont="1" applyFill="1" applyBorder="1" applyAlignment="1">
      <alignment vertical="top"/>
    </xf>
    <xf numFmtId="0" fontId="7" fillId="11" borderId="7" xfId="0" applyFont="1" applyFill="1" applyBorder="1" applyAlignment="1">
      <alignment horizontal="center"/>
    </xf>
    <xf numFmtId="0" fontId="11" fillId="0" borderId="0" xfId="0" applyFont="1" applyBorder="1"/>
    <xf numFmtId="0" fontId="13" fillId="0" borderId="0" xfId="0" applyFont="1"/>
    <xf numFmtId="0" fontId="14" fillId="8" borderId="11" xfId="0" applyFont="1" applyFill="1" applyBorder="1"/>
    <xf numFmtId="0" fontId="14" fillId="8" borderId="12" xfId="0" applyFont="1" applyFill="1" applyBorder="1"/>
    <xf numFmtId="0" fontId="15" fillId="8" borderId="12" xfId="0" applyFont="1" applyFill="1" applyBorder="1"/>
    <xf numFmtId="0" fontId="16" fillId="5" borderId="4" xfId="0" applyFont="1" applyFill="1" applyBorder="1"/>
    <xf numFmtId="0" fontId="16" fillId="5" borderId="4" xfId="0" applyFont="1" applyFill="1" applyBorder="1" applyAlignment="1">
      <alignment horizontal="center"/>
    </xf>
    <xf numFmtId="0" fontId="16" fillId="5" borderId="5" xfId="0" applyFont="1" applyFill="1" applyBorder="1" applyAlignment="1">
      <alignment horizontal="right"/>
    </xf>
    <xf numFmtId="0" fontId="17" fillId="4" borderId="4" xfId="0" applyFont="1" applyFill="1" applyBorder="1"/>
    <xf numFmtId="168" fontId="17" fillId="10" borderId="5" xfId="2" applyNumberFormat="1" applyFont="1" applyFill="1" applyBorder="1" applyAlignment="1">
      <alignment horizontal="center"/>
    </xf>
    <xf numFmtId="0" fontId="17" fillId="4" borderId="5" xfId="0" applyFont="1" applyFill="1" applyBorder="1"/>
    <xf numFmtId="168" fontId="17" fillId="4" borderId="5" xfId="2" applyNumberFormat="1" applyFont="1" applyFill="1" applyBorder="1" applyAlignment="1">
      <alignment horizontal="center"/>
    </xf>
    <xf numFmtId="0" fontId="16" fillId="5" borderId="10" xfId="0" applyFont="1" applyFill="1" applyBorder="1"/>
    <xf numFmtId="0" fontId="19" fillId="5" borderId="1" xfId="0" applyFont="1" applyFill="1" applyBorder="1"/>
    <xf numFmtId="168" fontId="16" fillId="5" borderId="9" xfId="2" applyNumberFormat="1" applyFont="1" applyFill="1" applyBorder="1"/>
    <xf numFmtId="168" fontId="16" fillId="5" borderId="10" xfId="2" applyNumberFormat="1" applyFont="1" applyFill="1" applyBorder="1"/>
    <xf numFmtId="0" fontId="16" fillId="0" borderId="0" xfId="0" applyFont="1" applyFill="1" applyBorder="1"/>
    <xf numFmtId="0" fontId="19" fillId="0" borderId="0" xfId="0" applyFont="1" applyFill="1" applyBorder="1"/>
    <xf numFmtId="168" fontId="16" fillId="0" borderId="0" xfId="2" applyNumberFormat="1" applyFont="1" applyFill="1" applyBorder="1"/>
    <xf numFmtId="0" fontId="13" fillId="0" borderId="6" xfId="0" applyFont="1" applyBorder="1"/>
    <xf numFmtId="0" fontId="14" fillId="8" borderId="8" xfId="0" applyFont="1" applyFill="1" applyBorder="1"/>
    <xf numFmtId="0" fontId="15" fillId="8" borderId="0" xfId="0" applyFont="1" applyFill="1"/>
    <xf numFmtId="0" fontId="17" fillId="10" borderId="4" xfId="0" applyFont="1" applyFill="1" applyBorder="1" applyAlignment="1">
      <alignment horizontal="left"/>
    </xf>
    <xf numFmtId="3" fontId="17" fillId="10" borderId="4" xfId="0" applyNumberFormat="1" applyFont="1" applyFill="1" applyBorder="1"/>
    <xf numFmtId="0" fontId="16" fillId="5" borderId="6" xfId="0" applyFont="1" applyFill="1" applyBorder="1" applyAlignment="1">
      <alignment horizontal="left"/>
    </xf>
    <xf numFmtId="0" fontId="17" fillId="0" borderId="0" xfId="0" applyFont="1"/>
    <xf numFmtId="0" fontId="18" fillId="0" borderId="0" xfId="0" applyFont="1"/>
    <xf numFmtId="0" fontId="20" fillId="4" borderId="0" xfId="0" applyFont="1" applyFill="1" applyBorder="1" applyAlignment="1">
      <alignment horizontal="left" vertical="top" wrapText="1"/>
    </xf>
    <xf numFmtId="0" fontId="16" fillId="5" borderId="11" xfId="0" applyFont="1" applyFill="1" applyBorder="1"/>
    <xf numFmtId="0" fontId="19" fillId="5" borderId="12" xfId="0" applyFont="1" applyFill="1" applyBorder="1"/>
    <xf numFmtId="0" fontId="17" fillId="4" borderId="8" xfId="0" quotePrefix="1" applyFont="1" applyFill="1" applyBorder="1" applyAlignment="1">
      <alignment vertical="top"/>
    </xf>
    <xf numFmtId="0" fontId="17" fillId="4" borderId="0" xfId="0" applyFont="1" applyFill="1" applyBorder="1" applyAlignment="1">
      <alignment vertical="top"/>
    </xf>
    <xf numFmtId="0" fontId="20" fillId="4" borderId="0" xfId="0" applyFont="1" applyFill="1" applyBorder="1" applyAlignment="1">
      <alignment horizontal="left" vertical="top" wrapText="1"/>
    </xf>
    <xf numFmtId="0" fontId="20" fillId="4" borderId="1" xfId="0" applyFont="1" applyFill="1" applyBorder="1" applyAlignment="1">
      <alignment vertical="top" wrapText="1"/>
    </xf>
    <xf numFmtId="0" fontId="20" fillId="4" borderId="0" xfId="0" applyFont="1" applyFill="1" applyBorder="1" applyAlignment="1">
      <alignment vertical="top" wrapText="1"/>
    </xf>
    <xf numFmtId="0" fontId="9" fillId="4" borderId="1" xfId="0" applyFont="1" applyFill="1" applyBorder="1" applyAlignment="1">
      <alignment vertical="top" wrapText="1"/>
    </xf>
    <xf numFmtId="0" fontId="9" fillId="4" borderId="0" xfId="0" applyFont="1" applyFill="1" applyBorder="1" applyAlignment="1">
      <alignment vertical="top" wrapText="1"/>
    </xf>
    <xf numFmtId="0" fontId="9" fillId="4" borderId="8" xfId="0" applyFont="1" applyFill="1" applyBorder="1" applyAlignment="1">
      <alignment vertical="top" wrapText="1"/>
    </xf>
    <xf numFmtId="0" fontId="9" fillId="4" borderId="8" xfId="0" applyFont="1" applyFill="1" applyBorder="1" applyAlignment="1">
      <alignment horizontal="left" vertical="top" wrapText="1"/>
    </xf>
    <xf numFmtId="0" fontId="2" fillId="4" borderId="1" xfId="0" quotePrefix="1" applyFont="1" applyFill="1" applyBorder="1" applyAlignment="1">
      <alignment vertical="top" wrapText="1"/>
    </xf>
    <xf numFmtId="0" fontId="2" fillId="4" borderId="0" xfId="0" quotePrefix="1" applyFont="1" applyFill="1" applyBorder="1" applyAlignment="1">
      <alignment vertical="top" wrapText="1"/>
    </xf>
    <xf numFmtId="0" fontId="2" fillId="0" borderId="1" xfId="0" quotePrefix="1" applyFont="1" applyFill="1" applyBorder="1" applyAlignment="1">
      <alignment vertical="top" wrapText="1"/>
    </xf>
    <xf numFmtId="0" fontId="2" fillId="0" borderId="0" xfId="0" quotePrefix="1" applyFont="1" applyFill="1" applyBorder="1" applyAlignment="1">
      <alignment vertical="top" wrapText="1"/>
    </xf>
    <xf numFmtId="0" fontId="16" fillId="5" borderId="4" xfId="0" applyFont="1" applyFill="1" applyBorder="1" applyAlignment="1">
      <alignment horizontal="left"/>
    </xf>
    <xf numFmtId="0" fontId="7" fillId="11" borderId="4" xfId="0" applyFont="1" applyFill="1" applyBorder="1" applyAlignment="1">
      <alignment horizontal="center"/>
    </xf>
    <xf numFmtId="0" fontId="7" fillId="5" borderId="4" xfId="0" applyFont="1" applyFill="1" applyBorder="1" applyAlignment="1">
      <alignment horizontal="right"/>
    </xf>
    <xf numFmtId="0" fontId="17" fillId="4" borderId="4" xfId="0" quotePrefix="1" applyFont="1" applyFill="1" applyBorder="1"/>
    <xf numFmtId="0" fontId="16" fillId="11" borderId="4" xfId="0" applyFont="1" applyFill="1" applyBorder="1"/>
    <xf numFmtId="0" fontId="16" fillId="5" borderId="4" xfId="0" applyFont="1" applyFill="1" applyBorder="1" applyAlignment="1">
      <alignment horizontal="right"/>
    </xf>
    <xf numFmtId="3" fontId="16" fillId="5" borderId="4" xfId="0" applyNumberFormat="1" applyFont="1" applyFill="1" applyBorder="1"/>
    <xf numFmtId="3" fontId="2" fillId="10" borderId="4" xfId="0" applyNumberFormat="1" applyFont="1" applyFill="1" applyBorder="1" applyAlignment="1">
      <alignment horizontal="right"/>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6" fillId="7" borderId="0" xfId="0" applyFont="1" applyFill="1" applyBorder="1" applyAlignment="1">
      <alignment horizontal="center" vertical="center" wrapText="1"/>
    </xf>
    <xf numFmtId="0" fontId="23" fillId="2" borderId="1" xfId="0" applyFont="1" applyFill="1" applyBorder="1" applyAlignment="1">
      <alignment horizontal="center"/>
    </xf>
    <xf numFmtId="0" fontId="27" fillId="2" borderId="5" xfId="0" applyFont="1" applyFill="1" applyBorder="1" applyAlignment="1">
      <alignment horizontal="center" vertical="center"/>
    </xf>
    <xf numFmtId="0" fontId="28" fillId="7" borderId="0" xfId="0" applyFont="1" applyFill="1" applyBorder="1" applyAlignment="1">
      <alignment horizontal="center" vertical="center"/>
    </xf>
    <xf numFmtId="170" fontId="23" fillId="7" borderId="5" xfId="0" applyNumberFormat="1" applyFont="1" applyFill="1" applyBorder="1" applyAlignment="1">
      <alignment horizontal="left"/>
    </xf>
    <xf numFmtId="170" fontId="23" fillId="7" borderId="10" xfId="0" applyNumberFormat="1" applyFont="1" applyFill="1" applyBorder="1" applyAlignment="1">
      <alignment horizontal="center"/>
    </xf>
    <xf numFmtId="170" fontId="23" fillId="7" borderId="1" xfId="0" applyNumberFormat="1" applyFont="1" applyFill="1" applyBorder="1" applyAlignment="1">
      <alignment horizontal="left"/>
    </xf>
    <xf numFmtId="170" fontId="23" fillId="7" borderId="5" xfId="0" applyNumberFormat="1" applyFont="1" applyFill="1" applyBorder="1" applyAlignment="1">
      <alignment horizontal="center"/>
    </xf>
    <xf numFmtId="170" fontId="23" fillId="3" borderId="2"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8" xfId="0" applyFont="1" applyFill="1" applyBorder="1" applyAlignment="1">
      <alignment horizontal="left"/>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9"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9"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170" fontId="2" fillId="3" borderId="2" xfId="0" applyNumberFormat="1" applyFont="1" applyFill="1" applyBorder="1" applyAlignment="1">
      <alignment horizontal="center"/>
    </xf>
    <xf numFmtId="0" fontId="7" fillId="2" borderId="6" xfId="0" applyFont="1" applyFill="1" applyBorder="1"/>
    <xf numFmtId="168" fontId="18" fillId="11" borderId="5" xfId="2" applyNumberFormat="1" applyFont="1" applyFill="1" applyBorder="1"/>
    <xf numFmtId="3" fontId="18"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2" fontId="4" fillId="10" borderId="0" xfId="0"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alignment horizontal="left"/>
    </xf>
    <xf numFmtId="0" fontId="4" fillId="10" borderId="0" xfId="0" applyFont="1" applyFill="1" applyBorder="1" applyAlignment="1">
      <alignment horizontal="left" vertical="center" wrapText="1"/>
    </xf>
    <xf numFmtId="0" fontId="2" fillId="0" borderId="12" xfId="0" applyFont="1" applyBorder="1"/>
    <xf numFmtId="3" fontId="4" fillId="10" borderId="4" xfId="3" applyNumberFormat="1" applyFont="1" applyFill="1" applyBorder="1" applyAlignment="1">
      <alignment horizontal="center"/>
    </xf>
    <xf numFmtId="0" fontId="7" fillId="11" borderId="5" xfId="0" applyFont="1" applyFill="1" applyBorder="1" applyAlignment="1">
      <alignment vertical="center"/>
    </xf>
    <xf numFmtId="0" fontId="7" fillId="11" borderId="2" xfId="0" applyFont="1" applyFill="1" applyBorder="1" applyAlignment="1">
      <alignment vertical="center"/>
    </xf>
    <xf numFmtId="2" fontId="4" fillId="10" borderId="11" xfId="0" applyNumberFormat="1" applyFont="1" applyFill="1" applyBorder="1" applyAlignment="1">
      <alignment horizontal="center"/>
    </xf>
    <xf numFmtId="2" fontId="7" fillId="11" borderId="4" xfId="0" applyNumberFormat="1" applyFont="1" applyFill="1" applyBorder="1" applyAlignment="1">
      <alignment horizontal="center" vertical="center"/>
    </xf>
    <xf numFmtId="1" fontId="4" fillId="10" borderId="4" xfId="0" applyNumberFormat="1" applyFont="1" applyFill="1" applyBorder="1" applyAlignment="1">
      <alignment horizontal="center"/>
    </xf>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7" fontId="3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4" fillId="5" borderId="4" xfId="3" applyFont="1" applyFill="1" applyBorder="1"/>
    <xf numFmtId="0" fontId="6" fillId="4" borderId="4" xfId="0" applyFont="1" applyFill="1" applyBorder="1" applyAlignment="1">
      <alignment horizontal="left"/>
    </xf>
    <xf numFmtId="167" fontId="3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3" fillId="2" borderId="5" xfId="0" applyFont="1" applyFill="1" applyBorder="1" applyAlignment="1">
      <alignment horizontal="center"/>
    </xf>
    <xf numFmtId="0" fontId="23" fillId="2" borderId="2" xfId="0" applyFont="1" applyFill="1" applyBorder="1" applyAlignment="1">
      <alignment horizontal="center"/>
    </xf>
    <xf numFmtId="0" fontId="2" fillId="7" borderId="0" xfId="0" quotePrefix="1" applyFont="1" applyFill="1" applyBorder="1" applyAlignment="1">
      <alignment horizontal="left" vertical="top" wrapText="1"/>
    </xf>
    <xf numFmtId="0" fontId="23" fillId="7" borderId="0" xfId="0" applyFont="1" applyFill="1" applyBorder="1" applyAlignment="1">
      <alignment horizontal="center" vertical="center"/>
    </xf>
    <xf numFmtId="0" fontId="24" fillId="9" borderId="9" xfId="0" applyFont="1" applyFill="1" applyBorder="1" applyAlignment="1">
      <alignment horizontal="left" vertical="center"/>
    </xf>
    <xf numFmtId="0" fontId="24" fillId="9" borderId="7" xfId="0" applyFont="1" applyFill="1" applyBorder="1" applyAlignment="1">
      <alignment horizontal="left" vertical="center"/>
    </xf>
    <xf numFmtId="0" fontId="7" fillId="9" borderId="9" xfId="0" applyFont="1" applyFill="1" applyBorder="1" applyAlignment="1">
      <alignment horizontal="left" vertical="center"/>
    </xf>
    <xf numFmtId="0" fontId="24" fillId="9" borderId="13" xfId="0" applyFont="1" applyFill="1" applyBorder="1" applyAlignment="1">
      <alignment horizontal="left" vertical="center"/>
    </xf>
    <xf numFmtId="170" fontId="29" fillId="7" borderId="2" xfId="0" applyNumberFormat="1" applyFont="1" applyFill="1" applyBorder="1" applyAlignment="1">
      <alignment horizontal="left"/>
    </xf>
    <xf numFmtId="170" fontId="29" fillId="7" borderId="3" xfId="0" applyNumberFormat="1" applyFont="1" applyFill="1" applyBorder="1" applyAlignment="1">
      <alignment horizontal="left"/>
    </xf>
    <xf numFmtId="0" fontId="23" fillId="7" borderId="1" xfId="0" applyFont="1" applyFill="1" applyBorder="1" applyAlignment="1">
      <alignment horizontal="left"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0"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5" fillId="8" borderId="12" xfId="0" applyFont="1" applyFill="1" applyBorder="1" applyAlignment="1">
      <alignment horizontal="center"/>
    </xf>
    <xf numFmtId="0" fontId="7" fillId="11" borderId="4" xfId="0" applyFont="1" applyFill="1" applyBorder="1" applyAlignment="1">
      <alignment horizontal="left"/>
    </xf>
    <xf numFmtId="0" fontId="7" fillId="11"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8" fontId="6" fillId="11" borderId="4" xfId="2" applyNumberFormat="1" applyFont="1" applyFill="1" applyBorder="1"/>
    <xf numFmtId="168" fontId="7" fillId="5" borderId="4" xfId="2" applyNumberFormat="1" applyFont="1" applyFill="1" applyBorder="1"/>
    <xf numFmtId="167" fontId="35" fillId="5" borderId="4" xfId="3" applyFont="1" applyFill="1" applyBorder="1"/>
    <xf numFmtId="0" fontId="7" fillId="5" borderId="4" xfId="0" applyFont="1" applyFill="1" applyBorder="1" applyAlignment="1">
      <alignment horizontal="left"/>
    </xf>
    <xf numFmtId="0" fontId="7" fillId="5" borderId="4"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90" zoomScaleNormal="90" workbookViewId="0">
      <selection activeCell="H59" sqref="H59"/>
    </sheetView>
  </sheetViews>
  <sheetFormatPr defaultRowHeight="12.75" x14ac:dyDescent="0.2"/>
  <cols>
    <col min="1" max="1" width="2.42578125" style="131" customWidth="1"/>
    <col min="2" max="2" width="41.85546875" style="131" customWidth="1"/>
    <col min="3" max="3" width="24.5703125" style="131" customWidth="1"/>
    <col min="4" max="4" width="16.28515625" style="131" customWidth="1"/>
    <col min="5" max="5" width="13.85546875" style="131" customWidth="1"/>
    <col min="6" max="6" width="14" style="131" customWidth="1"/>
    <col min="7" max="7" width="12.85546875" style="131" customWidth="1"/>
    <col min="8" max="8" width="13.28515625" style="131" customWidth="1"/>
    <col min="9" max="9" width="11.5703125" style="131" customWidth="1"/>
    <col min="10" max="16384" width="9.140625" style="131"/>
  </cols>
  <sheetData>
    <row r="2" spans="2:19" x14ac:dyDescent="0.2">
      <c r="B2" s="129" t="s">
        <v>7</v>
      </c>
      <c r="C2" s="130"/>
      <c r="D2" s="130"/>
      <c r="E2" s="130"/>
      <c r="F2" s="130"/>
      <c r="G2" s="130"/>
      <c r="H2" s="130"/>
      <c r="O2" s="132"/>
      <c r="P2" s="132"/>
      <c r="Q2" s="132"/>
      <c r="R2" s="132"/>
      <c r="S2" s="132"/>
    </row>
    <row r="3" spans="2:19" ht="75.75" customHeight="1" x14ac:dyDescent="0.2">
      <c r="B3" s="133" t="s">
        <v>54</v>
      </c>
      <c r="C3" s="233" t="s">
        <v>114</v>
      </c>
      <c r="D3" s="234"/>
      <c r="E3" s="235"/>
      <c r="F3" s="235"/>
      <c r="G3" s="235"/>
      <c r="H3" s="235"/>
      <c r="M3" s="134"/>
      <c r="N3" s="134"/>
      <c r="O3" s="132"/>
      <c r="P3" s="132"/>
      <c r="Q3" s="132"/>
      <c r="R3" s="132"/>
      <c r="S3" s="132"/>
    </row>
    <row r="4" spans="2:19" ht="55.5" customHeight="1" x14ac:dyDescent="0.2">
      <c r="B4" s="135"/>
      <c r="C4" s="238"/>
      <c r="D4" s="239"/>
      <c r="E4" s="136"/>
      <c r="F4" s="136"/>
      <c r="G4" s="136"/>
      <c r="H4" s="136"/>
      <c r="M4" s="134"/>
      <c r="N4" s="134"/>
      <c r="O4" s="132"/>
      <c r="P4" s="132"/>
      <c r="Q4" s="132"/>
      <c r="R4" s="132"/>
      <c r="S4" s="132"/>
    </row>
    <row r="5" spans="2:19" x14ac:dyDescent="0.2">
      <c r="B5" s="133" t="s">
        <v>13</v>
      </c>
      <c r="C5" s="137"/>
      <c r="D5" s="138" t="s">
        <v>45</v>
      </c>
      <c r="E5" s="139"/>
      <c r="F5" s="139"/>
      <c r="G5" s="139"/>
      <c r="H5" s="139"/>
      <c r="M5" s="134"/>
      <c r="N5" s="134"/>
      <c r="O5" s="132"/>
      <c r="P5" s="132"/>
      <c r="Q5" s="132"/>
      <c r="R5" s="132"/>
      <c r="S5" s="132"/>
    </row>
    <row r="6" spans="2:19" x14ac:dyDescent="0.2">
      <c r="B6" s="242" t="s">
        <v>39</v>
      </c>
      <c r="C6" s="140" t="s">
        <v>66</v>
      </c>
      <c r="D6" s="141">
        <v>467.13</v>
      </c>
      <c r="E6" s="241"/>
      <c r="F6" s="241"/>
      <c r="G6" s="241"/>
      <c r="H6" s="241"/>
      <c r="M6" s="134"/>
      <c r="N6" s="134"/>
      <c r="O6" s="132"/>
      <c r="P6" s="132"/>
      <c r="Q6" s="132"/>
      <c r="R6" s="132"/>
      <c r="S6" s="132"/>
    </row>
    <row r="7" spans="2:19" x14ac:dyDescent="0.2">
      <c r="B7" s="243"/>
      <c r="C7" s="142" t="s">
        <v>65</v>
      </c>
      <c r="D7" s="143">
        <v>343.48</v>
      </c>
      <c r="E7" s="241"/>
      <c r="F7" s="241"/>
      <c r="G7" s="241"/>
      <c r="H7" s="241"/>
      <c r="M7" s="134"/>
      <c r="N7" s="134"/>
      <c r="O7" s="132"/>
      <c r="P7" s="132"/>
      <c r="Q7" s="132"/>
      <c r="R7" s="132"/>
      <c r="S7" s="132"/>
    </row>
    <row r="8" spans="2:19" x14ac:dyDescent="0.2">
      <c r="B8" s="244" t="s">
        <v>116</v>
      </c>
      <c r="C8" s="140" t="s">
        <v>66</v>
      </c>
      <c r="D8" s="177">
        <f>'Proposed Fee'!Q15</f>
        <v>723.21269036338435</v>
      </c>
      <c r="E8" s="241"/>
      <c r="F8" s="241"/>
      <c r="G8" s="241"/>
      <c r="H8" s="241"/>
      <c r="O8" s="132"/>
      <c r="P8" s="132"/>
      <c r="Q8" s="132"/>
      <c r="R8" s="132"/>
      <c r="S8" s="132"/>
    </row>
    <row r="9" spans="2:19" x14ac:dyDescent="0.2">
      <c r="B9" s="245"/>
      <c r="C9" s="142" t="s">
        <v>65</v>
      </c>
      <c r="D9" s="144">
        <f>'Proposed Fee'!Q25</f>
        <v>467.9611525880722</v>
      </c>
      <c r="E9" s="241"/>
      <c r="F9" s="241"/>
      <c r="G9" s="241"/>
      <c r="H9" s="241"/>
      <c r="O9" s="132"/>
      <c r="P9" s="132"/>
      <c r="Q9" s="132"/>
      <c r="R9" s="132"/>
      <c r="S9" s="132"/>
    </row>
    <row r="10" spans="2:19" x14ac:dyDescent="0.2">
      <c r="B10" s="145" t="s">
        <v>46</v>
      </c>
      <c r="C10" s="246" t="s">
        <v>64</v>
      </c>
      <c r="D10" s="247"/>
      <c r="E10" s="146"/>
      <c r="F10" s="147"/>
      <c r="G10" s="147"/>
      <c r="H10" s="147"/>
      <c r="O10" s="132"/>
      <c r="P10" s="132"/>
      <c r="Q10" s="132"/>
      <c r="R10" s="132"/>
      <c r="S10" s="132"/>
    </row>
    <row r="11" spans="2:19" x14ac:dyDescent="0.2">
      <c r="B11" s="148" t="s">
        <v>5</v>
      </c>
      <c r="C11" s="149"/>
      <c r="D11" s="149"/>
      <c r="E11" s="150"/>
      <c r="F11" s="150"/>
      <c r="G11" s="150"/>
      <c r="H11" s="150"/>
      <c r="O11" s="132"/>
      <c r="P11" s="132"/>
      <c r="Q11" s="132"/>
      <c r="R11" s="132"/>
      <c r="S11" s="132"/>
    </row>
    <row r="12" spans="2:19" ht="236.25" customHeight="1" x14ac:dyDescent="0.2">
      <c r="B12" s="237" t="s">
        <v>115</v>
      </c>
      <c r="C12" s="237"/>
      <c r="D12" s="237"/>
      <c r="E12" s="237"/>
      <c r="F12" s="237"/>
      <c r="G12" s="237"/>
      <c r="H12" s="237"/>
      <c r="O12" s="132"/>
      <c r="P12" s="132"/>
      <c r="Q12" s="132"/>
      <c r="R12" s="132"/>
      <c r="S12" s="132"/>
    </row>
    <row r="13" spans="2:19" x14ac:dyDescent="0.2">
      <c r="B13" s="151"/>
      <c r="C13" s="151"/>
      <c r="D13" s="151"/>
      <c r="E13" s="151"/>
      <c r="F13" s="151"/>
      <c r="G13" s="151"/>
      <c r="H13" s="151"/>
      <c r="O13" s="132"/>
      <c r="P13" s="132"/>
      <c r="Q13" s="132"/>
      <c r="R13" s="132"/>
      <c r="S13" s="132"/>
    </row>
    <row r="14" spans="2:19" x14ac:dyDescent="0.2">
      <c r="O14" s="132"/>
      <c r="P14" s="132"/>
      <c r="Q14" s="132"/>
      <c r="R14" s="132"/>
      <c r="S14" s="132"/>
    </row>
    <row r="15" spans="2:19" x14ac:dyDescent="0.2">
      <c r="B15" s="152" t="s">
        <v>32</v>
      </c>
      <c r="C15" s="130"/>
      <c r="D15" s="130"/>
      <c r="E15" s="130"/>
      <c r="F15" s="130"/>
      <c r="G15" s="130"/>
      <c r="H15" s="130"/>
      <c r="O15" s="132"/>
      <c r="P15" s="132"/>
      <c r="Q15" s="132"/>
      <c r="R15" s="132"/>
      <c r="S15" s="132"/>
    </row>
    <row r="16" spans="2:19" x14ac:dyDescent="0.2">
      <c r="B16" s="236"/>
      <c r="C16" s="236"/>
      <c r="D16" s="236"/>
      <c r="E16" s="236"/>
      <c r="F16" s="236"/>
      <c r="G16" s="236"/>
      <c r="H16" s="236"/>
    </row>
    <row r="17" spans="2:9" ht="133.5" customHeight="1" x14ac:dyDescent="0.2">
      <c r="B17" s="240" t="s">
        <v>161</v>
      </c>
      <c r="C17" s="240"/>
      <c r="D17" s="240"/>
      <c r="E17" s="240"/>
      <c r="F17" s="240"/>
      <c r="G17" s="240"/>
      <c r="H17" s="240"/>
      <c r="I17" s="132"/>
    </row>
    <row r="18" spans="2:9" x14ac:dyDescent="0.2">
      <c r="B18" s="153"/>
      <c r="C18" s="153"/>
      <c r="D18" s="153"/>
      <c r="E18" s="153"/>
      <c r="F18" s="153"/>
      <c r="G18" s="153"/>
      <c r="H18" s="153"/>
    </row>
    <row r="19" spans="2:9" x14ac:dyDescent="0.2">
      <c r="B19" s="154"/>
      <c r="C19" s="154"/>
      <c r="D19" s="154"/>
      <c r="E19" s="154"/>
      <c r="F19" s="154"/>
      <c r="G19" s="154"/>
      <c r="H19" s="154"/>
    </row>
    <row r="20" spans="2:9" x14ac:dyDescent="0.2">
      <c r="B20" s="152" t="s">
        <v>40</v>
      </c>
      <c r="C20" s="130"/>
      <c r="D20" s="130"/>
      <c r="E20" s="130"/>
      <c r="F20" s="130"/>
      <c r="G20" s="130"/>
      <c r="H20" s="130"/>
    </row>
    <row r="21" spans="2:9" x14ac:dyDescent="0.2">
      <c r="B21" s="236"/>
      <c r="C21" s="236"/>
      <c r="D21" s="236"/>
      <c r="E21" s="236"/>
      <c r="F21" s="236"/>
      <c r="G21" s="236"/>
      <c r="H21" s="236"/>
    </row>
    <row r="22" spans="2:9" x14ac:dyDescent="0.2">
      <c r="B22" s="249"/>
      <c r="C22" s="249"/>
      <c r="D22" s="249"/>
      <c r="E22" s="249"/>
      <c r="F22" s="249"/>
      <c r="G22" s="249"/>
      <c r="H22" s="249"/>
    </row>
    <row r="23" spans="2:9" x14ac:dyDescent="0.2">
      <c r="B23" s="249"/>
      <c r="C23" s="249"/>
      <c r="D23" s="249"/>
      <c r="E23" s="249"/>
      <c r="F23" s="249"/>
      <c r="G23" s="249"/>
      <c r="H23" s="249"/>
    </row>
    <row r="24" spans="2:9" x14ac:dyDescent="0.2">
      <c r="B24" s="249"/>
      <c r="C24" s="250"/>
      <c r="D24" s="250"/>
      <c r="E24" s="250"/>
      <c r="F24" s="250"/>
      <c r="G24" s="250"/>
      <c r="H24" s="250"/>
    </row>
    <row r="25" spans="2:9" x14ac:dyDescent="0.2">
      <c r="B25" s="155"/>
      <c r="C25" s="155"/>
      <c r="D25" s="155"/>
      <c r="E25" s="155"/>
      <c r="F25" s="155"/>
      <c r="G25" s="155"/>
      <c r="H25" s="155"/>
    </row>
    <row r="26" spans="2:9" x14ac:dyDescent="0.2">
      <c r="B26" s="236"/>
      <c r="C26" s="236"/>
      <c r="D26" s="236"/>
      <c r="E26" s="236"/>
      <c r="F26" s="236"/>
      <c r="G26" s="236"/>
      <c r="H26" s="236"/>
    </row>
    <row r="27" spans="2:9" x14ac:dyDescent="0.2">
      <c r="B27" s="153"/>
      <c r="C27" s="153"/>
      <c r="D27" s="153"/>
      <c r="E27" s="153"/>
      <c r="F27" s="153"/>
      <c r="G27" s="153"/>
      <c r="H27" s="153"/>
    </row>
    <row r="28" spans="2:9" x14ac:dyDescent="0.2">
      <c r="B28" s="153"/>
      <c r="C28" s="153"/>
      <c r="D28" s="153"/>
      <c r="E28" s="153"/>
      <c r="F28" s="153"/>
      <c r="G28" s="153"/>
      <c r="H28" s="153"/>
    </row>
    <row r="29" spans="2:9" x14ac:dyDescent="0.2">
      <c r="B29" s="153"/>
      <c r="C29" s="153"/>
      <c r="D29" s="153"/>
      <c r="E29" s="153"/>
      <c r="F29" s="153"/>
      <c r="G29" s="153"/>
      <c r="H29" s="153"/>
    </row>
    <row r="30" spans="2:9" x14ac:dyDescent="0.2">
      <c r="B30" s="153"/>
      <c r="C30" s="153"/>
      <c r="D30" s="153"/>
      <c r="E30" s="153"/>
      <c r="F30" s="153"/>
      <c r="G30" s="153"/>
      <c r="H30" s="153"/>
    </row>
    <row r="31" spans="2:9" x14ac:dyDescent="0.2">
      <c r="B31" s="156"/>
      <c r="C31" s="156"/>
      <c r="D31" s="156"/>
      <c r="E31" s="156"/>
      <c r="F31" s="156"/>
      <c r="G31" s="156"/>
      <c r="H31" s="156"/>
      <c r="I31" s="132"/>
    </row>
    <row r="32" spans="2:9" x14ac:dyDescent="0.2">
      <c r="B32" s="152" t="s">
        <v>6</v>
      </c>
    </row>
    <row r="33" spans="2:8" x14ac:dyDescent="0.2">
      <c r="B33" s="157" t="s">
        <v>14</v>
      </c>
      <c r="C33" s="158" t="s">
        <v>28</v>
      </c>
      <c r="D33" s="158"/>
      <c r="E33" s="158"/>
      <c r="F33" s="158"/>
      <c r="G33" s="158"/>
      <c r="H33" s="158"/>
    </row>
    <row r="34" spans="2:8" x14ac:dyDescent="0.2">
      <c r="B34" s="159" t="s">
        <v>43</v>
      </c>
      <c r="C34" s="158" t="s">
        <v>50</v>
      </c>
      <c r="D34" s="158"/>
      <c r="E34" s="158"/>
      <c r="F34" s="158"/>
      <c r="G34" s="158"/>
      <c r="H34" s="158"/>
    </row>
    <row r="35" spans="2:8" x14ac:dyDescent="0.2">
      <c r="B35" s="159" t="s">
        <v>44</v>
      </c>
      <c r="C35" s="158" t="s">
        <v>51</v>
      </c>
      <c r="D35" s="158"/>
      <c r="E35" s="158"/>
      <c r="F35" s="158"/>
      <c r="G35" s="158"/>
      <c r="H35" s="158"/>
    </row>
    <row r="36" spans="2:8" x14ac:dyDescent="0.2">
      <c r="B36" s="159" t="s">
        <v>15</v>
      </c>
      <c r="C36" s="158" t="s">
        <v>29</v>
      </c>
      <c r="D36" s="158"/>
      <c r="E36" s="158"/>
      <c r="F36" s="158"/>
      <c r="G36" s="158"/>
      <c r="H36" s="158"/>
    </row>
    <row r="39" spans="2:8" x14ac:dyDescent="0.2">
      <c r="B39" s="152" t="s">
        <v>33</v>
      </c>
      <c r="C39" s="130"/>
      <c r="D39" s="130"/>
      <c r="E39" s="130"/>
      <c r="F39" s="130"/>
      <c r="G39" s="130"/>
      <c r="H39" s="130"/>
    </row>
    <row r="41" spans="2:8" x14ac:dyDescent="0.2">
      <c r="B41" s="160"/>
      <c r="C41" s="161" t="s">
        <v>34</v>
      </c>
      <c r="D41" s="161" t="s">
        <v>35</v>
      </c>
      <c r="E41" s="161" t="s">
        <v>36</v>
      </c>
      <c r="F41" s="161" t="s">
        <v>38</v>
      </c>
      <c r="G41" s="161" t="s">
        <v>37</v>
      </c>
      <c r="H41" s="162" t="s">
        <v>1</v>
      </c>
    </row>
    <row r="42" spans="2:8" x14ac:dyDescent="0.2">
      <c r="C42" s="163"/>
      <c r="D42" s="163"/>
      <c r="E42" s="163"/>
      <c r="F42" s="163"/>
      <c r="G42" s="163"/>
      <c r="H42" s="163"/>
    </row>
    <row r="43" spans="2:8" x14ac:dyDescent="0.2">
      <c r="B43" s="178" t="s">
        <v>117</v>
      </c>
      <c r="C43" s="164">
        <f>'Forecast Revenue - Costs'!D30</f>
        <v>39210.179210027025</v>
      </c>
      <c r="D43" s="164">
        <f>'Forecast Revenue - Costs'!E30</f>
        <v>37641.77204162594</v>
      </c>
      <c r="E43" s="164">
        <f>'Forecast Revenue - Costs'!F30</f>
        <v>36469.825665418452</v>
      </c>
      <c r="F43" s="164">
        <f>'Forecast Revenue - Costs'!G30</f>
        <v>35692.164169981945</v>
      </c>
      <c r="G43" s="164">
        <f>'Forecast Revenue - Costs'!H30</f>
        <v>35241.230817947449</v>
      </c>
      <c r="H43" s="164">
        <f>SUM(C43:G43)</f>
        <v>184255.17190500081</v>
      </c>
    </row>
    <row r="44" spans="2:8" x14ac:dyDescent="0.2">
      <c r="C44" s="165"/>
      <c r="D44" s="166"/>
      <c r="E44" s="165"/>
      <c r="F44" s="165"/>
      <c r="G44" s="165"/>
    </row>
    <row r="45" spans="2:8" x14ac:dyDescent="0.2">
      <c r="B45" s="178" t="s">
        <v>118</v>
      </c>
      <c r="C45" s="164">
        <f>SUM('Forecast Revenue - Costs'!D31:D33)</f>
        <v>28601.645992280894</v>
      </c>
      <c r="D45" s="164">
        <f>SUM('Forecast Revenue - Costs'!E31:E33)</f>
        <v>27457.58015258966</v>
      </c>
      <c r="E45" s="164">
        <f>SUM('Forecast Revenue - Costs'!F31:F33)</f>
        <v>26602.710421067204</v>
      </c>
      <c r="F45" s="164">
        <f>SUM('Forecast Revenue - Costs'!G31:G33)</f>
        <v>26035.449591292298</v>
      </c>
      <c r="G45" s="164">
        <f>SUM('Forecast Revenue - Costs'!H31:H33)</f>
        <v>25706.518778915266</v>
      </c>
      <c r="H45" s="164">
        <f>SUM(C45:G45)</f>
        <v>134403.90493614532</v>
      </c>
    </row>
    <row r="46" spans="2:8" x14ac:dyDescent="0.2">
      <c r="C46" s="165"/>
      <c r="D46" s="166"/>
      <c r="E46" s="165"/>
      <c r="F46" s="165"/>
      <c r="G46" s="165"/>
    </row>
    <row r="47" spans="2:8" x14ac:dyDescent="0.2">
      <c r="B47" s="178" t="s">
        <v>119</v>
      </c>
      <c r="C47" s="164">
        <f t="shared" ref="C47:H47" si="0">+C43+C45</f>
        <v>67811.825202307926</v>
      </c>
      <c r="D47" s="164">
        <f t="shared" si="0"/>
        <v>65099.3521942156</v>
      </c>
      <c r="E47" s="164">
        <f t="shared" si="0"/>
        <v>63072.536086485656</v>
      </c>
      <c r="F47" s="164">
        <f t="shared" si="0"/>
        <v>61727.613761274246</v>
      </c>
      <c r="G47" s="164">
        <f t="shared" si="0"/>
        <v>60947.749596862719</v>
      </c>
      <c r="H47" s="164">
        <f t="shared" si="0"/>
        <v>318659.0768411461</v>
      </c>
    </row>
    <row r="48" spans="2:8" x14ac:dyDescent="0.2">
      <c r="C48" s="167"/>
      <c r="D48" s="167"/>
      <c r="E48" s="167"/>
      <c r="F48" s="167"/>
      <c r="G48" s="167"/>
    </row>
    <row r="49" spans="2:9" x14ac:dyDescent="0.2">
      <c r="B49" s="168" t="s">
        <v>6</v>
      </c>
    </row>
    <row r="50" spans="2:9" ht="14.25" customHeight="1" x14ac:dyDescent="0.2">
      <c r="B50" s="248"/>
      <c r="C50" s="248"/>
      <c r="D50" s="248"/>
      <c r="E50" s="248"/>
      <c r="F50" s="248"/>
      <c r="G50" s="248"/>
      <c r="H50" s="248"/>
    </row>
    <row r="51" spans="2:9" x14ac:dyDescent="0.2">
      <c r="B51" s="236"/>
      <c r="C51" s="236"/>
      <c r="D51" s="236"/>
      <c r="E51" s="236"/>
      <c r="F51" s="236"/>
      <c r="G51" s="236"/>
      <c r="H51" s="236"/>
      <c r="I51" s="132"/>
    </row>
    <row r="52" spans="2:9" ht="27.75" customHeight="1" x14ac:dyDescent="0.2">
      <c r="B52" s="236"/>
      <c r="C52" s="236"/>
      <c r="D52" s="236"/>
      <c r="E52" s="236"/>
      <c r="F52" s="236"/>
      <c r="G52" s="236"/>
      <c r="H52" s="236"/>
    </row>
    <row r="55" spans="2:9" x14ac:dyDescent="0.2">
      <c r="B55" s="152" t="s">
        <v>86</v>
      </c>
      <c r="C55" s="130"/>
      <c r="D55" s="130"/>
      <c r="E55" s="130"/>
      <c r="F55" s="130"/>
      <c r="G55" s="130"/>
      <c r="H55" s="130"/>
    </row>
    <row r="56" spans="2:9" x14ac:dyDescent="0.2">
      <c r="B56" s="169"/>
    </row>
    <row r="57" spans="2:9" x14ac:dyDescent="0.2">
      <c r="B57" s="170"/>
      <c r="C57" s="171" t="s">
        <v>34</v>
      </c>
      <c r="D57" s="171" t="s">
        <v>35</v>
      </c>
      <c r="E57" s="171" t="s">
        <v>36</v>
      </c>
      <c r="F57" s="171" t="s">
        <v>38</v>
      </c>
      <c r="G57" s="171" t="s">
        <v>37</v>
      </c>
      <c r="H57" s="172" t="s">
        <v>1</v>
      </c>
    </row>
    <row r="58" spans="2:9" x14ac:dyDescent="0.2">
      <c r="C58" s="173"/>
      <c r="D58" s="173"/>
      <c r="E58" s="173"/>
      <c r="F58" s="173"/>
      <c r="G58" s="173"/>
      <c r="H58" s="173"/>
    </row>
    <row r="59" spans="2:9" x14ac:dyDescent="0.2">
      <c r="B59" s="170" t="s">
        <v>12</v>
      </c>
      <c r="C59" s="174">
        <f>'Forecast Revenue - Costs'!D12</f>
        <v>98</v>
      </c>
      <c r="D59" s="174">
        <f>'Forecast Revenue - Costs'!E12</f>
        <v>94.08</v>
      </c>
      <c r="E59" s="174">
        <f>'Forecast Revenue - Costs'!F12</f>
        <v>90.316800000000001</v>
      </c>
      <c r="F59" s="174">
        <f>'Forecast Revenue - Costs'!G12</f>
        <v>86.704127999999997</v>
      </c>
      <c r="G59" s="174">
        <f>'Forecast Revenue - Costs'!H12</f>
        <v>83.235962879999988</v>
      </c>
      <c r="H59" s="174">
        <f>SUM(C59:G59)</f>
        <v>452.33689087999994</v>
      </c>
    </row>
    <row r="60" spans="2:9" x14ac:dyDescent="0.2">
      <c r="C60" s="175"/>
      <c r="D60" s="175"/>
      <c r="E60" s="175"/>
      <c r="F60" s="175"/>
      <c r="G60" s="175"/>
      <c r="H60" s="176"/>
    </row>
  </sheetData>
  <mergeCells count="22">
    <mergeCell ref="B50:H52"/>
    <mergeCell ref="B21:H21"/>
    <mergeCell ref="B22:H22"/>
    <mergeCell ref="B23:H23"/>
    <mergeCell ref="B24:H24"/>
    <mergeCell ref="B26:H26"/>
    <mergeCell ref="C3:H3"/>
    <mergeCell ref="B16:H16"/>
    <mergeCell ref="B12:H12"/>
    <mergeCell ref="C4:D4"/>
    <mergeCell ref="B17:H17"/>
    <mergeCell ref="E6:E7"/>
    <mergeCell ref="E8:E9"/>
    <mergeCell ref="F6:F7"/>
    <mergeCell ref="F8:F9"/>
    <mergeCell ref="G6:G7"/>
    <mergeCell ref="G8:G9"/>
    <mergeCell ref="H6:H7"/>
    <mergeCell ref="H8:H9"/>
    <mergeCell ref="B6:B7"/>
    <mergeCell ref="B8:B9"/>
    <mergeCell ref="C10:D10"/>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7" zoomScaleNormal="100" workbookViewId="0">
      <selection activeCell="B21" sqref="B21:K21"/>
    </sheetView>
  </sheetViews>
  <sheetFormatPr defaultRowHeight="12.75" x14ac:dyDescent="0.2"/>
  <cols>
    <col min="1" max="1" width="2.28515625" style="1" customWidth="1"/>
    <col min="2" max="2" width="2.42578125" style="41" customWidth="1"/>
    <col min="3" max="3" width="10.140625" style="41" customWidth="1"/>
    <col min="4" max="9" width="13.140625" style="41" customWidth="1"/>
    <col min="10" max="11" width="9.140625" style="41"/>
    <col min="12" max="12" width="5.28515625" style="41"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0" t="s">
        <v>0</v>
      </c>
      <c r="C3" s="40"/>
      <c r="D3" s="253" t="str">
        <f>'AER Summary'!C3</f>
        <v>Special Meter Test (1st &amp; additional)</v>
      </c>
      <c r="E3" s="254"/>
      <c r="F3" s="254"/>
      <c r="G3" s="254"/>
      <c r="H3" s="254"/>
      <c r="I3" s="254"/>
      <c r="J3" s="254"/>
      <c r="K3" s="254"/>
      <c r="N3" s="28"/>
    </row>
    <row r="4" spans="2:14" x14ac:dyDescent="0.2">
      <c r="N4" s="28"/>
    </row>
    <row r="5" spans="2:14" x14ac:dyDescent="0.2">
      <c r="B5" s="255" t="s">
        <v>68</v>
      </c>
      <c r="C5" s="255"/>
      <c r="D5" s="255"/>
      <c r="E5" s="255"/>
      <c r="F5" s="255"/>
      <c r="G5" s="255"/>
      <c r="H5" s="255"/>
      <c r="I5" s="255"/>
      <c r="J5" s="255"/>
      <c r="K5" s="255"/>
      <c r="N5" s="28"/>
    </row>
    <row r="6" spans="2:14" ht="208.5" customHeight="1" x14ac:dyDescent="0.2">
      <c r="B6" s="256" t="s">
        <v>69</v>
      </c>
      <c r="C6" s="257"/>
      <c r="D6" s="257"/>
      <c r="E6" s="257"/>
      <c r="F6" s="257"/>
      <c r="G6" s="257"/>
      <c r="H6" s="257"/>
      <c r="I6" s="257"/>
      <c r="J6" s="257"/>
      <c r="K6" s="257"/>
      <c r="N6" s="28"/>
    </row>
    <row r="9" spans="2:14" x14ac:dyDescent="0.2">
      <c r="B9" s="255" t="s">
        <v>41</v>
      </c>
      <c r="C9" s="255"/>
      <c r="D9" s="255"/>
      <c r="E9" s="255"/>
      <c r="F9" s="255"/>
      <c r="G9" s="255"/>
      <c r="H9" s="255"/>
      <c r="I9" s="255"/>
      <c r="J9" s="255"/>
      <c r="K9" s="255"/>
    </row>
    <row r="10" spans="2:14" ht="15" customHeight="1" x14ac:dyDescent="0.2">
      <c r="B10" s="252" t="s">
        <v>70</v>
      </c>
      <c r="C10" s="252"/>
      <c r="D10" s="252"/>
      <c r="E10" s="252"/>
      <c r="F10" s="252"/>
      <c r="G10" s="252"/>
      <c r="H10" s="252"/>
      <c r="I10" s="252"/>
      <c r="J10" s="252"/>
      <c r="K10" s="252"/>
    </row>
    <row r="11" spans="2:14" ht="24.75" customHeight="1" x14ac:dyDescent="0.2">
      <c r="B11" s="258"/>
      <c r="C11" s="258"/>
      <c r="D11" s="258"/>
      <c r="E11" s="258"/>
      <c r="F11" s="258"/>
      <c r="G11" s="258"/>
      <c r="H11" s="258"/>
      <c r="I11" s="258"/>
      <c r="J11" s="258"/>
      <c r="K11" s="258"/>
      <c r="L11" s="43"/>
      <c r="M11" s="29"/>
      <c r="N11" s="29"/>
    </row>
    <row r="12" spans="2:14" x14ac:dyDescent="0.2">
      <c r="B12" s="258"/>
      <c r="C12" s="258"/>
      <c r="D12" s="258"/>
      <c r="E12" s="258"/>
      <c r="F12" s="258"/>
      <c r="G12" s="258"/>
      <c r="H12" s="258"/>
      <c r="I12" s="258"/>
      <c r="J12" s="258"/>
      <c r="K12" s="258"/>
      <c r="L12" s="43"/>
      <c r="M12" s="29"/>
      <c r="N12" s="29"/>
    </row>
    <row r="13" spans="2:14" x14ac:dyDescent="0.2">
      <c r="B13" s="258"/>
      <c r="C13" s="258"/>
      <c r="D13" s="258"/>
      <c r="E13" s="258"/>
      <c r="F13" s="258"/>
      <c r="G13" s="258"/>
      <c r="H13" s="258"/>
      <c r="I13" s="258"/>
      <c r="J13" s="258"/>
      <c r="K13" s="258"/>
      <c r="L13" s="43"/>
      <c r="M13" s="29"/>
      <c r="N13" s="29"/>
    </row>
    <row r="14" spans="2:14" ht="48" customHeight="1" x14ac:dyDescent="0.2">
      <c r="B14" s="258"/>
      <c r="C14" s="258"/>
      <c r="D14" s="258"/>
      <c r="E14" s="258"/>
      <c r="F14" s="258"/>
      <c r="G14" s="258"/>
      <c r="H14" s="258"/>
      <c r="I14" s="258"/>
      <c r="J14" s="258"/>
      <c r="K14" s="258"/>
      <c r="L14" s="43"/>
      <c r="M14" s="29"/>
      <c r="N14" s="29"/>
    </row>
    <row r="15" spans="2:14" x14ac:dyDescent="0.2">
      <c r="B15" s="258"/>
      <c r="C15" s="258"/>
      <c r="D15" s="258"/>
      <c r="E15" s="258"/>
      <c r="F15" s="258"/>
      <c r="G15" s="258"/>
      <c r="H15" s="258"/>
      <c r="I15" s="258"/>
      <c r="J15" s="258"/>
      <c r="K15" s="258"/>
      <c r="L15" s="43"/>
      <c r="M15" s="29"/>
      <c r="N15" s="29"/>
    </row>
    <row r="16" spans="2:14" x14ac:dyDescent="0.2">
      <c r="B16" s="258"/>
      <c r="C16" s="258"/>
      <c r="D16" s="258"/>
      <c r="E16" s="258"/>
      <c r="F16" s="258"/>
      <c r="G16" s="258"/>
      <c r="H16" s="258"/>
      <c r="I16" s="258"/>
      <c r="J16" s="258"/>
      <c r="K16" s="258"/>
      <c r="L16" s="43"/>
      <c r="M16" s="29"/>
      <c r="N16" s="29"/>
    </row>
    <row r="17" spans="2:14" x14ac:dyDescent="0.2">
      <c r="L17" s="43"/>
      <c r="M17" s="29"/>
      <c r="N17" s="29"/>
    </row>
    <row r="18" spans="2:14" x14ac:dyDescent="0.2">
      <c r="L18" s="43"/>
      <c r="M18" s="29"/>
      <c r="N18" s="29"/>
    </row>
    <row r="19" spans="2:14" x14ac:dyDescent="0.2">
      <c r="B19" s="255" t="s">
        <v>42</v>
      </c>
      <c r="C19" s="255"/>
      <c r="D19" s="255"/>
      <c r="E19" s="255"/>
      <c r="F19" s="255"/>
      <c r="G19" s="255"/>
      <c r="H19" s="255"/>
      <c r="I19" s="255"/>
      <c r="J19" s="255"/>
      <c r="K19" s="255"/>
      <c r="L19" s="43"/>
      <c r="M19" s="29"/>
      <c r="N19" s="29"/>
    </row>
    <row r="20" spans="2:14" ht="235.5" customHeight="1" x14ac:dyDescent="0.2">
      <c r="B20" s="252" t="str">
        <f>'AER Summary'!B12:H12</f>
        <v xml:space="preserve">
Special Meter Test (1st &amp; additional)
The testing of a single Essential Energy meter in accordance with AEMO Metrology Procedure: Part A National
Electricity Market. Essential Energy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&gt; if the meter test reveals that all of the meters associated with the NMI are operating satisfactorily, Essential
Energy will charge for each meter that a test was requested for; and
&gt; if the meter test reveals that one or more of the meters associated with the NMI are not operating
satisfactorily, Essential Energy will not levy any charge for the provision of the service.
Test results will be provided to the party requesting the meter tests in a standard Essential Energy format.
"Meter Test – 1st meter’ charge will apply to the first meter tested for a NMI, all subsequent tests at the same NMI
will be charged ‘Meter Test – each additional meter charge.</v>
      </c>
      <c r="C20" s="252"/>
      <c r="D20" s="252"/>
      <c r="E20" s="252"/>
      <c r="F20" s="252"/>
      <c r="G20" s="252"/>
      <c r="H20" s="252"/>
      <c r="I20" s="252"/>
      <c r="J20" s="252"/>
      <c r="K20" s="252"/>
    </row>
    <row r="21" spans="2:14" x14ac:dyDescent="0.2">
      <c r="B21" s="251"/>
      <c r="C21" s="251"/>
      <c r="D21" s="251"/>
      <c r="E21" s="251"/>
      <c r="F21" s="251"/>
      <c r="G21" s="251"/>
      <c r="H21" s="251"/>
      <c r="I21" s="251"/>
      <c r="J21" s="251"/>
      <c r="K21" s="25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40"/>
  <sheetViews>
    <sheetView showGridLines="0" workbookViewId="0">
      <selection activeCell="L18" sqref="L18"/>
    </sheetView>
  </sheetViews>
  <sheetFormatPr defaultRowHeight="12.75" x14ac:dyDescent="0.2"/>
  <cols>
    <col min="1" max="1" width="3.5703125" style="78" customWidth="1"/>
    <col min="2" max="2" width="60.42578125" style="78" customWidth="1"/>
    <col min="3" max="3" width="60.5703125" style="78" customWidth="1"/>
    <col min="4" max="4" width="12.85546875" style="78" customWidth="1"/>
    <col min="5" max="8" width="11.28515625" style="78" customWidth="1"/>
    <col min="9" max="9" width="12.7109375" style="78" customWidth="1"/>
    <col min="10" max="16384" width="9.140625" style="78"/>
  </cols>
  <sheetData>
    <row r="2" spans="1:9" x14ac:dyDescent="0.2">
      <c r="B2" s="79" t="s">
        <v>87</v>
      </c>
      <c r="C2" s="80" t="s">
        <v>89</v>
      </c>
      <c r="D2" s="81"/>
      <c r="E2" s="81"/>
      <c r="F2" s="81"/>
      <c r="G2" s="81"/>
      <c r="H2" s="81"/>
      <c r="I2" s="81"/>
    </row>
    <row r="3" spans="1:9" x14ac:dyDescent="0.2">
      <c r="B3" s="82" t="s">
        <v>19</v>
      </c>
      <c r="C3" s="82" t="s">
        <v>3</v>
      </c>
      <c r="D3" s="83" t="s">
        <v>57</v>
      </c>
      <c r="E3" s="83" t="s">
        <v>56</v>
      </c>
      <c r="F3" s="83" t="s">
        <v>55</v>
      </c>
      <c r="G3" s="76" t="s">
        <v>110</v>
      </c>
      <c r="H3" s="76" t="s">
        <v>111</v>
      </c>
      <c r="I3" s="84" t="s">
        <v>1</v>
      </c>
    </row>
    <row r="4" spans="1:9" x14ac:dyDescent="0.2">
      <c r="B4" s="85" t="s">
        <v>20</v>
      </c>
      <c r="C4" s="85" t="s">
        <v>88</v>
      </c>
      <c r="D4" s="86"/>
      <c r="E4" s="86">
        <v>113060.25</v>
      </c>
      <c r="F4" s="86">
        <v>174938.14</v>
      </c>
      <c r="G4" s="86">
        <v>207573.6</v>
      </c>
      <c r="H4" s="86">
        <f>G4*102.5%</f>
        <v>212762.93999999997</v>
      </c>
      <c r="I4" s="179">
        <f>SUM(D4:H4)</f>
        <v>708334.92999999993</v>
      </c>
    </row>
    <row r="5" spans="1:9" x14ac:dyDescent="0.2">
      <c r="B5" s="85" t="s">
        <v>22</v>
      </c>
      <c r="C5" s="87"/>
      <c r="D5" s="86"/>
      <c r="E5" s="86">
        <v>552.17999999999995</v>
      </c>
      <c r="F5" s="86">
        <v>2428</v>
      </c>
      <c r="G5" s="86">
        <v>5006.62</v>
      </c>
      <c r="H5" s="86">
        <f t="shared" ref="H5:H8" si="0">G5*102.5%</f>
        <v>5131.785499999999</v>
      </c>
      <c r="I5" s="179">
        <f t="shared" ref="I5:I8" si="1">SUM(D5:H5)</f>
        <v>13118.585499999997</v>
      </c>
    </row>
    <row r="6" spans="1:9" x14ac:dyDescent="0.2">
      <c r="B6" s="85" t="s">
        <v>23</v>
      </c>
      <c r="C6" s="85"/>
      <c r="D6" s="86">
        <v>0</v>
      </c>
      <c r="E6" s="86">
        <v>29428.15</v>
      </c>
      <c r="F6" s="86">
        <v>52616.18</v>
      </c>
      <c r="G6" s="86">
        <v>53748.4</v>
      </c>
      <c r="H6" s="86">
        <f t="shared" si="0"/>
        <v>55092.109999999993</v>
      </c>
      <c r="I6" s="179">
        <f t="shared" si="1"/>
        <v>190884.84</v>
      </c>
    </row>
    <row r="7" spans="1:9" x14ac:dyDescent="0.2">
      <c r="B7" s="85" t="s">
        <v>24</v>
      </c>
      <c r="C7" s="85"/>
      <c r="D7" s="86"/>
      <c r="E7" s="86">
        <v>0</v>
      </c>
      <c r="F7" s="86">
        <v>42.83</v>
      </c>
      <c r="G7" s="86">
        <v>664.94</v>
      </c>
      <c r="H7" s="86">
        <f t="shared" si="0"/>
        <v>681.56349999999998</v>
      </c>
      <c r="I7" s="179">
        <f t="shared" si="1"/>
        <v>1389.3335000000002</v>
      </c>
    </row>
    <row r="8" spans="1:9" x14ac:dyDescent="0.2">
      <c r="B8" s="85" t="s">
        <v>21</v>
      </c>
      <c r="C8" s="85"/>
      <c r="D8" s="88"/>
      <c r="E8" s="88">
        <v>99124.02</v>
      </c>
      <c r="F8" s="88">
        <v>100173</v>
      </c>
      <c r="G8" s="88">
        <v>140602.64000000001</v>
      </c>
      <c r="H8" s="86">
        <f t="shared" si="0"/>
        <v>144117.70600000001</v>
      </c>
      <c r="I8" s="179">
        <f t="shared" si="1"/>
        <v>484017.36600000004</v>
      </c>
    </row>
    <row r="9" spans="1:9" x14ac:dyDescent="0.2">
      <c r="B9" s="89" t="s">
        <v>1</v>
      </c>
      <c r="C9" s="90"/>
      <c r="D9" s="91">
        <f t="shared" ref="D9:I9" si="2">SUM(D4:D8)</f>
        <v>0</v>
      </c>
      <c r="E9" s="91">
        <f t="shared" si="2"/>
        <v>242164.59999999998</v>
      </c>
      <c r="F9" s="91">
        <f t="shared" si="2"/>
        <v>330198.15000000002</v>
      </c>
      <c r="G9" s="91">
        <f t="shared" si="2"/>
        <v>407596.2</v>
      </c>
      <c r="H9" s="91">
        <f t="shared" si="2"/>
        <v>417786.10499999998</v>
      </c>
      <c r="I9" s="92">
        <f t="shared" si="2"/>
        <v>1397745.0549999999</v>
      </c>
    </row>
    <row r="10" spans="1:9" x14ac:dyDescent="0.2">
      <c r="B10" s="93"/>
      <c r="C10" s="94"/>
      <c r="D10" s="95"/>
      <c r="E10" s="95"/>
      <c r="F10" s="95"/>
      <c r="G10" s="95"/>
      <c r="H10" s="95"/>
      <c r="I10" s="95"/>
    </row>
    <row r="11" spans="1:9" x14ac:dyDescent="0.2">
      <c r="B11" s="79" t="s">
        <v>87</v>
      </c>
      <c r="C11" s="80" t="s">
        <v>90</v>
      </c>
      <c r="D11" s="81"/>
      <c r="E11" s="81"/>
      <c r="F11" s="81"/>
      <c r="G11" s="81"/>
      <c r="H11" s="81"/>
      <c r="I11" s="81"/>
    </row>
    <row r="12" spans="1:9" x14ac:dyDescent="0.2">
      <c r="B12" s="82" t="s">
        <v>19</v>
      </c>
      <c r="C12" s="82" t="s">
        <v>3</v>
      </c>
      <c r="D12" s="83" t="s">
        <v>57</v>
      </c>
      <c r="E12" s="83" t="s">
        <v>56</v>
      </c>
      <c r="F12" s="83" t="s">
        <v>55</v>
      </c>
      <c r="G12" s="76" t="s">
        <v>110</v>
      </c>
      <c r="H12" s="76" t="s">
        <v>111</v>
      </c>
      <c r="I12" s="84" t="s">
        <v>1</v>
      </c>
    </row>
    <row r="13" spans="1:9" x14ac:dyDescent="0.2">
      <c r="B13" s="85" t="s">
        <v>20</v>
      </c>
      <c r="C13" s="85" t="s">
        <v>88</v>
      </c>
      <c r="D13" s="86"/>
      <c r="E13" s="86">
        <v>0</v>
      </c>
      <c r="F13" s="86">
        <v>0</v>
      </c>
      <c r="G13" s="86">
        <v>0</v>
      </c>
      <c r="H13" s="86">
        <f>G13*102.5%</f>
        <v>0</v>
      </c>
      <c r="I13" s="179">
        <f>SUM(D13:H13)</f>
        <v>0</v>
      </c>
    </row>
    <row r="14" spans="1:9" x14ac:dyDescent="0.2">
      <c r="B14" s="85" t="s">
        <v>22</v>
      </c>
      <c r="C14" s="87"/>
      <c r="D14" s="86"/>
      <c r="E14" s="86">
        <v>0</v>
      </c>
      <c r="F14" s="86">
        <v>0</v>
      </c>
      <c r="G14" s="86">
        <v>0</v>
      </c>
      <c r="H14" s="86">
        <f t="shared" ref="H14:H17" si="3">G14*102.5%</f>
        <v>0</v>
      </c>
      <c r="I14" s="179">
        <f t="shared" ref="I14:I17" si="4">SUM(D14:H14)</f>
        <v>0</v>
      </c>
    </row>
    <row r="15" spans="1:9" x14ac:dyDescent="0.2">
      <c r="B15" s="85" t="s">
        <v>23</v>
      </c>
      <c r="C15" s="85"/>
      <c r="D15" s="86">
        <v>0</v>
      </c>
      <c r="E15" s="86">
        <v>0</v>
      </c>
      <c r="F15" s="86">
        <v>0</v>
      </c>
      <c r="G15" s="86">
        <v>0</v>
      </c>
      <c r="H15" s="86">
        <f t="shared" si="3"/>
        <v>0</v>
      </c>
      <c r="I15" s="179">
        <f t="shared" si="4"/>
        <v>0</v>
      </c>
    </row>
    <row r="16" spans="1:9" x14ac:dyDescent="0.2">
      <c r="A16" s="96"/>
      <c r="B16" s="85" t="s">
        <v>24</v>
      </c>
      <c r="C16" s="85"/>
      <c r="D16" s="86"/>
      <c r="E16" s="86">
        <v>0</v>
      </c>
      <c r="F16" s="86">
        <v>0</v>
      </c>
      <c r="G16" s="86">
        <v>0</v>
      </c>
      <c r="H16" s="86">
        <f t="shared" si="3"/>
        <v>0</v>
      </c>
      <c r="I16" s="179">
        <f t="shared" si="4"/>
        <v>0</v>
      </c>
    </row>
    <row r="17" spans="2:9" x14ac:dyDescent="0.2">
      <c r="B17" s="85" t="s">
        <v>21</v>
      </c>
      <c r="C17" s="85"/>
      <c r="D17" s="88"/>
      <c r="E17" s="88">
        <v>0</v>
      </c>
      <c r="F17" s="88">
        <v>0</v>
      </c>
      <c r="G17" s="86">
        <v>0</v>
      </c>
      <c r="H17" s="86">
        <f t="shared" si="3"/>
        <v>0</v>
      </c>
      <c r="I17" s="179">
        <f t="shared" si="4"/>
        <v>0</v>
      </c>
    </row>
    <row r="18" spans="2:9" x14ac:dyDescent="0.2">
      <c r="B18" s="89" t="s">
        <v>1</v>
      </c>
      <c r="C18" s="90"/>
      <c r="D18" s="91">
        <f t="shared" ref="D18:I18" si="5">SUM(D13:D17)</f>
        <v>0</v>
      </c>
      <c r="E18" s="91">
        <f t="shared" si="5"/>
        <v>0</v>
      </c>
      <c r="F18" s="91">
        <f>SUM(F13:F17)</f>
        <v>0</v>
      </c>
      <c r="G18" s="91">
        <f t="shared" ref="G18:H18" si="6">SUM(G13:G17)</f>
        <v>0</v>
      </c>
      <c r="H18" s="91">
        <f t="shared" si="6"/>
        <v>0</v>
      </c>
      <c r="I18" s="92">
        <f t="shared" si="5"/>
        <v>0</v>
      </c>
    </row>
    <row r="19" spans="2:9" x14ac:dyDescent="0.2">
      <c r="B19" s="93"/>
      <c r="C19" s="94"/>
      <c r="D19" s="95"/>
      <c r="E19" s="95"/>
      <c r="F19" s="95"/>
      <c r="G19" s="95"/>
      <c r="H19" s="95"/>
      <c r="I19" s="95"/>
    </row>
    <row r="20" spans="2:9" x14ac:dyDescent="0.2">
      <c r="B20" s="97" t="s">
        <v>10</v>
      </c>
      <c r="C20" s="98"/>
      <c r="D20" s="98"/>
      <c r="E20" s="98"/>
      <c r="F20" s="98"/>
      <c r="G20" s="98"/>
      <c r="H20" s="98"/>
      <c r="I20" s="98"/>
    </row>
    <row r="21" spans="2:9" x14ac:dyDescent="0.2">
      <c r="B21" s="120" t="s">
        <v>4</v>
      </c>
      <c r="C21" s="120" t="s">
        <v>9</v>
      </c>
      <c r="D21" s="83" t="s">
        <v>57</v>
      </c>
      <c r="E21" s="83" t="s">
        <v>56</v>
      </c>
      <c r="F21" s="83" t="s">
        <v>55</v>
      </c>
      <c r="G21" s="121" t="s">
        <v>110</v>
      </c>
      <c r="H21" s="121" t="s">
        <v>111</v>
      </c>
      <c r="I21" s="125" t="s">
        <v>1</v>
      </c>
    </row>
    <row r="22" spans="2:9" x14ac:dyDescent="0.2">
      <c r="B22" s="99" t="s">
        <v>92</v>
      </c>
      <c r="C22" s="3" t="s">
        <v>95</v>
      </c>
      <c r="D22" s="100"/>
      <c r="E22" s="100">
        <v>67</v>
      </c>
      <c r="F22" s="100">
        <v>86</v>
      </c>
      <c r="G22" s="100">
        <v>90</v>
      </c>
      <c r="H22" s="100">
        <v>90</v>
      </c>
      <c r="I22" s="180">
        <f>SUM(D22:H22)</f>
        <v>333</v>
      </c>
    </row>
    <row r="23" spans="2:9" x14ac:dyDescent="0.2">
      <c r="B23" s="99" t="s">
        <v>93</v>
      </c>
      <c r="C23" s="3" t="s">
        <v>95</v>
      </c>
      <c r="D23" s="100"/>
      <c r="E23" s="100">
        <v>5</v>
      </c>
      <c r="F23" s="100">
        <v>16</v>
      </c>
      <c r="G23" s="100">
        <v>12</v>
      </c>
      <c r="H23" s="100">
        <v>12</v>
      </c>
      <c r="I23" s="180">
        <f t="shared" ref="I23:I24" si="7">SUM(D23:H23)</f>
        <v>45</v>
      </c>
    </row>
    <row r="24" spans="2:9" x14ac:dyDescent="0.2">
      <c r="B24" s="85"/>
      <c r="C24" s="123"/>
      <c r="D24" s="100"/>
      <c r="E24" s="100"/>
      <c r="F24" s="100"/>
      <c r="G24" s="100"/>
      <c r="H24" s="100"/>
      <c r="I24" s="180">
        <f t="shared" si="7"/>
        <v>0</v>
      </c>
    </row>
    <row r="25" spans="2:9" x14ac:dyDescent="0.2">
      <c r="B25" s="124" t="s">
        <v>52</v>
      </c>
      <c r="C25" s="82"/>
      <c r="D25" s="126">
        <f t="shared" ref="D25:I25" si="8">SUM(D22:D24)</f>
        <v>0</v>
      </c>
      <c r="E25" s="126">
        <f t="shared" si="8"/>
        <v>72</v>
      </c>
      <c r="F25" s="126">
        <f t="shared" si="8"/>
        <v>102</v>
      </c>
      <c r="G25" s="126">
        <f t="shared" si="8"/>
        <v>102</v>
      </c>
      <c r="H25" s="126">
        <f t="shared" si="8"/>
        <v>102</v>
      </c>
      <c r="I25" s="126">
        <f t="shared" si="8"/>
        <v>378</v>
      </c>
    </row>
    <row r="27" spans="2:9" x14ac:dyDescent="0.2">
      <c r="B27" s="101" t="s">
        <v>6</v>
      </c>
      <c r="C27" s="102"/>
      <c r="D27" s="103"/>
      <c r="E27" s="103"/>
      <c r="F27" s="103"/>
      <c r="G27" s="103"/>
      <c r="H27" s="103"/>
      <c r="I27" s="103"/>
    </row>
    <row r="28" spans="2:9" ht="12.75" customHeight="1" x14ac:dyDescent="0.2">
      <c r="B28" s="263" t="s">
        <v>96</v>
      </c>
      <c r="C28" s="263"/>
      <c r="D28" s="263"/>
      <c r="E28" s="263"/>
      <c r="F28" s="263"/>
      <c r="G28" s="263"/>
      <c r="H28" s="110"/>
      <c r="I28" s="110"/>
    </row>
    <row r="29" spans="2:9" x14ac:dyDescent="0.2">
      <c r="B29" s="114" t="s">
        <v>104</v>
      </c>
      <c r="C29" s="111"/>
      <c r="D29" s="111"/>
      <c r="E29" s="111"/>
      <c r="F29" s="111"/>
      <c r="G29" s="111"/>
      <c r="H29" s="111"/>
      <c r="I29" s="111"/>
    </row>
    <row r="30" spans="2:9" x14ac:dyDescent="0.2">
      <c r="B30" s="114" t="s">
        <v>105</v>
      </c>
      <c r="C30" s="111"/>
      <c r="D30" s="111"/>
      <c r="E30" s="111"/>
      <c r="F30" s="111"/>
      <c r="G30" s="111"/>
      <c r="H30" s="111"/>
      <c r="I30" s="111"/>
    </row>
    <row r="31" spans="2:9" x14ac:dyDescent="0.2">
      <c r="B31" s="114" t="s">
        <v>106</v>
      </c>
      <c r="C31" s="111"/>
      <c r="D31" s="111"/>
      <c r="E31" s="111"/>
      <c r="F31" s="111"/>
      <c r="G31" s="111"/>
      <c r="H31" s="111"/>
      <c r="I31" s="111"/>
    </row>
    <row r="32" spans="2:9" x14ac:dyDescent="0.2">
      <c r="B32" s="114" t="s">
        <v>107</v>
      </c>
      <c r="C32" s="111"/>
      <c r="D32" s="111"/>
      <c r="E32" s="111"/>
      <c r="F32" s="111"/>
      <c r="G32" s="111"/>
      <c r="H32" s="111"/>
      <c r="I32" s="111"/>
    </row>
    <row r="33" spans="2:9" x14ac:dyDescent="0.2">
      <c r="B33" s="115" t="s">
        <v>108</v>
      </c>
      <c r="C33" s="104"/>
      <c r="D33" s="104"/>
      <c r="E33" s="104"/>
      <c r="F33" s="104"/>
      <c r="G33" s="109"/>
      <c r="H33" s="109"/>
      <c r="I33" s="104"/>
    </row>
    <row r="34" spans="2:9" x14ac:dyDescent="0.2">
      <c r="B34" s="102"/>
      <c r="C34" s="102"/>
      <c r="D34" s="103"/>
      <c r="E34" s="103"/>
      <c r="F34" s="103"/>
      <c r="G34" s="103"/>
      <c r="H34" s="103"/>
      <c r="I34" s="103"/>
    </row>
    <row r="35" spans="2:9" x14ac:dyDescent="0.2">
      <c r="B35" s="97" t="s">
        <v>48</v>
      </c>
      <c r="C35" s="98"/>
      <c r="D35" s="98"/>
      <c r="E35" s="98"/>
      <c r="F35" s="98"/>
      <c r="G35" s="98"/>
      <c r="H35" s="98"/>
      <c r="I35" s="98"/>
    </row>
    <row r="36" spans="2:9" x14ac:dyDescent="0.2">
      <c r="B36" s="102"/>
      <c r="C36" s="102"/>
      <c r="D36" s="102"/>
      <c r="E36" s="102"/>
      <c r="F36" s="102"/>
      <c r="G36" s="102"/>
      <c r="H36" s="102"/>
      <c r="I36" s="102"/>
    </row>
    <row r="37" spans="2:9" x14ac:dyDescent="0.2">
      <c r="B37" s="105" t="s">
        <v>11</v>
      </c>
      <c r="C37" s="106"/>
      <c r="D37" s="106"/>
      <c r="E37" s="106"/>
      <c r="F37" s="106"/>
      <c r="G37" s="106"/>
      <c r="H37" s="106"/>
      <c r="I37" s="106"/>
    </row>
    <row r="38" spans="2:9" x14ac:dyDescent="0.2">
      <c r="B38" s="259" t="s">
        <v>103</v>
      </c>
      <c r="C38" s="260"/>
      <c r="D38" s="260"/>
      <c r="E38" s="260"/>
      <c r="F38" s="260"/>
      <c r="G38" s="260"/>
      <c r="H38" s="260"/>
      <c r="I38" s="260"/>
    </row>
    <row r="39" spans="2:9" x14ac:dyDescent="0.2">
      <c r="B39" s="261"/>
      <c r="C39" s="262"/>
      <c r="D39" s="262"/>
      <c r="E39" s="262"/>
      <c r="F39" s="262"/>
      <c r="G39" s="262"/>
      <c r="H39" s="262"/>
      <c r="I39" s="262"/>
    </row>
    <row r="40" spans="2:9" x14ac:dyDescent="0.2">
      <c r="B40" s="107"/>
      <c r="C40" s="108"/>
      <c r="D40" s="108"/>
      <c r="E40" s="108"/>
      <c r="F40" s="108"/>
      <c r="G40" s="108"/>
      <c r="H40" s="108"/>
      <c r="I40" s="108"/>
    </row>
  </sheetData>
  <mergeCells count="2">
    <mergeCell ref="B38:I39"/>
    <mergeCell ref="B28:G2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4"/>
  <sheetViews>
    <sheetView showGridLines="0" workbookViewId="0">
      <selection activeCell="B27" sqref="B27"/>
    </sheetView>
  </sheetViews>
  <sheetFormatPr defaultRowHeight="12.75" x14ac:dyDescent="0.2"/>
  <cols>
    <col min="1" max="1" width="2.28515625" style="1" customWidth="1"/>
    <col min="2" max="2" width="71.85546875" style="1" customWidth="1"/>
    <col min="3" max="3" width="15.140625" style="59" bestFit="1" customWidth="1"/>
    <col min="4" max="12" width="9.140625" style="69"/>
    <col min="13" max="13" width="9.140625" style="56"/>
    <col min="14" max="14" width="9.140625" style="65"/>
    <col min="15" max="15" width="9.140625" style="1"/>
    <col min="16" max="17" width="9.140625" style="38"/>
    <col min="18" max="18" width="2.85546875" style="1" customWidth="1"/>
    <col min="19" max="16384" width="9.140625" style="1"/>
  </cols>
  <sheetData>
    <row r="2" spans="1:18" x14ac:dyDescent="0.2">
      <c r="B2" s="181" t="s">
        <v>53</v>
      </c>
      <c r="C2" s="182"/>
      <c r="D2" s="182"/>
      <c r="E2" s="182"/>
      <c r="F2" s="182"/>
      <c r="G2" s="182"/>
      <c r="H2" s="264" t="s">
        <v>120</v>
      </c>
      <c r="I2" s="264"/>
      <c r="J2" s="264"/>
      <c r="K2" s="264"/>
      <c r="L2" s="264"/>
      <c r="M2" s="264"/>
      <c r="N2" s="264"/>
      <c r="O2" s="264"/>
      <c r="P2" s="264"/>
      <c r="Q2" s="264"/>
    </row>
    <row r="3" spans="1:18" ht="15.75" x14ac:dyDescent="0.25">
      <c r="B3" s="49" t="s">
        <v>63</v>
      </c>
      <c r="C3" s="42"/>
      <c r="D3" s="66"/>
      <c r="E3" s="66"/>
      <c r="F3" s="66"/>
      <c r="G3" s="128"/>
      <c r="H3" s="265" t="s">
        <v>121</v>
      </c>
      <c r="I3" s="265"/>
      <c r="J3" s="265"/>
      <c r="K3" s="265"/>
      <c r="L3" s="265"/>
      <c r="M3" s="265"/>
      <c r="N3" s="265"/>
      <c r="O3" s="265"/>
      <c r="P3" s="265"/>
      <c r="Q3" s="265"/>
    </row>
    <row r="4" spans="1:18" s="29" customFormat="1" ht="3" customHeight="1" x14ac:dyDescent="0.2">
      <c r="B4" s="31"/>
      <c r="C4" s="57"/>
      <c r="D4" s="67"/>
      <c r="E4" s="67"/>
      <c r="F4" s="67"/>
      <c r="G4" s="31"/>
      <c r="H4" s="31"/>
      <c r="I4" s="31"/>
      <c r="J4" s="31"/>
      <c r="K4" s="31"/>
      <c r="L4" s="31"/>
      <c r="M4" s="31"/>
      <c r="N4" s="31"/>
      <c r="O4" s="31"/>
      <c r="P4" s="31"/>
      <c r="Q4" s="31"/>
    </row>
    <row r="5" spans="1:18" ht="76.5" x14ac:dyDescent="0.2">
      <c r="B5" s="32" t="s">
        <v>18</v>
      </c>
      <c r="C5" s="32" t="s">
        <v>30</v>
      </c>
      <c r="D5" s="183" t="s">
        <v>62</v>
      </c>
      <c r="E5" s="33" t="s">
        <v>31</v>
      </c>
      <c r="F5" s="184" t="s">
        <v>133</v>
      </c>
      <c r="G5" s="183" t="s">
        <v>122</v>
      </c>
      <c r="H5" s="183" t="s">
        <v>123</v>
      </c>
      <c r="I5" s="183" t="s">
        <v>124</v>
      </c>
      <c r="J5" s="183" t="s">
        <v>125</v>
      </c>
      <c r="K5" s="184" t="s">
        <v>126</v>
      </c>
      <c r="L5" s="184" t="s">
        <v>127</v>
      </c>
      <c r="M5" s="183" t="s">
        <v>128</v>
      </c>
      <c r="N5" s="183" t="s">
        <v>129</v>
      </c>
      <c r="O5" s="183" t="s">
        <v>130</v>
      </c>
      <c r="P5" s="183" t="s">
        <v>131</v>
      </c>
      <c r="Q5" s="183" t="s">
        <v>132</v>
      </c>
      <c r="R5" s="45"/>
    </row>
    <row r="6" spans="1:18" x14ac:dyDescent="0.2">
      <c r="B6" s="189" t="s">
        <v>71</v>
      </c>
      <c r="C6" s="190"/>
      <c r="D6" s="190"/>
      <c r="E6" s="190"/>
      <c r="F6" s="190"/>
      <c r="G6" s="190"/>
      <c r="H6" s="190"/>
      <c r="I6" s="190"/>
      <c r="J6" s="190"/>
      <c r="K6" s="190"/>
      <c r="L6" s="190"/>
      <c r="M6" s="190"/>
      <c r="N6" s="190"/>
      <c r="O6" s="190"/>
      <c r="P6" s="190"/>
      <c r="Q6" s="191"/>
      <c r="R6" s="20"/>
    </row>
    <row r="7" spans="1:18" x14ac:dyDescent="0.2">
      <c r="B7" s="185" t="s">
        <v>73</v>
      </c>
      <c r="C7" s="186" t="s">
        <v>74</v>
      </c>
      <c r="D7" s="187">
        <v>1</v>
      </c>
      <c r="E7" s="188">
        <v>1</v>
      </c>
      <c r="F7" s="61">
        <f>D7*E7</f>
        <v>1</v>
      </c>
      <c r="G7" s="194">
        <v>0</v>
      </c>
      <c r="H7" s="70">
        <f>IF(G7=0,VLOOKUP(C:C,[1]Inputs!$B$20:$H$25,7,FALSE)*F7,VLOOKUP(C:C,[1]Inputs!$B$20:$I$25,8,FALSE)*F7)</f>
        <v>103.26059762014499</v>
      </c>
      <c r="I7" s="70">
        <f>VLOOKUP(C:C,[1]Inputs!$C$54:$G$59,5,FALSE)*F7</f>
        <v>19.732436288346317</v>
      </c>
      <c r="J7" s="70"/>
      <c r="K7" s="70"/>
      <c r="L7" s="70"/>
      <c r="M7" s="70">
        <f>SUM(H7:J7)</f>
        <v>122.99303390849131</v>
      </c>
      <c r="N7" s="70">
        <f>[1]Inputs!$M$43*M7</f>
        <v>57.305727529149344</v>
      </c>
      <c r="O7" s="70">
        <f>[1]Inputs!$M$48*M7</f>
        <v>19.725325764744216</v>
      </c>
      <c r="P7" s="70">
        <f>[1]Inputs!$H$13*SUM(M7:O7)</f>
        <v>12.685527610375249</v>
      </c>
      <c r="Q7" s="70">
        <f t="shared" ref="Q7" si="0">SUM(M7:P7)</f>
        <v>212.70961481276012</v>
      </c>
    </row>
    <row r="8" spans="1:18" x14ac:dyDescent="0.2">
      <c r="B8" s="52" t="s">
        <v>75</v>
      </c>
      <c r="C8" s="51" t="s">
        <v>74</v>
      </c>
      <c r="D8" s="60">
        <v>0.1</v>
      </c>
      <c r="E8" s="63">
        <v>1</v>
      </c>
      <c r="F8" s="61">
        <f t="shared" ref="F8:F14" si="1">D8*E8</f>
        <v>0.1</v>
      </c>
      <c r="G8" s="194">
        <v>0</v>
      </c>
      <c r="H8" s="70">
        <f>IF(G8=0,VLOOKUP(C:C,[1]Inputs!$B$20:$H$25,7,FALSE)*F8,VLOOKUP(C:C,[1]Inputs!$B$20:$I$25,8,FALSE)*F8)</f>
        <v>10.3260597620145</v>
      </c>
      <c r="I8" s="70">
        <f>VLOOKUP(C:C,[1]Inputs!$C$54:$G$59,5,FALSE)*F8</f>
        <v>1.9732436288346318</v>
      </c>
      <c r="J8" s="70"/>
      <c r="K8" s="70"/>
      <c r="L8" s="70"/>
      <c r="M8" s="70">
        <f t="shared" ref="M8:M14" si="2">SUM(H8:J8)</f>
        <v>12.299303390849133</v>
      </c>
      <c r="N8" s="70">
        <f>[1]Inputs!$M$43*M8</f>
        <v>5.7305727529149353</v>
      </c>
      <c r="O8" s="70">
        <f>[1]Inputs!$M$48*M8</f>
        <v>1.9725325764744219</v>
      </c>
      <c r="P8" s="70">
        <f>[1]Inputs!$H$13*SUM(M8:O8)</f>
        <v>1.2685527610375251</v>
      </c>
      <c r="Q8" s="70">
        <f t="shared" ref="Q8:Q14" si="3">SUM(M8:P8)</f>
        <v>21.270961481276014</v>
      </c>
      <c r="R8" s="20"/>
    </row>
    <row r="9" spans="1:18" x14ac:dyDescent="0.2">
      <c r="A9" s="46"/>
      <c r="B9" s="53" t="s">
        <v>79</v>
      </c>
      <c r="C9" s="51" t="s">
        <v>74</v>
      </c>
      <c r="D9" s="61">
        <v>0.3</v>
      </c>
      <c r="E9" s="63">
        <v>1</v>
      </c>
      <c r="F9" s="61">
        <f t="shared" si="1"/>
        <v>0.3</v>
      </c>
      <c r="G9" s="194">
        <v>0</v>
      </c>
      <c r="H9" s="70">
        <f>IF(G9=0,VLOOKUP(C:C,[1]Inputs!$B$20:$H$25,7,FALSE)*F9,VLOOKUP(C:C,[1]Inputs!$B$20:$I$25,8,FALSE)*F9)</f>
        <v>30.978179286043495</v>
      </c>
      <c r="I9" s="70">
        <f>VLOOKUP(C:C,[1]Inputs!$C$54:$G$59,5,FALSE)*F9</f>
        <v>5.9197308865038947</v>
      </c>
      <c r="J9" s="70"/>
      <c r="K9" s="70"/>
      <c r="L9" s="70"/>
      <c r="M9" s="70">
        <f t="shared" si="2"/>
        <v>36.897910172547391</v>
      </c>
      <c r="N9" s="70">
        <f>[1]Inputs!$M$43*M9</f>
        <v>17.191718258744803</v>
      </c>
      <c r="O9" s="70">
        <f>[1]Inputs!$M$48*M9</f>
        <v>5.9175977294232647</v>
      </c>
      <c r="P9" s="70">
        <f>[1]Inputs!$H$13*SUM(M9:O9)</f>
        <v>3.8056582831125749</v>
      </c>
      <c r="Q9" s="70">
        <f t="shared" si="3"/>
        <v>63.81288444382804</v>
      </c>
      <c r="R9" s="20"/>
    </row>
    <row r="10" spans="1:18" x14ac:dyDescent="0.2">
      <c r="B10" s="54" t="s">
        <v>76</v>
      </c>
      <c r="C10" s="51" t="s">
        <v>74</v>
      </c>
      <c r="D10" s="62">
        <v>0.3</v>
      </c>
      <c r="E10" s="62">
        <v>1</v>
      </c>
      <c r="F10" s="61">
        <f t="shared" si="1"/>
        <v>0.3</v>
      </c>
      <c r="G10" s="194">
        <v>0</v>
      </c>
      <c r="H10" s="70">
        <f>IF(G10=0,VLOOKUP(C:C,[1]Inputs!$B$20:$H$25,7,FALSE)*F10,VLOOKUP(C:C,[1]Inputs!$B$20:$I$25,8,FALSE)*F10)</f>
        <v>30.978179286043495</v>
      </c>
      <c r="I10" s="70">
        <f>VLOOKUP(C:C,[1]Inputs!$C$54:$G$59,5,FALSE)*F10</f>
        <v>5.9197308865038947</v>
      </c>
      <c r="J10" s="70"/>
      <c r="K10" s="70"/>
      <c r="L10" s="70"/>
      <c r="M10" s="70">
        <f t="shared" si="2"/>
        <v>36.897910172547391</v>
      </c>
      <c r="N10" s="70">
        <f>[1]Inputs!$M$43*M10</f>
        <v>17.191718258744803</v>
      </c>
      <c r="O10" s="70">
        <f>[1]Inputs!$M$48*M10</f>
        <v>5.9175977294232647</v>
      </c>
      <c r="P10" s="70">
        <f>[1]Inputs!$H$13*SUM(M10:O10)</f>
        <v>3.8056582831125749</v>
      </c>
      <c r="Q10" s="70">
        <f t="shared" si="3"/>
        <v>63.81288444382804</v>
      </c>
    </row>
    <row r="11" spans="1:18" x14ac:dyDescent="0.2">
      <c r="B11" s="52" t="s">
        <v>77</v>
      </c>
      <c r="C11" s="51" t="s">
        <v>74</v>
      </c>
      <c r="D11" s="63">
        <v>1</v>
      </c>
      <c r="E11" s="63">
        <v>1</v>
      </c>
      <c r="F11" s="61">
        <f t="shared" si="1"/>
        <v>1</v>
      </c>
      <c r="G11" s="194">
        <v>0</v>
      </c>
      <c r="H11" s="70">
        <f>IF(G11=0,VLOOKUP(C:C,[1]Inputs!$B$20:$H$25,7,FALSE)*F11,VLOOKUP(C:C,[1]Inputs!$B$20:$I$25,8,FALSE)*F11)</f>
        <v>103.26059762014499</v>
      </c>
      <c r="I11" s="70">
        <f>VLOOKUP(C:C,[1]Inputs!$C$54:$G$59,5,FALSE)*F11</f>
        <v>19.732436288346317</v>
      </c>
      <c r="J11" s="70"/>
      <c r="K11" s="70"/>
      <c r="L11" s="70"/>
      <c r="M11" s="70">
        <f t="shared" si="2"/>
        <v>122.99303390849131</v>
      </c>
      <c r="N11" s="70">
        <f>[1]Inputs!$M$43*M11</f>
        <v>57.305727529149344</v>
      </c>
      <c r="O11" s="70">
        <f>[1]Inputs!$M$48*M11</f>
        <v>19.725325764744216</v>
      </c>
      <c r="P11" s="70">
        <f>[1]Inputs!$H$13*SUM(M11:O11)</f>
        <v>12.685527610375249</v>
      </c>
      <c r="Q11" s="70">
        <f t="shared" si="3"/>
        <v>212.70961481276012</v>
      </c>
    </row>
    <row r="12" spans="1:18" x14ac:dyDescent="0.2">
      <c r="B12" s="52" t="s">
        <v>78</v>
      </c>
      <c r="C12" s="51" t="s">
        <v>74</v>
      </c>
      <c r="D12" s="63">
        <v>0.3</v>
      </c>
      <c r="E12" s="63">
        <v>1</v>
      </c>
      <c r="F12" s="61">
        <f t="shared" si="1"/>
        <v>0.3</v>
      </c>
      <c r="G12" s="194">
        <v>0</v>
      </c>
      <c r="H12" s="70">
        <f>IF(G12=0,VLOOKUP(C:C,[1]Inputs!$B$20:$H$25,7,FALSE)*F12,VLOOKUP(C:C,[1]Inputs!$B$20:$I$25,8,FALSE)*F12)</f>
        <v>30.978179286043495</v>
      </c>
      <c r="I12" s="70">
        <f>VLOOKUP(C:C,[1]Inputs!$C$54:$G$59,5,FALSE)*F12</f>
        <v>5.9197308865038947</v>
      </c>
      <c r="J12" s="70"/>
      <c r="K12" s="70"/>
      <c r="L12" s="70"/>
      <c r="M12" s="70">
        <f t="shared" si="2"/>
        <v>36.897910172547391</v>
      </c>
      <c r="N12" s="70">
        <f>[1]Inputs!$M$43*M12</f>
        <v>17.191718258744803</v>
      </c>
      <c r="O12" s="70">
        <f>[1]Inputs!$M$48*M12</f>
        <v>5.9175977294232647</v>
      </c>
      <c r="P12" s="70">
        <f>[1]Inputs!$H$13*SUM(M12:O12)</f>
        <v>3.8056582831125749</v>
      </c>
      <c r="Q12" s="70">
        <f t="shared" si="3"/>
        <v>63.81288444382804</v>
      </c>
      <c r="R12" s="193"/>
    </row>
    <row r="13" spans="1:18" x14ac:dyDescent="0.2">
      <c r="B13" s="52" t="s">
        <v>80</v>
      </c>
      <c r="C13" s="51" t="s">
        <v>74</v>
      </c>
      <c r="D13" s="63">
        <v>0.3</v>
      </c>
      <c r="E13" s="63">
        <v>1</v>
      </c>
      <c r="F13" s="61">
        <f t="shared" si="1"/>
        <v>0.3</v>
      </c>
      <c r="G13" s="194">
        <v>0</v>
      </c>
      <c r="H13" s="70">
        <f>IF(G13=0,VLOOKUP(C:C,[1]Inputs!$B$20:$H$25,7,FALSE)*F13,VLOOKUP(C:C,[1]Inputs!$B$20:$I$25,8,FALSE)*F13)</f>
        <v>30.978179286043495</v>
      </c>
      <c r="I13" s="70">
        <f>VLOOKUP(C:C,[1]Inputs!$C$54:$G$59,5,FALSE)*F13</f>
        <v>5.9197308865038947</v>
      </c>
      <c r="J13" s="70"/>
      <c r="K13" s="70"/>
      <c r="L13" s="70"/>
      <c r="M13" s="70">
        <f t="shared" si="2"/>
        <v>36.897910172547391</v>
      </c>
      <c r="N13" s="70">
        <f>[1]Inputs!$M$43*M13</f>
        <v>17.191718258744803</v>
      </c>
      <c r="O13" s="70">
        <f>[1]Inputs!$M$48*M13</f>
        <v>5.9175977294232647</v>
      </c>
      <c r="P13" s="70">
        <f>[1]Inputs!$H$13*SUM(M13:O13)</f>
        <v>3.8056582831125749</v>
      </c>
      <c r="Q13" s="70">
        <f t="shared" si="3"/>
        <v>63.81288444382804</v>
      </c>
    </row>
    <row r="14" spans="1:18" x14ac:dyDescent="0.2">
      <c r="B14" s="52" t="s">
        <v>81</v>
      </c>
      <c r="C14" s="51" t="s">
        <v>74</v>
      </c>
      <c r="D14" s="61">
        <v>0.1</v>
      </c>
      <c r="E14" s="63">
        <v>1</v>
      </c>
      <c r="F14" s="61">
        <f t="shared" si="1"/>
        <v>0.1</v>
      </c>
      <c r="G14" s="194">
        <v>0</v>
      </c>
      <c r="H14" s="70">
        <f>IF(G14=0,VLOOKUP(C:C,[1]Inputs!$B$20:$H$25,7,FALSE)*F14,VLOOKUP(C:C,[1]Inputs!$B$20:$I$25,8,FALSE)*F14)</f>
        <v>10.3260597620145</v>
      </c>
      <c r="I14" s="70">
        <f>VLOOKUP(C:C,[1]Inputs!$C$54:$G$59,5,FALSE)*F14</f>
        <v>1.9732436288346318</v>
      </c>
      <c r="J14" s="70"/>
      <c r="K14" s="70"/>
      <c r="L14" s="70"/>
      <c r="M14" s="70">
        <f t="shared" si="2"/>
        <v>12.299303390849133</v>
      </c>
      <c r="N14" s="70">
        <f>[1]Inputs!$M$43*M14</f>
        <v>5.7305727529149353</v>
      </c>
      <c r="O14" s="70">
        <f>[1]Inputs!$M$48*M14</f>
        <v>1.9725325764744219</v>
      </c>
      <c r="P14" s="70">
        <f>[1]Inputs!$H$13*SUM(M14:O14)</f>
        <v>1.2685527610375251</v>
      </c>
      <c r="Q14" s="70">
        <f t="shared" si="3"/>
        <v>21.270961481276014</v>
      </c>
    </row>
    <row r="15" spans="1:18" x14ac:dyDescent="0.2">
      <c r="B15" s="195" t="s">
        <v>1</v>
      </c>
      <c r="C15" s="196"/>
      <c r="D15" s="196"/>
      <c r="E15" s="196"/>
      <c r="F15" s="198">
        <f>SUM(F7:F14)</f>
        <v>3.4</v>
      </c>
      <c r="G15" s="198">
        <f t="shared" ref="G15:Q15" si="4">SUM(G7:G14)</f>
        <v>0</v>
      </c>
      <c r="H15" s="198">
        <f t="shared" si="4"/>
        <v>351.08603190849294</v>
      </c>
      <c r="I15" s="198">
        <f t="shared" si="4"/>
        <v>67.090283380377471</v>
      </c>
      <c r="J15" s="198">
        <f t="shared" si="4"/>
        <v>0</v>
      </c>
      <c r="K15" s="198">
        <f t="shared" si="4"/>
        <v>0</v>
      </c>
      <c r="L15" s="198">
        <f t="shared" si="4"/>
        <v>0</v>
      </c>
      <c r="M15" s="198">
        <f t="shared" si="4"/>
        <v>418.17631528887046</v>
      </c>
      <c r="N15" s="198">
        <f t="shared" si="4"/>
        <v>194.83947359910775</v>
      </c>
      <c r="O15" s="198">
        <f t="shared" si="4"/>
        <v>67.066107600130337</v>
      </c>
      <c r="P15" s="198">
        <f t="shared" si="4"/>
        <v>43.130793875275856</v>
      </c>
      <c r="Q15" s="198">
        <f t="shared" si="4"/>
        <v>723.21269036338435</v>
      </c>
      <c r="R15" s="45"/>
    </row>
    <row r="16" spans="1:18" x14ac:dyDescent="0.2">
      <c r="B16" s="35"/>
      <c r="C16" s="58"/>
      <c r="D16" s="68"/>
      <c r="E16" s="68"/>
      <c r="F16" s="68"/>
      <c r="G16" s="68"/>
      <c r="H16" s="68"/>
      <c r="I16" s="68"/>
      <c r="J16" s="68"/>
      <c r="K16" s="68"/>
      <c r="L16" s="68"/>
      <c r="M16" s="55"/>
      <c r="N16" s="64"/>
      <c r="O16" s="36"/>
      <c r="P16" s="37"/>
      <c r="Q16" s="37"/>
    </row>
    <row r="17" spans="2:18" ht="76.5" x14ac:dyDescent="0.2">
      <c r="B17" s="32" t="s">
        <v>18</v>
      </c>
      <c r="C17" s="32" t="s">
        <v>30</v>
      </c>
      <c r="D17" s="183" t="s">
        <v>62</v>
      </c>
      <c r="E17" s="184" t="s">
        <v>31</v>
      </c>
      <c r="F17" s="184" t="s">
        <v>133</v>
      </c>
      <c r="G17" s="183" t="s">
        <v>122</v>
      </c>
      <c r="H17" s="183" t="s">
        <v>123</v>
      </c>
      <c r="I17" s="183" t="s">
        <v>124</v>
      </c>
      <c r="J17" s="183" t="s">
        <v>125</v>
      </c>
      <c r="K17" s="184" t="s">
        <v>126</v>
      </c>
      <c r="L17" s="184" t="s">
        <v>127</v>
      </c>
      <c r="M17" s="183" t="s">
        <v>128</v>
      </c>
      <c r="N17" s="183" t="s">
        <v>129</v>
      </c>
      <c r="O17" s="183" t="s">
        <v>130</v>
      </c>
      <c r="P17" s="183" t="s">
        <v>131</v>
      </c>
      <c r="Q17" s="183" t="s">
        <v>132</v>
      </c>
    </row>
    <row r="18" spans="2:18" x14ac:dyDescent="0.2">
      <c r="B18" s="189" t="s">
        <v>72</v>
      </c>
      <c r="C18" s="190"/>
      <c r="D18" s="190"/>
      <c r="E18" s="190"/>
      <c r="F18" s="190"/>
      <c r="G18" s="190"/>
      <c r="H18" s="190"/>
      <c r="I18" s="190"/>
      <c r="J18" s="190"/>
      <c r="K18" s="190"/>
      <c r="L18" s="190"/>
      <c r="M18" s="190"/>
      <c r="N18" s="190"/>
      <c r="O18" s="190"/>
      <c r="P18" s="190"/>
      <c r="Q18" s="191"/>
    </row>
    <row r="19" spans="2:18" x14ac:dyDescent="0.2">
      <c r="B19" s="192" t="s">
        <v>79</v>
      </c>
      <c r="C19" s="186" t="s">
        <v>74</v>
      </c>
      <c r="D19" s="197">
        <v>0.3</v>
      </c>
      <c r="E19" s="61">
        <v>1</v>
      </c>
      <c r="F19" s="61">
        <f>D19*E19</f>
        <v>0.3</v>
      </c>
      <c r="G19" s="194">
        <v>0</v>
      </c>
      <c r="H19" s="70">
        <f>IF(G19=0,VLOOKUP(C:C,[1]Inputs!$B$20:$H$25,7,FALSE)*F19,VLOOKUP(C:C,[1]Inputs!$B$20:$I$25,8,FALSE)*F19)</f>
        <v>30.978179286043495</v>
      </c>
      <c r="I19" s="70">
        <f>VLOOKUP(C:C,[1]Inputs!$C$54:$G$59,5,FALSE)*F19</f>
        <v>5.9197308865038947</v>
      </c>
      <c r="J19" s="70"/>
      <c r="K19" s="70"/>
      <c r="L19" s="70"/>
      <c r="M19" s="70">
        <f>SUM(H19:J19)</f>
        <v>36.897910172547391</v>
      </c>
      <c r="N19" s="70">
        <f>[1]Inputs!$M$43*M19</f>
        <v>17.191718258744803</v>
      </c>
      <c r="O19" s="70">
        <f>[1]Inputs!$M$48*M19</f>
        <v>5.9175977294232647</v>
      </c>
      <c r="P19" s="70">
        <f>[1]Inputs!$H$13*SUM(M19:O19)</f>
        <v>3.8056582831125749</v>
      </c>
      <c r="Q19" s="70">
        <f t="shared" ref="Q19" si="5">SUM(M19:P19)</f>
        <v>63.81288444382804</v>
      </c>
    </row>
    <row r="20" spans="2:18" x14ac:dyDescent="0.2">
      <c r="B20" s="54" t="s">
        <v>76</v>
      </c>
      <c r="C20" s="51" t="s">
        <v>74</v>
      </c>
      <c r="D20" s="62">
        <v>0.3</v>
      </c>
      <c r="E20" s="61">
        <v>1</v>
      </c>
      <c r="F20" s="61">
        <f t="shared" ref="F20:F23" si="6">D20*E20</f>
        <v>0.3</v>
      </c>
      <c r="G20" s="194">
        <v>0</v>
      </c>
      <c r="H20" s="70">
        <f>IF(G20=0,VLOOKUP(C:C,[1]Inputs!$B$20:$H$25,7,FALSE)*F20,VLOOKUP(C:C,[1]Inputs!$B$20:$I$25,8,FALSE)*F20)</f>
        <v>30.978179286043495</v>
      </c>
      <c r="I20" s="70">
        <f>VLOOKUP(C:C,[1]Inputs!$C$54:$G$59,5,FALSE)*F20</f>
        <v>5.9197308865038947</v>
      </c>
      <c r="J20" s="70"/>
      <c r="K20" s="70"/>
      <c r="L20" s="70"/>
      <c r="M20" s="70">
        <f t="shared" ref="M20:M23" si="7">SUM(H20:J20)</f>
        <v>36.897910172547391</v>
      </c>
      <c r="N20" s="70">
        <f>[1]Inputs!$M$43*M20</f>
        <v>17.191718258744803</v>
      </c>
      <c r="O20" s="70">
        <f>[1]Inputs!$M$48*M20</f>
        <v>5.9175977294232647</v>
      </c>
      <c r="P20" s="70">
        <f>[1]Inputs!$H$13*SUM(M20:O20)</f>
        <v>3.8056582831125749</v>
      </c>
      <c r="Q20" s="70">
        <f t="shared" ref="Q20:Q23" si="8">SUM(M20:P20)</f>
        <v>63.81288444382804</v>
      </c>
      <c r="R20" s="45"/>
    </row>
    <row r="21" spans="2:18" x14ac:dyDescent="0.2">
      <c r="B21" s="52" t="s">
        <v>77</v>
      </c>
      <c r="C21" s="51" t="s">
        <v>74</v>
      </c>
      <c r="D21" s="63">
        <v>1</v>
      </c>
      <c r="E21" s="61">
        <v>1</v>
      </c>
      <c r="F21" s="61">
        <f t="shared" si="6"/>
        <v>1</v>
      </c>
      <c r="G21" s="194">
        <v>0</v>
      </c>
      <c r="H21" s="70">
        <f>IF(G21=0,VLOOKUP(C:C,[1]Inputs!$B$20:$H$25,7,FALSE)*F21,VLOOKUP(C:C,[1]Inputs!$B$20:$I$25,8,FALSE)*F21)</f>
        <v>103.26059762014499</v>
      </c>
      <c r="I21" s="70">
        <f>VLOOKUP(C:C,[1]Inputs!$C$54:$G$59,5,FALSE)*F21</f>
        <v>19.732436288346317</v>
      </c>
      <c r="J21" s="70"/>
      <c r="K21" s="70"/>
      <c r="L21" s="70"/>
      <c r="M21" s="70">
        <f t="shared" si="7"/>
        <v>122.99303390849131</v>
      </c>
      <c r="N21" s="70">
        <f>[1]Inputs!$M$43*M21</f>
        <v>57.305727529149344</v>
      </c>
      <c r="O21" s="70">
        <f>[1]Inputs!$M$48*M21</f>
        <v>19.725325764744216</v>
      </c>
      <c r="P21" s="70">
        <f>[1]Inputs!$H$13*SUM(M21:O21)</f>
        <v>12.685527610375249</v>
      </c>
      <c r="Q21" s="70">
        <f t="shared" si="8"/>
        <v>212.70961481276012</v>
      </c>
    </row>
    <row r="22" spans="2:18" x14ac:dyDescent="0.2">
      <c r="B22" s="52" t="s">
        <v>78</v>
      </c>
      <c r="C22" s="51" t="s">
        <v>74</v>
      </c>
      <c r="D22" s="63">
        <v>0.3</v>
      </c>
      <c r="E22" s="61">
        <v>1</v>
      </c>
      <c r="F22" s="61">
        <f t="shared" si="6"/>
        <v>0.3</v>
      </c>
      <c r="G22" s="194">
        <v>0</v>
      </c>
      <c r="H22" s="70">
        <f>IF(G22=0,VLOOKUP(C:C,[1]Inputs!$B$20:$H$25,7,FALSE)*F22,VLOOKUP(C:C,[1]Inputs!$B$20:$I$25,8,FALSE)*F22)</f>
        <v>30.978179286043495</v>
      </c>
      <c r="I22" s="70">
        <f>VLOOKUP(C:C,[1]Inputs!$C$54:$G$59,5,FALSE)*F22</f>
        <v>5.9197308865038947</v>
      </c>
      <c r="J22" s="70"/>
      <c r="K22" s="70"/>
      <c r="L22" s="70"/>
      <c r="M22" s="70">
        <f t="shared" si="7"/>
        <v>36.897910172547391</v>
      </c>
      <c r="N22" s="70">
        <f>[1]Inputs!$M$43*M22</f>
        <v>17.191718258744803</v>
      </c>
      <c r="O22" s="70">
        <f>[1]Inputs!$M$48*M22</f>
        <v>5.9175977294232647</v>
      </c>
      <c r="P22" s="70">
        <f>[1]Inputs!$H$13*SUM(M22:O22)</f>
        <v>3.8056582831125749</v>
      </c>
      <c r="Q22" s="70">
        <f t="shared" si="8"/>
        <v>63.81288444382804</v>
      </c>
    </row>
    <row r="23" spans="2:18" x14ac:dyDescent="0.2">
      <c r="B23" s="52" t="s">
        <v>80</v>
      </c>
      <c r="C23" s="51" t="s">
        <v>74</v>
      </c>
      <c r="D23" s="63">
        <v>0.3</v>
      </c>
      <c r="E23" s="61">
        <v>1</v>
      </c>
      <c r="F23" s="61">
        <f t="shared" si="6"/>
        <v>0.3</v>
      </c>
      <c r="G23" s="194">
        <v>0</v>
      </c>
      <c r="H23" s="70">
        <f>IF(G23=0,VLOOKUP(C:C,[1]Inputs!$B$20:$H$25,7,FALSE)*F23,VLOOKUP(C:C,[1]Inputs!$B$20:$I$25,8,FALSE)*F23)</f>
        <v>30.978179286043495</v>
      </c>
      <c r="I23" s="70">
        <f>VLOOKUP(C:C,[1]Inputs!$C$54:$G$59,5,FALSE)*F23</f>
        <v>5.9197308865038947</v>
      </c>
      <c r="J23" s="70"/>
      <c r="K23" s="70"/>
      <c r="L23" s="70"/>
      <c r="M23" s="70">
        <f t="shared" si="7"/>
        <v>36.897910172547391</v>
      </c>
      <c r="N23" s="70">
        <f>[1]Inputs!$M$43*M23</f>
        <v>17.191718258744803</v>
      </c>
      <c r="O23" s="70">
        <f>[1]Inputs!$M$48*M23</f>
        <v>5.9175977294232647</v>
      </c>
      <c r="P23" s="70">
        <f>[1]Inputs!$H$13*SUM(M23:O23)</f>
        <v>3.8056582831125749</v>
      </c>
      <c r="Q23" s="70">
        <f t="shared" si="8"/>
        <v>63.81288444382804</v>
      </c>
    </row>
    <row r="24" spans="2:18" x14ac:dyDescent="0.2">
      <c r="B24" s="52"/>
      <c r="C24" s="51"/>
      <c r="D24" s="63"/>
      <c r="E24" s="63"/>
      <c r="F24" s="61"/>
      <c r="G24" s="61"/>
      <c r="H24" s="61"/>
      <c r="I24" s="61"/>
      <c r="J24" s="61"/>
      <c r="K24" s="61"/>
      <c r="L24" s="61"/>
      <c r="M24" s="199"/>
      <c r="N24" s="70"/>
      <c r="O24" s="34"/>
      <c r="P24" s="34"/>
      <c r="Q24" s="34"/>
    </row>
    <row r="25" spans="2:18" x14ac:dyDescent="0.2">
      <c r="B25" s="195" t="s">
        <v>1</v>
      </c>
      <c r="C25" s="196"/>
      <c r="D25" s="196"/>
      <c r="E25" s="196"/>
      <c r="F25" s="198">
        <f>SUM(F19:F23)</f>
        <v>2.2000000000000002</v>
      </c>
      <c r="G25" s="198">
        <f t="shared" ref="G25:Q25" si="9">SUM(G19:G23)</f>
        <v>0</v>
      </c>
      <c r="H25" s="198">
        <f t="shared" si="9"/>
        <v>227.17331476431895</v>
      </c>
      <c r="I25" s="198">
        <f t="shared" si="9"/>
        <v>43.411359834361889</v>
      </c>
      <c r="J25" s="198">
        <f t="shared" si="9"/>
        <v>0</v>
      </c>
      <c r="K25" s="198">
        <f t="shared" si="9"/>
        <v>0</v>
      </c>
      <c r="L25" s="198">
        <f t="shared" si="9"/>
        <v>0</v>
      </c>
      <c r="M25" s="198">
        <f t="shared" si="9"/>
        <v>270.58467459868086</v>
      </c>
      <c r="N25" s="198">
        <f t="shared" si="9"/>
        <v>126.07260056412855</v>
      </c>
      <c r="O25" s="198">
        <f t="shared" si="9"/>
        <v>43.395716682437275</v>
      </c>
      <c r="P25" s="198">
        <f t="shared" si="9"/>
        <v>27.908160742825547</v>
      </c>
      <c r="Q25" s="198">
        <f t="shared" si="9"/>
        <v>467.9611525880722</v>
      </c>
    </row>
    <row r="31" spans="2:18" x14ac:dyDescent="0.2">
      <c r="R31" s="45"/>
    </row>
    <row r="44" spans="18:18" x14ac:dyDescent="0.2">
      <c r="R44" s="45"/>
    </row>
  </sheetData>
  <mergeCells count="2">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P31"/>
  <sheetViews>
    <sheetView showGridLines="0" workbookViewId="0">
      <selection activeCell="I9" sqref="I9"/>
    </sheetView>
  </sheetViews>
  <sheetFormatPr defaultRowHeight="12.75" x14ac:dyDescent="0.2"/>
  <cols>
    <col min="1" max="1" width="3.140625" style="44" customWidth="1"/>
    <col min="2" max="2" width="80" style="44" bestFit="1" customWidth="1"/>
    <col min="3" max="3" width="65.140625" style="44" customWidth="1"/>
    <col min="4" max="4" width="12.85546875" style="44" customWidth="1"/>
    <col min="5" max="5" width="11.28515625" style="44" customWidth="1"/>
    <col min="6" max="8" width="11.85546875" style="44" customWidth="1"/>
    <col min="9" max="9" width="12.7109375" style="44" customWidth="1"/>
    <col min="10" max="16384" width="9.140625" style="44"/>
  </cols>
  <sheetData>
    <row r="2" spans="2:9" x14ac:dyDescent="0.2">
      <c r="B2" s="21" t="s">
        <v>8</v>
      </c>
      <c r="C2" s="22"/>
      <c r="D2" s="22"/>
      <c r="E2" s="22"/>
      <c r="F2" s="22"/>
      <c r="G2" s="22"/>
      <c r="H2" s="22"/>
      <c r="I2" s="22"/>
    </row>
    <row r="3" spans="2:9" x14ac:dyDescent="0.2">
      <c r="B3" s="1"/>
      <c r="C3" s="1"/>
      <c r="D3" s="1"/>
      <c r="E3" s="1"/>
      <c r="F3" s="1"/>
      <c r="G3" s="1"/>
      <c r="H3" s="1"/>
      <c r="I3" s="1"/>
    </row>
    <row r="4" spans="2:9" x14ac:dyDescent="0.2">
      <c r="B4" s="21" t="s">
        <v>2</v>
      </c>
      <c r="C4" s="22"/>
      <c r="D4" s="22"/>
      <c r="E4" s="22"/>
      <c r="F4" s="22"/>
      <c r="G4" s="22"/>
      <c r="H4" s="22"/>
      <c r="I4" s="22"/>
    </row>
    <row r="5" spans="2:9" x14ac:dyDescent="0.2">
      <c r="B5" s="271" t="s">
        <v>91</v>
      </c>
      <c r="C5" s="271" t="s">
        <v>9</v>
      </c>
      <c r="D5" s="121" t="s">
        <v>57</v>
      </c>
      <c r="E5" s="121" t="s">
        <v>56</v>
      </c>
      <c r="F5" s="121" t="s">
        <v>55</v>
      </c>
      <c r="G5" s="121" t="s">
        <v>110</v>
      </c>
      <c r="H5" s="121" t="s">
        <v>111</v>
      </c>
      <c r="I5" s="272" t="s">
        <v>1</v>
      </c>
    </row>
    <row r="6" spans="2:9" ht="12" customHeight="1" x14ac:dyDescent="0.2">
      <c r="B6" s="73" t="s">
        <v>83</v>
      </c>
      <c r="C6" s="25" t="s">
        <v>82</v>
      </c>
      <c r="D6" s="24"/>
      <c r="E6" s="24">
        <v>28527.45</v>
      </c>
      <c r="F6" s="24">
        <v>39155.79</v>
      </c>
      <c r="G6" s="24">
        <v>55121.34</v>
      </c>
      <c r="H6" s="24">
        <f>G6*102.5%</f>
        <v>56499.373499999994</v>
      </c>
      <c r="I6" s="277">
        <f>SUM(D6:H6)</f>
        <v>179303.9535</v>
      </c>
    </row>
    <row r="7" spans="2:9" x14ac:dyDescent="0.2">
      <c r="B7" s="73" t="s">
        <v>84</v>
      </c>
      <c r="C7" s="25" t="s">
        <v>82</v>
      </c>
      <c r="D7" s="24"/>
      <c r="E7" s="24">
        <v>1382.59</v>
      </c>
      <c r="F7" s="24">
        <v>5031.3</v>
      </c>
      <c r="G7" s="24">
        <v>3434.8</v>
      </c>
      <c r="H7" s="24">
        <f>G7*102.5%</f>
        <v>3520.67</v>
      </c>
      <c r="I7" s="277">
        <f t="shared" ref="I7:I9" si="0">SUM(D7:H7)</f>
        <v>13369.36</v>
      </c>
    </row>
    <row r="8" spans="2:9" x14ac:dyDescent="0.2">
      <c r="B8" s="3"/>
      <c r="C8" s="23"/>
      <c r="D8" s="24"/>
      <c r="E8" s="24"/>
      <c r="F8" s="24"/>
      <c r="G8" s="24"/>
      <c r="H8" s="24"/>
      <c r="I8" s="277">
        <f t="shared" si="0"/>
        <v>0</v>
      </c>
    </row>
    <row r="9" spans="2:9" x14ac:dyDescent="0.2">
      <c r="B9" s="3"/>
      <c r="C9" s="23"/>
      <c r="D9" s="24"/>
      <c r="E9" s="24"/>
      <c r="F9" s="24"/>
      <c r="G9" s="24"/>
      <c r="H9" s="24"/>
      <c r="I9" s="277">
        <f t="shared" si="0"/>
        <v>0</v>
      </c>
    </row>
    <row r="10" spans="2:9" x14ac:dyDescent="0.2">
      <c r="B10" s="14" t="s">
        <v>1</v>
      </c>
      <c r="C10" s="14"/>
      <c r="D10" s="278">
        <f t="shared" ref="D10:I10" si="1">SUM(D6:D9)</f>
        <v>0</v>
      </c>
      <c r="E10" s="278">
        <f t="shared" si="1"/>
        <v>29910.04</v>
      </c>
      <c r="F10" s="278">
        <f t="shared" si="1"/>
        <v>44187.090000000004</v>
      </c>
      <c r="G10" s="278">
        <f t="shared" si="1"/>
        <v>58556.14</v>
      </c>
      <c r="H10" s="278">
        <f t="shared" si="1"/>
        <v>60020.043499999992</v>
      </c>
      <c r="I10" s="278">
        <f t="shared" si="1"/>
        <v>192673.31349999999</v>
      </c>
    </row>
    <row r="11" spans="2:9" x14ac:dyDescent="0.2">
      <c r="B11" s="1"/>
      <c r="C11" s="1"/>
      <c r="D11" s="1"/>
      <c r="E11" s="1"/>
      <c r="F11" s="1"/>
      <c r="G11" s="1"/>
      <c r="H11" s="1"/>
      <c r="I11" s="1"/>
    </row>
    <row r="12" spans="2:9" x14ac:dyDescent="0.2">
      <c r="B12" s="21" t="s">
        <v>10</v>
      </c>
      <c r="C12" s="22"/>
      <c r="D12" s="22"/>
      <c r="E12" s="22"/>
      <c r="F12" s="22"/>
      <c r="G12" s="22"/>
      <c r="H12" s="22"/>
      <c r="I12" s="22"/>
    </row>
    <row r="13" spans="2:9" x14ac:dyDescent="0.2">
      <c r="B13" s="271" t="s">
        <v>4</v>
      </c>
      <c r="C13" s="271" t="s">
        <v>9</v>
      </c>
      <c r="D13" s="121" t="s">
        <v>57</v>
      </c>
      <c r="E13" s="121" t="s">
        <v>56</v>
      </c>
      <c r="F13" s="121" t="s">
        <v>55</v>
      </c>
      <c r="G13" s="121" t="s">
        <v>110</v>
      </c>
      <c r="H13" s="121" t="s">
        <v>111</v>
      </c>
      <c r="I13" s="272" t="s">
        <v>1</v>
      </c>
    </row>
    <row r="14" spans="2:9" x14ac:dyDescent="0.2">
      <c r="B14" s="3" t="s">
        <v>92</v>
      </c>
      <c r="C14" s="3"/>
      <c r="D14" s="127" t="s">
        <v>112</v>
      </c>
      <c r="E14" s="72">
        <v>67</v>
      </c>
      <c r="F14" s="72">
        <v>86</v>
      </c>
      <c r="G14" s="72">
        <v>90</v>
      </c>
      <c r="H14" s="72">
        <v>90</v>
      </c>
      <c r="I14" s="273">
        <f>SUM(D14:H14)</f>
        <v>333</v>
      </c>
    </row>
    <row r="15" spans="2:9" x14ac:dyDescent="0.2">
      <c r="B15" s="3" t="s">
        <v>93</v>
      </c>
      <c r="C15" s="274"/>
      <c r="D15" s="127" t="s">
        <v>112</v>
      </c>
      <c r="E15" s="7">
        <v>5</v>
      </c>
      <c r="F15" s="7">
        <v>16</v>
      </c>
      <c r="G15" s="7">
        <v>12</v>
      </c>
      <c r="H15" s="7">
        <v>12</v>
      </c>
      <c r="I15" s="273">
        <f>SUM(D15:H15)</f>
        <v>45</v>
      </c>
    </row>
    <row r="16" spans="2:9" x14ac:dyDescent="0.2">
      <c r="B16" s="3"/>
      <c r="C16" s="3"/>
      <c r="D16" s="7"/>
      <c r="E16" s="7"/>
      <c r="F16" s="72"/>
      <c r="G16" s="7"/>
      <c r="H16" s="7"/>
      <c r="I16" s="273">
        <f>SUM(D16:H16)</f>
        <v>0</v>
      </c>
    </row>
    <row r="17" spans="2:16" x14ac:dyDescent="0.2">
      <c r="B17" s="275" t="s">
        <v>17</v>
      </c>
      <c r="C17" s="14"/>
      <c r="D17" s="276">
        <f t="shared" ref="D17:E17" si="2">SUM(D14:D16)</f>
        <v>0</v>
      </c>
      <c r="E17" s="276">
        <f t="shared" si="2"/>
        <v>72</v>
      </c>
      <c r="F17" s="276">
        <f>SUM(F14:F16)</f>
        <v>102</v>
      </c>
      <c r="G17" s="276">
        <f t="shared" ref="G17:H17" si="3">SUM(G14:G16)</f>
        <v>102</v>
      </c>
      <c r="H17" s="276">
        <f t="shared" si="3"/>
        <v>102</v>
      </c>
      <c r="I17" s="276">
        <f>SUM(I14:I16)</f>
        <v>378</v>
      </c>
      <c r="L17" s="77"/>
      <c r="M17" s="77"/>
      <c r="N17" s="77"/>
      <c r="O17" s="77"/>
      <c r="P17" s="77"/>
    </row>
    <row r="18" spans="2:16" x14ac:dyDescent="0.2">
      <c r="B18" s="1"/>
      <c r="C18" s="1"/>
      <c r="D18" s="8"/>
      <c r="E18" s="8"/>
      <c r="F18" s="8"/>
      <c r="G18" s="8"/>
      <c r="H18" s="8"/>
      <c r="I18" s="8"/>
      <c r="L18" s="77"/>
      <c r="M18" s="77"/>
      <c r="N18" s="77"/>
      <c r="O18" s="77"/>
      <c r="P18" s="77"/>
    </row>
    <row r="19" spans="2:16" x14ac:dyDescent="0.2">
      <c r="B19" s="9" t="s">
        <v>6</v>
      </c>
      <c r="C19" s="1"/>
      <c r="D19" s="8"/>
      <c r="E19" s="8"/>
      <c r="F19" s="8"/>
      <c r="G19" s="8"/>
      <c r="H19" s="8"/>
      <c r="I19" s="8"/>
    </row>
    <row r="20" spans="2:16" x14ac:dyDescent="0.2">
      <c r="B20" s="113" t="s">
        <v>94</v>
      </c>
      <c r="C20" s="112"/>
      <c r="D20" s="112"/>
      <c r="E20" s="112"/>
      <c r="F20" s="112"/>
      <c r="G20" s="112"/>
      <c r="H20" s="112"/>
      <c r="I20" s="112"/>
    </row>
    <row r="21" spans="2:16" x14ac:dyDescent="0.2">
      <c r="B21" s="113" t="s">
        <v>97</v>
      </c>
      <c r="C21" s="113"/>
      <c r="D21" s="113"/>
      <c r="E21" s="113"/>
      <c r="F21" s="113"/>
      <c r="G21" s="113"/>
      <c r="H21" s="113"/>
      <c r="I21" s="113"/>
    </row>
    <row r="22" spans="2:16" x14ac:dyDescent="0.2">
      <c r="B22" s="113" t="s">
        <v>98</v>
      </c>
      <c r="C22" s="113"/>
      <c r="D22" s="113"/>
      <c r="E22" s="113"/>
      <c r="F22" s="113"/>
      <c r="G22" s="113"/>
      <c r="H22" s="113"/>
      <c r="I22" s="113"/>
    </row>
    <row r="23" spans="2:16" x14ac:dyDescent="0.2">
      <c r="B23" s="113" t="s">
        <v>99</v>
      </c>
      <c r="C23" s="113"/>
      <c r="D23" s="113"/>
      <c r="E23" s="113"/>
      <c r="F23" s="113"/>
      <c r="G23" s="113"/>
      <c r="H23" s="113"/>
      <c r="I23" s="113"/>
    </row>
    <row r="24" spans="2:16" x14ac:dyDescent="0.2">
      <c r="B24" s="113" t="s">
        <v>100</v>
      </c>
      <c r="C24" s="113"/>
      <c r="D24" s="113"/>
      <c r="E24" s="113"/>
      <c r="F24" s="113"/>
      <c r="G24" s="113"/>
      <c r="H24" s="113"/>
      <c r="I24" s="113"/>
    </row>
    <row r="25" spans="2:16" x14ac:dyDescent="0.2">
      <c r="B25" s="113" t="s">
        <v>101</v>
      </c>
      <c r="C25" s="113"/>
      <c r="D25" s="113"/>
      <c r="E25" s="113"/>
      <c r="F25" s="113"/>
      <c r="G25" s="113"/>
      <c r="H25" s="113"/>
      <c r="I25" s="113"/>
    </row>
    <row r="26" spans="2:16" x14ac:dyDescent="0.2">
      <c r="B26" s="1"/>
      <c r="C26" s="1"/>
      <c r="D26" s="8"/>
      <c r="E26" s="8"/>
      <c r="F26" s="8"/>
      <c r="G26" s="8"/>
      <c r="H26" s="8"/>
      <c r="I26" s="8"/>
    </row>
    <row r="27" spans="2:16" x14ac:dyDescent="0.2">
      <c r="B27" s="21" t="s">
        <v>2</v>
      </c>
      <c r="C27" s="22"/>
      <c r="D27" s="22"/>
      <c r="E27" s="22"/>
      <c r="F27" s="22"/>
      <c r="G27" s="22"/>
      <c r="H27" s="22"/>
      <c r="I27" s="22"/>
    </row>
    <row r="28" spans="2:16" x14ac:dyDescent="0.2">
      <c r="B28" s="10" t="s">
        <v>11</v>
      </c>
      <c r="C28" s="11"/>
      <c r="D28" s="11"/>
      <c r="E28" s="11"/>
      <c r="F28" s="11"/>
      <c r="G28" s="11"/>
      <c r="H28" s="11"/>
      <c r="I28" s="11"/>
    </row>
    <row r="29" spans="2:16" x14ac:dyDescent="0.2">
      <c r="B29" s="116" t="s">
        <v>102</v>
      </c>
      <c r="C29" s="116"/>
      <c r="D29" s="116"/>
      <c r="E29" s="116"/>
      <c r="F29" s="116"/>
      <c r="G29" s="116"/>
      <c r="H29" s="116"/>
      <c r="I29" s="116"/>
      <c r="J29" s="118"/>
      <c r="K29" s="118"/>
    </row>
    <row r="30" spans="2:16" x14ac:dyDescent="0.2">
      <c r="B30" s="117"/>
      <c r="C30" s="117"/>
      <c r="D30" s="117"/>
      <c r="E30" s="117"/>
      <c r="F30" s="117"/>
      <c r="G30" s="117"/>
      <c r="H30" s="117"/>
      <c r="I30" s="117"/>
      <c r="J30" s="119"/>
      <c r="K30" s="119"/>
    </row>
    <row r="31" spans="2:16" x14ac:dyDescent="0.2">
      <c r="B31" s="12"/>
      <c r="C31" s="13"/>
      <c r="D31" s="13"/>
      <c r="E31" s="13"/>
      <c r="F31" s="13"/>
      <c r="G31" s="13"/>
      <c r="H31" s="13"/>
      <c r="I31" s="1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F5779-3305-4472-89FD-24CBEA80A7CA}">
  <dimension ref="B1:O40"/>
  <sheetViews>
    <sheetView topLeftCell="A4" workbookViewId="0">
      <selection activeCell="D15" sqref="D15:G15"/>
    </sheetView>
  </sheetViews>
  <sheetFormatPr defaultRowHeight="15" x14ac:dyDescent="0.25"/>
  <cols>
    <col min="1" max="1" width="4.42578125" customWidth="1"/>
    <col min="2" max="2" width="81" bestFit="1" customWidth="1"/>
    <col min="3" max="3" width="13.28515625" customWidth="1"/>
    <col min="4" max="5" width="12.7109375" bestFit="1" customWidth="1"/>
    <col min="6" max="6" width="13.28515625" customWidth="1"/>
    <col min="7" max="7" width="12.7109375" customWidth="1"/>
    <col min="8" max="8" width="12.7109375" bestFit="1" customWidth="1"/>
    <col min="10" max="15" width="10" bestFit="1" customWidth="1"/>
  </cols>
  <sheetData>
    <row r="1" spans="2:15" x14ac:dyDescent="0.25">
      <c r="B1" t="s">
        <v>139</v>
      </c>
      <c r="D1" s="208">
        <f>[1]Inputs!H16</f>
        <v>1</v>
      </c>
      <c r="E1" s="208">
        <f>[1]Inputs!I16</f>
        <v>1</v>
      </c>
      <c r="F1" s="208">
        <f>[1]Inputs!J16</f>
        <v>1.0109999999999999</v>
      </c>
      <c r="G1" s="208">
        <f>[1]Inputs!K16</f>
        <v>1.0231319999999999</v>
      </c>
      <c r="H1" s="208">
        <f>[1]Inputs!L16</f>
        <v>1.0337725727999998</v>
      </c>
      <c r="K1" s="209">
        <f>D1</f>
        <v>1</v>
      </c>
      <c r="L1" s="209">
        <f t="shared" ref="L1:O5" si="0">E1</f>
        <v>1</v>
      </c>
      <c r="M1" s="209">
        <f t="shared" si="0"/>
        <v>1.0109999999999999</v>
      </c>
      <c r="N1" s="209">
        <f t="shared" si="0"/>
        <v>1.0231319999999999</v>
      </c>
      <c r="O1" s="209">
        <f t="shared" si="0"/>
        <v>1.0337725727999998</v>
      </c>
    </row>
    <row r="2" spans="2:15" x14ac:dyDescent="0.25">
      <c r="B2" t="s">
        <v>140</v>
      </c>
      <c r="D2" s="208">
        <f>[1]Inputs!H61</f>
        <v>0.04</v>
      </c>
      <c r="E2" s="208">
        <f>[1]Inputs!I61</f>
        <v>0.04</v>
      </c>
      <c r="F2" s="208">
        <f>[1]Inputs!J61</f>
        <v>0.04</v>
      </c>
      <c r="G2" s="208">
        <f>[1]Inputs!K61</f>
        <v>0.04</v>
      </c>
      <c r="H2" s="208">
        <f>[1]Inputs!L61</f>
        <v>0.04</v>
      </c>
      <c r="K2" s="209"/>
      <c r="L2" s="209"/>
      <c r="M2" s="209"/>
      <c r="N2" s="209"/>
      <c r="O2" s="209"/>
    </row>
    <row r="3" spans="2:15" x14ac:dyDescent="0.25">
      <c r="B3" t="s">
        <v>141</v>
      </c>
      <c r="D3" s="209">
        <f>[1]Inputs!$M$43</f>
        <v>0.46592661151676018</v>
      </c>
      <c r="E3" s="209">
        <f>[1]Inputs!$M$43</f>
        <v>0.46592661151676018</v>
      </c>
      <c r="F3" s="209">
        <f>[1]Inputs!$M$43</f>
        <v>0.46592661151676018</v>
      </c>
      <c r="G3" s="209">
        <f>[1]Inputs!$M$43</f>
        <v>0.46592661151676018</v>
      </c>
      <c r="H3" s="209">
        <f>[1]Inputs!$M$43</f>
        <v>0.46592661151676018</v>
      </c>
      <c r="K3" s="209">
        <f t="shared" ref="K3:K5" si="1">D3</f>
        <v>0.46592661151676018</v>
      </c>
      <c r="L3" s="209">
        <f t="shared" si="0"/>
        <v>0.46592661151676018</v>
      </c>
      <c r="M3" s="209">
        <f t="shared" si="0"/>
        <v>0.46592661151676018</v>
      </c>
      <c r="N3" s="209">
        <f t="shared" si="0"/>
        <v>0.46592661151676018</v>
      </c>
      <c r="O3" s="209">
        <f t="shared" si="0"/>
        <v>0.46592661151676018</v>
      </c>
    </row>
    <row r="4" spans="2:15" x14ac:dyDescent="0.25">
      <c r="B4" t="s">
        <v>142</v>
      </c>
      <c r="D4" s="209">
        <f>[1]Inputs!$M$48</f>
        <v>0.16037758511933414</v>
      </c>
      <c r="E4" s="209">
        <f>[1]Inputs!$M$48</f>
        <v>0.16037758511933414</v>
      </c>
      <c r="F4" s="209">
        <f>[1]Inputs!$M$48</f>
        <v>0.16037758511933414</v>
      </c>
      <c r="G4" s="209">
        <f>[1]Inputs!$M$48</f>
        <v>0.16037758511933414</v>
      </c>
      <c r="H4" s="209">
        <f>[1]Inputs!$M$48</f>
        <v>0.16037758511933414</v>
      </c>
      <c r="K4" s="209">
        <f t="shared" si="1"/>
        <v>0.16037758511933414</v>
      </c>
      <c r="L4" s="209">
        <f t="shared" si="0"/>
        <v>0.16037758511933414</v>
      </c>
      <c r="M4" s="209">
        <f t="shared" si="0"/>
        <v>0.16037758511933414</v>
      </c>
      <c r="N4" s="209">
        <f t="shared" si="0"/>
        <v>0.16037758511933414</v>
      </c>
      <c r="O4" s="209">
        <f t="shared" si="0"/>
        <v>0.16037758511933414</v>
      </c>
    </row>
    <row r="5" spans="2:15" x14ac:dyDescent="0.25">
      <c r="B5" t="s">
        <v>143</v>
      </c>
      <c r="D5" s="209">
        <f>[1]Inputs!$H$13</f>
        <v>6.3420000000000004E-2</v>
      </c>
      <c r="E5" s="209">
        <f>[1]Inputs!$H$13</f>
        <v>6.3420000000000004E-2</v>
      </c>
      <c r="F5" s="209">
        <f>[1]Inputs!$H$13</f>
        <v>6.3420000000000004E-2</v>
      </c>
      <c r="G5" s="209">
        <f>[1]Inputs!$H$13</f>
        <v>6.3420000000000004E-2</v>
      </c>
      <c r="H5" s="209">
        <f>[1]Inputs!$H$13</f>
        <v>6.3420000000000004E-2</v>
      </c>
      <c r="K5" s="209">
        <f t="shared" si="1"/>
        <v>6.3420000000000004E-2</v>
      </c>
      <c r="L5" s="209">
        <f t="shared" si="0"/>
        <v>6.3420000000000004E-2</v>
      </c>
      <c r="M5" s="209">
        <f t="shared" si="0"/>
        <v>6.3420000000000004E-2</v>
      </c>
      <c r="N5" s="209">
        <f t="shared" si="0"/>
        <v>6.3420000000000004E-2</v>
      </c>
      <c r="O5" s="209">
        <f t="shared" si="0"/>
        <v>6.3420000000000004E-2</v>
      </c>
    </row>
    <row r="6" spans="2:15" s="210" customFormat="1" ht="15.75" x14ac:dyDescent="0.25">
      <c r="D6" s="266" t="s">
        <v>144</v>
      </c>
      <c r="E6" s="266"/>
      <c r="F6" s="266"/>
      <c r="G6" s="266"/>
      <c r="H6" s="266"/>
      <c r="J6" s="267" t="s">
        <v>145</v>
      </c>
      <c r="K6" s="267"/>
      <c r="L6" s="267"/>
      <c r="M6" s="267"/>
      <c r="N6" s="267"/>
      <c r="O6" s="267"/>
    </row>
    <row r="7" spans="2:15" x14ac:dyDescent="0.25">
      <c r="B7" s="211" t="s">
        <v>158</v>
      </c>
      <c r="C7" s="212"/>
      <c r="D7" s="212" t="s">
        <v>146</v>
      </c>
      <c r="E7" s="212" t="s">
        <v>147</v>
      </c>
      <c r="F7" s="212" t="s">
        <v>148</v>
      </c>
      <c r="G7" s="212" t="s">
        <v>149</v>
      </c>
      <c r="H7" s="212" t="s">
        <v>150</v>
      </c>
    </row>
    <row r="8" spans="2:15" x14ac:dyDescent="0.25">
      <c r="B8" s="213" t="s">
        <v>123</v>
      </c>
      <c r="C8" s="214"/>
      <c r="D8" s="215">
        <f>(D19*D$27)+(D31*D$39)</f>
        <v>32919.478521302219</v>
      </c>
      <c r="E8" s="215">
        <f t="shared" ref="E8:H8" si="2">(E19*E$27)+(E31*E$39)</f>
        <v>31602.699380450133</v>
      </c>
      <c r="F8" s="215">
        <f t="shared" si="2"/>
        <v>30672.315910689671</v>
      </c>
      <c r="G8" s="215">
        <f t="shared" si="2"/>
        <v>30126.554805442316</v>
      </c>
      <c r="H8" s="215">
        <f t="shared" si="2"/>
        <v>29898.245827989413</v>
      </c>
    </row>
    <row r="9" spans="2:15" x14ac:dyDescent="0.25">
      <c r="B9" s="213" t="s">
        <v>124</v>
      </c>
      <c r="C9" s="214"/>
      <c r="D9" s="215">
        <f t="shared" ref="D9:H9" si="3">(D20*D$27)+(D32*D$39)</f>
        <v>6290.7006887248053</v>
      </c>
      <c r="E9" s="215">
        <f t="shared" si="3"/>
        <v>6039.0726611758128</v>
      </c>
      <c r="F9" s="215">
        <f t="shared" si="3"/>
        <v>5797.5097547287805</v>
      </c>
      <c r="G9" s="215">
        <f t="shared" si="3"/>
        <v>5565.6093645396286</v>
      </c>
      <c r="H9" s="215">
        <f t="shared" si="3"/>
        <v>5342.9849899580431</v>
      </c>
    </row>
    <row r="10" spans="2:15" x14ac:dyDescent="0.25">
      <c r="B10" s="213" t="s">
        <v>125</v>
      </c>
      <c r="C10" s="214"/>
      <c r="D10" s="215">
        <f t="shared" ref="D10:H10" si="4">(D21*D$27)+(D33*D$39)</f>
        <v>0</v>
      </c>
      <c r="E10" s="215">
        <f t="shared" si="4"/>
        <v>0</v>
      </c>
      <c r="F10" s="215">
        <f t="shared" si="4"/>
        <v>0</v>
      </c>
      <c r="G10" s="215">
        <f t="shared" si="4"/>
        <v>0</v>
      </c>
      <c r="H10" s="215">
        <f t="shared" si="4"/>
        <v>0</v>
      </c>
    </row>
    <row r="11" spans="2:15" x14ac:dyDescent="0.25">
      <c r="B11" s="216" t="s">
        <v>151</v>
      </c>
      <c r="C11" s="216"/>
      <c r="D11" s="217">
        <f t="shared" ref="D11:H11" si="5">(D22*D$27)+(D34*D$39)</f>
        <v>39210.179210027025</v>
      </c>
      <c r="E11" s="217">
        <f t="shared" si="5"/>
        <v>37641.77204162594</v>
      </c>
      <c r="F11" s="217">
        <f t="shared" si="5"/>
        <v>36469.825665418452</v>
      </c>
      <c r="G11" s="217">
        <f t="shared" si="5"/>
        <v>35692.164169981945</v>
      </c>
      <c r="H11" s="217">
        <f t="shared" si="5"/>
        <v>35241.230817947449</v>
      </c>
    </row>
    <row r="12" spans="2:15" x14ac:dyDescent="0.25">
      <c r="B12" s="214" t="s">
        <v>129</v>
      </c>
      <c r="C12" s="214"/>
      <c r="D12" s="215">
        <f t="shared" ref="D12:H12" si="6">(D23*D$27)+(D35*D$39)</f>
        <v>18269.065936292809</v>
      </c>
      <c r="E12" s="215">
        <f t="shared" si="6"/>
        <v>17538.303298841096</v>
      </c>
      <c r="F12" s="215">
        <f t="shared" si="6"/>
        <v>16992.262294895394</v>
      </c>
      <c r="G12" s="215">
        <f t="shared" si="6"/>
        <v>16629.929109419605</v>
      </c>
      <c r="H12" s="215">
        <f t="shared" si="6"/>
        <v>16419.827260686281</v>
      </c>
    </row>
    <row r="13" spans="2:15" x14ac:dyDescent="0.25">
      <c r="B13" s="214" t="s">
        <v>130</v>
      </c>
      <c r="C13" s="214"/>
      <c r="D13" s="215">
        <f t="shared" ref="D13:H13" si="7">(D24*D$27)+(D36*D$39)</f>
        <v>6288.4338538004549</v>
      </c>
      <c r="E13" s="215">
        <f t="shared" si="7"/>
        <v>6036.8964996484374</v>
      </c>
      <c r="F13" s="215">
        <f t="shared" si="7"/>
        <v>5848.9425699429257</v>
      </c>
      <c r="G13" s="215">
        <f t="shared" si="7"/>
        <v>5724.2230972645284</v>
      </c>
      <c r="H13" s="215">
        <f t="shared" si="7"/>
        <v>5651.9034952154698</v>
      </c>
    </row>
    <row r="14" spans="2:15" x14ac:dyDescent="0.25">
      <c r="B14" s="214" t="s">
        <v>138</v>
      </c>
      <c r="C14" s="214"/>
      <c r="D14" s="215">
        <f t="shared" ref="D14:H14" si="8">(D25*D$27)+(D37*D$39)</f>
        <v>4044.1462021876291</v>
      </c>
      <c r="E14" s="215">
        <f t="shared" si="8"/>
        <v>3882.3803541001239</v>
      </c>
      <c r="F14" s="215">
        <f t="shared" si="8"/>
        <v>3761.5055562288844</v>
      </c>
      <c r="G14" s="215">
        <f t="shared" si="8"/>
        <v>3681.2973846081622</v>
      </c>
      <c r="H14" s="215">
        <f t="shared" si="8"/>
        <v>3634.788023013517</v>
      </c>
    </row>
    <row r="15" spans="2:15" s="219" customFormat="1" x14ac:dyDescent="0.25">
      <c r="B15" s="218" t="s">
        <v>152</v>
      </c>
      <c r="C15" s="214"/>
      <c r="D15" s="217">
        <f t="shared" ref="D15:H15" si="9">(D26*D$27)+(D38*D$39)</f>
        <v>67811.825202307911</v>
      </c>
      <c r="E15" s="217">
        <f t="shared" si="9"/>
        <v>65099.3521942156</v>
      </c>
      <c r="F15" s="217">
        <f t="shared" si="9"/>
        <v>63072.536086485648</v>
      </c>
      <c r="G15" s="217">
        <f t="shared" si="9"/>
        <v>61727.613761274231</v>
      </c>
      <c r="H15" s="215">
        <f t="shared" si="9"/>
        <v>60947.749596862734</v>
      </c>
    </row>
    <row r="16" spans="2:15" s="204" customFormat="1" x14ac:dyDescent="0.25">
      <c r="B16" s="220" t="s">
        <v>153</v>
      </c>
      <c r="C16" s="216"/>
      <c r="D16" s="217">
        <f>D28+D40-D15</f>
        <v>0</v>
      </c>
      <c r="E16" s="217">
        <f t="shared" ref="E16:H16" si="10">E28+E40-E15</f>
        <v>0</v>
      </c>
      <c r="F16" s="217">
        <f t="shared" si="10"/>
        <v>0</v>
      </c>
      <c r="G16" s="217">
        <f t="shared" si="10"/>
        <v>0</v>
      </c>
      <c r="H16" s="217">
        <f t="shared" si="10"/>
        <v>0</v>
      </c>
    </row>
    <row r="17" spans="2:15" s="204" customFormat="1" x14ac:dyDescent="0.25">
      <c r="C17" s="221"/>
    </row>
    <row r="18" spans="2:15" x14ac:dyDescent="0.25">
      <c r="B18" s="222" t="s">
        <v>159</v>
      </c>
      <c r="C18" s="205"/>
      <c r="D18" s="268" t="s">
        <v>154</v>
      </c>
      <c r="E18" s="269"/>
      <c r="F18" s="269"/>
      <c r="G18" s="269"/>
      <c r="H18" s="269"/>
      <c r="J18" s="205"/>
      <c r="K18" s="268" t="s">
        <v>154</v>
      </c>
      <c r="L18" s="269"/>
      <c r="M18" s="269"/>
      <c r="N18" s="269"/>
      <c r="O18" s="269"/>
    </row>
    <row r="19" spans="2:15" x14ac:dyDescent="0.25">
      <c r="B19" s="223" t="s">
        <v>123</v>
      </c>
      <c r="C19" s="224">
        <f>'Proposed Fee'!H15</f>
        <v>351.08603190849294</v>
      </c>
      <c r="D19" s="225">
        <f>C19*D$1</f>
        <v>351.08603190849294</v>
      </c>
      <c r="E19" s="225">
        <f>D19*E1</f>
        <v>351.08603190849294</v>
      </c>
      <c r="F19" s="225">
        <f>E19*F1</f>
        <v>354.94797825948632</v>
      </c>
      <c r="G19" s="225">
        <f>F19*G1</f>
        <v>363.15863489258476</v>
      </c>
      <c r="H19" s="225">
        <f>G19*H1</f>
        <v>375.42343632744314</v>
      </c>
      <c r="J19" s="224"/>
      <c r="K19" s="225">
        <f>J19*K$1</f>
        <v>0</v>
      </c>
      <c r="L19" s="225">
        <f>K19*L1</f>
        <v>0</v>
      </c>
      <c r="M19" s="225">
        <f>L19*M1</f>
        <v>0</v>
      </c>
      <c r="N19" s="225">
        <f>M19*N1</f>
        <v>0</v>
      </c>
      <c r="O19" s="225">
        <f>N19*O1</f>
        <v>0</v>
      </c>
    </row>
    <row r="20" spans="2:15" x14ac:dyDescent="0.25">
      <c r="B20" s="223" t="s">
        <v>124</v>
      </c>
      <c r="C20" s="224">
        <f>'Proposed Fee'!I15</f>
        <v>67.090283380377471</v>
      </c>
      <c r="D20" s="225">
        <f>C20</f>
        <v>67.090283380377471</v>
      </c>
      <c r="E20" s="225">
        <f t="shared" ref="E20:H21" si="11">D20</f>
        <v>67.090283380377471</v>
      </c>
      <c r="F20" s="225">
        <f t="shared" si="11"/>
        <v>67.090283380377471</v>
      </c>
      <c r="G20" s="225">
        <f t="shared" si="11"/>
        <v>67.090283380377471</v>
      </c>
      <c r="H20" s="225">
        <f t="shared" si="11"/>
        <v>67.090283380377471</v>
      </c>
      <c r="J20" s="224"/>
      <c r="K20" s="225">
        <f>J20</f>
        <v>0</v>
      </c>
      <c r="L20" s="225">
        <f t="shared" ref="L20:O21" si="12">K20</f>
        <v>0</v>
      </c>
      <c r="M20" s="225">
        <f t="shared" si="12"/>
        <v>0</v>
      </c>
      <c r="N20" s="225">
        <f t="shared" si="12"/>
        <v>0</v>
      </c>
      <c r="O20" s="225">
        <f t="shared" si="12"/>
        <v>0</v>
      </c>
    </row>
    <row r="21" spans="2:15" x14ac:dyDescent="0.25">
      <c r="B21" s="223" t="s">
        <v>125</v>
      </c>
      <c r="C21" s="224">
        <f>'Proposed Fee'!J15</f>
        <v>0</v>
      </c>
      <c r="D21" s="225">
        <f>C21</f>
        <v>0</v>
      </c>
      <c r="E21" s="225">
        <f t="shared" si="11"/>
        <v>0</v>
      </c>
      <c r="F21" s="225">
        <f t="shared" si="11"/>
        <v>0</v>
      </c>
      <c r="G21" s="225">
        <f t="shared" si="11"/>
        <v>0</v>
      </c>
      <c r="H21" s="225">
        <f t="shared" si="11"/>
        <v>0</v>
      </c>
      <c r="J21" s="224"/>
      <c r="K21" s="225">
        <f>J21</f>
        <v>0</v>
      </c>
      <c r="L21" s="225">
        <f t="shared" si="12"/>
        <v>0</v>
      </c>
      <c r="M21" s="225">
        <f t="shared" si="12"/>
        <v>0</v>
      </c>
      <c r="N21" s="225">
        <f t="shared" si="12"/>
        <v>0</v>
      </c>
      <c r="O21" s="225">
        <f t="shared" si="12"/>
        <v>0</v>
      </c>
    </row>
    <row r="22" spans="2:15" s="204" customFormat="1" x14ac:dyDescent="0.25">
      <c r="B22" s="226" t="s">
        <v>151</v>
      </c>
      <c r="C22" s="279">
        <f>'Proposed Fee'!M15</f>
        <v>418.17631528887046</v>
      </c>
      <c r="D22" s="216">
        <f>SUM(D19:D21)</f>
        <v>418.1763152888704</v>
      </c>
      <c r="E22" s="216">
        <f t="shared" ref="E22:H22" si="13">SUM(E19:E21)</f>
        <v>418.1763152888704</v>
      </c>
      <c r="F22" s="216">
        <f t="shared" si="13"/>
        <v>422.03826163986378</v>
      </c>
      <c r="G22" s="216">
        <f t="shared" si="13"/>
        <v>430.24891827296221</v>
      </c>
      <c r="H22" s="216">
        <f t="shared" si="13"/>
        <v>442.5137197078206</v>
      </c>
      <c r="J22" s="227"/>
      <c r="K22" s="214">
        <f>SUM(K19:K21)</f>
        <v>0</v>
      </c>
      <c r="L22" s="214">
        <f t="shared" ref="L22:O22" si="14">SUM(L19:L21)</f>
        <v>0</v>
      </c>
      <c r="M22" s="214">
        <f t="shared" si="14"/>
        <v>0</v>
      </c>
      <c r="N22" s="214">
        <f t="shared" si="14"/>
        <v>0</v>
      </c>
      <c r="O22" s="214">
        <f t="shared" si="14"/>
        <v>0</v>
      </c>
    </row>
    <row r="23" spans="2:15" x14ac:dyDescent="0.25">
      <c r="B23" s="223" t="s">
        <v>129</v>
      </c>
      <c r="C23" s="224">
        <f>'Proposed Fee'!N15</f>
        <v>194.83947359910775</v>
      </c>
      <c r="D23" s="225">
        <f>D22*D$3</f>
        <v>194.83947359910775</v>
      </c>
      <c r="E23" s="225">
        <f t="shared" ref="E23:H23" si="15">E22*E$3</f>
        <v>194.83947359910775</v>
      </c>
      <c r="F23" s="225">
        <f t="shared" si="15"/>
        <v>196.6388571762856</v>
      </c>
      <c r="G23" s="225">
        <f t="shared" si="15"/>
        <v>200.46442059967276</v>
      </c>
      <c r="H23" s="225">
        <f t="shared" si="15"/>
        <v>206.17891797314223</v>
      </c>
      <c r="J23" s="224"/>
      <c r="K23" s="225">
        <f>K22*K$3</f>
        <v>0</v>
      </c>
      <c r="L23" s="225">
        <f t="shared" ref="L23:O23" si="16">L22*L$3</f>
        <v>0</v>
      </c>
      <c r="M23" s="225">
        <f t="shared" si="16"/>
        <v>0</v>
      </c>
      <c r="N23" s="225">
        <f t="shared" si="16"/>
        <v>0</v>
      </c>
      <c r="O23" s="225">
        <f t="shared" si="16"/>
        <v>0</v>
      </c>
    </row>
    <row r="24" spans="2:15" x14ac:dyDescent="0.25">
      <c r="B24" s="223" t="s">
        <v>130</v>
      </c>
      <c r="C24" s="224">
        <f>'Proposed Fee'!O15</f>
        <v>67.066107600130337</v>
      </c>
      <c r="D24" s="225">
        <f>D22*D$4</f>
        <v>67.066107600130323</v>
      </c>
      <c r="E24" s="225">
        <f t="shared" ref="E24:H24" si="17">E22*E$4</f>
        <v>67.066107600130323</v>
      </c>
      <c r="F24" s="225">
        <f t="shared" si="17"/>
        <v>67.685477229763066</v>
      </c>
      <c r="G24" s="225">
        <f t="shared" si="17"/>
        <v>69.002282512823442</v>
      </c>
      <c r="H24" s="225">
        <f t="shared" si="17"/>
        <v>70.96928174891417</v>
      </c>
      <c r="J24" s="224"/>
      <c r="K24" s="225">
        <f>K22*K$4</f>
        <v>0</v>
      </c>
      <c r="L24" s="225">
        <f t="shared" ref="L24:O24" si="18">L22*L$4</f>
        <v>0</v>
      </c>
      <c r="M24" s="225">
        <f t="shared" si="18"/>
        <v>0</v>
      </c>
      <c r="N24" s="225">
        <f t="shared" si="18"/>
        <v>0</v>
      </c>
      <c r="O24" s="225">
        <f t="shared" si="18"/>
        <v>0</v>
      </c>
    </row>
    <row r="25" spans="2:15" x14ac:dyDescent="0.25">
      <c r="B25" s="223" t="s">
        <v>131</v>
      </c>
      <c r="C25" s="224">
        <f>'Proposed Fee'!P15</f>
        <v>43.130793875275856</v>
      </c>
      <c r="D25" s="225">
        <f>SUM(D22:D24)*D$5</f>
        <v>43.130793875275842</v>
      </c>
      <c r="E25" s="225">
        <f t="shared" ref="E25:H25" si="19">SUM(E22:E24)*E$5</f>
        <v>43.130793875275842</v>
      </c>
      <c r="F25" s="225">
        <f t="shared" si="19"/>
        <v>43.529115841231764</v>
      </c>
      <c r="G25" s="225">
        <f t="shared" si="19"/>
        <v>44.375964708265769</v>
      </c>
      <c r="H25" s="225">
        <f t="shared" si="19"/>
        <v>45.64095893024281</v>
      </c>
      <c r="J25" s="224"/>
      <c r="K25" s="225">
        <f>SUM(K22:K24)*K$5</f>
        <v>0</v>
      </c>
      <c r="L25" s="225">
        <f t="shared" ref="L25:O25" si="20">SUM(L22:L24)*L$5</f>
        <v>0</v>
      </c>
      <c r="M25" s="225">
        <f t="shared" si="20"/>
        <v>0</v>
      </c>
      <c r="N25" s="225">
        <f t="shared" si="20"/>
        <v>0</v>
      </c>
      <c r="O25" s="225">
        <f t="shared" si="20"/>
        <v>0</v>
      </c>
    </row>
    <row r="26" spans="2:15" s="204" customFormat="1" x14ac:dyDescent="0.25">
      <c r="B26" s="228" t="s">
        <v>155</v>
      </c>
      <c r="C26" s="229">
        <f>'Proposed Fee'!Q15</f>
        <v>723.21269036338435</v>
      </c>
      <c r="D26" s="230">
        <f>SUM(D22:D25)</f>
        <v>723.21269036338424</v>
      </c>
      <c r="E26" s="230">
        <f t="shared" ref="E26:H26" si="21">SUM(E22:E25)</f>
        <v>723.21269036338424</v>
      </c>
      <c r="F26" s="230">
        <f t="shared" si="21"/>
        <v>729.89171188714408</v>
      </c>
      <c r="G26" s="230">
        <f t="shared" si="21"/>
        <v>744.09158609372412</v>
      </c>
      <c r="H26" s="230">
        <f t="shared" si="21"/>
        <v>765.30287836011996</v>
      </c>
      <c r="J26" s="229"/>
      <c r="K26" s="230">
        <f>SUM(K22:K25)</f>
        <v>0</v>
      </c>
      <c r="L26" s="230">
        <f t="shared" ref="L26:O26" si="22">SUM(L22:L25)</f>
        <v>0</v>
      </c>
      <c r="M26" s="230">
        <f t="shared" si="22"/>
        <v>0</v>
      </c>
      <c r="N26" s="230">
        <f t="shared" si="22"/>
        <v>0</v>
      </c>
      <c r="O26" s="230">
        <f t="shared" si="22"/>
        <v>0</v>
      </c>
    </row>
    <row r="27" spans="2:15" x14ac:dyDescent="0.25">
      <c r="B27" s="231" t="s">
        <v>156</v>
      </c>
      <c r="C27" s="225"/>
      <c r="D27" s="232">
        <f>'Forecast Revenue - Costs'!D10</f>
        <v>86</v>
      </c>
      <c r="E27" s="232">
        <f>'Forecast Revenue - Costs'!E10</f>
        <v>82.56</v>
      </c>
      <c r="F27" s="232">
        <f>'Forecast Revenue - Costs'!F10</f>
        <v>79.257599999999996</v>
      </c>
      <c r="G27" s="232">
        <f>'Forecast Revenue - Costs'!G10</f>
        <v>76.087295999999995</v>
      </c>
      <c r="H27" s="232">
        <f>'Forecast Revenue - Costs'!H10</f>
        <v>73.043804159999993</v>
      </c>
      <c r="J27" s="225"/>
      <c r="K27" s="232"/>
      <c r="L27" s="232"/>
      <c r="M27" s="232"/>
      <c r="N27" s="232"/>
      <c r="O27" s="232"/>
    </row>
    <row r="28" spans="2:15" s="204" customFormat="1" x14ac:dyDescent="0.25">
      <c r="B28" s="218" t="s">
        <v>157</v>
      </c>
      <c r="C28" s="216"/>
      <c r="D28" s="217">
        <f>D26*D27</f>
        <v>62196.291371251042</v>
      </c>
      <c r="E28" s="217">
        <f t="shared" ref="E28:H28" si="23">E26*E27</f>
        <v>59708.439716401008</v>
      </c>
      <c r="F28" s="217">
        <f t="shared" si="23"/>
        <v>57849.465344066506</v>
      </c>
      <c r="G28" s="217">
        <f t="shared" si="23"/>
        <v>56615.916762222667</v>
      </c>
      <c r="H28" s="217">
        <f t="shared" si="23"/>
        <v>55900.633570020902</v>
      </c>
      <c r="J28" s="216"/>
      <c r="K28" s="217"/>
      <c r="L28" s="217"/>
      <c r="M28" s="217"/>
      <c r="N28" s="217"/>
      <c r="O28" s="217"/>
    </row>
    <row r="30" spans="2:15" x14ac:dyDescent="0.25">
      <c r="B30" s="222" t="s">
        <v>160</v>
      </c>
      <c r="C30" s="205"/>
      <c r="D30" s="268" t="s">
        <v>154</v>
      </c>
      <c r="E30" s="269"/>
      <c r="F30" s="269"/>
      <c r="G30" s="269"/>
      <c r="H30" s="269"/>
      <c r="J30" s="205"/>
      <c r="K30" s="268" t="s">
        <v>154</v>
      </c>
      <c r="L30" s="269"/>
      <c r="M30" s="269"/>
      <c r="N30" s="269"/>
      <c r="O30" s="269"/>
    </row>
    <row r="31" spans="2:15" x14ac:dyDescent="0.25">
      <c r="B31" s="223" t="s">
        <v>123</v>
      </c>
      <c r="C31" s="224">
        <f>'Proposed Fee'!H25</f>
        <v>227.17331476431895</v>
      </c>
      <c r="D31" s="225">
        <f>C31*D$1</f>
        <v>227.17331476431895</v>
      </c>
      <c r="E31" s="225">
        <f t="shared" ref="E31:H31" si="24">D31*E$1</f>
        <v>227.17331476431895</v>
      </c>
      <c r="F31" s="225">
        <f t="shared" si="24"/>
        <v>229.67222122672644</v>
      </c>
      <c r="G31" s="225">
        <f t="shared" si="24"/>
        <v>234.98499904814307</v>
      </c>
      <c r="H31" s="225">
        <f t="shared" si="24"/>
        <v>242.92104703540437</v>
      </c>
      <c r="J31" s="224"/>
      <c r="K31" s="225">
        <f>J31*K$1</f>
        <v>0</v>
      </c>
      <c r="L31" s="225">
        <f>K31*L13</f>
        <v>0</v>
      </c>
      <c r="M31" s="225">
        <f>L31*M13</f>
        <v>0</v>
      </c>
      <c r="N31" s="225">
        <f>M31*N13</f>
        <v>0</v>
      </c>
      <c r="O31" s="225">
        <f>N31*O13</f>
        <v>0</v>
      </c>
    </row>
    <row r="32" spans="2:15" x14ac:dyDescent="0.25">
      <c r="B32" s="223" t="s">
        <v>124</v>
      </c>
      <c r="C32" s="224">
        <f>'Proposed Fee'!I25</f>
        <v>43.411359834361889</v>
      </c>
      <c r="D32" s="225">
        <f>C32</f>
        <v>43.411359834361889</v>
      </c>
      <c r="E32" s="225">
        <f t="shared" ref="E32:E33" si="25">D32</f>
        <v>43.411359834361889</v>
      </c>
      <c r="F32" s="225">
        <f t="shared" ref="F32:F33" si="26">E32</f>
        <v>43.411359834361889</v>
      </c>
      <c r="G32" s="225">
        <f t="shared" ref="G32:G33" si="27">F32</f>
        <v>43.411359834361889</v>
      </c>
      <c r="H32" s="225">
        <f t="shared" ref="H32:H33" si="28">G32</f>
        <v>43.411359834361889</v>
      </c>
      <c r="J32" s="224"/>
      <c r="K32" s="225">
        <f>J32</f>
        <v>0</v>
      </c>
      <c r="L32" s="225">
        <f t="shared" ref="L32:L33" si="29">K32</f>
        <v>0</v>
      </c>
      <c r="M32" s="225">
        <f t="shared" ref="M32:M33" si="30">L32</f>
        <v>0</v>
      </c>
      <c r="N32" s="225">
        <f t="shared" ref="N32:N33" si="31">M32</f>
        <v>0</v>
      </c>
      <c r="O32" s="225">
        <f t="shared" ref="O32:O33" si="32">N32</f>
        <v>0</v>
      </c>
    </row>
    <row r="33" spans="2:15" x14ac:dyDescent="0.25">
      <c r="B33" s="223" t="s">
        <v>125</v>
      </c>
      <c r="C33" s="224">
        <f>'Proposed Fee'!J25</f>
        <v>0</v>
      </c>
      <c r="D33" s="225">
        <f>C33</f>
        <v>0</v>
      </c>
      <c r="E33" s="225">
        <f t="shared" si="25"/>
        <v>0</v>
      </c>
      <c r="F33" s="225">
        <f t="shared" si="26"/>
        <v>0</v>
      </c>
      <c r="G33" s="225">
        <f t="shared" si="27"/>
        <v>0</v>
      </c>
      <c r="H33" s="225">
        <f t="shared" si="28"/>
        <v>0</v>
      </c>
      <c r="J33" s="224"/>
      <c r="K33" s="225">
        <f>J33</f>
        <v>0</v>
      </c>
      <c r="L33" s="225">
        <f t="shared" si="29"/>
        <v>0</v>
      </c>
      <c r="M33" s="225">
        <f t="shared" si="30"/>
        <v>0</v>
      </c>
      <c r="N33" s="225">
        <f t="shared" si="31"/>
        <v>0</v>
      </c>
      <c r="O33" s="225">
        <f t="shared" si="32"/>
        <v>0</v>
      </c>
    </row>
    <row r="34" spans="2:15" s="204" customFormat="1" x14ac:dyDescent="0.25">
      <c r="B34" s="226" t="s">
        <v>151</v>
      </c>
      <c r="C34" s="279">
        <f>'Proposed Fee'!M25</f>
        <v>270.58467459868086</v>
      </c>
      <c r="D34" s="216">
        <f>SUM(D31:D33)</f>
        <v>270.58467459868086</v>
      </c>
      <c r="E34" s="216">
        <f t="shared" ref="E34:H34" si="33">SUM(E31:E33)</f>
        <v>270.58467459868086</v>
      </c>
      <c r="F34" s="216">
        <f t="shared" si="33"/>
        <v>273.08358106108835</v>
      </c>
      <c r="G34" s="216">
        <f t="shared" si="33"/>
        <v>278.39635888250496</v>
      </c>
      <c r="H34" s="216">
        <f t="shared" si="33"/>
        <v>286.33240686976626</v>
      </c>
      <c r="J34" s="227"/>
      <c r="K34" s="214">
        <f>SUM(K31:K33)</f>
        <v>0</v>
      </c>
      <c r="L34" s="214">
        <f t="shared" ref="L34:O34" si="34">SUM(L31:L33)</f>
        <v>0</v>
      </c>
      <c r="M34" s="214">
        <f t="shared" si="34"/>
        <v>0</v>
      </c>
      <c r="N34" s="214">
        <f t="shared" si="34"/>
        <v>0</v>
      </c>
      <c r="O34" s="214">
        <f t="shared" si="34"/>
        <v>0</v>
      </c>
    </row>
    <row r="35" spans="2:15" x14ac:dyDescent="0.25">
      <c r="B35" s="223" t="s">
        <v>129</v>
      </c>
      <c r="C35" s="224">
        <f>'Proposed Fee'!N25</f>
        <v>126.07260056412855</v>
      </c>
      <c r="D35" s="225">
        <f>D34*D$3</f>
        <v>126.07260056412855</v>
      </c>
      <c r="E35" s="225">
        <f t="shared" ref="E35:H35" si="35">E34*E$3</f>
        <v>126.07260056412855</v>
      </c>
      <c r="F35" s="225">
        <f t="shared" si="35"/>
        <v>127.2369075846554</v>
      </c>
      <c r="G35" s="225">
        <f t="shared" si="35"/>
        <v>129.71227215272944</v>
      </c>
      <c r="H35" s="225">
        <f t="shared" si="35"/>
        <v>133.40988810026849</v>
      </c>
      <c r="J35" s="224"/>
      <c r="K35" s="225">
        <f>K34*K$3</f>
        <v>0</v>
      </c>
      <c r="L35" s="225">
        <f t="shared" ref="L35:O35" si="36">L34*L$3</f>
        <v>0</v>
      </c>
      <c r="M35" s="225">
        <f t="shared" si="36"/>
        <v>0</v>
      </c>
      <c r="N35" s="225">
        <f t="shared" si="36"/>
        <v>0</v>
      </c>
      <c r="O35" s="225">
        <f t="shared" si="36"/>
        <v>0</v>
      </c>
    </row>
    <row r="36" spans="2:15" x14ac:dyDescent="0.25">
      <c r="B36" s="223" t="s">
        <v>130</v>
      </c>
      <c r="C36" s="224">
        <f>'Proposed Fee'!O25</f>
        <v>43.395716682437275</v>
      </c>
      <c r="D36" s="225">
        <f>D34*D$4</f>
        <v>43.395716682437268</v>
      </c>
      <c r="E36" s="225">
        <f t="shared" ref="E36:H36" si="37">E34*E$4</f>
        <v>43.395716682437268</v>
      </c>
      <c r="F36" s="225">
        <f t="shared" si="37"/>
        <v>43.796485266317283</v>
      </c>
      <c r="G36" s="225">
        <f t="shared" si="37"/>
        <v>44.648535743591637</v>
      </c>
      <c r="H36" s="225">
        <f t="shared" si="37"/>
        <v>45.921299955179755</v>
      </c>
      <c r="J36" s="224"/>
      <c r="K36" s="225">
        <f>K34*K$4</f>
        <v>0</v>
      </c>
      <c r="L36" s="225">
        <f t="shared" ref="L36:O36" si="38">L34*L$4</f>
        <v>0</v>
      </c>
      <c r="M36" s="225">
        <f t="shared" si="38"/>
        <v>0</v>
      </c>
      <c r="N36" s="225">
        <f t="shared" si="38"/>
        <v>0</v>
      </c>
      <c r="O36" s="225">
        <f t="shared" si="38"/>
        <v>0</v>
      </c>
    </row>
    <row r="37" spans="2:15" x14ac:dyDescent="0.25">
      <c r="B37" s="223" t="s">
        <v>131</v>
      </c>
      <c r="C37" s="224">
        <f>'Proposed Fee'!P25</f>
        <v>27.908160742825547</v>
      </c>
      <c r="D37" s="225">
        <f>SUM(D34:D36)*D$5</f>
        <v>27.908160742825544</v>
      </c>
      <c r="E37" s="225">
        <f t="shared" ref="E37:H37" si="39">SUM(E34:E36)*E$5</f>
        <v>27.908160742825544</v>
      </c>
      <c r="F37" s="225">
        <f t="shared" si="39"/>
        <v>28.165898485502915</v>
      </c>
      <c r="G37" s="225">
        <f t="shared" si="39"/>
        <v>28.71385951711315</v>
      </c>
      <c r="H37" s="225">
        <f t="shared" si="39"/>
        <v>29.532385190157108</v>
      </c>
      <c r="J37" s="224"/>
      <c r="K37" s="225">
        <f>SUM(K34:K36)*K$5</f>
        <v>0</v>
      </c>
      <c r="L37" s="225">
        <f t="shared" ref="L37:O37" si="40">SUM(L34:L36)*L$5</f>
        <v>0</v>
      </c>
      <c r="M37" s="225">
        <f t="shared" si="40"/>
        <v>0</v>
      </c>
      <c r="N37" s="225">
        <f t="shared" si="40"/>
        <v>0</v>
      </c>
      <c r="O37" s="225">
        <f t="shared" si="40"/>
        <v>0</v>
      </c>
    </row>
    <row r="38" spans="2:15" s="204" customFormat="1" x14ac:dyDescent="0.25">
      <c r="B38" s="228" t="s">
        <v>155</v>
      </c>
      <c r="C38" s="229">
        <f>'Proposed Fee'!Q25</f>
        <v>467.9611525880722</v>
      </c>
      <c r="D38" s="230">
        <f>SUM(D34:D37)</f>
        <v>467.9611525880722</v>
      </c>
      <c r="E38" s="230">
        <f t="shared" ref="E38:H38" si="41">SUM(E34:E37)</f>
        <v>467.9611525880722</v>
      </c>
      <c r="F38" s="230">
        <f t="shared" si="41"/>
        <v>472.28287239756395</v>
      </c>
      <c r="G38" s="230">
        <f t="shared" si="41"/>
        <v>481.47102629593917</v>
      </c>
      <c r="H38" s="230">
        <f t="shared" si="41"/>
        <v>495.19598011537164</v>
      </c>
      <c r="J38" s="229"/>
      <c r="K38" s="230">
        <f>SUM(K34:K37)</f>
        <v>0</v>
      </c>
      <c r="L38" s="230">
        <f t="shared" ref="L38:O38" si="42">SUM(L34:L37)</f>
        <v>0</v>
      </c>
      <c r="M38" s="230">
        <f t="shared" si="42"/>
        <v>0</v>
      </c>
      <c r="N38" s="230">
        <f t="shared" si="42"/>
        <v>0</v>
      </c>
      <c r="O38" s="230">
        <f t="shared" si="42"/>
        <v>0</v>
      </c>
    </row>
    <row r="39" spans="2:15" x14ac:dyDescent="0.25">
      <c r="B39" s="231" t="s">
        <v>156</v>
      </c>
      <c r="C39" s="225"/>
      <c r="D39" s="232">
        <f>'Forecast Revenue - Costs'!D11</f>
        <v>12</v>
      </c>
      <c r="E39" s="232">
        <f>'Forecast Revenue - Costs'!E11</f>
        <v>11.52</v>
      </c>
      <c r="F39" s="232">
        <f>'Forecast Revenue - Costs'!F11</f>
        <v>11.059199999999999</v>
      </c>
      <c r="G39" s="232">
        <f>'Forecast Revenue - Costs'!G11</f>
        <v>10.616831999999999</v>
      </c>
      <c r="H39" s="232">
        <f>'Forecast Revenue - Costs'!H11</f>
        <v>10.192158719999998</v>
      </c>
      <c r="J39" s="225"/>
      <c r="K39" s="232"/>
      <c r="L39" s="232"/>
      <c r="M39" s="232"/>
      <c r="N39" s="232"/>
      <c r="O39" s="232"/>
    </row>
    <row r="40" spans="2:15" s="204" customFormat="1" x14ac:dyDescent="0.25">
      <c r="B40" s="218" t="s">
        <v>157</v>
      </c>
      <c r="C40" s="216"/>
      <c r="D40" s="217">
        <f>D38*D39</f>
        <v>5615.5338310568659</v>
      </c>
      <c r="E40" s="217">
        <f t="shared" ref="E40:H40" si="43">E38*E39</f>
        <v>5390.9124778145915</v>
      </c>
      <c r="F40" s="217">
        <f t="shared" si="43"/>
        <v>5223.0707424191387</v>
      </c>
      <c r="G40" s="217">
        <f t="shared" si="43"/>
        <v>5111.6969990515681</v>
      </c>
      <c r="H40" s="217">
        <f t="shared" si="43"/>
        <v>5047.1160268418307</v>
      </c>
      <c r="J40" s="216"/>
      <c r="K40" s="217"/>
      <c r="L40" s="217"/>
      <c r="M40" s="217"/>
      <c r="N40" s="217"/>
      <c r="O40" s="217"/>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C38" sqref="C38"/>
    </sheetView>
  </sheetViews>
  <sheetFormatPr defaultRowHeight="15" x14ac:dyDescent="0.25"/>
  <cols>
    <col min="1" max="1" width="3.28515625" customWidth="1"/>
    <col min="2" max="2" width="66.42578125" customWidth="1"/>
    <col min="3" max="3" width="58.42578125" customWidth="1"/>
    <col min="4" max="4" width="11.85546875" customWidth="1"/>
    <col min="5" max="8" width="11.28515625" customWidth="1"/>
    <col min="9" max="9" width="12.7109375" customWidth="1"/>
  </cols>
  <sheetData>
    <row r="2" spans="2:9" x14ac:dyDescent="0.25">
      <c r="B2" s="21" t="s">
        <v>49</v>
      </c>
      <c r="C2" s="22"/>
      <c r="D2" s="22"/>
      <c r="E2" s="22"/>
      <c r="F2" s="22"/>
      <c r="G2" s="22"/>
      <c r="H2" s="22"/>
      <c r="I2" s="22"/>
    </row>
    <row r="3" spans="2:9" x14ac:dyDescent="0.25">
      <c r="B3" s="280" t="s">
        <v>91</v>
      </c>
      <c r="C3" s="280" t="s">
        <v>3</v>
      </c>
      <c r="D3" s="281" t="s">
        <v>58</v>
      </c>
      <c r="E3" s="281" t="s">
        <v>59</v>
      </c>
      <c r="F3" s="281" t="s">
        <v>60</v>
      </c>
      <c r="G3" s="281" t="s">
        <v>85</v>
      </c>
      <c r="H3" s="281" t="s">
        <v>61</v>
      </c>
      <c r="I3" s="122" t="s">
        <v>1</v>
      </c>
    </row>
    <row r="4" spans="2:9" x14ac:dyDescent="0.25">
      <c r="B4" s="73" t="s">
        <v>83</v>
      </c>
      <c r="C4" s="3" t="s">
        <v>67</v>
      </c>
      <c r="D4" s="24">
        <f>'Forecast by year'!D28</f>
        <v>62196.291371251042</v>
      </c>
      <c r="E4" s="24">
        <f>'Forecast by year'!E28</f>
        <v>59708.439716401008</v>
      </c>
      <c r="F4" s="24">
        <f>'Forecast by year'!F28</f>
        <v>57849.465344066506</v>
      </c>
      <c r="G4" s="24">
        <f>'Forecast by year'!G28</f>
        <v>56615.916762222667</v>
      </c>
      <c r="H4" s="24">
        <f>'Forecast by year'!H28</f>
        <v>55900.633570020902</v>
      </c>
      <c r="I4" s="277">
        <f>SUM(D4:H4)</f>
        <v>292270.74676396215</v>
      </c>
    </row>
    <row r="5" spans="2:9" x14ac:dyDescent="0.25">
      <c r="B5" s="73" t="s">
        <v>84</v>
      </c>
      <c r="C5" s="3" t="s">
        <v>109</v>
      </c>
      <c r="D5" s="4">
        <f>'Forecast by year'!D40</f>
        <v>5615.5338310568659</v>
      </c>
      <c r="E5" s="4">
        <f>'Forecast by year'!E40</f>
        <v>5390.9124778145915</v>
      </c>
      <c r="F5" s="4">
        <f>'Forecast by year'!F40</f>
        <v>5223.0707424191387</v>
      </c>
      <c r="G5" s="4">
        <f>'Forecast by year'!G40</f>
        <v>5111.6969990515681</v>
      </c>
      <c r="H5" s="4">
        <f>'Forecast by year'!H40</f>
        <v>5047.1160268418307</v>
      </c>
      <c r="I5" s="277">
        <f t="shared" ref="I5" si="0">SUM(D5:H5)</f>
        <v>26388.330077183997</v>
      </c>
    </row>
    <row r="6" spans="2:9" x14ac:dyDescent="0.25">
      <c r="B6" s="14" t="s">
        <v>1</v>
      </c>
      <c r="C6" s="14"/>
      <c r="D6" s="278">
        <f>SUM(D4:D5)</f>
        <v>67811.825202307911</v>
      </c>
      <c r="E6" s="278">
        <f>SUM(E4:E5)</f>
        <v>65099.3521942156</v>
      </c>
      <c r="F6" s="278">
        <f>SUM(F4:F5)</f>
        <v>63072.536086485648</v>
      </c>
      <c r="G6" s="278">
        <f>SUM(G4:G5)</f>
        <v>61727.613761274231</v>
      </c>
      <c r="H6" s="278">
        <f>SUM(H4:H5)</f>
        <v>60947.749596862734</v>
      </c>
      <c r="I6" s="278">
        <f>SUM(I4:I5)</f>
        <v>318659.07684114616</v>
      </c>
    </row>
    <row r="7" spans="2:9" x14ac:dyDescent="0.25">
      <c r="B7" s="1"/>
      <c r="C7" s="1"/>
      <c r="D7" s="1"/>
      <c r="E7" s="1"/>
      <c r="F7" s="1"/>
      <c r="G7" s="1"/>
      <c r="H7" s="1"/>
      <c r="I7" s="1"/>
    </row>
    <row r="8" spans="2:9" x14ac:dyDescent="0.25">
      <c r="B8" s="21" t="s">
        <v>26</v>
      </c>
      <c r="C8" s="22"/>
      <c r="D8" s="22"/>
      <c r="E8" s="22"/>
      <c r="F8" s="22"/>
      <c r="G8" s="22"/>
      <c r="H8" s="22"/>
      <c r="I8" s="22"/>
    </row>
    <row r="9" spans="2:9" x14ac:dyDescent="0.25">
      <c r="B9" s="280" t="s">
        <v>91</v>
      </c>
      <c r="C9" s="280" t="s">
        <v>3</v>
      </c>
      <c r="D9" s="281" t="s">
        <v>58</v>
      </c>
      <c r="E9" s="281" t="s">
        <v>59</v>
      </c>
      <c r="F9" s="281" t="s">
        <v>60</v>
      </c>
      <c r="G9" s="281" t="s">
        <v>85</v>
      </c>
      <c r="H9" s="281" t="s">
        <v>61</v>
      </c>
      <c r="I9" s="122" t="s">
        <v>1</v>
      </c>
    </row>
    <row r="10" spans="2:9" x14ac:dyDescent="0.25">
      <c r="B10" s="73" t="s">
        <v>83</v>
      </c>
      <c r="C10" s="3" t="s">
        <v>67</v>
      </c>
      <c r="D10" s="72">
        <v>86</v>
      </c>
      <c r="E10" s="72">
        <f>D10-(D10*4%)</f>
        <v>82.56</v>
      </c>
      <c r="F10" s="72">
        <f>E10-(E10*4%)</f>
        <v>79.257599999999996</v>
      </c>
      <c r="G10" s="72">
        <f>F10-(F10*4%)</f>
        <v>76.087295999999995</v>
      </c>
      <c r="H10" s="72">
        <f>G10-(G10*4%)</f>
        <v>73.043804159999993</v>
      </c>
      <c r="I10" s="273">
        <f>SUM(D10:H10)</f>
        <v>396.94870015999999</v>
      </c>
    </row>
    <row r="11" spans="2:9" x14ac:dyDescent="0.25">
      <c r="B11" s="73" t="s">
        <v>84</v>
      </c>
      <c r="C11" s="3" t="s">
        <v>109</v>
      </c>
      <c r="D11" s="72">
        <v>12</v>
      </c>
      <c r="E11" s="72">
        <f>D11-(D11*4%)</f>
        <v>11.52</v>
      </c>
      <c r="F11" s="72">
        <f t="shared" ref="F11:H11" si="1">E11-(E11*4%)</f>
        <v>11.059199999999999</v>
      </c>
      <c r="G11" s="72">
        <f t="shared" si="1"/>
        <v>10.616831999999999</v>
      </c>
      <c r="H11" s="72">
        <f t="shared" si="1"/>
        <v>10.192158719999998</v>
      </c>
      <c r="I11" s="273">
        <f t="shared" ref="I11" si="2">SUM(D11:H11)</f>
        <v>55.388190719999997</v>
      </c>
    </row>
    <row r="12" spans="2:9" x14ac:dyDescent="0.25">
      <c r="B12" s="14" t="s">
        <v>17</v>
      </c>
      <c r="C12" s="14"/>
      <c r="D12" s="276">
        <f>SUM(D10:D11)</f>
        <v>98</v>
      </c>
      <c r="E12" s="276">
        <f>SUM(E10:E11)</f>
        <v>94.08</v>
      </c>
      <c r="F12" s="276">
        <f>SUM(F10:F11)</f>
        <v>90.316800000000001</v>
      </c>
      <c r="G12" s="276">
        <f>SUM(G10:G11)</f>
        <v>86.704127999999997</v>
      </c>
      <c r="H12" s="276">
        <f>SUM(H10:H11)</f>
        <v>83.235962879999988</v>
      </c>
      <c r="I12" s="276">
        <f>SUM(I10:I11)</f>
        <v>452.33689088</v>
      </c>
    </row>
    <row r="13" spans="2:9" x14ac:dyDescent="0.25">
      <c r="B13" s="47"/>
      <c r="C13" s="47"/>
      <c r="D13" s="48"/>
      <c r="E13" s="48"/>
      <c r="F13" s="48"/>
      <c r="G13" s="48"/>
      <c r="H13" s="48"/>
      <c r="I13" s="48"/>
    </row>
    <row r="14" spans="2:9" x14ac:dyDescent="0.25">
      <c r="B14" s="9" t="s">
        <v>6</v>
      </c>
      <c r="C14" s="1"/>
      <c r="D14" s="8"/>
      <c r="E14" s="8"/>
      <c r="F14" s="8"/>
      <c r="G14" s="8"/>
      <c r="H14" s="8"/>
      <c r="I14" s="8"/>
    </row>
    <row r="15" spans="2:9" x14ac:dyDescent="0.25">
      <c r="B15" s="74" t="s">
        <v>113</v>
      </c>
      <c r="C15" s="74"/>
      <c r="D15" s="74"/>
      <c r="E15" s="74"/>
      <c r="F15" s="74"/>
      <c r="G15" s="74"/>
      <c r="H15" s="74"/>
      <c r="I15" s="74"/>
    </row>
    <row r="16" spans="2:9" x14ac:dyDescent="0.25">
      <c r="B16" s="75"/>
      <c r="C16" s="75"/>
      <c r="D16" s="75"/>
      <c r="E16" s="75"/>
      <c r="F16" s="75"/>
      <c r="G16" s="75"/>
      <c r="H16" s="75"/>
      <c r="I16" s="75"/>
    </row>
    <row r="17" spans="2:9" x14ac:dyDescent="0.25">
      <c r="B17" s="1"/>
      <c r="C17" s="1"/>
      <c r="D17" s="8"/>
      <c r="E17" s="8"/>
      <c r="F17" s="8"/>
      <c r="G17" s="8"/>
      <c r="H17" s="8"/>
      <c r="I17" s="8"/>
    </row>
    <row r="18" spans="2:9" x14ac:dyDescent="0.25">
      <c r="B18" s="21" t="s">
        <v>27</v>
      </c>
      <c r="C18" s="22"/>
      <c r="D18" s="22"/>
      <c r="E18" s="22"/>
      <c r="F18" s="22"/>
      <c r="G18" s="22"/>
      <c r="H18" s="22"/>
      <c r="I18" s="22"/>
    </row>
    <row r="19" spans="2:9" x14ac:dyDescent="0.25">
      <c r="B19" s="10" t="s">
        <v>25</v>
      </c>
      <c r="C19" s="11"/>
      <c r="D19" s="11"/>
      <c r="E19" s="11"/>
      <c r="F19" s="11"/>
      <c r="G19" s="11"/>
      <c r="H19" s="11"/>
      <c r="I19" s="11"/>
    </row>
    <row r="20" spans="2:9" x14ac:dyDescent="0.25">
      <c r="B20" s="282" t="s">
        <v>162</v>
      </c>
      <c r="C20" s="260"/>
      <c r="D20" s="260"/>
      <c r="E20" s="260"/>
      <c r="F20" s="260"/>
      <c r="G20" s="260"/>
      <c r="H20" s="260"/>
      <c r="I20" s="260"/>
    </row>
    <row r="21" spans="2:9" x14ac:dyDescent="0.25">
      <c r="B21" s="262"/>
      <c r="C21" s="262"/>
      <c r="D21" s="262"/>
      <c r="E21" s="262"/>
      <c r="F21" s="262"/>
      <c r="G21" s="262"/>
      <c r="H21" s="262"/>
      <c r="I21" s="262"/>
    </row>
    <row r="22" spans="2:9" x14ac:dyDescent="0.25">
      <c r="B22" s="12"/>
      <c r="C22" s="13"/>
      <c r="D22" s="13"/>
      <c r="E22" s="13"/>
      <c r="F22" s="13"/>
      <c r="G22" s="13"/>
      <c r="H22" s="13"/>
      <c r="I22" s="13"/>
    </row>
    <row r="23" spans="2:9" x14ac:dyDescent="0.25">
      <c r="B23" s="1"/>
      <c r="C23" s="1"/>
      <c r="D23" s="1"/>
      <c r="E23" s="1"/>
      <c r="F23" s="1"/>
      <c r="G23" s="1"/>
      <c r="H23" s="1"/>
      <c r="I23" s="1"/>
    </row>
    <row r="25" spans="2:9" x14ac:dyDescent="0.25">
      <c r="B25" s="26" t="s">
        <v>47</v>
      </c>
      <c r="C25" s="27"/>
      <c r="D25" s="270" t="s">
        <v>134</v>
      </c>
      <c r="E25" s="270"/>
      <c r="F25" s="270"/>
      <c r="G25" s="270"/>
      <c r="H25" s="270"/>
      <c r="I25" s="27"/>
    </row>
    <row r="26" spans="2:9" ht="15.75" customHeight="1" x14ac:dyDescent="0.25">
      <c r="B26" s="2" t="s">
        <v>19</v>
      </c>
      <c r="C26" s="14" t="s">
        <v>3</v>
      </c>
      <c r="D26" s="50" t="s">
        <v>58</v>
      </c>
      <c r="E26" s="50" t="s">
        <v>59</v>
      </c>
      <c r="F26" s="50" t="s">
        <v>60</v>
      </c>
      <c r="G26" s="50" t="s">
        <v>85</v>
      </c>
      <c r="H26" s="200" t="s">
        <v>61</v>
      </c>
      <c r="I26" s="15" t="s">
        <v>1</v>
      </c>
    </row>
    <row r="27" spans="2:9" s="204" customFormat="1" x14ac:dyDescent="0.25">
      <c r="B27" s="201" t="s">
        <v>135</v>
      </c>
      <c r="C27" s="202"/>
      <c r="D27" s="71">
        <f>'Forecast by year'!D8</f>
        <v>32919.478521302219</v>
      </c>
      <c r="E27" s="71">
        <f>'Forecast by year'!E8</f>
        <v>31602.699380450133</v>
      </c>
      <c r="F27" s="71">
        <f>'Forecast by year'!F8</f>
        <v>30672.315910689671</v>
      </c>
      <c r="G27" s="71">
        <f>'Forecast by year'!G8</f>
        <v>30126.554805442316</v>
      </c>
      <c r="H27" s="71">
        <f>'Forecast by year'!H8</f>
        <v>29898.245827989413</v>
      </c>
      <c r="I27" s="203">
        <f t="shared" ref="I27:I29" si="3">SUM(D27:H27)</f>
        <v>155219.29444587376</v>
      </c>
    </row>
    <row r="28" spans="2:9" s="204" customFormat="1" x14ac:dyDescent="0.25">
      <c r="B28" s="201" t="s">
        <v>136</v>
      </c>
      <c r="C28" s="205"/>
      <c r="D28" s="71">
        <f>'Forecast by year'!D9</f>
        <v>6290.7006887248053</v>
      </c>
      <c r="E28" s="71">
        <f>'Forecast by year'!E9</f>
        <v>6039.0726611758128</v>
      </c>
      <c r="F28" s="71">
        <f>'Forecast by year'!F9</f>
        <v>5797.5097547287805</v>
      </c>
      <c r="G28" s="71">
        <f>'Forecast by year'!G9</f>
        <v>5565.6093645396286</v>
      </c>
      <c r="H28" s="71">
        <f>'Forecast by year'!H9</f>
        <v>5342.9849899580431</v>
      </c>
      <c r="I28" s="203">
        <f t="shared" si="3"/>
        <v>29035.87745912707</v>
      </c>
    </row>
    <row r="29" spans="2:9" s="204" customFormat="1" x14ac:dyDescent="0.25">
      <c r="B29" s="201" t="s">
        <v>125</v>
      </c>
      <c r="C29" s="205"/>
      <c r="D29" s="71">
        <f>'Forecast by year'!D10</f>
        <v>0</v>
      </c>
      <c r="E29" s="71">
        <f>'Forecast by year'!E10</f>
        <v>0</v>
      </c>
      <c r="F29" s="71">
        <f>'Forecast by year'!F10</f>
        <v>0</v>
      </c>
      <c r="G29" s="71">
        <f>'Forecast by year'!G10</f>
        <v>0</v>
      </c>
      <c r="H29" s="71">
        <f>'Forecast by year'!H10</f>
        <v>0</v>
      </c>
      <c r="I29" s="203">
        <f t="shared" si="3"/>
        <v>0</v>
      </c>
    </row>
    <row r="30" spans="2:9" s="204" customFormat="1" x14ac:dyDescent="0.25">
      <c r="B30" s="206" t="s">
        <v>137</v>
      </c>
      <c r="C30" s="205"/>
      <c r="D30" s="207">
        <f>'Forecast by year'!D11</f>
        <v>39210.179210027025</v>
      </c>
      <c r="E30" s="207">
        <f>'Forecast by year'!E11</f>
        <v>37641.77204162594</v>
      </c>
      <c r="F30" s="207">
        <f>'Forecast by year'!F11</f>
        <v>36469.825665418452</v>
      </c>
      <c r="G30" s="207">
        <f>'Forecast by year'!G11</f>
        <v>35692.164169981945</v>
      </c>
      <c r="H30" s="207">
        <f>'Forecast by year'!H11</f>
        <v>35241.230817947449</v>
      </c>
      <c r="I30" s="203">
        <f>SUM(D30:H30)</f>
        <v>184255.17190500081</v>
      </c>
    </row>
    <row r="31" spans="2:9" x14ac:dyDescent="0.25">
      <c r="B31" s="5" t="s">
        <v>129</v>
      </c>
      <c r="C31" s="6"/>
      <c r="D31" s="71">
        <f>'Forecast by year'!D12</f>
        <v>18269.065936292809</v>
      </c>
      <c r="E31" s="71">
        <f>'Forecast by year'!E12</f>
        <v>17538.303298841096</v>
      </c>
      <c r="F31" s="71">
        <f>'Forecast by year'!F12</f>
        <v>16992.262294895394</v>
      </c>
      <c r="G31" s="71">
        <f>'Forecast by year'!G12</f>
        <v>16629.929109419605</v>
      </c>
      <c r="H31" s="71">
        <f>'Forecast by year'!H12</f>
        <v>16419.827260686281</v>
      </c>
      <c r="I31" s="203">
        <f>SUM(D31:H31)</f>
        <v>85849.387900135189</v>
      </c>
    </row>
    <row r="32" spans="2:9" x14ac:dyDescent="0.25">
      <c r="B32" s="5" t="s">
        <v>130</v>
      </c>
      <c r="C32" s="3"/>
      <c r="D32" s="71">
        <f>'Forecast by year'!D13</f>
        <v>6288.4338538004549</v>
      </c>
      <c r="E32" s="71">
        <f>'Forecast by year'!E13</f>
        <v>6036.8964996484374</v>
      </c>
      <c r="F32" s="71">
        <f>'Forecast by year'!F13</f>
        <v>5848.9425699429257</v>
      </c>
      <c r="G32" s="71">
        <f>'Forecast by year'!G13</f>
        <v>5724.2230972645284</v>
      </c>
      <c r="H32" s="71">
        <f>'Forecast by year'!H13</f>
        <v>5651.9034952154698</v>
      </c>
      <c r="I32" s="203">
        <f>SUM(D32:H32)</f>
        <v>29550.399515871817</v>
      </c>
    </row>
    <row r="33" spans="2:9" x14ac:dyDescent="0.25">
      <c r="B33" s="5" t="s">
        <v>138</v>
      </c>
      <c r="C33" s="3"/>
      <c r="D33" s="71">
        <f>'Forecast by year'!D14</f>
        <v>4044.1462021876291</v>
      </c>
      <c r="E33" s="71">
        <f>'Forecast by year'!E14</f>
        <v>3882.3803541001239</v>
      </c>
      <c r="F33" s="71">
        <f>'Forecast by year'!F14</f>
        <v>3761.5055562288844</v>
      </c>
      <c r="G33" s="71">
        <f>'Forecast by year'!G14</f>
        <v>3681.2973846081622</v>
      </c>
      <c r="H33" s="71">
        <f>'Forecast by year'!H14</f>
        <v>3634.788023013517</v>
      </c>
      <c r="I33" s="203">
        <f>SUM(D33:H33)</f>
        <v>19004.117520138316</v>
      </c>
    </row>
    <row r="34" spans="2:9" x14ac:dyDescent="0.25">
      <c r="B34" s="16" t="s">
        <v>1</v>
      </c>
      <c r="C34" s="17"/>
      <c r="D34" s="18">
        <f>SUM(D30:D33)</f>
        <v>67811.825202307926</v>
      </c>
      <c r="E34" s="18">
        <f t="shared" ref="E34:H34" si="4">SUM(E30:E33)</f>
        <v>65099.3521942156</v>
      </c>
      <c r="F34" s="18">
        <f t="shared" si="4"/>
        <v>63072.536086485656</v>
      </c>
      <c r="G34" s="18">
        <f t="shared" si="4"/>
        <v>61727.613761274246</v>
      </c>
      <c r="H34" s="18">
        <f t="shared" si="4"/>
        <v>60947.749596862719</v>
      </c>
      <c r="I34" s="19">
        <f t="shared" ref="I34" si="5">SUM(I28:I33)</f>
        <v>347694.95430027321</v>
      </c>
    </row>
  </sheetData>
  <mergeCells count="2">
    <mergeCell ref="B20:I21"/>
    <mergeCell ref="D25:H2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Fee</vt:lpstr>
      <vt:lpstr>Historical Revenue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2018-04-18T02:12:30Z</dcterms:modified>
</cp:coreProperties>
</file>