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2_Connection Application Related Services\"/>
    </mc:Choice>
  </mc:AlternateContent>
  <xr:revisionPtr revIDLastSave="0" documentId="13_ncr:1_{DC1CB2DB-7B69-4C13-BBB6-FBA4DEFB5398}"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calcMode="autoNoTable" iterateCount="1000" iterateDelta="9.9999999999999995E-7" calcOnSave="0"/>
  <fileRecoveryPr autoRecover="0"/>
</workbook>
</file>

<file path=xl/calcChain.xml><?xml version="1.0" encoding="utf-8"?>
<calcChain xmlns="http://schemas.openxmlformats.org/spreadsheetml/2006/main">
  <c r="H10" i="13" l="1"/>
  <c r="D9" i="15"/>
  <c r="B20" i="9"/>
  <c r="I8" i="13" l="1"/>
  <c r="I9" i="13"/>
  <c r="H5" i="17" l="1"/>
  <c r="G5" i="17"/>
  <c r="F5" i="17"/>
  <c r="E5" i="17"/>
  <c r="D5" i="17"/>
  <c r="H2" i="17"/>
  <c r="G2" i="17"/>
  <c r="F2" i="17"/>
  <c r="E2" i="17"/>
  <c r="D2" i="17"/>
  <c r="H1" i="17"/>
  <c r="G1" i="17"/>
  <c r="F1" i="17"/>
  <c r="E1" i="17"/>
  <c r="D1" i="17"/>
  <c r="AA8" i="11"/>
  <c r="Z8" i="11"/>
  <c r="AA7" i="11"/>
  <c r="Z7" i="11"/>
  <c r="I7" i="11"/>
  <c r="H7" i="11"/>
  <c r="I11" i="16" l="1"/>
  <c r="I10" i="16"/>
  <c r="E39" i="17"/>
  <c r="F39" i="17"/>
  <c r="G39" i="17"/>
  <c r="H39" i="17"/>
  <c r="D39" i="17"/>
  <c r="E27" i="17"/>
  <c r="F27" i="17"/>
  <c r="G27" i="17"/>
  <c r="H27" i="17"/>
  <c r="D27" i="17"/>
  <c r="Y9" i="11"/>
  <c r="AB9" i="11"/>
  <c r="C33" i="17" s="1"/>
  <c r="D33" i="17" s="1"/>
  <c r="E33" i="17" s="1"/>
  <c r="F33" i="17" s="1"/>
  <c r="G33" i="17" s="1"/>
  <c r="H33" i="17" s="1"/>
  <c r="AC9" i="11"/>
  <c r="AD9" i="11"/>
  <c r="X7" i="11"/>
  <c r="X8" i="11"/>
  <c r="K33" i="17"/>
  <c r="L33" i="17" s="1"/>
  <c r="M33" i="17" s="1"/>
  <c r="N33" i="17" s="1"/>
  <c r="O33" i="17" s="1"/>
  <c r="K32" i="17"/>
  <c r="L32" i="17" s="1"/>
  <c r="M32" i="17" s="1"/>
  <c r="N32" i="17" s="1"/>
  <c r="O32" i="17" s="1"/>
  <c r="K21" i="17"/>
  <c r="L21" i="17" s="1"/>
  <c r="M21" i="17" s="1"/>
  <c r="N21" i="17" s="1"/>
  <c r="O21" i="17" s="1"/>
  <c r="K20" i="17"/>
  <c r="L20" i="17" s="1"/>
  <c r="M20" i="17" s="1"/>
  <c r="N20" i="17" s="1"/>
  <c r="O20" i="17" s="1"/>
  <c r="L5" i="17"/>
  <c r="O1" i="17"/>
  <c r="N1" i="17"/>
  <c r="M1" i="17"/>
  <c r="L1" i="17"/>
  <c r="K1" i="17"/>
  <c r="K31" i="17" s="1"/>
  <c r="G8" i="11"/>
  <c r="J8" i="11"/>
  <c r="C21" i="17" s="1"/>
  <c r="D21" i="17" s="1"/>
  <c r="K8" i="11"/>
  <c r="L8" i="11"/>
  <c r="E21" i="17" l="1"/>
  <c r="E10" i="17" s="1"/>
  <c r="E28" i="16" s="1"/>
  <c r="D10" i="17"/>
  <c r="D28" i="16" s="1"/>
  <c r="X9" i="11"/>
  <c r="AA9" i="11"/>
  <c r="C32" i="17" s="1"/>
  <c r="D32" i="17" s="1"/>
  <c r="E32" i="17" s="1"/>
  <c r="F32" i="17" s="1"/>
  <c r="G32" i="17" s="1"/>
  <c r="H32" i="17" s="1"/>
  <c r="L31" i="17"/>
  <c r="K34" i="17"/>
  <c r="M5" i="17"/>
  <c r="K19" i="17"/>
  <c r="N5" i="17"/>
  <c r="K5" i="17"/>
  <c r="O5" i="17"/>
  <c r="Z9" i="11"/>
  <c r="C31" i="17" s="1"/>
  <c r="D31" i="17" s="1"/>
  <c r="E31" i="17" s="1"/>
  <c r="I15" i="13"/>
  <c r="I14" i="13"/>
  <c r="G16" i="13"/>
  <c r="H16" i="13"/>
  <c r="H14" i="15"/>
  <c r="I14" i="15" s="1"/>
  <c r="H15" i="15"/>
  <c r="I15" i="15" s="1"/>
  <c r="H16" i="15"/>
  <c r="I16" i="15" s="1"/>
  <c r="H17" i="15"/>
  <c r="I17" i="15" s="1"/>
  <c r="H13" i="15"/>
  <c r="I13" i="15" s="1"/>
  <c r="H5" i="15"/>
  <c r="I5" i="15" s="1"/>
  <c r="H6" i="15"/>
  <c r="I6" i="15" s="1"/>
  <c r="H7" i="15"/>
  <c r="I7" i="15" s="1"/>
  <c r="H8" i="15"/>
  <c r="I8" i="15" s="1"/>
  <c r="H4" i="15"/>
  <c r="I4" i="15" s="1"/>
  <c r="G18" i="15"/>
  <c r="F21" i="17" l="1"/>
  <c r="F10" i="17" s="1"/>
  <c r="F28" i="16" s="1"/>
  <c r="D34" i="17"/>
  <c r="AE7" i="11"/>
  <c r="F31" i="17"/>
  <c r="E34" i="17"/>
  <c r="L19" i="17"/>
  <c r="K22" i="17"/>
  <c r="L34" i="17"/>
  <c r="M31" i="17"/>
  <c r="AE8" i="11"/>
  <c r="H18" i="15"/>
  <c r="G21" i="17" l="1"/>
  <c r="G10" i="17" s="1"/>
  <c r="G28" i="16" s="1"/>
  <c r="AE9" i="11"/>
  <c r="C34" i="17" s="1"/>
  <c r="H21" i="17"/>
  <c r="H10" i="17" s="1"/>
  <c r="H28" i="16" s="1"/>
  <c r="G31" i="17"/>
  <c r="F34" i="17"/>
  <c r="M19" i="17"/>
  <c r="L22" i="17"/>
  <c r="N31" i="17"/>
  <c r="M34" i="17"/>
  <c r="H7" i="13"/>
  <c r="I7" i="13" s="1"/>
  <c r="H6" i="13"/>
  <c r="I6" i="13"/>
  <c r="G10" i="13"/>
  <c r="G24" i="15"/>
  <c r="H24" i="15"/>
  <c r="G9" i="15"/>
  <c r="H9" i="15"/>
  <c r="I28" i="16" l="1"/>
  <c r="O31" i="17"/>
  <c r="O34" i="17" s="1"/>
  <c r="N34" i="17"/>
  <c r="N19" i="17"/>
  <c r="M22" i="17"/>
  <c r="G34" i="17"/>
  <c r="H31" i="17"/>
  <c r="H34" i="17" s="1"/>
  <c r="F18" i="15"/>
  <c r="E18" i="15"/>
  <c r="D18" i="15"/>
  <c r="N22" i="17" l="1"/>
  <c r="O19" i="17"/>
  <c r="O22" i="17" s="1"/>
  <c r="I18" i="15"/>
  <c r="F23" i="15" l="1"/>
  <c r="I23" i="15" s="1"/>
  <c r="F22" i="15"/>
  <c r="I22" i="15" s="1"/>
  <c r="E9" i="15" l="1"/>
  <c r="H7" i="8" l="1"/>
  <c r="G7" i="8"/>
  <c r="F7" i="8"/>
  <c r="E7" i="8"/>
  <c r="D7" i="8"/>
  <c r="F7" i="11" l="1"/>
  <c r="I8" i="11" l="1"/>
  <c r="C20" i="17" s="1"/>
  <c r="D20" i="17" s="1"/>
  <c r="F8" i="11"/>
  <c r="E20" i="17" l="1"/>
  <c r="D9" i="17"/>
  <c r="D27" i="16" s="1"/>
  <c r="M7" i="11"/>
  <c r="H8" i="11"/>
  <c r="C19" i="17" s="1"/>
  <c r="D19" i="17" s="1"/>
  <c r="M8" i="11" l="1"/>
  <c r="C22" i="17" s="1"/>
  <c r="E19" i="17"/>
  <c r="D8" i="17"/>
  <c r="D26" i="16" s="1"/>
  <c r="D22" i="17"/>
  <c r="E9" i="17"/>
  <c r="E27" i="16" s="1"/>
  <c r="F20" i="17"/>
  <c r="F24" i="15"/>
  <c r="E24" i="15"/>
  <c r="D24" i="15"/>
  <c r="D11" i="17" l="1"/>
  <c r="F9" i="17"/>
  <c r="F27" i="16" s="1"/>
  <c r="G20" i="17"/>
  <c r="E8" i="17"/>
  <c r="E26" i="16" s="1"/>
  <c r="E22" i="17"/>
  <c r="F19" i="17"/>
  <c r="I24" i="15"/>
  <c r="H12" i="16"/>
  <c r="G59" i="8" s="1"/>
  <c r="G12" i="16"/>
  <c r="F59" i="8" s="1"/>
  <c r="F12" i="16"/>
  <c r="E59" i="8" s="1"/>
  <c r="E12" i="16"/>
  <c r="D59" i="8" s="1"/>
  <c r="F16" i="13"/>
  <c r="E16" i="13"/>
  <c r="D16" i="13"/>
  <c r="F10" i="13"/>
  <c r="E10" i="13"/>
  <c r="D10" i="13"/>
  <c r="H20" i="17" l="1"/>
  <c r="H9" i="17" s="1"/>
  <c r="H27" i="16" s="1"/>
  <c r="G9" i="17"/>
  <c r="G27" i="16" s="1"/>
  <c r="F8" i="17"/>
  <c r="F26" i="16" s="1"/>
  <c r="G19" i="17"/>
  <c r="F22" i="17"/>
  <c r="E11" i="17"/>
  <c r="D29" i="16"/>
  <c r="I10" i="13"/>
  <c r="I16" i="13"/>
  <c r="F9" i="15"/>
  <c r="D12" i="16"/>
  <c r="C59" i="8" l="1"/>
  <c r="I12" i="16"/>
  <c r="F11" i="17"/>
  <c r="E29" i="16"/>
  <c r="G8" i="17"/>
  <c r="G26" i="16" s="1"/>
  <c r="G22" i="17"/>
  <c r="H19" i="17"/>
  <c r="C43" i="8"/>
  <c r="I27" i="16"/>
  <c r="I9" i="15"/>
  <c r="F29" i="16" l="1"/>
  <c r="H8" i="17"/>
  <c r="H26" i="16" s="1"/>
  <c r="I26" i="16" s="1"/>
  <c r="H22" i="17"/>
  <c r="D43" i="8"/>
  <c r="G11" i="17"/>
  <c r="D3" i="9"/>
  <c r="E43" i="8" l="1"/>
  <c r="G29" i="16"/>
  <c r="H11" i="17"/>
  <c r="F43" i="8" l="1"/>
  <c r="H29" i="16"/>
  <c r="H59" i="8"/>
  <c r="G43" i="8" l="1"/>
  <c r="I29" i="16"/>
  <c r="H43" i="8" l="1"/>
  <c r="G4" i="17" l="1"/>
  <c r="AG8" i="11"/>
  <c r="F4" i="17"/>
  <c r="E4" i="17"/>
  <c r="O7" i="11"/>
  <c r="O8" i="11" s="1"/>
  <c r="C24" i="17" s="1"/>
  <c r="H4" i="17"/>
  <c r="D4" i="17"/>
  <c r="AG7" i="11"/>
  <c r="AG9" i="11" l="1"/>
  <c r="C36" i="17" s="1"/>
  <c r="L4" i="17"/>
  <c r="E36" i="17"/>
  <c r="E24" i="17"/>
  <c r="K4" i="17"/>
  <c r="D36" i="17"/>
  <c r="D24" i="17"/>
  <c r="M4" i="17"/>
  <c r="F36" i="17"/>
  <c r="F24" i="17"/>
  <c r="O4" i="17"/>
  <c r="H36" i="17"/>
  <c r="H24" i="17"/>
  <c r="N4" i="17"/>
  <c r="G36" i="17"/>
  <c r="G24" i="17"/>
  <c r="G13" i="17" l="1"/>
  <c r="G31" i="16" s="1"/>
  <c r="E13" i="17"/>
  <c r="E31" i="16" s="1"/>
  <c r="F13" i="17"/>
  <c r="F31" i="16" s="1"/>
  <c r="N36" i="17"/>
  <c r="N24" i="17"/>
  <c r="H13" i="17"/>
  <c r="H31" i="16" s="1"/>
  <c r="K36" i="17"/>
  <c r="K24" i="17"/>
  <c r="M36" i="17"/>
  <c r="M24" i="17"/>
  <c r="O36" i="17"/>
  <c r="O24" i="17"/>
  <c r="D13" i="17"/>
  <c r="D31" i="16" s="1"/>
  <c r="L36" i="17"/>
  <c r="L24" i="17"/>
  <c r="I31" i="16" l="1"/>
  <c r="H3" i="17"/>
  <c r="D3" i="17"/>
  <c r="AF7" i="11"/>
  <c r="G3" i="17"/>
  <c r="AF8" i="11"/>
  <c r="F3" i="17"/>
  <c r="E3" i="17"/>
  <c r="N7" i="11"/>
  <c r="P7" i="11" l="1"/>
  <c r="P8" i="11" s="1"/>
  <c r="C25" i="17" s="1"/>
  <c r="N8" i="11"/>
  <c r="C23" i="17" s="1"/>
  <c r="N3" i="17"/>
  <c r="G35" i="17"/>
  <c r="G37" i="17" s="1"/>
  <c r="G38" i="17" s="1"/>
  <c r="G40" i="17" s="1"/>
  <c r="G5" i="16" s="1"/>
  <c r="G23" i="17"/>
  <c r="L3" i="17"/>
  <c r="E23" i="17"/>
  <c r="E35" i="17"/>
  <c r="E37" i="17" s="1"/>
  <c r="E38" i="17" s="1"/>
  <c r="E40" i="17" s="1"/>
  <c r="E5" i="16" s="1"/>
  <c r="M3" i="17"/>
  <c r="F35" i="17"/>
  <c r="F37" i="17" s="1"/>
  <c r="F38" i="17" s="1"/>
  <c r="F40" i="17" s="1"/>
  <c r="F5" i="16" s="1"/>
  <c r="F23" i="17"/>
  <c r="K3" i="17"/>
  <c r="D35" i="17"/>
  <c r="D37" i="17" s="1"/>
  <c r="D38" i="17" s="1"/>
  <c r="D40" i="17" s="1"/>
  <c r="D5" i="16" s="1"/>
  <c r="D23" i="17"/>
  <c r="AH7" i="11"/>
  <c r="AF9" i="11"/>
  <c r="C35" i="17" s="1"/>
  <c r="AH8" i="11"/>
  <c r="AI8" i="11" s="1"/>
  <c r="H23" i="17"/>
  <c r="H35" i="17"/>
  <c r="H37" i="17" s="1"/>
  <c r="H38" i="17" s="1"/>
  <c r="H40" i="17" s="1"/>
  <c r="H5" i="16" s="1"/>
  <c r="O3" i="17"/>
  <c r="AH9" i="11" l="1"/>
  <c r="C37" i="17" s="1"/>
  <c r="Q7" i="11"/>
  <c r="Q8" i="11" s="1"/>
  <c r="C26" i="17" s="1"/>
  <c r="F25" i="17"/>
  <c r="F12" i="17"/>
  <c r="E12" i="17"/>
  <c r="E25" i="17"/>
  <c r="E14" i="17" s="1"/>
  <c r="E32" i="16" s="1"/>
  <c r="N23" i="17"/>
  <c r="N25" i="17" s="1"/>
  <c r="N26" i="17" s="1"/>
  <c r="N35" i="17"/>
  <c r="N37" i="17" s="1"/>
  <c r="N38" i="17" s="1"/>
  <c r="O35" i="17"/>
  <c r="O37" i="17" s="1"/>
  <c r="O38" i="17" s="1"/>
  <c r="O23" i="17"/>
  <c r="O25" i="17" s="1"/>
  <c r="O26" i="17" s="1"/>
  <c r="D25" i="17"/>
  <c r="D14" i="17" s="1"/>
  <c r="D32" i="16" s="1"/>
  <c r="D12" i="17"/>
  <c r="L35" i="17"/>
  <c r="L37" i="17" s="1"/>
  <c r="L38" i="17" s="1"/>
  <c r="L23" i="17"/>
  <c r="L25" i="17" s="1"/>
  <c r="L26" i="17" s="1"/>
  <c r="F8" i="8"/>
  <c r="AI7" i="11"/>
  <c r="AI9" i="11" s="1"/>
  <c r="I5" i="16"/>
  <c r="M35" i="17"/>
  <c r="M37" i="17" s="1"/>
  <c r="M38" i="17" s="1"/>
  <c r="M23" i="17"/>
  <c r="M25" i="17" s="1"/>
  <c r="M26" i="17" s="1"/>
  <c r="G25" i="17"/>
  <c r="G12" i="17"/>
  <c r="H25" i="17"/>
  <c r="H14" i="17" s="1"/>
  <c r="H32" i="16" s="1"/>
  <c r="H12" i="17"/>
  <c r="K35" i="17"/>
  <c r="K37" i="17" s="1"/>
  <c r="K38" i="17" s="1"/>
  <c r="K23" i="17"/>
  <c r="K25" i="17" s="1"/>
  <c r="K26" i="17" s="1"/>
  <c r="H8" i="8" l="1"/>
  <c r="E8" i="8"/>
  <c r="G8" i="8"/>
  <c r="D8" i="8"/>
  <c r="D26" i="17"/>
  <c r="D28" i="17" s="1"/>
  <c r="D4" i="16" s="1"/>
  <c r="E26" i="17"/>
  <c r="E28" i="17" s="1"/>
  <c r="E4" i="16" s="1"/>
  <c r="E6" i="16" s="1"/>
  <c r="D30" i="16"/>
  <c r="D15" i="17"/>
  <c r="H30" i="16"/>
  <c r="H33" i="16" s="1"/>
  <c r="H15" i="17"/>
  <c r="G30" i="16"/>
  <c r="F30" i="16"/>
  <c r="E30" i="16"/>
  <c r="E33" i="16" s="1"/>
  <c r="E15" i="17"/>
  <c r="H26" i="17"/>
  <c r="H28" i="17" s="1"/>
  <c r="G26" i="17"/>
  <c r="G28" i="17" s="1"/>
  <c r="G4" i="16" s="1"/>
  <c r="G6" i="16" s="1"/>
  <c r="G14" i="17"/>
  <c r="G32" i="16" s="1"/>
  <c r="G9" i="8"/>
  <c r="E9" i="8"/>
  <c r="H9" i="8"/>
  <c r="C38" i="17"/>
  <c r="F9" i="8"/>
  <c r="D9" i="8"/>
  <c r="F26" i="17"/>
  <c r="F28" i="17" s="1"/>
  <c r="F4" i="16" s="1"/>
  <c r="F6" i="16" s="1"/>
  <c r="F14" i="17"/>
  <c r="F32" i="16" s="1"/>
  <c r="I32" i="16" s="1"/>
  <c r="F33" i="16" l="1"/>
  <c r="G33" i="16"/>
  <c r="D16" i="17"/>
  <c r="E16" i="17"/>
  <c r="F15" i="17"/>
  <c r="F16" i="17" s="1"/>
  <c r="D45" i="8"/>
  <c r="D47" i="8" s="1"/>
  <c r="G15" i="17"/>
  <c r="G16" i="17" s="1"/>
  <c r="F45" i="8"/>
  <c r="F47" i="8" s="1"/>
  <c r="H4" i="16"/>
  <c r="H6" i="16" s="1"/>
  <c r="H16" i="17"/>
  <c r="E45" i="8"/>
  <c r="E47" i="8" s="1"/>
  <c r="D6" i="16"/>
  <c r="I4" i="16"/>
  <c r="I6" i="16" s="1"/>
  <c r="G45" i="8"/>
  <c r="G47" i="8" s="1"/>
  <c r="D33" i="16"/>
  <c r="I30" i="16"/>
  <c r="I33" i="16" s="1"/>
  <c r="C45" i="8"/>
  <c r="C47" i="8" l="1"/>
  <c r="H45" i="8"/>
  <c r="H47" i="8" s="1"/>
</calcChain>
</file>

<file path=xl/sharedStrings.xml><?xml version="1.0" encoding="utf-8"?>
<sst xmlns="http://schemas.openxmlformats.org/spreadsheetml/2006/main" count="311" uniqueCount="170">
  <si>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</si>
  <si>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</si>
  <si>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</si>
  <si>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</si>
  <si>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</si>
  <si>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</si>
  <si>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</si>
  <si>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</si>
  <si>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</si>
  <si>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</si>
  <si>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</si>
  <si>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</si>
  <si>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</si>
  <si>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</si>
  <si>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</si>
  <si>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</si>
  <si>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</si>
  <si>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</si>
  <si>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</si>
  <si>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</si>
  <si>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</si>
  <si>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</si>
  <si>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</si>
  <si>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</si>
  <si>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</si>
  <si>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</si>
  <si>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</si>
  <si>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</si>
  <si>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</si>
  <si>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</si>
  <si>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</si>
  <si>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</si>
  <si>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</si>
  <si>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</si>
  <si>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</si>
  <si>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</si>
  <si>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</si>
  <si>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</si>
  <si>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</si>
  <si>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</si>
  <si>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</si>
  <si>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</si>
  <si>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</si>
  <si>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</si>
  <si>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</si>
  <si>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</si>
  <si>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</si>
  <si>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</si>
  <si>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</si>
  <si>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</si>
  <si>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</si>
  <si>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</si>
  <si>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R2a</t>
  </si>
  <si>
    <t>Alternative Control Service - Bottom Up Estimation</t>
  </si>
  <si>
    <t>Underground urban residential subdivision</t>
  </si>
  <si>
    <t>Rural overhead subdivision &amp; rural extensions</t>
  </si>
  <si>
    <t>Underground commercial &amp; industrial or rural subdivisions (vacant lots)</t>
  </si>
  <si>
    <t>Network Service:</t>
  </si>
  <si>
    <t>FY16/17</t>
  </si>
  <si>
    <t>FY15/16</t>
  </si>
  <si>
    <t>FY14/15</t>
  </si>
  <si>
    <t>FY19/20</t>
  </si>
  <si>
    <t>FY20/21</t>
  </si>
  <si>
    <t>FY21/22</t>
  </si>
  <si>
    <t>FY23/24</t>
  </si>
  <si>
    <t>Commercial /  Industrial developments and Subtransmission</t>
  </si>
  <si>
    <t>Service description - Subtransmission added to Commercial and Industrial category.</t>
  </si>
  <si>
    <t>Time on Task (Hours)</t>
  </si>
  <si>
    <t>Connection offer service</t>
  </si>
  <si>
    <t xml:space="preserve">
Connection Offer Service 
Services provided by Essential Energy in assessing connection applications and making standard connection
offers.
This may include, without limitation:
&gt; Assessment of application by relevant staff and if the application is deemed to require a standard
connection offer service, the application is allocated to Network Connections.
&gt; Network Connections is responsible for deriving the estimated loading on the electrical distribution network,
technically known as the ADMD (After Diversity Maximum Demand). This estimate depends on such
factors as the number of customers served and specific features of the customer’s demand.
&gt; Once the ADMD is derived the customer is advised what is required to connect to the electrical distribution
network. This could be one of the following methods of supply:
- A direct distributor from an existing substation,
- A direct distributor from a new kiosk substation,
- A direct distributor from a new pole mounted transformer substation,
- A direct distributor from a new chamber substation.
&gt; Once the assessment has been completed by Network Connections, relevant staff forward the assessment
of the standard connection offer to the customer.</t>
  </si>
  <si>
    <t xml:space="preserve">Connection application related services
Activities includes:
·assessing connection applications or a request to undertake relocation of network assets as contestable works and preparing offers.
·processing preliminary enquiries requiring site specific or written responses.
·undertaking planning studies and associated technical analysis (e.g. power quality investigations) to determine suitable/feasible connection options for further consideration by applicants
·site inspection in order to determine the nature of the connection service sought by the connection applicant and ongoing co-ordination for large projects
·registered participant support services associated with connection arrangements and agreements made under Chapter 5 of the NER. </t>
  </si>
  <si>
    <t>R1a</t>
  </si>
  <si>
    <t>Bottom Up Estimation</t>
  </si>
  <si>
    <t>Asset relocation or streetlighting (not forming part of other categories)</t>
  </si>
  <si>
    <t>Process application and provide connection offer to customer</t>
  </si>
  <si>
    <t>Connection Offer - Basic</t>
  </si>
  <si>
    <t xml:space="preserve">Existing Service Description (2014 - 19) </t>
  </si>
  <si>
    <t>Operating Costs (on IO's, work orders, cost objects, cost centres)</t>
  </si>
  <si>
    <t>Product Code</t>
  </si>
  <si>
    <t>ACS315 30800 - Connection Offer Basic</t>
  </si>
  <si>
    <t>ACS316 30810 - Connection Offer Standard</t>
  </si>
  <si>
    <t>FY22/23</t>
  </si>
  <si>
    <t>Projected Volumes for FY2019-24 Regulatory Period</t>
  </si>
  <si>
    <t>Derived - RIN</t>
  </si>
  <si>
    <t>Connection Offer - Standard</t>
  </si>
  <si>
    <t>ANS P&amp;L</t>
  </si>
  <si>
    <t>Historical operating costs referenced from ANS P&amp;L Report.</t>
  </si>
  <si>
    <t>Revenue referenced from ANS P&amp;L Report.</t>
  </si>
  <si>
    <t>Basic- Fixed</t>
  </si>
  <si>
    <t>Standard - Hrly</t>
  </si>
  <si>
    <t>Basic</t>
  </si>
  <si>
    <t>Standard</t>
  </si>
  <si>
    <t>ACS316 30810 - Connection Offer</t>
  </si>
  <si>
    <t>ACS315 30800 - Connection Offer</t>
  </si>
  <si>
    <t xml:space="preserve">Operating Costs - </t>
  </si>
  <si>
    <t>Service description - Asset relocation or streetlighting - (not forming part of other categories) added into description.</t>
  </si>
  <si>
    <t>Estimated have been provided on the work effort that will be required to complete each service.</t>
  </si>
  <si>
    <t xml:space="preserve">Derived </t>
  </si>
  <si>
    <t>RIN - Connection Offer - Basic</t>
  </si>
  <si>
    <t>RIN - Connection Offer - Standard</t>
  </si>
  <si>
    <t xml:space="preserve"> - </t>
  </si>
  <si>
    <t xml:space="preserve">Service description altered.
New </t>
  </si>
  <si>
    <t>FY17/18</t>
  </si>
  <si>
    <t>FY18/19</t>
  </si>
  <si>
    <t>Operating costs recorded do not reflect all operating costs / time associated with this service as not all time input is captured against Connection Offer project numbers due to timesheet reporting.</t>
  </si>
  <si>
    <t>FY14/15 operating costs  - N/A</t>
  </si>
  <si>
    <t>FY15/16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</si>
  <si>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</si>
  <si>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</si>
  <si>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</si>
  <si>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</si>
  <si>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</si>
  <si>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</si>
  <si>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</si>
  <si>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t>Basic - Fixed</t>
  </si>
  <si>
    <t>Fixed Fee</t>
  </si>
  <si>
    <t>Standard - Fixed</t>
  </si>
  <si>
    <t>Connection offer service - Basic  (Fixed fee)</t>
  </si>
  <si>
    <t>FY16/17 operating costs -  Actuals</t>
  </si>
  <si>
    <r>
      <t xml:space="preserve">
</t>
    </r>
    <r>
      <rPr>
        <b/>
        <sz val="10"/>
        <color theme="1"/>
        <rFont val="Arial"/>
        <family val="2"/>
      </rPr>
      <t>Connection offer service</t>
    </r>
    <r>
      <rPr>
        <sz val="10"/>
        <color theme="1"/>
        <rFont val="Arial"/>
        <family val="2"/>
      </rPr>
      <t xml:space="preserve">
Connection Offer Service 
Services provided by Essential Energy in assessing connection applications and making basic and standard connection
offers.
This may include, without limitation:
&gt; Assessment of application by relevant staff and if the application is deemed to require a basic or standard
connection offer service, the application is allocated to Network Connections.
&gt; Network Connections is responsible for deriving the estimated loading on the electrical distribution network,
technically known as the ADMD (After Diversity Maximum Demand). This estimate depends on such
factors as the number of customers served and specific features of the customer’s demand.
&gt; Once the ADMD is derived the customer is advised what is required to connect to the electrical distribution
network. This could be one of the following methods of supply:
- A direct distributor from an existing substation,
- A direct distributor from a new kiosk substation,
- A direct distributor from a new pole mounted transformer substation,
- A direct distributor from a new chamber substation.
&gt; Once the assessment has been completed by Network Connections, relevant staff forward the assessment
of the standard connection offer to the customer.
Service fees may be charged for connection applications which are incomplete or include non-compliant information.</t>
    </r>
  </si>
  <si>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</si>
  <si>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</si>
  <si>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</si>
  <si>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</si>
  <si>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</si>
  <si>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</si>
  <si>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</si>
  <si>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</si>
  <si>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</si>
  <si>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</si>
  <si>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</si>
  <si>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</si>
  <si>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</si>
  <si>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</si>
  <si>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</si>
  <si>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</si>
  <si>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</si>
  <si>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Connection offer service - Standard  (Fixed fee)</t>
  </si>
  <si>
    <t>Connection offer service - All categories - Standard</t>
  </si>
  <si>
    <t>Connection offer service - All categories - Basic</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</si>
  <si>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</si>
  <si>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</si>
  <si>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</si>
  <si>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</si>
  <si>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</si>
  <si>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</si>
  <si>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</si>
  <si>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</si>
  <si>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</si>
  <si>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</si>
  <si>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</si>
  <si>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</si>
  <si>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</si>
  <si>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Profit margin</t>
  </si>
  <si>
    <t>Fully Loaded Costs</t>
  </si>
  <si>
    <t>Forecast revenue (check)</t>
  </si>
  <si>
    <t>Real 2018-19 including escalation</t>
  </si>
  <si>
    <t>Fully Loaded Cost per service</t>
  </si>
  <si>
    <t>Forecast volumes</t>
  </si>
  <si>
    <t>Forecast revenue</t>
  </si>
  <si>
    <t>Review documentation, assess netork capacity</t>
  </si>
  <si>
    <t>Standard service fixed fee</t>
  </si>
  <si>
    <t>2.4 Connection offer service</t>
  </si>
  <si>
    <t>Connection offer service - Basic</t>
  </si>
  <si>
    <t>Connection offer service - Standard</t>
  </si>
  <si>
    <t>Real 2018-19 (including labour escalation)</t>
  </si>
  <si>
    <t>Labour</t>
  </si>
  <si>
    <t>Fleet</t>
  </si>
  <si>
    <t>Total costs before OHDs, non-system and margin</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</si>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</sst>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4" formatCode="_(* #,##0_);_(* \(#,##0\);_(* &quot;-&quot;??_);_(@_)"/>
  </numFmts>
  <fonts count="46"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1"/>
      <color theme="1"/>
      <name val="Calibri"/>
      <family val="2"/>
      <scheme val="minor"/>
    </font>
    <font>
      <b/>
      <sz val="10"/>
      <name val="Arial"/>
      <family val="2"/>
    </font>
    <font>
      <sz val="10"/>
      <color theme="1"/>
      <name val="Arial"/>
      <family val="2"/>
    </font>
    <font>
      <b/>
      <sz val="10"/>
      <color theme="1"/>
      <name val="Arial"/>
      <family val="2"/>
    </font>
    <font>
      <sz val="10"/>
      <name val="Arial"/>
      <family val="2"/>
    </font>
    <font>
      <sz val="10"/>
      <color theme="1"/>
      <name val="Arial"/>
      <family val="2"/>
    </font>
    <font>
      <b/>
      <sz val="10"/>
      <color theme="0"/>
      <name val="Arial"/>
      <family val="2"/>
    </font>
    <font>
      <b/>
      <sz val="10"/>
      <name val="Arial"/>
      <family val="2"/>
    </font>
    <font>
      <b/>
      <sz val="10"/>
      <color theme="1"/>
      <name val="Arial"/>
      <family val="2"/>
    </font>
    <font>
      <b/>
      <sz val="10"/>
      <color rgb="FFFF000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sz val="10"/>
      <name val="Arial"/>
      <family val="2"/>
    </font>
    <font>
      <sz val="10"/>
      <color rgb="FF0065A6"/>
      <name val="Arial"/>
      <family val="2"/>
    </font>
    <font>
      <b/>
      <sz val="11"/>
      <color theme="1"/>
      <name val="Calibri"/>
      <family val="2"/>
      <scheme val="minor"/>
    </font>
    <font>
      <b/>
      <sz val="8"/>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4" fillId="0" borderId="0"/>
  </cellStyleXfs>
  <cellXfs count="292">
    <xf numFmtId="0" fontId="0" fillId="0" borderId="0" xfId="0"/>
    <xf numFmtId="0" fontId="2" fillId="0" borderId="0" xfId="0" applyFont="1"/>
    <xf numFmtId="0" fontId="7" fillId="5" borderId="3" xfId="0" applyFont="1" applyFill="1" applyBorder="1"/>
    <xf numFmtId="0" fontId="2" fillId="4" borderId="4" xfId="0" applyFont="1" applyFill="1" applyBorder="1"/>
    <xf numFmtId="0" fontId="2" fillId="4" borderId="3" xfId="0" applyFont="1" applyFill="1" applyBorder="1"/>
    <xf numFmtId="0" fontId="2" fillId="4" borderId="5" xfId="0" applyFont="1" applyFill="1" applyBorder="1"/>
    <xf numFmtId="3" fontId="2" fillId="4" borderId="4" xfId="0" applyNumberFormat="1" applyFont="1" applyFill="1" applyBorder="1"/>
    <xf numFmtId="0" fontId="6" fillId="0" borderId="0" xfId="0" applyFont="1"/>
    <xf numFmtId="0" fontId="7" fillId="5" borderId="6" xfId="0" applyFont="1" applyFill="1" applyBorder="1" applyAlignment="1">
      <alignment horizontal="left"/>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168" fontId="2" fillId="4" borderId="5" xfId="2" applyNumberFormat="1" applyFont="1" applyFill="1" applyBorder="1" applyAlignment="1">
      <alignment horizontal="center"/>
    </xf>
    <xf numFmtId="0" fontId="4" fillId="5" borderId="1" xfId="0" applyFont="1" applyFill="1" applyBorder="1"/>
    <xf numFmtId="168" fontId="7" fillId="5" borderId="9" xfId="2" applyNumberFormat="1" applyFont="1" applyFill="1" applyBorder="1"/>
    <xf numFmtId="168" fontId="7" fillId="5" borderId="10" xfId="2" applyNumberFormat="1" applyFont="1" applyFill="1" applyBorder="1"/>
    <xf numFmtId="0" fontId="2" fillId="0" borderId="0" xfId="0" applyFont="1" applyBorder="1"/>
    <xf numFmtId="0" fontId="8" fillId="8" borderId="0" xfId="0" applyFont="1" applyFill="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Fill="1"/>
    <xf numFmtId="0" fontId="5" fillId="0" borderId="0" xfId="0" applyFont="1" applyFill="1" applyAlignment="1">
      <alignment horizontal="left"/>
    </xf>
    <xf numFmtId="0" fontId="5" fillId="8" borderId="9" xfId="0" applyFont="1" applyFill="1" applyBorder="1" applyAlignment="1">
      <alignment horizontal="center" vertical="center"/>
    </xf>
    <xf numFmtId="0" fontId="8" fillId="0" borderId="0" xfId="0" applyFont="1"/>
    <xf numFmtId="0" fontId="8" fillId="0" borderId="2" xfId="0" applyFont="1" applyBorder="1"/>
    <xf numFmtId="170" fontId="8" fillId="0" borderId="1" xfId="0" applyNumberFormat="1" applyFont="1" applyBorder="1" applyAlignment="1">
      <alignment horizontal="center"/>
    </xf>
    <xf numFmtId="0" fontId="5" fillId="8" borderId="11" xfId="0" applyFont="1" applyFill="1" applyBorder="1"/>
    <xf numFmtId="0" fontId="5" fillId="8" borderId="0" xfId="0" applyFont="1" applyFill="1" applyAlignment="1">
      <alignment horizontal="center"/>
    </xf>
    <xf numFmtId="0" fontId="10" fillId="0" borderId="0" xfId="0" applyFont="1"/>
    <xf numFmtId="0" fontId="2" fillId="0" borderId="8" xfId="0" applyFont="1" applyBorder="1"/>
    <xf numFmtId="0" fontId="2" fillId="0" borderId="11" xfId="0" applyFont="1" applyBorder="1"/>
    <xf numFmtId="0" fontId="7" fillId="0" borderId="0" xfId="0" applyFont="1" applyFill="1" applyBorder="1"/>
    <xf numFmtId="0" fontId="4" fillId="0" borderId="0" xfId="0" applyFont="1" applyFill="1" applyBorder="1"/>
    <xf numFmtId="168" fontId="7" fillId="0" borderId="0" xfId="2" applyNumberFormat="1" applyFont="1" applyFill="1" applyBorder="1"/>
    <xf numFmtId="0" fontId="5" fillId="8" borderId="8" xfId="0" applyFont="1" applyFill="1" applyBorder="1"/>
    <xf numFmtId="0" fontId="7" fillId="5" borderId="10" xfId="0" applyFont="1" applyFill="1" applyBorder="1"/>
    <xf numFmtId="0" fontId="9" fillId="4" borderId="8" xfId="0" applyFont="1" applyFill="1" applyBorder="1" applyAlignment="1">
      <alignment horizontal="left" vertical="top" wrapText="1"/>
    </xf>
    <xf numFmtId="0" fontId="2" fillId="4" borderId="8" xfId="0" quotePrefix="1" applyFont="1" applyFill="1" applyBorder="1" applyAlignment="1">
      <alignment vertical="top"/>
    </xf>
    <xf numFmtId="0" fontId="11" fillId="8" borderId="8" xfId="0" applyNumberFormat="1" applyFont="1" applyFill="1" applyBorder="1" applyAlignment="1">
      <alignment horizontal="left"/>
    </xf>
    <xf numFmtId="0" fontId="7" fillId="5" borderId="4" xfId="0" applyFont="1" applyFill="1" applyBorder="1" applyAlignment="1">
      <alignment horizontal="center"/>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2" fontId="7" fillId="11" borderId="4" xfId="0" applyNumberFormat="1" applyFont="1" applyFill="1" applyBorder="1" applyAlignment="1">
      <alignment horizontal="center"/>
    </xf>
    <xf numFmtId="168" fontId="2" fillId="10" borderId="5" xfId="2" applyNumberFormat="1" applyFont="1" applyFill="1" applyBorder="1" applyAlignment="1">
      <alignment horizontal="center"/>
    </xf>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0" fontId="4" fillId="10" borderId="13" xfId="0" applyFont="1" applyFill="1" applyBorder="1" applyAlignment="1">
      <alignment horizontal="left" vertical="center"/>
    </xf>
    <xf numFmtId="0" fontId="4" fillId="10" borderId="13" xfId="0" applyFont="1" applyFill="1" applyBorder="1" applyAlignment="1">
      <alignment horizontal="center"/>
    </xf>
    <xf numFmtId="2" fontId="4" fillId="10" borderId="8"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8" xfId="3" applyNumberFormat="1" applyFont="1" applyFill="1" applyBorder="1" applyAlignment="1">
      <alignment horizontal="center"/>
    </xf>
    <xf numFmtId="170" fontId="7" fillId="9" borderId="5" xfId="0" applyNumberFormat="1" applyFont="1" applyFill="1" applyBorder="1" applyAlignment="1"/>
    <xf numFmtId="170" fontId="7" fillId="9" borderId="2" xfId="0" applyNumberFormat="1" applyFont="1" applyFill="1" applyBorder="1" applyAlignment="1"/>
    <xf numFmtId="170" fontId="7" fillId="9" borderId="3" xfId="0" applyNumberFormat="1" applyFont="1" applyFill="1" applyBorder="1" applyAlignment="1">
      <alignment horizontal="left"/>
    </xf>
    <xf numFmtId="3" fontId="2" fillId="10" borderId="4" xfId="0" applyNumberFormat="1" applyFont="1" applyFill="1" applyBorder="1"/>
    <xf numFmtId="168" fontId="7" fillId="11" borderId="9" xfId="2" applyNumberFormat="1" applyFont="1" applyFill="1" applyBorder="1"/>
    <xf numFmtId="0" fontId="2" fillId="10" borderId="4" xfId="0" applyFont="1" applyFill="1" applyBorder="1" applyAlignment="1">
      <alignment horizontal="left"/>
    </xf>
    <xf numFmtId="3" fontId="2" fillId="10" borderId="4" xfId="0" applyNumberFormat="1" applyFont="1" applyFill="1" applyBorder="1" applyAlignment="1">
      <alignment horizontal="right"/>
    </xf>
    <xf numFmtId="0" fontId="12" fillId="8" borderId="0" xfId="0" applyFont="1" applyFill="1"/>
    <xf numFmtId="0" fontId="13" fillId="8" borderId="0" xfId="0" applyFont="1" applyFill="1"/>
    <xf numFmtId="0" fontId="14" fillId="0" borderId="0" xfId="0" applyFont="1"/>
    <xf numFmtId="0" fontId="15" fillId="5" borderId="7" xfId="0" applyFont="1" applyFill="1" applyBorder="1" applyAlignment="1">
      <alignment horizontal="left"/>
    </xf>
    <xf numFmtId="0" fontId="15" fillId="5" borderId="7" xfId="0" applyFont="1" applyFill="1" applyBorder="1" applyAlignment="1">
      <alignment horizontal="center"/>
    </xf>
    <xf numFmtId="0" fontId="15" fillId="5" borderId="8" xfId="0" applyFont="1" applyFill="1" applyBorder="1" applyAlignment="1">
      <alignment horizontal="center"/>
    </xf>
    <xf numFmtId="0" fontId="15" fillId="5" borderId="8" xfId="0" applyFont="1" applyFill="1" applyBorder="1" applyAlignment="1">
      <alignment horizontal="right"/>
    </xf>
    <xf numFmtId="0" fontId="16" fillId="10" borderId="4" xfId="0" applyFont="1" applyFill="1" applyBorder="1" applyAlignment="1">
      <alignment horizontal="left"/>
    </xf>
    <xf numFmtId="0" fontId="16" fillId="4" borderId="4" xfId="0" applyFont="1" applyFill="1" applyBorder="1"/>
    <xf numFmtId="168" fontId="16" fillId="10" borderId="4" xfId="2" applyNumberFormat="1" applyFont="1" applyFill="1" applyBorder="1"/>
    <xf numFmtId="0" fontId="16" fillId="4" borderId="3" xfId="0" applyFont="1" applyFill="1" applyBorder="1"/>
    <xf numFmtId="0" fontId="15" fillId="5" borderId="8" xfId="0" applyFont="1" applyFill="1" applyBorder="1"/>
    <xf numFmtId="0" fontId="15" fillId="5" borderId="0" xfId="0" applyFont="1" applyFill="1" applyBorder="1"/>
    <xf numFmtId="168" fontId="15" fillId="5" borderId="8" xfId="2" applyNumberFormat="1" applyFont="1" applyFill="1" applyBorder="1"/>
    <xf numFmtId="0" fontId="16" fillId="0" borderId="0" xfId="0" applyFont="1"/>
    <xf numFmtId="3" fontId="16" fillId="10" borderId="4" xfId="0" applyNumberFormat="1" applyFont="1" applyFill="1" applyBorder="1"/>
    <xf numFmtId="3" fontId="15" fillId="5" borderId="8" xfId="0" applyNumberFormat="1" applyFont="1" applyFill="1" applyBorder="1"/>
    <xf numFmtId="0" fontId="17" fillId="0" borderId="0" xfId="0" applyFont="1"/>
    <xf numFmtId="0" fontId="15" fillId="5" borderId="6" xfId="0" applyFont="1" applyFill="1" applyBorder="1" applyAlignment="1">
      <alignment horizontal="left"/>
    </xf>
    <xf numFmtId="0" fontId="15" fillId="5" borderId="12" xfId="0" applyFont="1" applyFill="1" applyBorder="1"/>
    <xf numFmtId="0" fontId="18" fillId="5" borderId="12" xfId="0" applyFont="1" applyFill="1" applyBorder="1"/>
    <xf numFmtId="0" fontId="16" fillId="4" borderId="0" xfId="0" quotePrefix="1" applyFont="1" applyFill="1" applyBorder="1" applyAlignment="1">
      <alignment vertical="top"/>
    </xf>
    <xf numFmtId="0" fontId="16" fillId="4" borderId="0" xfId="0" applyFont="1" applyFill="1" applyBorder="1" applyAlignment="1">
      <alignment vertical="top"/>
    </xf>
    <xf numFmtId="0" fontId="8" fillId="0" borderId="1" xfId="0" applyFont="1" applyBorder="1"/>
    <xf numFmtId="0" fontId="19" fillId="0" borderId="0" xfId="0" applyFont="1" applyAlignment="1">
      <alignment horizontal="left"/>
    </xf>
    <xf numFmtId="0" fontId="19" fillId="0" borderId="0" xfId="0" applyFont="1"/>
    <xf numFmtId="0" fontId="20" fillId="8" borderId="0" xfId="0" applyFont="1" applyFill="1" applyAlignment="1">
      <alignment horizontal="left"/>
    </xf>
    <xf numFmtId="0" fontId="21" fillId="9" borderId="0" xfId="0" applyFont="1" applyFill="1" applyBorder="1" applyAlignment="1">
      <alignment horizontal="left"/>
    </xf>
    <xf numFmtId="0" fontId="21" fillId="9" borderId="6" xfId="0" applyFont="1" applyFill="1" applyBorder="1" applyAlignment="1">
      <alignment horizontal="left"/>
    </xf>
    <xf numFmtId="0" fontId="19" fillId="0" borderId="0" xfId="0" applyFont="1" applyAlignment="1">
      <alignment horizontal="left" indent="15"/>
    </xf>
    <xf numFmtId="0" fontId="19" fillId="0" borderId="0" xfId="0" applyFont="1" applyFill="1" applyAlignment="1">
      <alignment horizontal="left"/>
    </xf>
    <xf numFmtId="0" fontId="19" fillId="0" borderId="0" xfId="0" applyFont="1" applyFill="1"/>
    <xf numFmtId="4" fontId="7" fillId="0" borderId="0" xfId="0" applyNumberFormat="1" applyFont="1" applyFill="1" applyBorder="1"/>
    <xf numFmtId="0" fontId="9" fillId="4" borderId="0" xfId="0" applyFont="1" applyFill="1" applyBorder="1" applyAlignment="1">
      <alignment horizontal="left" vertical="top" wrapText="1"/>
    </xf>
    <xf numFmtId="0" fontId="9" fillId="4" borderId="1" xfId="0" applyFont="1" applyFill="1" applyBorder="1" applyAlignment="1">
      <alignment vertical="top" wrapText="1"/>
    </xf>
    <xf numFmtId="0" fontId="9" fillId="4" borderId="8" xfId="0" applyFont="1" applyFill="1" applyBorder="1" applyAlignment="1">
      <alignment vertical="top" wrapText="1"/>
    </xf>
    <xf numFmtId="0" fontId="9" fillId="4" borderId="0" xfId="0" applyFont="1" applyFill="1" applyBorder="1" applyAlignment="1">
      <alignment vertical="top" wrapText="1"/>
    </xf>
    <xf numFmtId="0" fontId="24" fillId="8" borderId="0" xfId="0" applyFont="1" applyFill="1"/>
    <xf numFmtId="0" fontId="25" fillId="8" borderId="0" xfId="0" applyFont="1" applyFill="1"/>
    <xf numFmtId="0" fontId="26" fillId="0" borderId="0" xfId="0" applyFont="1"/>
    <xf numFmtId="0" fontId="27" fillId="0" borderId="0" xfId="0" applyFont="1"/>
    <xf numFmtId="0" fontId="28" fillId="5" borderId="4" xfId="0" applyFont="1" applyFill="1" applyBorder="1" applyAlignment="1">
      <alignment horizontal="center"/>
    </xf>
    <xf numFmtId="0" fontId="27" fillId="10" borderId="4" xfId="0" applyFont="1" applyFill="1" applyBorder="1" applyAlignment="1">
      <alignment horizontal="left"/>
    </xf>
    <xf numFmtId="0" fontId="27" fillId="10" borderId="4" xfId="0" applyFont="1" applyFill="1" applyBorder="1" applyAlignment="1">
      <alignment wrapText="1"/>
    </xf>
    <xf numFmtId="168" fontId="27" fillId="10" borderId="4" xfId="2" applyNumberFormat="1" applyFont="1" applyFill="1" applyBorder="1" applyAlignment="1">
      <alignment horizontal="right"/>
    </xf>
    <xf numFmtId="168" fontId="27" fillId="10" borderId="4" xfId="2" applyNumberFormat="1" applyFont="1" applyFill="1" applyBorder="1"/>
    <xf numFmtId="0" fontId="27" fillId="10" borderId="4" xfId="0" applyFont="1" applyFill="1" applyBorder="1"/>
    <xf numFmtId="3" fontId="27" fillId="10" borderId="4" xfId="0" applyNumberFormat="1" applyFont="1" applyFill="1" applyBorder="1" applyAlignment="1">
      <alignment horizontal="right"/>
    </xf>
    <xf numFmtId="3" fontId="27" fillId="4" borderId="4" xfId="0" applyNumberFormat="1" applyFont="1" applyFill="1" applyBorder="1"/>
    <xf numFmtId="3" fontId="27" fillId="10" borderId="4" xfId="0" applyNumberFormat="1" applyFont="1" applyFill="1" applyBorder="1"/>
    <xf numFmtId="0" fontId="29" fillId="0" borderId="0" xfId="0" applyFont="1"/>
    <xf numFmtId="0" fontId="28" fillId="5" borderId="6" xfId="0" applyFont="1" applyFill="1" applyBorder="1" applyAlignment="1">
      <alignment horizontal="left"/>
    </xf>
    <xf numFmtId="0" fontId="30" fillId="4" borderId="1" xfId="0" applyFont="1" applyFill="1" applyBorder="1" applyAlignment="1">
      <alignment vertical="top" wrapText="1"/>
    </xf>
    <xf numFmtId="0" fontId="30" fillId="4" borderId="0" xfId="0" applyFont="1" applyFill="1" applyBorder="1" applyAlignment="1">
      <alignment vertical="top" wrapText="1"/>
    </xf>
    <xf numFmtId="0" fontId="28" fillId="5" borderId="12" xfId="0" applyFont="1" applyFill="1" applyBorder="1"/>
    <xf numFmtId="0" fontId="31" fillId="5" borderId="12" xfId="0" applyFont="1" applyFill="1" applyBorder="1"/>
    <xf numFmtId="0" fontId="27" fillId="4" borderId="0" xfId="0" quotePrefix="1" applyFont="1" applyFill="1" applyBorder="1" applyAlignment="1">
      <alignment vertical="top"/>
    </xf>
    <xf numFmtId="0" fontId="27" fillId="4" borderId="0" xfId="0" applyFont="1" applyFill="1" applyBorder="1" applyAlignment="1">
      <alignment vertical="top"/>
    </xf>
    <xf numFmtId="0" fontId="7" fillId="5" borderId="4" xfId="0" applyFont="1" applyFill="1" applyBorder="1" applyAlignment="1">
      <alignment horizontal="left"/>
    </xf>
    <xf numFmtId="0" fontId="2" fillId="4" borderId="4" xfId="0" quotePrefix="1" applyFont="1" applyFill="1" applyBorder="1"/>
    <xf numFmtId="0" fontId="7" fillId="11" borderId="4" xfId="0" applyFont="1" applyFill="1" applyBorder="1"/>
    <xf numFmtId="3" fontId="7" fillId="5" borderId="4" xfId="0" applyNumberFormat="1" applyFont="1" applyFill="1" applyBorder="1"/>
    <xf numFmtId="0" fontId="7" fillId="5" borderId="4" xfId="0" applyFont="1" applyFill="1" applyBorder="1" applyAlignment="1">
      <alignment horizontal="right"/>
    </xf>
    <xf numFmtId="0" fontId="28" fillId="11" borderId="4" xfId="0" applyFont="1" applyFill="1" applyBorder="1" applyAlignment="1">
      <alignment horizontal="left"/>
    </xf>
    <xf numFmtId="0" fontId="28" fillId="11" borderId="4" xfId="0" applyFont="1" applyFill="1" applyBorder="1" applyAlignment="1">
      <alignment horizontal="center"/>
    </xf>
    <xf numFmtId="0" fontId="28" fillId="11" borderId="4" xfId="0" applyFont="1" applyFill="1" applyBorder="1" applyAlignment="1">
      <alignment horizontal="right"/>
    </xf>
    <xf numFmtId="0" fontId="27" fillId="4" borderId="4" xfId="0" applyFont="1" applyFill="1" applyBorder="1"/>
    <xf numFmtId="0" fontId="28" fillId="5" borderId="4" xfId="0" applyFont="1" applyFill="1" applyBorder="1"/>
    <xf numFmtId="168" fontId="28" fillId="11" borderId="4" xfId="2" applyNumberFormat="1" applyFont="1" applyFill="1" applyBorder="1"/>
    <xf numFmtId="168" fontId="28" fillId="5" borderId="4" xfId="2" applyNumberFormat="1" applyFont="1" applyFill="1" applyBorder="1"/>
    <xf numFmtId="0" fontId="27" fillId="4" borderId="4" xfId="0" quotePrefix="1" applyFont="1" applyFill="1" applyBorder="1"/>
    <xf numFmtId="0" fontId="28" fillId="11" borderId="4" xfId="0" applyFont="1" applyFill="1" applyBorder="1"/>
    <xf numFmtId="3" fontId="28" fillId="5" borderId="4" xfId="0" applyNumberFormat="1" applyFont="1" applyFill="1" applyBorder="1"/>
    <xf numFmtId="0" fontId="5" fillId="8" borderId="0" xfId="0" applyFont="1" applyFill="1" applyAlignment="1">
      <alignment horizontal="left"/>
    </xf>
    <xf numFmtId="0" fontId="32" fillId="8" borderId="11" xfId="0" applyFont="1" applyFill="1" applyBorder="1"/>
    <xf numFmtId="0" fontId="33" fillId="8" borderId="0" xfId="0" applyFont="1" applyFill="1"/>
    <xf numFmtId="0" fontId="34" fillId="0" borderId="0" xfId="0" applyFont="1"/>
    <xf numFmtId="0" fontId="34" fillId="0" borderId="0" xfId="0" applyFont="1" applyFill="1"/>
    <xf numFmtId="0" fontId="35" fillId="9" borderId="4" xfId="0" applyFont="1" applyFill="1" applyBorder="1"/>
    <xf numFmtId="0" fontId="34" fillId="6" borderId="0" xfId="0" applyFont="1" applyFill="1"/>
    <xf numFmtId="0" fontId="35" fillId="9" borderId="9" xfId="0" applyFont="1" applyFill="1" applyBorder="1"/>
    <xf numFmtId="0" fontId="34" fillId="2" borderId="1" xfId="0" applyFont="1" applyFill="1" applyBorder="1" applyAlignment="1">
      <alignment horizontal="center"/>
    </xf>
    <xf numFmtId="0" fontId="37" fillId="2" borderId="4" xfId="0" applyFont="1" applyFill="1" applyBorder="1" applyAlignment="1">
      <alignment horizontal="center" vertical="center" wrapText="1"/>
    </xf>
    <xf numFmtId="170" fontId="34" fillId="7" borderId="5" xfId="0" applyNumberFormat="1" applyFont="1" applyFill="1" applyBorder="1" applyAlignment="1">
      <alignment horizontal="left"/>
    </xf>
    <xf numFmtId="170" fontId="34" fillId="7" borderId="10" xfId="0" applyNumberFormat="1" applyFont="1" applyFill="1" applyBorder="1" applyAlignment="1">
      <alignment horizontal="center"/>
    </xf>
    <xf numFmtId="170" fontId="34" fillId="7" borderId="1" xfId="0" applyNumberFormat="1" applyFont="1" applyFill="1" applyBorder="1" applyAlignment="1">
      <alignment horizontal="left"/>
    </xf>
    <xf numFmtId="170" fontId="34" fillId="3" borderId="3" xfId="0" applyNumberFormat="1" applyFont="1" applyFill="1" applyBorder="1" applyAlignment="1">
      <alignment horizontal="center"/>
    </xf>
    <xf numFmtId="0" fontId="35" fillId="9" borderId="8" xfId="0" applyFont="1" applyFill="1" applyBorder="1" applyAlignment="1">
      <alignment horizontal="left" vertical="center"/>
    </xf>
    <xf numFmtId="0" fontId="36" fillId="7" borderId="8" xfId="0" applyFont="1" applyFill="1" applyBorder="1" applyAlignment="1">
      <alignment horizontal="left"/>
    </xf>
    <xf numFmtId="0" fontId="36" fillId="7" borderId="0" xfId="0" applyFont="1" applyFill="1" applyBorder="1" applyAlignment="1">
      <alignment horizontal="left"/>
    </xf>
    <xf numFmtId="0" fontId="32" fillId="8" borderId="10" xfId="0" applyFont="1" applyFill="1" applyBorder="1"/>
    <xf numFmtId="0" fontId="33" fillId="8" borderId="0" xfId="0" applyFont="1" applyFill="1" applyBorder="1"/>
    <xf numFmtId="0" fontId="33" fillId="8" borderId="2" xfId="0" applyFont="1" applyFill="1" applyBorder="1"/>
    <xf numFmtId="0" fontId="34" fillId="7" borderId="0" xfId="0" applyFont="1" applyFill="1" applyBorder="1" applyAlignment="1">
      <alignment horizontal="left" vertical="top" wrapText="1"/>
    </xf>
    <xf numFmtId="0" fontId="32" fillId="8" borderId="0" xfId="0" applyFont="1" applyFill="1"/>
    <xf numFmtId="0" fontId="34" fillId="7" borderId="0" xfId="0" applyFont="1" applyFill="1" applyBorder="1" applyAlignment="1">
      <alignment horizontal="left"/>
    </xf>
    <xf numFmtId="0" fontId="34" fillId="0" borderId="0" xfId="0" applyFont="1" applyAlignment="1">
      <alignment horizontal="left"/>
    </xf>
    <xf numFmtId="0" fontId="34" fillId="7" borderId="0" xfId="0" applyFont="1" applyFill="1" applyBorder="1" applyAlignment="1">
      <alignment horizontal="left" wrapText="1"/>
    </xf>
    <xf numFmtId="0" fontId="34" fillId="0" borderId="0" xfId="0" applyFont="1" applyFill="1" applyBorder="1" applyAlignment="1">
      <alignment horizontal="left"/>
    </xf>
    <xf numFmtId="0" fontId="35" fillId="2" borderId="3" xfId="0" applyFont="1" applyFill="1" applyBorder="1"/>
    <xf numFmtId="0" fontId="34" fillId="7" borderId="0" xfId="0" applyFont="1" applyFill="1" applyAlignment="1">
      <alignment horizontal="left"/>
    </xf>
    <xf numFmtId="0" fontId="35" fillId="2" borderId="1" xfId="0" applyFont="1" applyFill="1" applyBorder="1"/>
    <xf numFmtId="0" fontId="35" fillId="9" borderId="6" xfId="0" applyFont="1" applyFill="1" applyBorder="1" applyAlignment="1">
      <alignment horizontal="left"/>
    </xf>
    <xf numFmtId="0" fontId="35" fillId="9" borderId="7" xfId="0" applyFont="1" applyFill="1" applyBorder="1" applyAlignment="1">
      <alignment horizontal="right"/>
    </xf>
    <xf numFmtId="0" fontId="35" fillId="9" borderId="8" xfId="0" applyFont="1" applyFill="1" applyBorder="1" applyAlignment="1">
      <alignment horizontal="right"/>
    </xf>
    <xf numFmtId="168" fontId="38" fillId="0" borderId="0" xfId="2" applyNumberFormat="1" applyFont="1"/>
    <xf numFmtId="168" fontId="35" fillId="2" borderId="7" xfId="2" applyNumberFormat="1" applyFont="1" applyFill="1" applyBorder="1"/>
    <xf numFmtId="10" fontId="34" fillId="0" borderId="0" xfId="1" applyNumberFormat="1" applyFont="1"/>
    <xf numFmtId="10" fontId="34" fillId="0" borderId="0" xfId="0" applyNumberFormat="1" applyFont="1"/>
    <xf numFmtId="171" fontId="34" fillId="0" borderId="0" xfId="1" applyNumberFormat="1" applyFont="1"/>
    <xf numFmtId="0" fontId="32" fillId="8" borderId="6" xfId="0" applyFont="1" applyFill="1" applyBorder="1" applyAlignment="1">
      <alignment horizontal="left"/>
    </xf>
    <xf numFmtId="0" fontId="36" fillId="0" borderId="0" xfId="0" applyFont="1"/>
    <xf numFmtId="0" fontId="35" fillId="2" borderId="6" xfId="0" applyFont="1" applyFill="1" applyBorder="1" applyAlignment="1">
      <alignment horizontal="left"/>
    </xf>
    <xf numFmtId="0" fontId="35" fillId="2" borderId="7" xfId="0" applyFont="1" applyFill="1" applyBorder="1" applyAlignment="1">
      <alignment horizontal="right"/>
    </xf>
    <xf numFmtId="0" fontId="35" fillId="2" borderId="8" xfId="0" applyFont="1" applyFill="1" applyBorder="1" applyAlignment="1">
      <alignment horizontal="right"/>
    </xf>
    <xf numFmtId="169" fontId="38" fillId="0" borderId="0" xfId="3" applyNumberFormat="1" applyFont="1" applyAlignment="1"/>
    <xf numFmtId="172" fontId="35" fillId="2" borderId="7" xfId="2" applyNumberFormat="1" applyFont="1" applyFill="1" applyBorder="1" applyAlignment="1"/>
    <xf numFmtId="169" fontId="39" fillId="0" borderId="0" xfId="3" applyNumberFormat="1" applyFont="1" applyAlignment="1">
      <alignment horizontal="right"/>
    </xf>
    <xf numFmtId="169" fontId="39" fillId="0" borderId="0" xfId="3" applyNumberFormat="1" applyFont="1" applyAlignment="1">
      <alignment horizontal="center" vertical="center"/>
    </xf>
    <xf numFmtId="0" fontId="41" fillId="2" borderId="4" xfId="0" applyFont="1" applyFill="1" applyBorder="1" applyAlignment="1">
      <alignment horizontal="center" vertical="center"/>
    </xf>
    <xf numFmtId="0" fontId="7" fillId="2" borderId="6" xfId="0" applyFont="1" applyFill="1" applyBorder="1"/>
    <xf numFmtId="168" fontId="6" fillId="11" borderId="5" xfId="2" applyNumberFormat="1" applyFont="1" applyFill="1" applyBorder="1"/>
    <xf numFmtId="3" fontId="6" fillId="11" borderId="4" xfId="0" applyNumberFormat="1" applyFont="1" applyFill="1" applyBorder="1"/>
    <xf numFmtId="168" fontId="29" fillId="11" borderId="4" xfId="2" applyNumberFormat="1" applyFont="1" applyFill="1" applyBorder="1"/>
    <xf numFmtId="3" fontId="29" fillId="11" borderId="4" xfId="0" applyNumberFormat="1" applyFont="1" applyFill="1" applyBorder="1"/>
    <xf numFmtId="0" fontId="5" fillId="8" borderId="8" xfId="0" applyFont="1" applyFill="1" applyBorder="1" applyAlignment="1"/>
    <xf numFmtId="0" fontId="5" fillId="8" borderId="0" xfId="0" applyFont="1" applyFill="1" applyBorder="1" applyAlignment="1"/>
    <xf numFmtId="3" fontId="4" fillId="10" borderId="8" xfId="3" applyNumberFormat="1" applyFont="1" applyFill="1" applyBorder="1" applyAlignment="1">
      <alignment horizontal="center"/>
    </xf>
    <xf numFmtId="2" fontId="4" fillId="10" borderId="4" xfId="3" applyNumberFormat="1" applyFont="1" applyFill="1" applyBorder="1" applyAlignment="1">
      <alignment horizontal="center"/>
    </xf>
    <xf numFmtId="0" fontId="8" fillId="0" borderId="0" xfId="0" applyFont="1" applyBorder="1"/>
    <xf numFmtId="10" fontId="0" fillId="0" borderId="0" xfId="1" applyNumberFormat="1" applyFont="1"/>
    <xf numFmtId="10" fontId="0" fillId="0" borderId="0" xfId="0" applyNumberFormat="1"/>
    <xf numFmtId="0" fontId="42" fillId="0" borderId="0" xfId="0" applyFont="1"/>
    <xf numFmtId="167" fontId="5" fillId="15" borderId="4" xfId="3" applyFont="1" applyFill="1" applyBorder="1" applyAlignment="1">
      <alignment horizontal="left"/>
    </xf>
    <xf numFmtId="167" fontId="5" fillId="15"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4" fontId="2" fillId="5" borderId="4" xfId="3" applyNumberFormat="1" applyFont="1" applyFill="1" applyBorder="1"/>
    <xf numFmtId="167" fontId="6" fillId="5" borderId="4" xfId="3" applyFont="1" applyFill="1" applyBorder="1"/>
    <xf numFmtId="174"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40" fillId="0" borderId="0" xfId="0" applyFont="1"/>
    <xf numFmtId="0" fontId="7" fillId="0" borderId="8" xfId="0" applyFont="1" applyFill="1" applyBorder="1"/>
    <xf numFmtId="0" fontId="43" fillId="4" borderId="5" xfId="0" applyFont="1" applyFill="1" applyBorder="1"/>
    <xf numFmtId="0" fontId="6" fillId="4" borderId="5" xfId="0" applyFont="1" applyFill="1" applyBorder="1"/>
    <xf numFmtId="0" fontId="2" fillId="4" borderId="4" xfId="0" applyFont="1" applyFill="1" applyBorder="1" applyAlignment="1">
      <alignment horizontal="left"/>
    </xf>
    <xf numFmtId="167" fontId="44" fillId="10" borderId="4" xfId="3" applyFont="1" applyFill="1" applyBorder="1"/>
    <xf numFmtId="167" fontId="2" fillId="10" borderId="4" xfId="3" applyFont="1" applyFill="1" applyBorder="1"/>
    <xf numFmtId="167" fontId="6" fillId="5" borderId="4" xfId="3" applyFont="1" applyFill="1" applyBorder="1" applyAlignment="1">
      <alignment horizontal="left"/>
    </xf>
    <xf numFmtId="167" fontId="44" fillId="5" borderId="4" xfId="3" applyFont="1" applyFill="1" applyBorder="1"/>
    <xf numFmtId="0" fontId="6" fillId="4" borderId="4" xfId="0" applyFont="1" applyFill="1" applyBorder="1" applyAlignment="1">
      <alignment horizontal="left"/>
    </xf>
    <xf numFmtId="167" fontId="45" fillId="10" borderId="4" xfId="3" applyFont="1" applyFill="1" applyBorder="1"/>
    <xf numFmtId="167" fontId="6" fillId="10" borderId="4" xfId="3" applyFont="1" applyFill="1" applyBorder="1"/>
    <xf numFmtId="0" fontId="2" fillId="4" borderId="7" xfId="0" applyFont="1" applyFill="1" applyBorder="1" applyAlignment="1">
      <alignment horizontal="left"/>
    </xf>
    <xf numFmtId="174" fontId="2" fillId="10" borderId="4" xfId="3" applyNumberFormat="1" applyFont="1" applyFill="1" applyBorder="1"/>
    <xf numFmtId="2" fontId="4" fillId="10" borderId="13" xfId="3" applyNumberFormat="1" applyFont="1" applyFill="1" applyBorder="1" applyAlignment="1">
      <alignment horizontal="center"/>
    </xf>
    <xf numFmtId="170" fontId="4" fillId="10" borderId="4" xfId="0" applyNumberFormat="1" applyFont="1" applyFill="1" applyBorder="1" applyAlignment="1"/>
    <xf numFmtId="4" fontId="4" fillId="10" borderId="4" xfId="0" applyNumberFormat="1" applyFont="1" applyFill="1" applyBorder="1" applyAlignment="1">
      <alignment horizontal="center"/>
    </xf>
    <xf numFmtId="0" fontId="5" fillId="8" borderId="12" xfId="0" applyFont="1" applyFill="1" applyBorder="1"/>
    <xf numFmtId="0" fontId="7" fillId="5" borderId="7" xfId="0" applyFont="1" applyFill="1" applyBorder="1" applyAlignment="1">
      <alignment horizontal="center"/>
    </xf>
    <xf numFmtId="0" fontId="7" fillId="5" borderId="8" xfId="0" applyFont="1" applyFill="1" applyBorder="1" applyAlignment="1">
      <alignment horizontal="center"/>
    </xf>
    <xf numFmtId="0" fontId="2" fillId="4" borderId="3" xfId="0" applyFont="1" applyFill="1" applyBorder="1" applyAlignment="1">
      <alignment horizontal="left" indent="1"/>
    </xf>
    <xf numFmtId="0" fontId="6" fillId="4" borderId="4" xfId="0" applyFont="1" applyFill="1" applyBorder="1"/>
    <xf numFmtId="168" fontId="6" fillId="5" borderId="5" xfId="2" applyNumberFormat="1" applyFont="1" applyFill="1" applyBorder="1" applyAlignment="1">
      <alignment horizontal="center"/>
    </xf>
    <xf numFmtId="0" fontId="6" fillId="4" borderId="3" xfId="0" applyFont="1" applyFill="1" applyBorder="1"/>
    <xf numFmtId="168" fontId="6" fillId="10" borderId="5" xfId="2" applyNumberFormat="1" applyFont="1" applyFill="1" applyBorder="1" applyAlignment="1">
      <alignment horizontal="center"/>
    </xf>
    <xf numFmtId="0" fontId="7" fillId="5" borderId="1" xfId="0" applyFont="1" applyFill="1" applyBorder="1"/>
    <xf numFmtId="168" fontId="17" fillId="11" borderId="5" xfId="2" applyNumberFormat="1" applyFont="1" applyFill="1" applyBorder="1"/>
    <xf numFmtId="3" fontId="17" fillId="11" borderId="10" xfId="0" applyNumberFormat="1" applyFont="1" applyFill="1" applyBorder="1"/>
    <xf numFmtId="0" fontId="34" fillId="7" borderId="1" xfId="0" applyFont="1" applyFill="1" applyBorder="1" applyAlignment="1">
      <alignment horizontal="left" wrapText="1"/>
    </xf>
    <xf numFmtId="0" fontId="34" fillId="7" borderId="0" xfId="0" applyFont="1" applyFill="1" applyBorder="1" applyAlignment="1">
      <alignment horizontal="left" wrapText="1"/>
    </xf>
    <xf numFmtId="0" fontId="34" fillId="7" borderId="0" xfId="0" quotePrefix="1"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34" fillId="7" borderId="0" xfId="0" applyFont="1" applyFill="1" applyBorder="1" applyAlignment="1">
      <alignment horizontal="left" vertical="top" wrapText="1"/>
    </xf>
    <xf numFmtId="0" fontId="35" fillId="9" borderId="9" xfId="0" applyFont="1" applyFill="1" applyBorder="1" applyAlignment="1">
      <alignment horizontal="left" vertical="center"/>
    </xf>
    <xf numFmtId="0" fontId="35" fillId="9" borderId="7" xfId="0" applyFont="1" applyFill="1" applyBorder="1" applyAlignment="1">
      <alignment horizontal="left" vertical="center"/>
    </xf>
    <xf numFmtId="0" fontId="7" fillId="9" borderId="4" xfId="0" applyFont="1" applyFill="1" applyBorder="1" applyAlignment="1">
      <alignment horizontal="left" vertical="center"/>
    </xf>
    <xf numFmtId="0" fontId="35" fillId="9" borderId="4" xfId="0" applyFont="1" applyFill="1" applyBorder="1" applyAlignment="1">
      <alignment horizontal="left" vertical="center"/>
    </xf>
    <xf numFmtId="170" fontId="38" fillId="7" borderId="2" xfId="0" applyNumberFormat="1" applyFont="1" applyFill="1" applyBorder="1" applyAlignment="1">
      <alignment horizontal="left"/>
    </xf>
    <xf numFmtId="170" fontId="38" fillId="7" borderId="3" xfId="0" applyNumberFormat="1" applyFont="1" applyFill="1" applyBorder="1" applyAlignment="1">
      <alignment horizontal="left"/>
    </xf>
    <xf numFmtId="0" fontId="36" fillId="7" borderId="5" xfId="0" applyNumberFormat="1" applyFont="1" applyFill="1" applyBorder="1" applyAlignment="1">
      <alignment horizontal="left" wrapText="1"/>
    </xf>
    <xf numFmtId="0" fontId="36" fillId="7" borderId="2" xfId="0" applyNumberFormat="1" applyFont="1" applyFill="1" applyBorder="1" applyAlignment="1">
      <alignment horizontal="left" wrapText="1"/>
    </xf>
    <xf numFmtId="0" fontId="34" fillId="7" borderId="1" xfId="0" applyFont="1" applyFill="1" applyBorder="1" applyAlignment="1">
      <alignment horizontal="left" vertical="top" wrapText="1"/>
    </xf>
    <xf numFmtId="0" fontId="23" fillId="10" borderId="0" xfId="0" applyFont="1" applyFill="1" applyAlignment="1">
      <alignment horizontal="center"/>
    </xf>
    <xf numFmtId="0" fontId="2" fillId="4" borderId="1" xfId="0" applyFont="1" applyFill="1" applyBorder="1" applyAlignment="1">
      <alignment horizontal="left" vertical="top" wrapText="1"/>
    </xf>
    <xf numFmtId="0" fontId="19" fillId="4" borderId="1" xfId="0" applyFont="1" applyFill="1" applyBorder="1" applyAlignment="1">
      <alignment horizontal="left" vertical="top" wrapText="1"/>
    </xf>
    <xf numFmtId="0" fontId="20" fillId="8" borderId="12" xfId="0" applyFont="1" applyFill="1" applyBorder="1" applyAlignment="1">
      <alignment horizontal="left"/>
    </xf>
    <xf numFmtId="49" fontId="19" fillId="10" borderId="1" xfId="0" applyNumberFormat="1" applyFont="1" applyFill="1" applyBorder="1" applyAlignment="1">
      <alignment horizontal="left" vertical="top" wrapText="1"/>
    </xf>
    <xf numFmtId="0" fontId="19" fillId="10" borderId="1" xfId="0" applyFont="1" applyFill="1" applyBorder="1" applyAlignment="1">
      <alignment horizontal="left" vertical="top" wrapText="1"/>
    </xf>
    <xf numFmtId="0" fontId="1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27" fillId="4" borderId="1" xfId="0" quotePrefix="1" applyFont="1" applyFill="1" applyBorder="1" applyAlignment="1">
      <alignment horizontal="left" vertical="top" wrapText="1"/>
    </xf>
    <xf numFmtId="0" fontId="27" fillId="4" borderId="0" xfId="0" quotePrefix="1" applyFont="1" applyFill="1" applyBorder="1" applyAlignment="1">
      <alignment horizontal="left" vertical="top" wrapText="1"/>
    </xf>
    <xf numFmtId="10" fontId="42" fillId="14" borderId="12" xfId="0" applyNumberFormat="1" applyFont="1" applyFill="1" applyBorder="1" applyAlignment="1">
      <alignment horizontal="center"/>
    </xf>
    <xf numFmtId="10" fontId="42"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18" fillId="4" borderId="1" xfId="0" applyFont="1" applyFill="1" applyBorder="1" applyAlignment="1">
      <alignment horizontal="left" vertical="top"/>
    </xf>
    <xf numFmtId="0" fontId="18" fillId="4" borderId="0" xfId="0" applyFont="1" applyFill="1" applyBorder="1" applyAlignment="1">
      <alignment horizontal="left" vertical="top"/>
    </xf>
    <xf numFmtId="0" fontId="16" fillId="4" borderId="1"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0" fontId="5" fillId="8" borderId="12" xfId="0" applyFont="1" applyFill="1" applyBorder="1" applyAlignment="1">
      <alignment horizontal="center"/>
    </xf>
    <xf numFmtId="0" fontId="22" fillId="9" borderId="8" xfId="0" applyFont="1" applyFill="1" applyBorder="1" applyAlignment="1">
      <alignment horizontal="left"/>
    </xf>
    <xf numFmtId="0" fontId="22" fillId="9" borderId="0" xfId="0" applyFont="1" applyFill="1" applyBorder="1" applyAlignment="1">
      <alignment horizontal="left"/>
    </xf>
    <xf numFmtId="0" fontId="7" fillId="5" borderId="5" xfId="0" applyFont="1" applyFill="1" applyBorder="1"/>
    <xf numFmtId="0" fontId="4" fillId="5" borderId="2" xfId="0" applyFont="1" applyFill="1" applyBorder="1"/>
    <xf numFmtId="0" fontId="4" fillId="5" borderId="3" xfId="0" applyFont="1" applyFill="1" applyBorder="1"/>
    <xf numFmtId="167" fontId="45" fillId="5" borderId="4" xfId="3"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BFBFBF"/>
      <color rgb="FFA6A6A6"/>
      <color rgb="FFD9D9D9"/>
      <color rgb="FFEAEAEA"/>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0"/>
  <sheetViews>
    <sheetView showGridLines="0" tabSelected="1" topLeftCell="B4" zoomScaleNormal="100" workbookViewId="0">
      <selection activeCell="H59" sqref="H59"/>
    </sheetView>
  </sheetViews>
  <sheetFormatPr defaultColWidth="9.140625" defaultRowHeight="12.75" x14ac:dyDescent="0.2"/>
  <cols>
    <col min="1" max="1" width="2.42578125" style="148" customWidth="1"/>
    <col min="2" max="2" width="41.85546875" style="148" customWidth="1"/>
    <col min="3" max="3" width="29.5703125" style="148" customWidth="1"/>
    <col min="4" max="4" width="17.5703125" style="148" customWidth="1"/>
    <col min="5" max="5" width="18" style="148" customWidth="1"/>
    <col min="6" max="6" width="17.7109375" style="148" customWidth="1"/>
    <col min="7" max="7" width="18" style="148" customWidth="1"/>
    <col min="8" max="8" width="18.28515625" style="148" customWidth="1"/>
    <col min="9" max="9" width="11.5703125" style="148" customWidth="1"/>
    <col min="10" max="16384" width="9.140625" style="148"/>
  </cols>
  <sheetData>
    <row r="2" spans="2:19" x14ac:dyDescent="0.2">
      <c r="B2" s="146" t="s">
        <v>7</v>
      </c>
      <c r="C2" s="147"/>
      <c r="D2" s="147"/>
      <c r="E2" s="147"/>
      <c r="F2" s="147"/>
      <c r="G2" s="147"/>
      <c r="H2" s="147"/>
      <c r="O2" s="149"/>
      <c r="P2" s="149"/>
      <c r="Q2" s="149"/>
      <c r="R2" s="149"/>
      <c r="S2" s="149"/>
    </row>
    <row r="3" spans="2:19" ht="75.75" customHeight="1" x14ac:dyDescent="0.2">
      <c r="B3" s="150" t="s">
        <v>57</v>
      </c>
      <c r="C3" s="254" t="s">
        <v>68</v>
      </c>
      <c r="D3" s="255"/>
      <c r="E3" s="255"/>
      <c r="F3" s="255"/>
      <c r="G3" s="255"/>
      <c r="H3" s="255"/>
      <c r="M3" s="151"/>
      <c r="N3" s="151"/>
      <c r="O3" s="149"/>
      <c r="P3" s="149"/>
      <c r="Q3" s="149"/>
      <c r="R3" s="149"/>
      <c r="S3" s="149"/>
    </row>
    <row r="4" spans="2:19" ht="55.5" customHeight="1" x14ac:dyDescent="0.2">
      <c r="B4" s="152"/>
      <c r="C4" s="153"/>
      <c r="D4" s="154" t="s">
        <v>54</v>
      </c>
      <c r="E4" s="154" t="s">
        <v>55</v>
      </c>
      <c r="F4" s="154" t="s">
        <v>56</v>
      </c>
      <c r="G4" s="154" t="s">
        <v>65</v>
      </c>
      <c r="H4" s="154" t="s">
        <v>73</v>
      </c>
      <c r="M4" s="151"/>
      <c r="N4" s="151"/>
      <c r="O4" s="149"/>
      <c r="P4" s="149"/>
      <c r="Q4" s="149"/>
      <c r="R4" s="149"/>
      <c r="S4" s="149"/>
    </row>
    <row r="5" spans="2:19" x14ac:dyDescent="0.2">
      <c r="B5" s="150" t="s">
        <v>13</v>
      </c>
      <c r="C5" s="153"/>
      <c r="D5" s="191" t="s">
        <v>115</v>
      </c>
      <c r="E5" s="191" t="s">
        <v>115</v>
      </c>
      <c r="F5" s="191" t="s">
        <v>115</v>
      </c>
      <c r="G5" s="191" t="s">
        <v>115</v>
      </c>
      <c r="H5" s="191" t="s">
        <v>115</v>
      </c>
      <c r="M5" s="151"/>
      <c r="N5" s="151"/>
      <c r="O5" s="149"/>
      <c r="P5" s="149"/>
      <c r="Q5" s="149"/>
      <c r="R5" s="149"/>
      <c r="S5" s="149"/>
    </row>
    <row r="6" spans="2:19" x14ac:dyDescent="0.2">
      <c r="B6" s="248" t="s">
        <v>40</v>
      </c>
      <c r="C6" s="155" t="s">
        <v>88</v>
      </c>
      <c r="D6" s="156">
        <v>24.23</v>
      </c>
      <c r="E6" s="156">
        <v>24.23</v>
      </c>
      <c r="F6" s="156">
        <v>24.23</v>
      </c>
      <c r="G6" s="156">
        <v>24.23</v>
      </c>
      <c r="H6" s="156">
        <v>24.23</v>
      </c>
      <c r="M6" s="151"/>
      <c r="N6" s="151"/>
      <c r="O6" s="149"/>
      <c r="P6" s="149"/>
      <c r="Q6" s="149"/>
      <c r="R6" s="149"/>
      <c r="S6" s="149"/>
    </row>
    <row r="7" spans="2:19" x14ac:dyDescent="0.2">
      <c r="B7" s="249"/>
      <c r="C7" s="157" t="s">
        <v>89</v>
      </c>
      <c r="D7" s="156">
        <f>150.59</f>
        <v>150.59</v>
      </c>
      <c r="E7" s="156">
        <f>150.59</f>
        <v>150.59</v>
      </c>
      <c r="F7" s="156">
        <f>150.59</f>
        <v>150.59</v>
      </c>
      <c r="G7" s="156">
        <f>150.59</f>
        <v>150.59</v>
      </c>
      <c r="H7" s="156">
        <f>150.59</f>
        <v>150.59</v>
      </c>
      <c r="M7" s="151"/>
      <c r="N7" s="151"/>
      <c r="O7" s="149"/>
      <c r="P7" s="149"/>
      <c r="Q7" s="149"/>
      <c r="R7" s="149"/>
      <c r="S7" s="149"/>
    </row>
    <row r="8" spans="2:19" x14ac:dyDescent="0.2">
      <c r="B8" s="250" t="s">
        <v>120</v>
      </c>
      <c r="C8" s="155" t="s">
        <v>114</v>
      </c>
      <c r="D8" s="158">
        <f>'Proposed price'!Q8</f>
        <v>31.882948875159833</v>
      </c>
      <c r="E8" s="158">
        <f>'Proposed price'!Q8</f>
        <v>31.882948875159833</v>
      </c>
      <c r="F8" s="158">
        <f>'Proposed price'!Q8</f>
        <v>31.882948875159833</v>
      </c>
      <c r="G8" s="158">
        <f>'Proposed price'!Q8</f>
        <v>31.882948875159833</v>
      </c>
      <c r="H8" s="158">
        <f>'Proposed price'!Q8</f>
        <v>31.882948875159833</v>
      </c>
      <c r="O8" s="149"/>
      <c r="P8" s="149"/>
      <c r="Q8" s="149"/>
      <c r="R8" s="149"/>
      <c r="S8" s="149"/>
    </row>
    <row r="9" spans="2:19" x14ac:dyDescent="0.2">
      <c r="B9" s="251"/>
      <c r="C9" s="157" t="s">
        <v>116</v>
      </c>
      <c r="D9" s="158">
        <f>'Proposed price'!AI9</f>
        <v>178.58346320213872</v>
      </c>
      <c r="E9" s="158">
        <f>'Proposed price'!AI9</f>
        <v>178.58346320213872</v>
      </c>
      <c r="F9" s="158">
        <f>'Proposed price'!AI9</f>
        <v>178.58346320213872</v>
      </c>
      <c r="G9" s="158">
        <f>'Proposed price'!AI9</f>
        <v>178.58346320213872</v>
      </c>
      <c r="H9" s="158">
        <f>'Proposed price'!AI9</f>
        <v>178.58346320213872</v>
      </c>
      <c r="O9" s="149"/>
      <c r="P9" s="149"/>
      <c r="Q9" s="149"/>
      <c r="R9" s="149"/>
      <c r="S9" s="149"/>
    </row>
    <row r="10" spans="2:19" x14ac:dyDescent="0.2">
      <c r="B10" s="159" t="s">
        <v>46</v>
      </c>
      <c r="C10" s="252" t="s">
        <v>72</v>
      </c>
      <c r="D10" s="253"/>
      <c r="E10" s="160"/>
      <c r="F10" s="161"/>
      <c r="G10" s="161"/>
      <c r="H10" s="161"/>
      <c r="O10" s="149"/>
      <c r="P10" s="149"/>
      <c r="Q10" s="149"/>
      <c r="R10" s="149"/>
      <c r="S10" s="149"/>
    </row>
    <row r="11" spans="2:19" x14ac:dyDescent="0.2">
      <c r="B11" s="162" t="s">
        <v>5</v>
      </c>
      <c r="C11" s="163"/>
      <c r="D11" s="163"/>
      <c r="E11" s="164"/>
      <c r="F11" s="164"/>
      <c r="G11" s="164"/>
      <c r="H11" s="164"/>
      <c r="O11" s="149"/>
      <c r="P11" s="149"/>
      <c r="Q11" s="149"/>
      <c r="R11" s="149"/>
      <c r="S11" s="149"/>
    </row>
    <row r="12" spans="2:19" ht="286.5" customHeight="1" x14ac:dyDescent="0.2">
      <c r="B12" s="256" t="s">
        <v>119</v>
      </c>
      <c r="C12" s="256"/>
      <c r="D12" s="256"/>
      <c r="E12" s="256"/>
      <c r="F12" s="256"/>
      <c r="G12" s="256"/>
      <c r="H12" s="256"/>
      <c r="O12" s="149"/>
      <c r="P12" s="149"/>
      <c r="Q12" s="149"/>
      <c r="R12" s="149"/>
      <c r="S12" s="149"/>
    </row>
    <row r="13" spans="2:19" x14ac:dyDescent="0.2">
      <c r="B13" s="165"/>
      <c r="C13" s="165"/>
      <c r="D13" s="165"/>
      <c r="E13" s="165"/>
      <c r="F13" s="165"/>
      <c r="G13" s="165"/>
      <c r="H13" s="165"/>
      <c r="O13" s="149"/>
      <c r="P13" s="149"/>
      <c r="Q13" s="149"/>
      <c r="R13" s="149"/>
      <c r="S13" s="149"/>
    </row>
    <row r="14" spans="2:19" x14ac:dyDescent="0.2">
      <c r="O14" s="149"/>
      <c r="P14" s="149"/>
      <c r="Q14" s="149"/>
      <c r="R14" s="149"/>
      <c r="S14" s="149"/>
    </row>
    <row r="15" spans="2:19" x14ac:dyDescent="0.2">
      <c r="B15" s="166" t="s">
        <v>33</v>
      </c>
      <c r="C15" s="147"/>
      <c r="D15" s="147"/>
      <c r="E15" s="147"/>
      <c r="F15" s="147"/>
      <c r="G15" s="147"/>
      <c r="H15" s="147"/>
      <c r="O15" s="149"/>
      <c r="P15" s="149"/>
      <c r="Q15" s="149"/>
      <c r="R15" s="149"/>
      <c r="S15" s="149"/>
    </row>
    <row r="16" spans="2:19" x14ac:dyDescent="0.2">
      <c r="B16" s="244"/>
      <c r="C16" s="244"/>
      <c r="D16" s="244"/>
      <c r="E16" s="244"/>
      <c r="F16" s="244"/>
      <c r="G16" s="244"/>
      <c r="H16" s="244"/>
    </row>
    <row r="17" spans="2:9" ht="117.75" customHeight="1" x14ac:dyDescent="0.2">
      <c r="B17" s="246" t="s">
        <v>169</v>
      </c>
      <c r="C17" s="246"/>
      <c r="D17" s="246"/>
      <c r="E17" s="246"/>
      <c r="F17" s="246"/>
      <c r="G17" s="246"/>
      <c r="H17" s="246"/>
      <c r="I17" s="149"/>
    </row>
    <row r="18" spans="2:9" x14ac:dyDescent="0.2">
      <c r="B18" s="167"/>
      <c r="C18" s="167"/>
      <c r="D18" s="167"/>
      <c r="E18" s="167"/>
      <c r="F18" s="167"/>
      <c r="G18" s="167"/>
      <c r="H18" s="167"/>
    </row>
    <row r="19" spans="2:9" x14ac:dyDescent="0.2">
      <c r="B19" s="168"/>
      <c r="C19" s="168"/>
      <c r="D19" s="168"/>
      <c r="E19" s="168"/>
      <c r="F19" s="168"/>
      <c r="G19" s="168"/>
      <c r="H19" s="168"/>
    </row>
    <row r="20" spans="2:9" x14ac:dyDescent="0.2">
      <c r="B20" s="166" t="s">
        <v>41</v>
      </c>
      <c r="C20" s="147"/>
      <c r="D20" s="147"/>
      <c r="E20" s="147"/>
      <c r="F20" s="147"/>
      <c r="G20" s="147"/>
      <c r="H20" s="147"/>
    </row>
    <row r="21" spans="2:9" ht="12.75" customHeight="1" x14ac:dyDescent="0.2">
      <c r="B21" s="244" t="s">
        <v>66</v>
      </c>
      <c r="C21" s="244"/>
      <c r="D21" s="244"/>
      <c r="E21" s="244"/>
      <c r="F21" s="244"/>
      <c r="G21" s="244"/>
      <c r="H21" s="244"/>
    </row>
    <row r="22" spans="2:9" x14ac:dyDescent="0.2">
      <c r="B22" s="244" t="s">
        <v>95</v>
      </c>
      <c r="C22" s="244"/>
      <c r="D22" s="244"/>
      <c r="E22" s="244"/>
      <c r="F22" s="244"/>
      <c r="G22" s="244"/>
      <c r="H22" s="244"/>
    </row>
    <row r="23" spans="2:9" x14ac:dyDescent="0.2">
      <c r="B23" s="245" t="s">
        <v>101</v>
      </c>
      <c r="C23" s="245"/>
      <c r="D23" s="245"/>
      <c r="E23" s="245"/>
      <c r="F23" s="245"/>
      <c r="G23" s="245"/>
      <c r="H23" s="245"/>
    </row>
    <row r="24" spans="2:9" x14ac:dyDescent="0.2">
      <c r="B24" s="246" t="s">
        <v>161</v>
      </c>
      <c r="C24" s="247"/>
      <c r="D24" s="247"/>
      <c r="E24" s="247"/>
      <c r="F24" s="247"/>
      <c r="G24" s="247"/>
      <c r="H24" s="247"/>
    </row>
    <row r="25" spans="2:9" x14ac:dyDescent="0.2">
      <c r="B25" s="169"/>
      <c r="C25" s="169"/>
      <c r="D25" s="169"/>
      <c r="E25" s="169"/>
      <c r="F25" s="169"/>
      <c r="G25" s="169"/>
      <c r="H25" s="169"/>
    </row>
    <row r="26" spans="2:9" x14ac:dyDescent="0.2">
      <c r="B26" s="244"/>
      <c r="C26" s="244"/>
      <c r="D26" s="244"/>
      <c r="E26" s="244"/>
      <c r="F26" s="244"/>
      <c r="G26" s="244"/>
      <c r="H26" s="244"/>
    </row>
    <row r="27" spans="2:9" x14ac:dyDescent="0.2">
      <c r="B27" s="167"/>
      <c r="C27" s="167"/>
      <c r="D27" s="167"/>
      <c r="E27" s="167"/>
      <c r="F27" s="167"/>
      <c r="G27" s="167"/>
      <c r="H27" s="167"/>
    </row>
    <row r="28" spans="2:9" x14ac:dyDescent="0.2">
      <c r="B28" s="167"/>
      <c r="C28" s="167"/>
      <c r="D28" s="167"/>
      <c r="E28" s="167"/>
      <c r="F28" s="167"/>
      <c r="G28" s="167"/>
      <c r="H28" s="167"/>
    </row>
    <row r="29" spans="2:9" x14ac:dyDescent="0.2">
      <c r="B29" s="167"/>
      <c r="C29" s="167"/>
      <c r="D29" s="167"/>
      <c r="E29" s="167"/>
      <c r="F29" s="167"/>
      <c r="G29" s="167"/>
      <c r="H29" s="167"/>
    </row>
    <row r="30" spans="2:9" x14ac:dyDescent="0.2">
      <c r="B30" s="167"/>
      <c r="C30" s="167"/>
      <c r="D30" s="167"/>
      <c r="E30" s="167"/>
      <c r="F30" s="167"/>
      <c r="G30" s="167"/>
      <c r="H30" s="167"/>
    </row>
    <row r="31" spans="2:9" x14ac:dyDescent="0.2">
      <c r="B31" s="170"/>
      <c r="C31" s="170"/>
      <c r="D31" s="170"/>
      <c r="E31" s="170"/>
      <c r="F31" s="170"/>
      <c r="G31" s="170"/>
      <c r="H31" s="170"/>
      <c r="I31" s="149"/>
    </row>
    <row r="32" spans="2:9" x14ac:dyDescent="0.2">
      <c r="B32" s="166" t="s">
        <v>6</v>
      </c>
    </row>
    <row r="33" spans="2:8" x14ac:dyDescent="0.2">
      <c r="B33" s="171" t="s">
        <v>14</v>
      </c>
      <c r="C33" s="172" t="s">
        <v>28</v>
      </c>
      <c r="D33" s="172"/>
      <c r="E33" s="172"/>
      <c r="F33" s="172"/>
      <c r="G33" s="172"/>
      <c r="H33" s="172"/>
    </row>
    <row r="34" spans="2:8" x14ac:dyDescent="0.2">
      <c r="B34" s="173" t="s">
        <v>44</v>
      </c>
      <c r="C34" s="172" t="s">
        <v>49</v>
      </c>
      <c r="D34" s="172"/>
      <c r="E34" s="172"/>
      <c r="F34" s="172"/>
      <c r="G34" s="172"/>
      <c r="H34" s="172"/>
    </row>
    <row r="35" spans="2:8" x14ac:dyDescent="0.2">
      <c r="B35" s="173" t="s">
        <v>45</v>
      </c>
      <c r="C35" s="172" t="s">
        <v>50</v>
      </c>
      <c r="D35" s="172"/>
      <c r="E35" s="172"/>
      <c r="F35" s="172"/>
      <c r="G35" s="172"/>
      <c r="H35" s="172"/>
    </row>
    <row r="36" spans="2:8" x14ac:dyDescent="0.2">
      <c r="B36" s="173" t="s">
        <v>15</v>
      </c>
      <c r="C36" s="172" t="s">
        <v>29</v>
      </c>
      <c r="D36" s="172"/>
      <c r="E36" s="172"/>
      <c r="F36" s="172"/>
      <c r="G36" s="172"/>
      <c r="H36" s="172"/>
    </row>
    <row r="39" spans="2:8" x14ac:dyDescent="0.2">
      <c r="B39" s="166" t="s">
        <v>34</v>
      </c>
      <c r="C39" s="147"/>
      <c r="D39" s="147"/>
      <c r="E39" s="147"/>
      <c r="F39" s="147"/>
      <c r="G39" s="147"/>
      <c r="H39" s="147"/>
    </row>
    <row r="41" spans="2:8" x14ac:dyDescent="0.2">
      <c r="B41" s="174"/>
      <c r="C41" s="175" t="s">
        <v>35</v>
      </c>
      <c r="D41" s="175" t="s">
        <v>36</v>
      </c>
      <c r="E41" s="175" t="s">
        <v>37</v>
      </c>
      <c r="F41" s="175" t="s">
        <v>39</v>
      </c>
      <c r="G41" s="175" t="s">
        <v>38</v>
      </c>
      <c r="H41" s="176" t="s">
        <v>1</v>
      </c>
    </row>
    <row r="42" spans="2:8" x14ac:dyDescent="0.2">
      <c r="C42" s="177"/>
      <c r="D42" s="177"/>
      <c r="E42" s="177"/>
      <c r="F42" s="177"/>
      <c r="G42" s="177"/>
      <c r="H42" s="177"/>
    </row>
    <row r="43" spans="2:8" x14ac:dyDescent="0.2">
      <c r="B43" s="192" t="s">
        <v>121</v>
      </c>
      <c r="C43" s="178">
        <f>'Forecast Revenue - Costs'!D29</f>
        <v>759582.31787319004</v>
      </c>
      <c r="D43" s="178">
        <f>'Forecast Revenue - Costs'!E29</f>
        <v>759582.31787319004</v>
      </c>
      <c r="E43" s="178">
        <f>'Forecast Revenue - Costs'!F29</f>
        <v>767937.72336979501</v>
      </c>
      <c r="F43" s="178">
        <f>'Forecast Revenue - Costs'!G29</f>
        <v>785701.65878678509</v>
      </c>
      <c r="G43" s="178">
        <f>'Forecast Revenue - Costs'!H29</f>
        <v>812236.82525724242</v>
      </c>
      <c r="H43" s="178">
        <f>SUM(C43:G43)</f>
        <v>3885040.8431602027</v>
      </c>
    </row>
    <row r="44" spans="2:8" x14ac:dyDescent="0.2">
      <c r="C44" s="179"/>
      <c r="D44" s="180"/>
      <c r="E44" s="179"/>
      <c r="F44" s="179"/>
      <c r="G44" s="179"/>
    </row>
    <row r="45" spans="2:8" x14ac:dyDescent="0.2">
      <c r="B45" s="192" t="s">
        <v>122</v>
      </c>
      <c r="C45" s="178">
        <f>SUM('Forecast Revenue - Costs'!D30:D32)</f>
        <v>554073.07478588237</v>
      </c>
      <c r="D45" s="178">
        <f>SUM('Forecast Revenue - Costs'!E30:E32)</f>
        <v>554073.07478588237</v>
      </c>
      <c r="E45" s="178">
        <f>SUM('Forecast Revenue - Costs'!F30:F32)</f>
        <v>560167.87860852701</v>
      </c>
      <c r="F45" s="178">
        <f>SUM('Forecast Revenue - Costs'!G30:G32)</f>
        <v>573125.6819764995</v>
      </c>
      <c r="G45" s="178">
        <f>SUM('Forecast Revenue - Costs'!H30:H32)</f>
        <v>592481.61079460033</v>
      </c>
      <c r="H45" s="178">
        <f>SUM(C45:G45)</f>
        <v>2833921.3209513919</v>
      </c>
    </row>
    <row r="46" spans="2:8" x14ac:dyDescent="0.2">
      <c r="C46" s="179"/>
      <c r="D46" s="180"/>
      <c r="E46" s="179"/>
      <c r="F46" s="179"/>
      <c r="G46" s="179"/>
    </row>
    <row r="47" spans="2:8" x14ac:dyDescent="0.2">
      <c r="B47" s="192" t="s">
        <v>123</v>
      </c>
      <c r="C47" s="178">
        <f t="shared" ref="C47:H47" si="0">+C43+C45</f>
        <v>1313655.3926590723</v>
      </c>
      <c r="D47" s="178">
        <f t="shared" si="0"/>
        <v>1313655.3926590723</v>
      </c>
      <c r="E47" s="178">
        <f t="shared" si="0"/>
        <v>1328105.601978322</v>
      </c>
      <c r="F47" s="178">
        <f t="shared" si="0"/>
        <v>1358827.3407632846</v>
      </c>
      <c r="G47" s="178">
        <f t="shared" si="0"/>
        <v>1404718.4360518428</v>
      </c>
      <c r="H47" s="178">
        <f t="shared" si="0"/>
        <v>6718962.1641115947</v>
      </c>
    </row>
    <row r="48" spans="2:8" x14ac:dyDescent="0.2">
      <c r="C48" s="181"/>
      <c r="D48" s="181"/>
      <c r="E48" s="181"/>
      <c r="F48" s="181"/>
      <c r="G48" s="181"/>
    </row>
    <row r="49" spans="2:9" x14ac:dyDescent="0.2">
      <c r="B49" s="182" t="s">
        <v>6</v>
      </c>
    </row>
    <row r="50" spans="2:9" ht="14.25" customHeight="1" x14ac:dyDescent="0.2">
      <c r="B50" s="243"/>
      <c r="C50" s="243"/>
      <c r="D50" s="243"/>
      <c r="E50" s="243"/>
      <c r="F50" s="243"/>
      <c r="G50" s="243"/>
      <c r="H50" s="243"/>
    </row>
    <row r="51" spans="2:9" x14ac:dyDescent="0.2">
      <c r="B51" s="244"/>
      <c r="C51" s="244"/>
      <c r="D51" s="244"/>
      <c r="E51" s="244"/>
      <c r="F51" s="244"/>
      <c r="G51" s="244"/>
      <c r="H51" s="244"/>
      <c r="I51" s="149"/>
    </row>
    <row r="52" spans="2:9" ht="27.75" customHeight="1" x14ac:dyDescent="0.2">
      <c r="B52" s="244"/>
      <c r="C52" s="244"/>
      <c r="D52" s="244"/>
      <c r="E52" s="244"/>
      <c r="F52" s="244"/>
      <c r="G52" s="244"/>
      <c r="H52" s="244"/>
    </row>
    <row r="55" spans="2:9" x14ac:dyDescent="0.2">
      <c r="B55" s="166" t="s">
        <v>82</v>
      </c>
      <c r="C55" s="147"/>
      <c r="D55" s="147"/>
      <c r="E55" s="147"/>
      <c r="F55" s="147"/>
      <c r="G55" s="147"/>
      <c r="H55" s="147"/>
    </row>
    <row r="56" spans="2:9" x14ac:dyDescent="0.2">
      <c r="B56" s="183"/>
    </row>
    <row r="57" spans="2:9" x14ac:dyDescent="0.2">
      <c r="B57" s="184"/>
      <c r="C57" s="185" t="s">
        <v>35</v>
      </c>
      <c r="D57" s="185" t="s">
        <v>36</v>
      </c>
      <c r="E57" s="185" t="s">
        <v>37</v>
      </c>
      <c r="F57" s="185" t="s">
        <v>39</v>
      </c>
      <c r="G57" s="185" t="s">
        <v>38</v>
      </c>
      <c r="H57" s="186" t="s">
        <v>1</v>
      </c>
    </row>
    <row r="58" spans="2:9" x14ac:dyDescent="0.2">
      <c r="C58" s="187"/>
      <c r="D58" s="187"/>
      <c r="E58" s="187"/>
      <c r="F58" s="187"/>
      <c r="G58" s="187"/>
      <c r="H58" s="187"/>
    </row>
    <row r="59" spans="2:9" x14ac:dyDescent="0.2">
      <c r="B59" s="184" t="s">
        <v>12</v>
      </c>
      <c r="C59" s="188">
        <f>'Forecast Revenue - Costs'!D12</f>
        <v>32000</v>
      </c>
      <c r="D59" s="188">
        <f>'Forecast Revenue - Costs'!E12</f>
        <v>32000</v>
      </c>
      <c r="E59" s="188">
        <f>'Forecast Revenue - Costs'!F12</f>
        <v>32000</v>
      </c>
      <c r="F59" s="188">
        <f>'Forecast Revenue - Costs'!G12</f>
        <v>32000</v>
      </c>
      <c r="G59" s="188">
        <f>'Forecast Revenue - Costs'!H12</f>
        <v>32000</v>
      </c>
      <c r="H59" s="188">
        <f>SUM(C59:G59)</f>
        <v>160000</v>
      </c>
    </row>
    <row r="60" spans="2:9" x14ac:dyDescent="0.2">
      <c r="C60" s="189"/>
      <c r="D60" s="189"/>
      <c r="E60" s="189"/>
      <c r="F60" s="189"/>
      <c r="G60" s="189"/>
      <c r="H60" s="190"/>
    </row>
  </sheetData>
  <mergeCells count="13">
    <mergeCell ref="B21:H21"/>
    <mergeCell ref="B6:B7"/>
    <mergeCell ref="B8:B9"/>
    <mergeCell ref="C10:D10"/>
    <mergeCell ref="C3:H3"/>
    <mergeCell ref="B16:H16"/>
    <mergeCell ref="B12:H12"/>
    <mergeCell ref="B17:H17"/>
    <mergeCell ref="B50:H52"/>
    <mergeCell ref="B22:H22"/>
    <mergeCell ref="B23:H23"/>
    <mergeCell ref="B24:H24"/>
    <mergeCell ref="B26:H26"/>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E31" sqref="E30:E31"/>
    </sheetView>
  </sheetViews>
  <sheetFormatPr defaultColWidth="9.140625" defaultRowHeight="12.75" x14ac:dyDescent="0.2"/>
  <cols>
    <col min="1" max="1" width="2.28515625" style="97" customWidth="1"/>
    <col min="2" max="2" width="2.42578125" style="96" customWidth="1"/>
    <col min="3" max="3" width="10.140625" style="96" customWidth="1"/>
    <col min="4" max="9" width="13.140625" style="96" customWidth="1"/>
    <col min="10" max="11" width="9.140625" style="96"/>
    <col min="12" max="12" width="5.28515625" style="96" customWidth="1"/>
    <col min="13" max="13" width="2.42578125" style="97" customWidth="1"/>
    <col min="14" max="16384" width="9.140625" style="97"/>
  </cols>
  <sheetData>
    <row r="1" spans="2:14" ht="9" customHeight="1" x14ac:dyDescent="0.2"/>
    <row r="2" spans="2:14" ht="18" customHeight="1" x14ac:dyDescent="0.2">
      <c r="B2" s="98" t="s">
        <v>16</v>
      </c>
      <c r="C2" s="98"/>
      <c r="D2" s="98"/>
      <c r="E2" s="98"/>
      <c r="F2" s="98"/>
      <c r="G2" s="98"/>
      <c r="H2" s="98"/>
      <c r="I2" s="98"/>
      <c r="J2" s="98"/>
      <c r="K2" s="98"/>
    </row>
    <row r="3" spans="2:14" x14ac:dyDescent="0.2">
      <c r="B3" s="99" t="s">
        <v>0</v>
      </c>
      <c r="C3" s="100"/>
      <c r="D3" s="286" t="str">
        <f>'AER Summary'!C3</f>
        <v>Connection offer service</v>
      </c>
      <c r="E3" s="287"/>
      <c r="F3" s="287"/>
      <c r="G3" s="287"/>
      <c r="H3" s="287"/>
      <c r="I3" s="287"/>
      <c r="J3" s="287"/>
      <c r="K3" s="287"/>
      <c r="N3" s="101"/>
    </row>
    <row r="4" spans="2:14" x14ac:dyDescent="0.2">
      <c r="N4" s="101"/>
    </row>
    <row r="5" spans="2:14" x14ac:dyDescent="0.2">
      <c r="B5" s="260" t="s">
        <v>76</v>
      </c>
      <c r="C5" s="260"/>
      <c r="D5" s="260"/>
      <c r="E5" s="260"/>
      <c r="F5" s="260"/>
      <c r="G5" s="260"/>
      <c r="H5" s="260"/>
      <c r="I5" s="260"/>
      <c r="J5" s="260"/>
      <c r="K5" s="260"/>
      <c r="N5" s="101"/>
    </row>
    <row r="6" spans="2:14" ht="240.75" customHeight="1" x14ac:dyDescent="0.2">
      <c r="B6" s="261" t="s">
        <v>69</v>
      </c>
      <c r="C6" s="262"/>
      <c r="D6" s="262"/>
      <c r="E6" s="262"/>
      <c r="F6" s="262"/>
      <c r="G6" s="262"/>
      <c r="H6" s="262"/>
      <c r="I6" s="262"/>
      <c r="J6" s="262"/>
      <c r="K6" s="262"/>
      <c r="N6" s="101"/>
    </row>
    <row r="9" spans="2:14" x14ac:dyDescent="0.2">
      <c r="B9" s="260" t="s">
        <v>42</v>
      </c>
      <c r="C9" s="260"/>
      <c r="D9" s="260"/>
      <c r="E9" s="260"/>
      <c r="F9" s="260"/>
      <c r="G9" s="260"/>
      <c r="H9" s="260"/>
      <c r="I9" s="260"/>
      <c r="J9" s="260"/>
      <c r="K9" s="260"/>
    </row>
    <row r="10" spans="2:14" ht="15" customHeight="1" x14ac:dyDescent="0.2">
      <c r="B10" s="259" t="s">
        <v>70</v>
      </c>
      <c r="C10" s="259"/>
      <c r="D10" s="259"/>
      <c r="E10" s="259"/>
      <c r="F10" s="259"/>
      <c r="G10" s="259"/>
      <c r="H10" s="259"/>
      <c r="I10" s="259"/>
      <c r="J10" s="259"/>
      <c r="K10" s="259"/>
    </row>
    <row r="11" spans="2:14" ht="24.75" customHeight="1" x14ac:dyDescent="0.2">
      <c r="B11" s="263"/>
      <c r="C11" s="263"/>
      <c r="D11" s="263"/>
      <c r="E11" s="263"/>
      <c r="F11" s="263"/>
      <c r="G11" s="263"/>
      <c r="H11" s="263"/>
      <c r="I11" s="263"/>
      <c r="J11" s="263"/>
      <c r="K11" s="263"/>
      <c r="L11" s="102"/>
      <c r="M11" s="103"/>
      <c r="N11" s="103"/>
    </row>
    <row r="12" spans="2:14" x14ac:dyDescent="0.2">
      <c r="B12" s="263"/>
      <c r="C12" s="263"/>
      <c r="D12" s="263"/>
      <c r="E12" s="263"/>
      <c r="F12" s="263"/>
      <c r="G12" s="263"/>
      <c r="H12" s="263"/>
      <c r="I12" s="263"/>
      <c r="J12" s="263"/>
      <c r="K12" s="263"/>
      <c r="L12" s="102"/>
      <c r="M12" s="103"/>
      <c r="N12" s="103"/>
    </row>
    <row r="13" spans="2:14" x14ac:dyDescent="0.2">
      <c r="B13" s="263"/>
      <c r="C13" s="263"/>
      <c r="D13" s="263"/>
      <c r="E13" s="263"/>
      <c r="F13" s="263"/>
      <c r="G13" s="263"/>
      <c r="H13" s="263"/>
      <c r="I13" s="263"/>
      <c r="J13" s="263"/>
      <c r="K13" s="263"/>
      <c r="L13" s="102"/>
      <c r="M13" s="103"/>
      <c r="N13" s="103"/>
    </row>
    <row r="14" spans="2:14" ht="48" customHeight="1" x14ac:dyDescent="0.2">
      <c r="B14" s="263"/>
      <c r="C14" s="263"/>
      <c r="D14" s="263"/>
      <c r="E14" s="263"/>
      <c r="F14" s="263"/>
      <c r="G14" s="263"/>
      <c r="H14" s="263"/>
      <c r="I14" s="263"/>
      <c r="J14" s="263"/>
      <c r="K14" s="263"/>
      <c r="L14" s="102"/>
      <c r="M14" s="103"/>
      <c r="N14" s="103"/>
    </row>
    <row r="15" spans="2:14" x14ac:dyDescent="0.2">
      <c r="B15" s="263"/>
      <c r="C15" s="263"/>
      <c r="D15" s="263"/>
      <c r="E15" s="263"/>
      <c r="F15" s="263"/>
      <c r="G15" s="263"/>
      <c r="H15" s="263"/>
      <c r="I15" s="263"/>
      <c r="J15" s="263"/>
      <c r="K15" s="263"/>
      <c r="L15" s="102"/>
      <c r="M15" s="103"/>
      <c r="N15" s="103"/>
    </row>
    <row r="16" spans="2:14" x14ac:dyDescent="0.2">
      <c r="B16" s="263"/>
      <c r="C16" s="263"/>
      <c r="D16" s="263"/>
      <c r="E16" s="263"/>
      <c r="F16" s="263"/>
      <c r="G16" s="263"/>
      <c r="H16" s="263"/>
      <c r="I16" s="263"/>
      <c r="J16" s="263"/>
      <c r="K16" s="263"/>
      <c r="L16" s="102"/>
      <c r="M16" s="103"/>
      <c r="N16" s="103"/>
    </row>
    <row r="17" spans="2:14" x14ac:dyDescent="0.2">
      <c r="L17" s="102"/>
      <c r="M17" s="103"/>
      <c r="N17" s="103"/>
    </row>
    <row r="18" spans="2:14" x14ac:dyDescent="0.2">
      <c r="L18" s="102"/>
      <c r="M18" s="103"/>
      <c r="N18" s="103"/>
    </row>
    <row r="19" spans="2:14" x14ac:dyDescent="0.2">
      <c r="B19" s="260" t="s">
        <v>43</v>
      </c>
      <c r="C19" s="260"/>
      <c r="D19" s="260"/>
      <c r="E19" s="260"/>
      <c r="F19" s="260"/>
      <c r="G19" s="260"/>
      <c r="H19" s="260"/>
      <c r="I19" s="260"/>
      <c r="J19" s="260"/>
      <c r="K19" s="260"/>
      <c r="L19" s="102"/>
      <c r="M19" s="103"/>
      <c r="N19" s="103"/>
    </row>
    <row r="20" spans="2:14" ht="291.75" customHeight="1" x14ac:dyDescent="0.2">
      <c r="B20" s="258" t="str">
        <f>'AER Summary'!B12:H12</f>
        <v xml:space="preserve">
Connection offer service
Connection Offer Service 
Services provided by Essential Energy in assessing connection applications and making basic and standard connection
offers.
This may include, without limitation:
&gt; Assessment of application by relevant staff and if the application is deemed to require a basic or standard
connection offer service, the application is allocated to Network Connections.
&gt; Network Connections is responsible for deriving the estimated loading on the electrical distribution network,
technically known as the ADMD (After Diversity Maximum Demand). This estimate depends on such
factors as the number of customers served and specific features of the customer’s demand.
&gt; Once the ADMD is derived the customer is advised what is required to connect to the electrical distribution
network. This could be one of the following methods of supply:
- A direct distributor from an existing substation,
- A direct distributor from a new kiosk substation,
- A direct distributor from a new pole mounted transformer substation,
- A direct distributor from a new chamber substation.
&gt; Once the assessment has been completed by Network Connections, relevant staff forward the assessment
of the standard connection offer to the customer.
Service fees may be charged for connection applications which are incomplete or include non-compliant information.</v>
      </c>
      <c r="C20" s="259"/>
      <c r="D20" s="259"/>
      <c r="E20" s="259"/>
      <c r="F20" s="259"/>
      <c r="G20" s="259"/>
      <c r="H20" s="259"/>
      <c r="I20" s="259"/>
      <c r="J20" s="259"/>
      <c r="K20" s="259"/>
    </row>
    <row r="21" spans="2:14" x14ac:dyDescent="0.2">
      <c r="B21" s="257"/>
      <c r="C21" s="257"/>
      <c r="D21" s="257"/>
      <c r="E21" s="257"/>
      <c r="F21" s="257"/>
      <c r="G21" s="257"/>
      <c r="H21" s="257"/>
      <c r="I21" s="257"/>
      <c r="J21" s="257"/>
      <c r="K21" s="257"/>
    </row>
    <row r="34" spans="2:12" x14ac:dyDescent="0.2">
      <c r="B34" s="97"/>
      <c r="C34" s="97"/>
      <c r="D34" s="97"/>
      <c r="E34" s="97"/>
      <c r="F34" s="97"/>
      <c r="G34" s="97"/>
      <c r="H34" s="97"/>
      <c r="I34" s="97"/>
      <c r="J34" s="97"/>
      <c r="K34" s="97"/>
      <c r="L34" s="97"/>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2:I38"/>
  <sheetViews>
    <sheetView showGridLines="0" workbookViewId="0">
      <selection activeCell="H24" sqref="H24"/>
    </sheetView>
  </sheetViews>
  <sheetFormatPr defaultColWidth="9.140625" defaultRowHeight="12.75" x14ac:dyDescent="0.2"/>
  <cols>
    <col min="1" max="1" width="3.5703125" style="28" customWidth="1"/>
    <col min="2" max="2" width="59.85546875" style="28" customWidth="1"/>
    <col min="3" max="3" width="61.42578125" style="28" customWidth="1"/>
    <col min="4" max="4" width="12.85546875" style="28" customWidth="1"/>
    <col min="5" max="8" width="11.28515625" style="28" customWidth="1"/>
    <col min="9" max="9" width="12.7109375" style="28" customWidth="1"/>
    <col min="10" max="16384" width="9.140625" style="28"/>
  </cols>
  <sheetData>
    <row r="2" spans="2:9" x14ac:dyDescent="0.2">
      <c r="B2" s="26" t="s">
        <v>77</v>
      </c>
      <c r="C2" s="18"/>
      <c r="D2" s="18"/>
      <c r="E2" s="18"/>
      <c r="F2" s="18"/>
      <c r="G2" s="18"/>
      <c r="H2" s="18"/>
      <c r="I2" s="18"/>
    </row>
    <row r="3" spans="2:9" x14ac:dyDescent="0.2">
      <c r="B3" s="10" t="s">
        <v>19</v>
      </c>
      <c r="C3" s="10" t="s">
        <v>3</v>
      </c>
      <c r="D3" s="39" t="s">
        <v>60</v>
      </c>
      <c r="E3" s="39" t="s">
        <v>59</v>
      </c>
      <c r="F3" s="39" t="s">
        <v>58</v>
      </c>
      <c r="G3" s="39" t="s">
        <v>102</v>
      </c>
      <c r="H3" s="39" t="s">
        <v>103</v>
      </c>
      <c r="I3" s="11" t="s">
        <v>1</v>
      </c>
    </row>
    <row r="4" spans="2:9" x14ac:dyDescent="0.2">
      <c r="B4" s="3" t="s">
        <v>20</v>
      </c>
      <c r="C4" s="70" t="s">
        <v>79</v>
      </c>
      <c r="D4" s="56"/>
      <c r="E4" s="56">
        <v>808343.63</v>
      </c>
      <c r="F4" s="56">
        <v>745228.89</v>
      </c>
      <c r="G4" s="56">
        <v>756917.78</v>
      </c>
      <c r="H4" s="56">
        <f>G4*102.5%</f>
        <v>775840.72450000001</v>
      </c>
      <c r="I4" s="193">
        <f>SUM(D4:H4)</f>
        <v>3086331.0244999998</v>
      </c>
    </row>
    <row r="5" spans="2:9" x14ac:dyDescent="0.2">
      <c r="B5" s="3" t="s">
        <v>22</v>
      </c>
      <c r="C5" s="5"/>
      <c r="D5" s="56"/>
      <c r="E5" s="56">
        <v>0</v>
      </c>
      <c r="F5" s="56">
        <v>0</v>
      </c>
      <c r="G5" s="56">
        <v>0</v>
      </c>
      <c r="H5" s="56">
        <f t="shared" ref="H5:H8" si="0">G5*102.5%</f>
        <v>0</v>
      </c>
      <c r="I5" s="193">
        <f t="shared" ref="I5:I8" si="1">SUM(D5:H5)</f>
        <v>0</v>
      </c>
    </row>
    <row r="6" spans="2:9" x14ac:dyDescent="0.2">
      <c r="B6" s="3" t="s">
        <v>23</v>
      </c>
      <c r="C6" s="3"/>
      <c r="D6" s="56">
        <v>0</v>
      </c>
      <c r="E6" s="56">
        <v>106441.26</v>
      </c>
      <c r="F6" s="56">
        <v>103966.5</v>
      </c>
      <c r="G6" s="56">
        <v>105778.24000000001</v>
      </c>
      <c r="H6" s="56">
        <f t="shared" si="0"/>
        <v>108422.696</v>
      </c>
      <c r="I6" s="193">
        <f t="shared" si="1"/>
        <v>424608.696</v>
      </c>
    </row>
    <row r="7" spans="2:9" x14ac:dyDescent="0.2">
      <c r="B7" s="3" t="s">
        <v>24</v>
      </c>
      <c r="C7" s="3"/>
      <c r="D7" s="56"/>
      <c r="E7" s="56">
        <v>0</v>
      </c>
      <c r="F7" s="56">
        <v>0</v>
      </c>
      <c r="G7" s="56">
        <v>0</v>
      </c>
      <c r="H7" s="56">
        <f t="shared" si="0"/>
        <v>0</v>
      </c>
      <c r="I7" s="193">
        <f t="shared" si="1"/>
        <v>0</v>
      </c>
    </row>
    <row r="8" spans="2:9" x14ac:dyDescent="0.2">
      <c r="B8" s="3" t="s">
        <v>21</v>
      </c>
      <c r="C8" s="3"/>
      <c r="D8" s="12"/>
      <c r="E8" s="12">
        <v>530286.55000000005</v>
      </c>
      <c r="F8" s="12">
        <v>526452.72</v>
      </c>
      <c r="G8" s="12">
        <v>507855.12</v>
      </c>
      <c r="H8" s="56">
        <f t="shared" si="0"/>
        <v>520551.49799999996</v>
      </c>
      <c r="I8" s="193">
        <f t="shared" si="1"/>
        <v>2085145.888</v>
      </c>
    </row>
    <row r="9" spans="2:9" x14ac:dyDescent="0.2">
      <c r="B9" s="35" t="s">
        <v>1</v>
      </c>
      <c r="C9" s="13"/>
      <c r="D9" s="14">
        <f>SUM(D4:D8)</f>
        <v>0</v>
      </c>
      <c r="E9" s="14">
        <f>SUM(E4:E8)</f>
        <v>1445071.44</v>
      </c>
      <c r="F9" s="69">
        <f t="shared" ref="F9:I9" si="2">SUM(F4:F8)</f>
        <v>1375648.1099999999</v>
      </c>
      <c r="G9" s="69">
        <f t="shared" si="2"/>
        <v>1370551.1400000001</v>
      </c>
      <c r="H9" s="69">
        <f t="shared" si="2"/>
        <v>1404814.9184999999</v>
      </c>
      <c r="I9" s="15">
        <f t="shared" si="2"/>
        <v>5596085.6085000001</v>
      </c>
    </row>
    <row r="10" spans="2:9" x14ac:dyDescent="0.2">
      <c r="B10" s="31"/>
      <c r="C10" s="32"/>
      <c r="D10" s="33"/>
      <c r="E10" s="33"/>
      <c r="F10" s="33"/>
      <c r="G10" s="33"/>
      <c r="H10" s="33"/>
      <c r="I10" s="33"/>
    </row>
    <row r="11" spans="2:9" x14ac:dyDescent="0.2">
      <c r="B11" s="26" t="s">
        <v>77</v>
      </c>
      <c r="C11" s="18"/>
      <c r="D11" s="18"/>
      <c r="E11" s="18"/>
      <c r="F11" s="18"/>
      <c r="G11" s="18"/>
      <c r="H11" s="18"/>
      <c r="I11" s="18"/>
    </row>
    <row r="12" spans="2:9" x14ac:dyDescent="0.2">
      <c r="B12" s="10" t="s">
        <v>19</v>
      </c>
      <c r="C12" s="10" t="s">
        <v>3</v>
      </c>
      <c r="D12" s="39" t="s">
        <v>60</v>
      </c>
      <c r="E12" s="39" t="s">
        <v>59</v>
      </c>
      <c r="F12" s="39" t="s">
        <v>58</v>
      </c>
      <c r="G12" s="39" t="s">
        <v>102</v>
      </c>
      <c r="H12" s="39" t="s">
        <v>103</v>
      </c>
      <c r="I12" s="11" t="s">
        <v>1</v>
      </c>
    </row>
    <row r="13" spans="2:9" x14ac:dyDescent="0.2">
      <c r="B13" s="3" t="s">
        <v>20</v>
      </c>
      <c r="C13" s="4" t="s">
        <v>80</v>
      </c>
      <c r="D13" s="56"/>
      <c r="E13" s="56">
        <v>70872.77</v>
      </c>
      <c r="F13" s="56">
        <v>194180.48000000001</v>
      </c>
      <c r="G13" s="56">
        <v>213097.08</v>
      </c>
      <c r="H13" s="56">
        <f>G13*102.5%</f>
        <v>218424.50699999995</v>
      </c>
      <c r="I13" s="193">
        <f>SUM(D13:H13)</f>
        <v>696574.83699999994</v>
      </c>
    </row>
    <row r="14" spans="2:9" x14ac:dyDescent="0.2">
      <c r="B14" s="3" t="s">
        <v>22</v>
      </c>
      <c r="C14" s="5"/>
      <c r="D14" s="56"/>
      <c r="E14" s="56">
        <v>0</v>
      </c>
      <c r="F14" s="56">
        <v>0</v>
      </c>
      <c r="G14" s="56">
        <v>0</v>
      </c>
      <c r="H14" s="56">
        <f t="shared" ref="H14:H17" si="3">G14*102.5%</f>
        <v>0</v>
      </c>
      <c r="I14" s="193">
        <f t="shared" ref="I14:I17" si="4">SUM(D14:H14)</f>
        <v>0</v>
      </c>
    </row>
    <row r="15" spans="2:9" x14ac:dyDescent="0.2">
      <c r="B15" s="3" t="s">
        <v>23</v>
      </c>
      <c r="C15" s="3"/>
      <c r="D15" s="56">
        <v>0</v>
      </c>
      <c r="E15" s="56">
        <v>14218.85</v>
      </c>
      <c r="F15" s="56">
        <v>16083.87</v>
      </c>
      <c r="G15" s="56">
        <v>11507.62</v>
      </c>
      <c r="H15" s="56">
        <f t="shared" si="3"/>
        <v>11795.3105</v>
      </c>
      <c r="I15" s="193">
        <f t="shared" si="4"/>
        <v>53605.650500000003</v>
      </c>
    </row>
    <row r="16" spans="2:9" x14ac:dyDescent="0.2">
      <c r="B16" s="3" t="s">
        <v>24</v>
      </c>
      <c r="C16" s="3"/>
      <c r="D16" s="56"/>
      <c r="E16" s="56">
        <v>0</v>
      </c>
      <c r="F16" s="56">
        <v>0</v>
      </c>
      <c r="G16" s="56">
        <v>0</v>
      </c>
      <c r="H16" s="56">
        <f t="shared" si="3"/>
        <v>0</v>
      </c>
      <c r="I16" s="193">
        <f t="shared" si="4"/>
        <v>0</v>
      </c>
    </row>
    <row r="17" spans="2:9" x14ac:dyDescent="0.2">
      <c r="B17" s="3" t="s">
        <v>21</v>
      </c>
      <c r="C17" s="3"/>
      <c r="D17" s="12"/>
      <c r="E17" s="12">
        <v>36466.730000000003</v>
      </c>
      <c r="F17" s="12">
        <v>141740.39000000001</v>
      </c>
      <c r="G17" s="12">
        <v>129650.58</v>
      </c>
      <c r="H17" s="56">
        <f t="shared" si="3"/>
        <v>132891.84449999998</v>
      </c>
      <c r="I17" s="193">
        <f t="shared" si="4"/>
        <v>440749.54449999996</v>
      </c>
    </row>
    <row r="18" spans="2:9" x14ac:dyDescent="0.2">
      <c r="B18" s="35" t="s">
        <v>1</v>
      </c>
      <c r="C18" s="13"/>
      <c r="D18" s="14">
        <f>SUM(D13:D17)</f>
        <v>0</v>
      </c>
      <c r="E18" s="14">
        <f>SUM(E13:E17)</f>
        <v>121558.35</v>
      </c>
      <c r="F18" s="69">
        <f t="shared" ref="F18:I18" si="5">SUM(F13:F17)</f>
        <v>352004.74</v>
      </c>
      <c r="G18" s="69">
        <f t="shared" si="5"/>
        <v>354255.27999999997</v>
      </c>
      <c r="H18" s="69">
        <f t="shared" si="5"/>
        <v>363111.66199999989</v>
      </c>
      <c r="I18" s="15">
        <f t="shared" si="5"/>
        <v>1190930.0319999999</v>
      </c>
    </row>
    <row r="19" spans="2:9" x14ac:dyDescent="0.2">
      <c r="B19" s="31"/>
      <c r="C19" s="32"/>
      <c r="D19" s="33"/>
      <c r="E19" s="33"/>
      <c r="F19" s="33"/>
      <c r="G19" s="33"/>
      <c r="H19" s="33"/>
      <c r="I19" s="33"/>
    </row>
    <row r="20" spans="2:9" x14ac:dyDescent="0.2">
      <c r="B20" s="34" t="s">
        <v>10</v>
      </c>
      <c r="C20" s="17"/>
      <c r="D20" s="17"/>
      <c r="E20" s="17"/>
      <c r="F20" s="17"/>
      <c r="G20" s="17"/>
      <c r="H20" s="17"/>
      <c r="I20" s="17"/>
    </row>
    <row r="21" spans="2:9" x14ac:dyDescent="0.2">
      <c r="B21" s="130" t="s">
        <v>4</v>
      </c>
      <c r="C21" s="130" t="s">
        <v>9</v>
      </c>
      <c r="D21" s="39" t="s">
        <v>60</v>
      </c>
      <c r="E21" s="39" t="s">
        <v>59</v>
      </c>
      <c r="F21" s="39" t="s">
        <v>58</v>
      </c>
      <c r="G21" s="39" t="s">
        <v>102</v>
      </c>
      <c r="H21" s="39" t="s">
        <v>103</v>
      </c>
      <c r="I21" s="134" t="s">
        <v>1</v>
      </c>
    </row>
    <row r="22" spans="2:9" x14ac:dyDescent="0.2">
      <c r="B22" s="3" t="s">
        <v>97</v>
      </c>
      <c r="C22" s="131" t="s">
        <v>98</v>
      </c>
      <c r="D22" s="71" t="s">
        <v>100</v>
      </c>
      <c r="E22" s="6">
        <v>31017</v>
      </c>
      <c r="F22" s="68">
        <f>'Historical Revenue'!F14</f>
        <v>32965</v>
      </c>
      <c r="G22" s="71">
        <v>30000</v>
      </c>
      <c r="H22" s="71">
        <v>30000</v>
      </c>
      <c r="I22" s="194">
        <f>SUM(D22:H22)</f>
        <v>123982</v>
      </c>
    </row>
    <row r="23" spans="2:9" x14ac:dyDescent="0.2">
      <c r="B23" s="3"/>
      <c r="C23" s="3" t="s">
        <v>99</v>
      </c>
      <c r="D23" s="71" t="s">
        <v>100</v>
      </c>
      <c r="E23" s="6">
        <v>2084</v>
      </c>
      <c r="F23" s="68">
        <f>'Historical Revenue'!F15</f>
        <v>3529</v>
      </c>
      <c r="G23" s="71">
        <v>2000</v>
      </c>
      <c r="H23" s="71">
        <v>2000</v>
      </c>
      <c r="I23" s="194">
        <f>SUM(D23:H23)</f>
        <v>9613</v>
      </c>
    </row>
    <row r="24" spans="2:9" x14ac:dyDescent="0.2">
      <c r="B24" s="132" t="s">
        <v>51</v>
      </c>
      <c r="C24" s="10"/>
      <c r="D24" s="133">
        <f t="shared" ref="D24:I24" si="6">SUM(D22:D23)</f>
        <v>0</v>
      </c>
      <c r="E24" s="133">
        <f t="shared" si="6"/>
        <v>33101</v>
      </c>
      <c r="F24" s="133">
        <f t="shared" si="6"/>
        <v>36494</v>
      </c>
      <c r="G24" s="133">
        <f t="shared" si="6"/>
        <v>32000</v>
      </c>
      <c r="H24" s="133">
        <f t="shared" si="6"/>
        <v>32000</v>
      </c>
      <c r="I24" s="133">
        <f t="shared" si="6"/>
        <v>133595</v>
      </c>
    </row>
    <row r="26" spans="2:9" x14ac:dyDescent="0.2">
      <c r="B26" s="8" t="s">
        <v>6</v>
      </c>
      <c r="C26" s="1"/>
      <c r="D26" s="7"/>
      <c r="E26" s="104"/>
      <c r="F26" s="104"/>
      <c r="G26" s="104"/>
      <c r="H26" s="104"/>
      <c r="I26" s="7"/>
    </row>
    <row r="27" spans="2:9" ht="12.75" customHeight="1" x14ac:dyDescent="0.2">
      <c r="B27" s="268" t="s">
        <v>104</v>
      </c>
      <c r="C27" s="269"/>
      <c r="D27" s="269"/>
      <c r="E27" s="269"/>
      <c r="F27" s="269"/>
      <c r="G27" s="269"/>
      <c r="H27" s="106"/>
      <c r="I27" s="106"/>
    </row>
    <row r="28" spans="2:9" x14ac:dyDescent="0.2">
      <c r="B28" s="107" t="s">
        <v>105</v>
      </c>
      <c r="C28" s="108"/>
      <c r="D28" s="108"/>
      <c r="E28" s="108"/>
      <c r="F28" s="108"/>
      <c r="G28" s="108"/>
      <c r="H28" s="108"/>
      <c r="I28" s="108"/>
    </row>
    <row r="29" spans="2:9" x14ac:dyDescent="0.2">
      <c r="B29" s="107" t="s">
        <v>106</v>
      </c>
      <c r="C29" s="108"/>
      <c r="D29" s="108"/>
      <c r="E29" s="108"/>
      <c r="F29" s="108"/>
      <c r="G29" s="108"/>
      <c r="H29" s="108"/>
      <c r="I29" s="108"/>
    </row>
    <row r="30" spans="2:9" x14ac:dyDescent="0.2">
      <c r="B30" s="107" t="s">
        <v>118</v>
      </c>
      <c r="C30" s="108"/>
      <c r="D30" s="108"/>
      <c r="E30" s="108"/>
      <c r="F30" s="108"/>
      <c r="G30" s="108"/>
      <c r="H30" s="108"/>
      <c r="I30" s="108"/>
    </row>
    <row r="31" spans="2:9" x14ac:dyDescent="0.2">
      <c r="B31" s="107" t="s">
        <v>107</v>
      </c>
      <c r="C31" s="108"/>
      <c r="D31" s="108"/>
      <c r="E31" s="108"/>
      <c r="F31" s="108"/>
      <c r="G31" s="108"/>
      <c r="H31" s="108"/>
      <c r="I31" s="108"/>
    </row>
    <row r="32" spans="2:9" x14ac:dyDescent="0.2">
      <c r="B32" s="36" t="s">
        <v>108</v>
      </c>
      <c r="C32" s="19"/>
      <c r="D32" s="19"/>
      <c r="E32" s="19"/>
      <c r="F32" s="19"/>
      <c r="G32" s="105"/>
      <c r="H32" s="105"/>
      <c r="I32" s="19"/>
    </row>
    <row r="33" spans="2:9" x14ac:dyDescent="0.2">
      <c r="B33" s="1"/>
      <c r="C33" s="1"/>
      <c r="D33" s="7"/>
      <c r="E33" s="7"/>
      <c r="F33" s="7"/>
      <c r="G33" s="7"/>
      <c r="H33" s="7"/>
      <c r="I33" s="7"/>
    </row>
    <row r="34" spans="2:9" x14ac:dyDescent="0.2">
      <c r="B34" s="34" t="s">
        <v>94</v>
      </c>
      <c r="C34" s="17"/>
      <c r="D34" s="17"/>
      <c r="E34" s="17"/>
      <c r="F34" s="17"/>
      <c r="G34" s="17"/>
      <c r="H34" s="17"/>
      <c r="I34" s="17"/>
    </row>
    <row r="35" spans="2:9" x14ac:dyDescent="0.2">
      <c r="B35" s="288" t="s">
        <v>11</v>
      </c>
      <c r="C35" s="289"/>
      <c r="D35" s="289"/>
      <c r="E35" s="289"/>
      <c r="F35" s="289"/>
      <c r="G35" s="289"/>
      <c r="H35" s="289"/>
      <c r="I35" s="290"/>
    </row>
    <row r="36" spans="2:9" x14ac:dyDescent="0.2">
      <c r="B36" s="264" t="s">
        <v>86</v>
      </c>
      <c r="C36" s="265"/>
      <c r="D36" s="265"/>
      <c r="E36" s="265"/>
      <c r="F36" s="265"/>
      <c r="G36" s="265"/>
      <c r="H36" s="265"/>
      <c r="I36" s="265"/>
    </row>
    <row r="37" spans="2:9" x14ac:dyDescent="0.2">
      <c r="B37" s="266"/>
      <c r="C37" s="267"/>
      <c r="D37" s="267"/>
      <c r="E37" s="267"/>
      <c r="F37" s="267"/>
      <c r="G37" s="267"/>
      <c r="H37" s="267"/>
      <c r="I37" s="267"/>
    </row>
    <row r="38" spans="2:9" x14ac:dyDescent="0.2">
      <c r="B38" s="37"/>
      <c r="C38" s="9"/>
      <c r="D38" s="9"/>
      <c r="E38" s="9"/>
      <c r="F38" s="9"/>
      <c r="G38" s="9"/>
      <c r="H38" s="9"/>
      <c r="I38" s="9"/>
    </row>
  </sheetData>
  <mergeCells count="2">
    <mergeCell ref="B36:I37"/>
    <mergeCell ref="B27:G2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2:AI35"/>
  <sheetViews>
    <sheetView showGridLines="0" topLeftCell="S1" workbookViewId="0">
      <selection activeCell="T32" sqref="T32"/>
    </sheetView>
  </sheetViews>
  <sheetFormatPr defaultColWidth="9.140625" defaultRowHeight="12.75" x14ac:dyDescent="0.2"/>
  <cols>
    <col min="1" max="1" width="2.28515625" style="1" customWidth="1"/>
    <col min="2" max="2" width="76.28515625" style="1" customWidth="1"/>
    <col min="3" max="3" width="15.140625" style="46" bestFit="1" customWidth="1"/>
    <col min="4" max="4" width="9.140625" style="54"/>
    <col min="5" max="5" width="9.140625" style="43"/>
    <col min="6" max="6" width="9.140625" style="50"/>
    <col min="7" max="14" width="9.140625" style="1"/>
    <col min="15" max="15" width="11.28515625" style="1" customWidth="1"/>
    <col min="16" max="17" width="9.140625" style="1"/>
    <col min="18" max="18" width="2.85546875" style="1" customWidth="1"/>
    <col min="19" max="19" width="9.140625" style="1"/>
    <col min="20" max="20" width="76.28515625" style="1" customWidth="1"/>
    <col min="21" max="21" width="15.140625" style="1" bestFit="1" customWidth="1"/>
    <col min="22" max="32" width="9.140625" style="1"/>
    <col min="33" max="33" width="11.28515625" style="1" customWidth="1"/>
    <col min="34" max="36" width="9.140625" style="1"/>
    <col min="37" max="37" width="9.140625" style="1" customWidth="1"/>
    <col min="38" max="38" width="53.7109375" style="1" customWidth="1"/>
    <col min="39" max="39" width="15.7109375" style="1" customWidth="1"/>
    <col min="40" max="16384" width="9.140625" style="1"/>
  </cols>
  <sheetData>
    <row r="2" spans="2:35" x14ac:dyDescent="0.2">
      <c r="B2" s="197" t="s">
        <v>53</v>
      </c>
      <c r="C2" s="198"/>
      <c r="D2" s="198"/>
      <c r="E2" s="198"/>
      <c r="F2" s="198"/>
      <c r="G2" s="198"/>
      <c r="H2" s="270" t="s">
        <v>124</v>
      </c>
      <c r="I2" s="270"/>
      <c r="J2" s="270"/>
      <c r="K2" s="270"/>
      <c r="L2" s="270"/>
      <c r="M2" s="270"/>
      <c r="N2" s="270"/>
      <c r="O2" s="270"/>
      <c r="P2" s="270"/>
      <c r="Q2" s="270"/>
      <c r="T2" s="197" t="s">
        <v>53</v>
      </c>
      <c r="U2" s="198"/>
      <c r="V2" s="198"/>
      <c r="W2" s="198"/>
      <c r="X2" s="198"/>
      <c r="Y2" s="198"/>
      <c r="Z2" s="270" t="s">
        <v>124</v>
      </c>
      <c r="AA2" s="270"/>
      <c r="AB2" s="270"/>
      <c r="AC2" s="270"/>
      <c r="AD2" s="270"/>
      <c r="AE2" s="270"/>
      <c r="AF2" s="270"/>
      <c r="AG2" s="270"/>
      <c r="AH2" s="270"/>
      <c r="AI2" s="270"/>
    </row>
    <row r="3" spans="2:35" ht="15.75" x14ac:dyDescent="0.25">
      <c r="B3" s="38" t="s">
        <v>139</v>
      </c>
      <c r="C3" s="27"/>
      <c r="D3" s="51"/>
      <c r="E3" s="40"/>
      <c r="F3" s="47"/>
      <c r="G3" s="145"/>
      <c r="H3" s="271" t="s">
        <v>125</v>
      </c>
      <c r="I3" s="271"/>
      <c r="J3" s="271"/>
      <c r="K3" s="271"/>
      <c r="L3" s="271"/>
      <c r="M3" s="271"/>
      <c r="N3" s="271"/>
      <c r="O3" s="271"/>
      <c r="P3" s="271"/>
      <c r="Q3" s="271"/>
      <c r="T3" s="38" t="s">
        <v>138</v>
      </c>
      <c r="U3" s="27"/>
      <c r="V3" s="51"/>
      <c r="W3" s="40"/>
      <c r="X3" s="47"/>
      <c r="Y3" s="145"/>
      <c r="Z3" s="271" t="s">
        <v>125</v>
      </c>
      <c r="AA3" s="271"/>
      <c r="AB3" s="271"/>
      <c r="AC3" s="271"/>
      <c r="AD3" s="271"/>
      <c r="AE3" s="271"/>
      <c r="AF3" s="271"/>
      <c r="AG3" s="271"/>
      <c r="AH3" s="271"/>
      <c r="AI3" s="271"/>
    </row>
    <row r="4" spans="2:35" s="20" customFormat="1" ht="3" customHeight="1" x14ac:dyDescent="0.2">
      <c r="B4" s="21"/>
      <c r="C4" s="44"/>
      <c r="D4" s="52"/>
      <c r="E4" s="41"/>
      <c r="F4" s="48"/>
      <c r="G4" s="21"/>
      <c r="H4" s="48"/>
      <c r="I4" s="48"/>
      <c r="J4" s="48"/>
      <c r="K4" s="48"/>
      <c r="L4" s="48"/>
      <c r="M4" s="48"/>
      <c r="N4" s="48"/>
      <c r="O4" s="48"/>
      <c r="P4" s="48"/>
      <c r="Q4" s="48"/>
      <c r="T4" s="21"/>
      <c r="U4" s="44"/>
      <c r="V4" s="52"/>
      <c r="W4" s="41"/>
      <c r="X4" s="48"/>
      <c r="Y4" s="21"/>
      <c r="Z4" s="48"/>
      <c r="AA4" s="48"/>
      <c r="AB4" s="48"/>
      <c r="AC4" s="48"/>
      <c r="AD4" s="48"/>
      <c r="AE4" s="48"/>
      <c r="AF4" s="48"/>
      <c r="AG4" s="48"/>
      <c r="AH4" s="48"/>
      <c r="AI4" s="48"/>
    </row>
    <row r="5" spans="2:35" ht="76.5" x14ac:dyDescent="0.2">
      <c r="B5" s="22" t="s">
        <v>18</v>
      </c>
      <c r="C5" s="22" t="s">
        <v>30</v>
      </c>
      <c r="D5" s="57" t="s">
        <v>67</v>
      </c>
      <c r="E5" s="58" t="s">
        <v>32</v>
      </c>
      <c r="F5" s="57" t="s">
        <v>31</v>
      </c>
      <c r="G5" s="57" t="s">
        <v>126</v>
      </c>
      <c r="H5" s="57" t="s">
        <v>127</v>
      </c>
      <c r="I5" s="57" t="s">
        <v>128</v>
      </c>
      <c r="J5" s="57" t="s">
        <v>129</v>
      </c>
      <c r="K5" s="59" t="s">
        <v>130</v>
      </c>
      <c r="L5" s="59" t="s">
        <v>131</v>
      </c>
      <c r="M5" s="57" t="s">
        <v>132</v>
      </c>
      <c r="N5" s="57" t="s">
        <v>133</v>
      </c>
      <c r="O5" s="57" t="s">
        <v>134</v>
      </c>
      <c r="P5" s="57" t="s">
        <v>135</v>
      </c>
      <c r="Q5" s="57" t="s">
        <v>136</v>
      </c>
      <c r="R5" s="29"/>
      <c r="T5" s="22" t="s">
        <v>18</v>
      </c>
      <c r="U5" s="22" t="s">
        <v>30</v>
      </c>
      <c r="V5" s="57" t="s">
        <v>67</v>
      </c>
      <c r="W5" s="58" t="s">
        <v>32</v>
      </c>
      <c r="X5" s="57" t="s">
        <v>31</v>
      </c>
      <c r="Y5" s="57" t="s">
        <v>126</v>
      </c>
      <c r="Z5" s="57" t="s">
        <v>127</v>
      </c>
      <c r="AA5" s="57" t="s">
        <v>128</v>
      </c>
      <c r="AB5" s="57" t="s">
        <v>129</v>
      </c>
      <c r="AC5" s="59" t="s">
        <v>130</v>
      </c>
      <c r="AD5" s="59" t="s">
        <v>131</v>
      </c>
      <c r="AE5" s="57" t="s">
        <v>132</v>
      </c>
      <c r="AF5" s="57" t="s">
        <v>133</v>
      </c>
      <c r="AG5" s="57" t="s">
        <v>134</v>
      </c>
      <c r="AH5" s="57" t="s">
        <v>135</v>
      </c>
      <c r="AI5" s="57" t="s">
        <v>136</v>
      </c>
    </row>
    <row r="6" spans="2:35" x14ac:dyDescent="0.2">
      <c r="B6" s="65" t="s">
        <v>117</v>
      </c>
      <c r="C6" s="66"/>
      <c r="D6" s="66"/>
      <c r="E6" s="66"/>
      <c r="F6" s="66"/>
      <c r="G6" s="66"/>
      <c r="H6" s="66"/>
      <c r="I6" s="66"/>
      <c r="J6" s="66"/>
      <c r="K6" s="66"/>
      <c r="L6" s="66"/>
      <c r="M6" s="66"/>
      <c r="N6" s="66"/>
      <c r="O6" s="66"/>
      <c r="P6" s="66"/>
      <c r="Q6" s="67"/>
      <c r="R6" s="16"/>
      <c r="T6" s="65" t="s">
        <v>137</v>
      </c>
      <c r="U6" s="66"/>
      <c r="V6" s="66"/>
      <c r="W6" s="66"/>
      <c r="X6" s="66"/>
      <c r="Y6" s="66"/>
      <c r="Z6" s="66"/>
      <c r="AA6" s="66"/>
      <c r="AB6" s="66"/>
      <c r="AC6" s="66"/>
      <c r="AD6" s="66"/>
      <c r="AE6" s="66"/>
      <c r="AF6" s="66"/>
      <c r="AG6" s="66"/>
      <c r="AH6" s="66"/>
      <c r="AI6" s="67"/>
    </row>
    <row r="7" spans="2:35" x14ac:dyDescent="0.2">
      <c r="B7" s="60" t="s">
        <v>74</v>
      </c>
      <c r="C7" s="61" t="s">
        <v>71</v>
      </c>
      <c r="D7" s="62">
        <v>0.25</v>
      </c>
      <c r="E7" s="63">
        <v>1</v>
      </c>
      <c r="F7" s="64">
        <f t="shared" ref="F7" si="0">E7*D7</f>
        <v>0.25</v>
      </c>
      <c r="G7" s="199">
        <v>0</v>
      </c>
      <c r="H7" s="200">
        <f>IF(G7=0,VLOOKUP(C:C,[1]Inputs!$B$20:$H$25,7,FALSE)*F7,VLOOKUP(C:C,[1]Inputs!$B$20:$I$25,8,FALSE)*F7)</f>
        <v>18.43537075443</v>
      </c>
      <c r="I7" s="64">
        <f>VLOOKUP(C:C,[1]Inputs!$C$54:$G$59,5,FALSE)*F7</f>
        <v>0</v>
      </c>
      <c r="J7" s="64"/>
      <c r="K7" s="64"/>
      <c r="L7" s="64"/>
      <c r="M7" s="64">
        <f>SUM(H7:J7)</f>
        <v>18.43537075443</v>
      </c>
      <c r="N7" s="64">
        <f>[1]Inputs!$M$43*M7</f>
        <v>8.5895298276667482</v>
      </c>
      <c r="O7" s="64">
        <f>[1]Inputs!$M$48*M7</f>
        <v>2.9566202423750805</v>
      </c>
      <c r="P7" s="200">
        <f>[1]Inputs!$H$13*SUM(M7:O7)</f>
        <v>1.9014280506880035</v>
      </c>
      <c r="Q7" s="64">
        <f t="shared" ref="Q7" si="1">SUM(M7:P7)</f>
        <v>31.882948875159833</v>
      </c>
      <c r="R7" s="30"/>
      <c r="T7" s="230" t="s">
        <v>160</v>
      </c>
      <c r="U7" s="231" t="s">
        <v>52</v>
      </c>
      <c r="V7" s="231">
        <v>0.5</v>
      </c>
      <c r="W7" s="231">
        <v>1</v>
      </c>
      <c r="X7" s="231">
        <f>V7*W7</f>
        <v>0.5</v>
      </c>
      <c r="Y7" s="231">
        <v>0</v>
      </c>
      <c r="Z7" s="231">
        <f>IF(Y7=0,VLOOKUP(U:U,[1]Inputs!$B$20:$H$25,7,FALSE)*X7,VLOOKUP(U:U,[1]Inputs!$B$20:$I$25,8,FALSE)*X7)</f>
        <v>51.630298810072496</v>
      </c>
      <c r="AA7" s="231">
        <f>VLOOKUP(U:U,[1]Inputs!$C$54:$G$59,5,FALSE)*X7</f>
        <v>0</v>
      </c>
      <c r="AB7" s="231"/>
      <c r="AC7" s="231"/>
      <c r="AD7" s="231"/>
      <c r="AE7" s="231">
        <f>SUM(Z7:AB7)</f>
        <v>51.630298810072496</v>
      </c>
      <c r="AF7" s="231">
        <f>[1]Inputs!$M$43*AE7</f>
        <v>24.055930176174893</v>
      </c>
      <c r="AG7" s="231">
        <f>[1]Inputs!$M$48*AE7</f>
        <v>8.2803426421490585</v>
      </c>
      <c r="AH7" s="231">
        <f>[1]Inputs!$H$13*SUM(AE7:AG7)</f>
        <v>5.3251599726729033</v>
      </c>
      <c r="AI7" s="231">
        <f t="shared" ref="AI7" si="2">SUM(AE7:AH7)</f>
        <v>89.291731601069358</v>
      </c>
    </row>
    <row r="8" spans="2:35" x14ac:dyDescent="0.2">
      <c r="B8" s="272" t="s">
        <v>1</v>
      </c>
      <c r="C8" s="273"/>
      <c r="D8" s="273"/>
      <c r="E8" s="274"/>
      <c r="F8" s="55">
        <f>SUM(F7:F7)</f>
        <v>0.25</v>
      </c>
      <c r="G8" s="55">
        <f t="shared" ref="G8:Q8" si="3">SUM(G7:G7)</f>
        <v>0</v>
      </c>
      <c r="H8" s="55">
        <f t="shared" si="3"/>
        <v>18.43537075443</v>
      </c>
      <c r="I8" s="55">
        <f t="shared" si="3"/>
        <v>0</v>
      </c>
      <c r="J8" s="55">
        <f t="shared" si="3"/>
        <v>0</v>
      </c>
      <c r="K8" s="55">
        <f t="shared" si="3"/>
        <v>0</v>
      </c>
      <c r="L8" s="55">
        <f t="shared" si="3"/>
        <v>0</v>
      </c>
      <c r="M8" s="55">
        <f t="shared" si="3"/>
        <v>18.43537075443</v>
      </c>
      <c r="N8" s="55">
        <f t="shared" si="3"/>
        <v>8.5895298276667482</v>
      </c>
      <c r="O8" s="55">
        <f t="shared" si="3"/>
        <v>2.9566202423750805</v>
      </c>
      <c r="P8" s="55">
        <f t="shared" si="3"/>
        <v>1.9014280506880035</v>
      </c>
      <c r="Q8" s="55">
        <f t="shared" si="3"/>
        <v>31.882948875159833</v>
      </c>
      <c r="R8" s="29"/>
      <c r="T8" s="60" t="s">
        <v>74</v>
      </c>
      <c r="U8" s="61" t="s">
        <v>52</v>
      </c>
      <c r="V8" s="62">
        <v>0.5</v>
      </c>
      <c r="W8" s="231">
        <v>1</v>
      </c>
      <c r="X8" s="64">
        <f>V8*W8</f>
        <v>0.5</v>
      </c>
      <c r="Y8" s="199">
        <v>0</v>
      </c>
      <c r="Z8" s="229">
        <f>IF(Y8=0,VLOOKUP(U:U,[1]Inputs!$B$20:$H$25,7,FALSE)*X8,VLOOKUP(U:U,[1]Inputs!$B$20:$I$25,8,FALSE)*X8)</f>
        <v>51.630298810072496</v>
      </c>
      <c r="AA8" s="64">
        <f>VLOOKUP(U:U,[1]Inputs!$C$54:$G$59,5,FALSE)*X8</f>
        <v>0</v>
      </c>
      <c r="AB8" s="64"/>
      <c r="AC8" s="64"/>
      <c r="AD8" s="64"/>
      <c r="AE8" s="64">
        <f>SUM(Z8:AB8)</f>
        <v>51.630298810072496</v>
      </c>
      <c r="AF8" s="64">
        <f>[1]Inputs!$M$43*AE8</f>
        <v>24.055930176174893</v>
      </c>
      <c r="AG8" s="64">
        <f>[1]Inputs!$M$48*AE8</f>
        <v>8.2803426421490585</v>
      </c>
      <c r="AH8" s="229">
        <f>[1]Inputs!$H$13*SUM(AE8:AG8)</f>
        <v>5.3251599726729033</v>
      </c>
      <c r="AI8" s="64">
        <f t="shared" ref="AI8" si="4">SUM(AE8:AH8)</f>
        <v>89.291731601069358</v>
      </c>
    </row>
    <row r="9" spans="2:35" x14ac:dyDescent="0.2">
      <c r="B9" s="23"/>
      <c r="C9" s="45"/>
      <c r="D9" s="53"/>
      <c r="E9" s="42"/>
      <c r="F9" s="49"/>
      <c r="G9" s="201"/>
      <c r="H9" s="24"/>
      <c r="I9" s="95"/>
      <c r="J9" s="95"/>
      <c r="K9" s="95"/>
      <c r="L9" s="95"/>
      <c r="M9" s="95"/>
      <c r="N9" s="95"/>
      <c r="O9" s="95"/>
      <c r="P9" s="25"/>
      <c r="Q9" s="25"/>
      <c r="T9" s="272" t="s">
        <v>1</v>
      </c>
      <c r="U9" s="273"/>
      <c r="V9" s="273"/>
      <c r="W9" s="274"/>
      <c r="X9" s="55">
        <f>SUM(X7:X8)</f>
        <v>1</v>
      </c>
      <c r="Y9" s="55">
        <f t="shared" ref="Y9:AI9" si="5">SUM(Y7:Y8)</f>
        <v>0</v>
      </c>
      <c r="Z9" s="55">
        <f t="shared" si="5"/>
        <v>103.26059762014499</v>
      </c>
      <c r="AA9" s="55">
        <f t="shared" si="5"/>
        <v>0</v>
      </c>
      <c r="AB9" s="55">
        <f t="shared" si="5"/>
        <v>0</v>
      </c>
      <c r="AC9" s="55">
        <f t="shared" si="5"/>
        <v>0</v>
      </c>
      <c r="AD9" s="55">
        <f t="shared" si="5"/>
        <v>0</v>
      </c>
      <c r="AE9" s="55">
        <f t="shared" si="5"/>
        <v>103.26059762014499</v>
      </c>
      <c r="AF9" s="55">
        <f t="shared" si="5"/>
        <v>48.111860352349787</v>
      </c>
      <c r="AG9" s="55">
        <f t="shared" si="5"/>
        <v>16.560685284298117</v>
      </c>
      <c r="AH9" s="55">
        <f t="shared" si="5"/>
        <v>10.650319945345807</v>
      </c>
      <c r="AI9" s="55">
        <f t="shared" si="5"/>
        <v>178.58346320213872</v>
      </c>
    </row>
    <row r="10" spans="2:35" x14ac:dyDescent="0.2">
      <c r="B10" s="23"/>
      <c r="C10" s="45"/>
      <c r="D10" s="53"/>
      <c r="E10" s="42"/>
      <c r="F10" s="49"/>
    </row>
    <row r="22" spans="18:18" x14ac:dyDescent="0.2">
      <c r="R22" s="29"/>
    </row>
    <row r="35" spans="18:18" x14ac:dyDescent="0.2">
      <c r="R35" s="29"/>
    </row>
  </sheetData>
  <mergeCells count="6">
    <mergeCell ref="Z2:AI2"/>
    <mergeCell ref="Z3:AI3"/>
    <mergeCell ref="T9:W9"/>
    <mergeCell ref="B8:E8"/>
    <mergeCell ref="H2:Q2"/>
    <mergeCell ref="H3:Q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9"/>
  <sheetViews>
    <sheetView showGridLines="0" workbookViewId="0">
      <selection activeCell="E33" sqref="E33"/>
    </sheetView>
  </sheetViews>
  <sheetFormatPr defaultColWidth="9.140625" defaultRowHeight="12.75" x14ac:dyDescent="0.2"/>
  <cols>
    <col min="1" max="1" width="3.140625" style="111" customWidth="1"/>
    <col min="2" max="2" width="80" style="111" bestFit="1" customWidth="1"/>
    <col min="3" max="3" width="65.140625" style="111" customWidth="1"/>
    <col min="4" max="4" width="12.85546875" style="111" customWidth="1"/>
    <col min="5" max="5" width="11.28515625" style="111" customWidth="1"/>
    <col min="6" max="8" width="11.85546875" style="111" customWidth="1"/>
    <col min="9" max="9" width="12.7109375" style="111" customWidth="1"/>
    <col min="10" max="16384" width="9.140625" style="111"/>
  </cols>
  <sheetData>
    <row r="2" spans="2:9" x14ac:dyDescent="0.2">
      <c r="B2" s="109" t="s">
        <v>8</v>
      </c>
      <c r="C2" s="110"/>
      <c r="D2" s="110"/>
      <c r="E2" s="110"/>
      <c r="F2" s="110"/>
      <c r="G2" s="110"/>
      <c r="H2" s="110"/>
      <c r="I2" s="110"/>
    </row>
    <row r="3" spans="2:9" x14ac:dyDescent="0.2">
      <c r="B3" s="112"/>
      <c r="C3" s="112"/>
      <c r="D3" s="112"/>
      <c r="E3" s="112"/>
      <c r="F3" s="112"/>
      <c r="G3" s="112"/>
      <c r="H3" s="112"/>
      <c r="I3" s="112"/>
    </row>
    <row r="4" spans="2:9" x14ac:dyDescent="0.2">
      <c r="B4" s="109" t="s">
        <v>2</v>
      </c>
      <c r="C4" s="110"/>
      <c r="D4" s="110"/>
      <c r="E4" s="110"/>
      <c r="F4" s="110"/>
      <c r="G4" s="110"/>
      <c r="H4" s="110"/>
      <c r="I4" s="110"/>
    </row>
    <row r="5" spans="2:9" x14ac:dyDescent="0.2">
      <c r="B5" s="135" t="s">
        <v>78</v>
      </c>
      <c r="C5" s="135" t="s">
        <v>9</v>
      </c>
      <c r="D5" s="136" t="s">
        <v>60</v>
      </c>
      <c r="E5" s="136" t="s">
        <v>59</v>
      </c>
      <c r="F5" s="136" t="s">
        <v>58</v>
      </c>
      <c r="G5" s="113" t="s">
        <v>102</v>
      </c>
      <c r="H5" s="113" t="s">
        <v>103</v>
      </c>
      <c r="I5" s="137" t="s">
        <v>1</v>
      </c>
    </row>
    <row r="6" spans="2:9" ht="14.25" customHeight="1" x14ac:dyDescent="0.2">
      <c r="B6" s="114" t="s">
        <v>79</v>
      </c>
      <c r="C6" s="115" t="s">
        <v>85</v>
      </c>
      <c r="D6" s="116" t="s">
        <v>100</v>
      </c>
      <c r="E6" s="117">
        <v>270357.33</v>
      </c>
      <c r="F6" s="117">
        <v>610585.31000000006</v>
      </c>
      <c r="G6" s="117">
        <v>706834.12</v>
      </c>
      <c r="H6" s="117">
        <f>G6*102.5%</f>
        <v>724504.97299999988</v>
      </c>
      <c r="I6" s="195">
        <f>SUM(D6:H6)</f>
        <v>2312281.733</v>
      </c>
    </row>
    <row r="7" spans="2:9" x14ac:dyDescent="0.2">
      <c r="B7" s="138" t="s">
        <v>80</v>
      </c>
      <c r="C7" s="115" t="s">
        <v>85</v>
      </c>
      <c r="D7" s="116" t="s">
        <v>100</v>
      </c>
      <c r="E7" s="117">
        <v>68207.539999999994</v>
      </c>
      <c r="F7" s="117">
        <v>182637.27</v>
      </c>
      <c r="G7" s="117">
        <v>244148.84</v>
      </c>
      <c r="H7" s="117">
        <f>G7*102.5%</f>
        <v>250252.56099999999</v>
      </c>
      <c r="I7" s="195">
        <f>SUM(D7:H7)</f>
        <v>745246.21100000001</v>
      </c>
    </row>
    <row r="8" spans="2:9" x14ac:dyDescent="0.2">
      <c r="B8" s="138"/>
      <c r="C8" s="118"/>
      <c r="D8" s="117"/>
      <c r="E8" s="117"/>
      <c r="F8" s="117"/>
      <c r="G8" s="117"/>
      <c r="H8" s="117"/>
      <c r="I8" s="195">
        <f t="shared" ref="I8:I9" si="0">SUM(D8:H8)</f>
        <v>0</v>
      </c>
    </row>
    <row r="9" spans="2:9" x14ac:dyDescent="0.2">
      <c r="B9" s="138"/>
      <c r="C9" s="118"/>
      <c r="D9" s="117"/>
      <c r="E9" s="117"/>
      <c r="F9" s="117"/>
      <c r="G9" s="117"/>
      <c r="H9" s="117"/>
      <c r="I9" s="195">
        <f t="shared" si="0"/>
        <v>0</v>
      </c>
    </row>
    <row r="10" spans="2:9" x14ac:dyDescent="0.2">
      <c r="B10" s="139" t="s">
        <v>1</v>
      </c>
      <c r="C10" s="139"/>
      <c r="D10" s="140">
        <f t="shared" ref="D10:I10" si="1">SUM(D6:D9)</f>
        <v>0</v>
      </c>
      <c r="E10" s="140">
        <f t="shared" si="1"/>
        <v>338564.87</v>
      </c>
      <c r="F10" s="140">
        <f t="shared" si="1"/>
        <v>793222.58000000007</v>
      </c>
      <c r="G10" s="140">
        <f t="shared" si="1"/>
        <v>950982.96</v>
      </c>
      <c r="H10" s="140">
        <f>SUM(H6:H9)</f>
        <v>974757.53399999987</v>
      </c>
      <c r="I10" s="141">
        <f t="shared" si="1"/>
        <v>3057527.9440000001</v>
      </c>
    </row>
    <row r="11" spans="2:9" x14ac:dyDescent="0.2">
      <c r="B11" s="112"/>
      <c r="C11" s="112"/>
      <c r="D11" s="112"/>
      <c r="E11" s="112"/>
      <c r="F11" s="112"/>
      <c r="G11" s="112"/>
      <c r="H11" s="112"/>
      <c r="I11" s="112"/>
    </row>
    <row r="12" spans="2:9" x14ac:dyDescent="0.2">
      <c r="B12" s="109" t="s">
        <v>10</v>
      </c>
      <c r="C12" s="110"/>
      <c r="D12" s="110"/>
      <c r="E12" s="110"/>
      <c r="F12" s="110"/>
      <c r="G12" s="110"/>
      <c r="H12" s="110"/>
      <c r="I12" s="110"/>
    </row>
    <row r="13" spans="2:9" x14ac:dyDescent="0.2">
      <c r="B13" s="135" t="s">
        <v>4</v>
      </c>
      <c r="C13" s="135"/>
      <c r="D13" s="136" t="s">
        <v>60</v>
      </c>
      <c r="E13" s="136" t="s">
        <v>59</v>
      </c>
      <c r="F13" s="136" t="s">
        <v>58</v>
      </c>
      <c r="G13" s="113" t="s">
        <v>102</v>
      </c>
      <c r="H13" s="113" t="s">
        <v>103</v>
      </c>
      <c r="I13" s="137" t="s">
        <v>1</v>
      </c>
    </row>
    <row r="14" spans="2:9" x14ac:dyDescent="0.2">
      <c r="B14" s="138" t="s">
        <v>83</v>
      </c>
      <c r="C14" s="142" t="s">
        <v>75</v>
      </c>
      <c r="D14" s="119" t="s">
        <v>100</v>
      </c>
      <c r="E14" s="120">
        <v>31017</v>
      </c>
      <c r="F14" s="121">
        <v>32965</v>
      </c>
      <c r="G14" s="121">
        <v>30000</v>
      </c>
      <c r="H14" s="121">
        <v>30000</v>
      </c>
      <c r="I14" s="196">
        <f>SUM(D14:H14)</f>
        <v>123982</v>
      </c>
    </row>
    <row r="15" spans="2:9" x14ac:dyDescent="0.2">
      <c r="B15" s="138"/>
      <c r="C15" s="138" t="s">
        <v>84</v>
      </c>
      <c r="D15" s="119" t="s">
        <v>100</v>
      </c>
      <c r="E15" s="120">
        <v>2084</v>
      </c>
      <c r="F15" s="121">
        <v>3529</v>
      </c>
      <c r="G15" s="121">
        <v>2000</v>
      </c>
      <c r="H15" s="121">
        <v>2000</v>
      </c>
      <c r="I15" s="196">
        <f>SUM(D15:H15)</f>
        <v>9613</v>
      </c>
    </row>
    <row r="16" spans="2:9" x14ac:dyDescent="0.2">
      <c r="B16" s="143" t="s">
        <v>17</v>
      </c>
      <c r="C16" s="139"/>
      <c r="D16" s="144">
        <f>SUM(D14:D15)</f>
        <v>0</v>
      </c>
      <c r="E16" s="144">
        <f>SUM(E14:E15)</f>
        <v>33101</v>
      </c>
      <c r="F16" s="144">
        <f>SUM(F14:F15)</f>
        <v>36494</v>
      </c>
      <c r="G16" s="144">
        <f t="shared" ref="G16:H16" si="2">SUM(G14:G15)</f>
        <v>32000</v>
      </c>
      <c r="H16" s="144">
        <f t="shared" si="2"/>
        <v>32000</v>
      </c>
      <c r="I16" s="144">
        <f>SUM(I14:I15)</f>
        <v>133595</v>
      </c>
    </row>
    <row r="17" spans="2:9" x14ac:dyDescent="0.2">
      <c r="B17" s="112"/>
      <c r="C17" s="112"/>
      <c r="D17" s="122"/>
      <c r="E17" s="122"/>
      <c r="F17" s="122"/>
      <c r="G17" s="122"/>
      <c r="H17" s="122"/>
      <c r="I17" s="122"/>
    </row>
    <row r="18" spans="2:9" x14ac:dyDescent="0.2">
      <c r="B18" s="123" t="s">
        <v>6</v>
      </c>
      <c r="C18" s="112"/>
      <c r="D18" s="122"/>
      <c r="E18" s="122"/>
      <c r="F18" s="122"/>
      <c r="G18" s="122"/>
      <c r="H18" s="122"/>
      <c r="I18" s="122"/>
    </row>
    <row r="19" spans="2:9" x14ac:dyDescent="0.2">
      <c r="B19" s="124" t="s">
        <v>109</v>
      </c>
      <c r="C19" s="124"/>
      <c r="D19" s="124"/>
      <c r="E19" s="124"/>
      <c r="F19" s="124"/>
      <c r="G19" s="124"/>
      <c r="H19" s="124"/>
      <c r="I19" s="124"/>
    </row>
    <row r="20" spans="2:9" x14ac:dyDescent="0.2">
      <c r="B20" s="125" t="s">
        <v>110</v>
      </c>
      <c r="C20" s="125"/>
      <c r="D20" s="125"/>
      <c r="E20" s="125"/>
      <c r="F20" s="125"/>
      <c r="G20" s="125"/>
      <c r="H20" s="125"/>
      <c r="I20" s="125"/>
    </row>
    <row r="21" spans="2:9" x14ac:dyDescent="0.2">
      <c r="B21" s="125" t="s">
        <v>111</v>
      </c>
      <c r="C21" s="125"/>
      <c r="D21" s="125"/>
      <c r="E21" s="125"/>
      <c r="F21" s="125"/>
      <c r="G21" s="125"/>
      <c r="H21" s="125"/>
      <c r="I21" s="125"/>
    </row>
    <row r="22" spans="2:9" x14ac:dyDescent="0.2">
      <c r="B22" s="125" t="s">
        <v>112</v>
      </c>
      <c r="C22" s="125"/>
      <c r="D22" s="125"/>
      <c r="E22" s="125"/>
      <c r="F22" s="125"/>
      <c r="G22" s="125"/>
      <c r="H22" s="125"/>
      <c r="I22" s="125"/>
    </row>
    <row r="23" spans="2:9" x14ac:dyDescent="0.2">
      <c r="B23" s="125" t="s">
        <v>113</v>
      </c>
      <c r="C23" s="125"/>
      <c r="D23" s="125"/>
      <c r="E23" s="125"/>
      <c r="F23" s="125"/>
      <c r="G23" s="125"/>
      <c r="H23" s="125"/>
      <c r="I23" s="125"/>
    </row>
    <row r="24" spans="2:9" x14ac:dyDescent="0.2">
      <c r="B24" s="112"/>
      <c r="C24" s="112"/>
      <c r="D24" s="122"/>
      <c r="E24" s="122"/>
      <c r="F24" s="122"/>
      <c r="G24" s="122"/>
      <c r="H24" s="122"/>
      <c r="I24" s="122"/>
    </row>
    <row r="25" spans="2:9" x14ac:dyDescent="0.2">
      <c r="B25" s="109" t="s">
        <v>2</v>
      </c>
      <c r="C25" s="110"/>
      <c r="D25" s="110"/>
      <c r="E25" s="110"/>
      <c r="F25" s="110"/>
      <c r="G25" s="110"/>
      <c r="H25" s="110"/>
      <c r="I25" s="110"/>
    </row>
    <row r="26" spans="2:9" x14ac:dyDescent="0.2">
      <c r="B26" s="126" t="s">
        <v>11</v>
      </c>
      <c r="C26" s="127"/>
      <c r="D26" s="127"/>
      <c r="E26" s="127"/>
      <c r="F26" s="127"/>
      <c r="G26" s="127"/>
      <c r="H26" s="127"/>
      <c r="I26" s="127"/>
    </row>
    <row r="27" spans="2:9" x14ac:dyDescent="0.2">
      <c r="B27" s="275" t="s">
        <v>87</v>
      </c>
      <c r="C27" s="275"/>
      <c r="D27" s="275"/>
      <c r="E27" s="275"/>
      <c r="F27" s="275"/>
      <c r="G27" s="275"/>
      <c r="H27" s="275"/>
      <c r="I27" s="275"/>
    </row>
    <row r="28" spans="2:9" x14ac:dyDescent="0.2">
      <c r="B28" s="276"/>
      <c r="C28" s="276"/>
      <c r="D28" s="276"/>
      <c r="E28" s="276"/>
      <c r="F28" s="276"/>
      <c r="G28" s="276"/>
      <c r="H28" s="276"/>
      <c r="I28" s="276"/>
    </row>
    <row r="29" spans="2:9" x14ac:dyDescent="0.2">
      <c r="B29" s="128"/>
      <c r="C29" s="129"/>
      <c r="D29" s="129"/>
      <c r="E29" s="129"/>
      <c r="F29" s="129"/>
      <c r="G29" s="129"/>
      <c r="H29" s="129"/>
      <c r="I29" s="129"/>
    </row>
  </sheetData>
  <mergeCells count="1">
    <mergeCell ref="B27:I2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B02A4-3EBE-4908-86FC-D7C42FA7EAB9}">
  <dimension ref="B1:O40"/>
  <sheetViews>
    <sheetView workbookViewId="0">
      <selection activeCell="C43" sqref="C43"/>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140</v>
      </c>
      <c r="D1" s="202">
        <f>[1]Inputs!H16</f>
        <v>1</v>
      </c>
      <c r="E1" s="202">
        <f>[1]Inputs!I16</f>
        <v>1</v>
      </c>
      <c r="F1" s="202">
        <f>[1]Inputs!J16</f>
        <v>1.0109999999999999</v>
      </c>
      <c r="G1" s="202">
        <f>[1]Inputs!K16</f>
        <v>1.0231319999999999</v>
      </c>
      <c r="H1" s="202">
        <f>[1]Inputs!L16</f>
        <v>1.0337725727999998</v>
      </c>
      <c r="K1" s="203">
        <f>D1</f>
        <v>1</v>
      </c>
      <c r="L1" s="203">
        <f t="shared" ref="L1:O5" si="0">E1</f>
        <v>1</v>
      </c>
      <c r="M1" s="203">
        <f t="shared" si="0"/>
        <v>1.0109999999999999</v>
      </c>
      <c r="N1" s="203">
        <f t="shared" si="0"/>
        <v>1.0231319999999999</v>
      </c>
      <c r="O1" s="203">
        <f t="shared" si="0"/>
        <v>1.0337725727999998</v>
      </c>
    </row>
    <row r="2" spans="2:15" x14ac:dyDescent="0.25">
      <c r="B2" t="s">
        <v>141</v>
      </c>
      <c r="D2" s="202">
        <f>[1]Inputs!H61</f>
        <v>0.04</v>
      </c>
      <c r="E2" s="202">
        <f>[1]Inputs!I61</f>
        <v>0.04</v>
      </c>
      <c r="F2" s="202">
        <f>[1]Inputs!J61</f>
        <v>0.04</v>
      </c>
      <c r="G2" s="202">
        <f>[1]Inputs!K61</f>
        <v>0.04</v>
      </c>
      <c r="H2" s="202">
        <f>[1]Inputs!L61</f>
        <v>0.04</v>
      </c>
      <c r="K2" s="203"/>
      <c r="L2" s="203"/>
      <c r="M2" s="203"/>
      <c r="N2" s="203"/>
      <c r="O2" s="203"/>
    </row>
    <row r="3" spans="2:15" x14ac:dyDescent="0.25">
      <c r="B3" t="s">
        <v>142</v>
      </c>
      <c r="D3" s="203">
        <f>[1]Inputs!$M$43</f>
        <v>0.46592661151676018</v>
      </c>
      <c r="E3" s="203">
        <f>[1]Inputs!$M$43</f>
        <v>0.46592661151676018</v>
      </c>
      <c r="F3" s="203">
        <f>[1]Inputs!$M$43</f>
        <v>0.46592661151676018</v>
      </c>
      <c r="G3" s="203">
        <f>[1]Inputs!$M$43</f>
        <v>0.46592661151676018</v>
      </c>
      <c r="H3" s="203">
        <f>[1]Inputs!$M$43</f>
        <v>0.46592661151676018</v>
      </c>
      <c r="K3" s="203">
        <f t="shared" ref="K3:K5" si="1">D3</f>
        <v>0.46592661151676018</v>
      </c>
      <c r="L3" s="203">
        <f t="shared" si="0"/>
        <v>0.46592661151676018</v>
      </c>
      <c r="M3" s="203">
        <f t="shared" si="0"/>
        <v>0.46592661151676018</v>
      </c>
      <c r="N3" s="203">
        <f t="shared" si="0"/>
        <v>0.46592661151676018</v>
      </c>
      <c r="O3" s="203">
        <f t="shared" si="0"/>
        <v>0.46592661151676018</v>
      </c>
    </row>
    <row r="4" spans="2:15" x14ac:dyDescent="0.25">
      <c r="B4" t="s">
        <v>143</v>
      </c>
      <c r="D4" s="203">
        <f>[1]Inputs!$M$48</f>
        <v>0.16037758511933414</v>
      </c>
      <c r="E4" s="203">
        <f>[1]Inputs!$M$48</f>
        <v>0.16037758511933414</v>
      </c>
      <c r="F4" s="203">
        <f>[1]Inputs!$M$48</f>
        <v>0.16037758511933414</v>
      </c>
      <c r="G4" s="203">
        <f>[1]Inputs!$M$48</f>
        <v>0.16037758511933414</v>
      </c>
      <c r="H4" s="203">
        <f>[1]Inputs!$M$48</f>
        <v>0.16037758511933414</v>
      </c>
      <c r="K4" s="203">
        <f t="shared" si="1"/>
        <v>0.16037758511933414</v>
      </c>
      <c r="L4" s="203">
        <f t="shared" si="0"/>
        <v>0.16037758511933414</v>
      </c>
      <c r="M4" s="203">
        <f t="shared" si="0"/>
        <v>0.16037758511933414</v>
      </c>
      <c r="N4" s="203">
        <f t="shared" si="0"/>
        <v>0.16037758511933414</v>
      </c>
      <c r="O4" s="203">
        <f t="shared" si="0"/>
        <v>0.16037758511933414</v>
      </c>
    </row>
    <row r="5" spans="2:15" x14ac:dyDescent="0.25">
      <c r="B5" t="s">
        <v>144</v>
      </c>
      <c r="D5" s="203">
        <f>[1]Inputs!$H$13</f>
        <v>6.3420000000000004E-2</v>
      </c>
      <c r="E5" s="203">
        <f>[1]Inputs!$H$13</f>
        <v>6.3420000000000004E-2</v>
      </c>
      <c r="F5" s="203">
        <f>[1]Inputs!$H$13</f>
        <v>6.3420000000000004E-2</v>
      </c>
      <c r="G5" s="203">
        <f>[1]Inputs!$H$13</f>
        <v>6.3420000000000004E-2</v>
      </c>
      <c r="H5" s="203">
        <f>[1]Inputs!$H$13</f>
        <v>6.3420000000000004E-2</v>
      </c>
      <c r="K5" s="203">
        <f t="shared" si="1"/>
        <v>6.3420000000000004E-2</v>
      </c>
      <c r="L5" s="203">
        <f t="shared" si="0"/>
        <v>6.3420000000000004E-2</v>
      </c>
      <c r="M5" s="203">
        <f t="shared" si="0"/>
        <v>6.3420000000000004E-2</v>
      </c>
      <c r="N5" s="203">
        <f t="shared" si="0"/>
        <v>6.3420000000000004E-2</v>
      </c>
      <c r="O5" s="203">
        <f t="shared" si="0"/>
        <v>6.3420000000000004E-2</v>
      </c>
    </row>
    <row r="6" spans="2:15" s="204" customFormat="1" ht="15.75" x14ac:dyDescent="0.25">
      <c r="D6" s="277" t="s">
        <v>145</v>
      </c>
      <c r="E6" s="277"/>
      <c r="F6" s="277"/>
      <c r="G6" s="277"/>
      <c r="H6" s="277"/>
      <c r="J6" s="278" t="s">
        <v>146</v>
      </c>
      <c r="K6" s="278"/>
      <c r="L6" s="278"/>
      <c r="M6" s="278"/>
      <c r="N6" s="278"/>
      <c r="O6" s="278"/>
    </row>
    <row r="7" spans="2:15" x14ac:dyDescent="0.25">
      <c r="B7" s="205" t="s">
        <v>162</v>
      </c>
      <c r="C7" s="206"/>
      <c r="D7" s="206" t="s">
        <v>147</v>
      </c>
      <c r="E7" s="206" t="s">
        <v>148</v>
      </c>
      <c r="F7" s="206" t="s">
        <v>149</v>
      </c>
      <c r="G7" s="206" t="s">
        <v>150</v>
      </c>
      <c r="H7" s="206" t="s">
        <v>151</v>
      </c>
    </row>
    <row r="8" spans="2:15" x14ac:dyDescent="0.25">
      <c r="B8" s="207" t="s">
        <v>127</v>
      </c>
      <c r="C8" s="208"/>
      <c r="D8" s="209">
        <f t="shared" ref="D8:D14" si="2">(D19*D$27)+(D31*D$39)</f>
        <v>759582.31787319004</v>
      </c>
      <c r="E8" s="209">
        <f t="shared" ref="E8:H8" si="3">(E19*E$27)+(E31*E$39)</f>
        <v>759582.31787319004</v>
      </c>
      <c r="F8" s="209">
        <f t="shared" si="3"/>
        <v>767937.72336979501</v>
      </c>
      <c r="G8" s="209">
        <f t="shared" si="3"/>
        <v>785701.65878678509</v>
      </c>
      <c r="H8" s="209">
        <f t="shared" si="3"/>
        <v>812236.82525724242</v>
      </c>
    </row>
    <row r="9" spans="2:15" x14ac:dyDescent="0.25">
      <c r="B9" s="207" t="s">
        <v>128</v>
      </c>
      <c r="C9" s="208"/>
      <c r="D9" s="209">
        <f t="shared" si="2"/>
        <v>0</v>
      </c>
      <c r="E9" s="209">
        <f t="shared" ref="E9:H9" si="4">(E20*E$27)+(E32*E$39)</f>
        <v>0</v>
      </c>
      <c r="F9" s="209">
        <f t="shared" si="4"/>
        <v>0</v>
      </c>
      <c r="G9" s="209">
        <f t="shared" si="4"/>
        <v>0</v>
      </c>
      <c r="H9" s="209">
        <f t="shared" si="4"/>
        <v>0</v>
      </c>
    </row>
    <row r="10" spans="2:15" x14ac:dyDescent="0.25">
      <c r="B10" s="207" t="s">
        <v>129</v>
      </c>
      <c r="C10" s="208"/>
      <c r="D10" s="209">
        <f t="shared" si="2"/>
        <v>0</v>
      </c>
      <c r="E10" s="209">
        <f t="shared" ref="E10:H10" si="5">(E21*E$27)+(E33*E$39)</f>
        <v>0</v>
      </c>
      <c r="F10" s="209">
        <f t="shared" si="5"/>
        <v>0</v>
      </c>
      <c r="G10" s="209">
        <f t="shared" si="5"/>
        <v>0</v>
      </c>
      <c r="H10" s="209">
        <f t="shared" si="5"/>
        <v>0</v>
      </c>
    </row>
    <row r="11" spans="2:15" x14ac:dyDescent="0.25">
      <c r="B11" s="210" t="s">
        <v>152</v>
      </c>
      <c r="C11" s="210"/>
      <c r="D11" s="211">
        <f t="shared" si="2"/>
        <v>759582.31787319004</v>
      </c>
      <c r="E11" s="211">
        <f t="shared" ref="E11:H11" si="6">(E22*E$27)+(E34*E$39)</f>
        <v>759582.31787319004</v>
      </c>
      <c r="F11" s="211">
        <f t="shared" si="6"/>
        <v>767937.72336979501</v>
      </c>
      <c r="G11" s="211">
        <f t="shared" si="6"/>
        <v>785701.65878678509</v>
      </c>
      <c r="H11" s="211">
        <f t="shared" si="6"/>
        <v>812236.82525724242</v>
      </c>
    </row>
    <row r="12" spans="2:15" x14ac:dyDescent="0.25">
      <c r="B12" s="208" t="s">
        <v>133</v>
      </c>
      <c r="C12" s="208"/>
      <c r="D12" s="209">
        <f t="shared" si="2"/>
        <v>353909.61553470202</v>
      </c>
      <c r="E12" s="209">
        <f t="shared" ref="E12:H12" si="7">(E23*E$27)+(E35*E$39)</f>
        <v>353909.61553470202</v>
      </c>
      <c r="F12" s="209">
        <f t="shared" si="7"/>
        <v>357802.62130558369</v>
      </c>
      <c r="G12" s="209">
        <f t="shared" si="7"/>
        <v>366079.31154162448</v>
      </c>
      <c r="H12" s="209">
        <f t="shared" si="7"/>
        <v>378442.75174123782</v>
      </c>
    </row>
    <row r="13" spans="2:15" x14ac:dyDescent="0.25">
      <c r="B13" s="208" t="s">
        <v>134</v>
      </c>
      <c r="C13" s="208"/>
      <c r="D13" s="209">
        <f t="shared" si="2"/>
        <v>121819.97783984865</v>
      </c>
      <c r="E13" s="209">
        <f t="shared" ref="E13:H13" si="8">(E24*E$27)+(E36*E$39)</f>
        <v>121819.97783984865</v>
      </c>
      <c r="F13" s="209">
        <f t="shared" si="8"/>
        <v>123159.99759608696</v>
      </c>
      <c r="G13" s="209">
        <f t="shared" si="8"/>
        <v>126008.93466047966</v>
      </c>
      <c r="H13" s="209">
        <f t="shared" si="8"/>
        <v>130264.58057975113</v>
      </c>
    </row>
    <row r="14" spans="2:15" x14ac:dyDescent="0.25">
      <c r="B14" s="208" t="s">
        <v>153</v>
      </c>
      <c r="C14" s="208"/>
      <c r="D14" s="209">
        <f t="shared" si="2"/>
        <v>78343.481411331712</v>
      </c>
      <c r="E14" s="209">
        <f t="shared" ref="E14:H14" si="9">(E25*E$27)+(E37*E$39)</f>
        <v>78343.481411331712</v>
      </c>
      <c r="F14" s="209">
        <f t="shared" si="9"/>
        <v>79205.259706856363</v>
      </c>
      <c r="G14" s="209">
        <f t="shared" si="9"/>
        <v>81037.435774395359</v>
      </c>
      <c r="H14" s="209">
        <f t="shared" si="9"/>
        <v>83774.278473611426</v>
      </c>
    </row>
    <row r="15" spans="2:15" s="213" customFormat="1" x14ac:dyDescent="0.25">
      <c r="B15" s="212" t="s">
        <v>154</v>
      </c>
      <c r="C15" s="208"/>
      <c r="D15" s="211">
        <f>SUM(D11:D14)</f>
        <v>1313655.3926590725</v>
      </c>
      <c r="E15" s="211">
        <f t="shared" ref="E15:H15" si="10">SUM(E11:E14)</f>
        <v>1313655.3926590725</v>
      </c>
      <c r="F15" s="211">
        <f t="shared" si="10"/>
        <v>1328105.601978322</v>
      </c>
      <c r="G15" s="211">
        <f t="shared" si="10"/>
        <v>1358827.3407632848</v>
      </c>
      <c r="H15" s="211">
        <f t="shared" si="10"/>
        <v>1404718.4360518428</v>
      </c>
    </row>
    <row r="16" spans="2:15" s="215" customFormat="1" x14ac:dyDescent="0.25">
      <c r="B16" s="214" t="s">
        <v>155</v>
      </c>
      <c r="C16" s="210"/>
      <c r="D16" s="211">
        <f>D28+D40-D15</f>
        <v>0</v>
      </c>
      <c r="E16" s="211">
        <f t="shared" ref="E16:H16" si="11">E28+E40-E15</f>
        <v>0</v>
      </c>
      <c r="F16" s="211">
        <f t="shared" si="11"/>
        <v>0</v>
      </c>
      <c r="G16" s="211">
        <f t="shared" si="11"/>
        <v>0</v>
      </c>
      <c r="H16" s="211">
        <f t="shared" si="11"/>
        <v>0</v>
      </c>
    </row>
    <row r="17" spans="2:15" s="215" customFormat="1" x14ac:dyDescent="0.25">
      <c r="C17" s="216"/>
    </row>
    <row r="18" spans="2:15" x14ac:dyDescent="0.25">
      <c r="B18" s="217" t="s">
        <v>163</v>
      </c>
      <c r="C18" s="218"/>
      <c r="D18" s="279" t="s">
        <v>156</v>
      </c>
      <c r="E18" s="280"/>
      <c r="F18" s="280"/>
      <c r="G18" s="280"/>
      <c r="H18" s="280"/>
      <c r="J18" s="218"/>
      <c r="K18" s="279" t="s">
        <v>156</v>
      </c>
      <c r="L18" s="280"/>
      <c r="M18" s="280"/>
      <c r="N18" s="280"/>
      <c r="O18" s="280"/>
    </row>
    <row r="19" spans="2:15" x14ac:dyDescent="0.25">
      <c r="B19" s="219" t="s">
        <v>127</v>
      </c>
      <c r="C19" s="220">
        <f>'Proposed price'!H8</f>
        <v>18.43537075443</v>
      </c>
      <c r="D19" s="221">
        <f>C19*D$1</f>
        <v>18.43537075443</v>
      </c>
      <c r="E19" s="221">
        <f>D19*E1</f>
        <v>18.43537075443</v>
      </c>
      <c r="F19" s="221">
        <f>E19*F1</f>
        <v>18.638159832728729</v>
      </c>
      <c r="G19" s="221">
        <f>F19*G1</f>
        <v>19.069297745979409</v>
      </c>
      <c r="H19" s="221">
        <f>G19*H1</f>
        <v>19.713316992350371</v>
      </c>
      <c r="J19" s="220"/>
      <c r="K19" s="221">
        <f>J19*K$1</f>
        <v>0</v>
      </c>
      <c r="L19" s="221">
        <f>K19*L1</f>
        <v>0</v>
      </c>
      <c r="M19" s="221">
        <f>L19*M1</f>
        <v>0</v>
      </c>
      <c r="N19" s="221">
        <f>M19*N1</f>
        <v>0</v>
      </c>
      <c r="O19" s="221">
        <f>N19*O1</f>
        <v>0</v>
      </c>
    </row>
    <row r="20" spans="2:15" x14ac:dyDescent="0.25">
      <c r="B20" s="219" t="s">
        <v>128</v>
      </c>
      <c r="C20" s="220">
        <f>'Proposed price'!I8</f>
        <v>0</v>
      </c>
      <c r="D20" s="221">
        <f>C20</f>
        <v>0</v>
      </c>
      <c r="E20" s="221">
        <f t="shared" ref="E20:H21" si="12">D20</f>
        <v>0</v>
      </c>
      <c r="F20" s="221">
        <f t="shared" si="12"/>
        <v>0</v>
      </c>
      <c r="G20" s="221">
        <f t="shared" si="12"/>
        <v>0</v>
      </c>
      <c r="H20" s="221">
        <f t="shared" si="12"/>
        <v>0</v>
      </c>
      <c r="J20" s="220"/>
      <c r="K20" s="221">
        <f>J20</f>
        <v>0</v>
      </c>
      <c r="L20" s="221">
        <f t="shared" ref="L20:O21" si="13">K20</f>
        <v>0</v>
      </c>
      <c r="M20" s="221">
        <f t="shared" si="13"/>
        <v>0</v>
      </c>
      <c r="N20" s="221">
        <f t="shared" si="13"/>
        <v>0</v>
      </c>
      <c r="O20" s="221">
        <f t="shared" si="13"/>
        <v>0</v>
      </c>
    </row>
    <row r="21" spans="2:15" x14ac:dyDescent="0.25">
      <c r="B21" s="219" t="s">
        <v>129</v>
      </c>
      <c r="C21" s="220">
        <f>'Proposed price'!J8</f>
        <v>0</v>
      </c>
      <c r="D21" s="221">
        <f>C21</f>
        <v>0</v>
      </c>
      <c r="E21" s="221">
        <f t="shared" si="12"/>
        <v>0</v>
      </c>
      <c r="F21" s="221">
        <f t="shared" si="12"/>
        <v>0</v>
      </c>
      <c r="G21" s="221">
        <f t="shared" si="12"/>
        <v>0</v>
      </c>
      <c r="H21" s="221">
        <f t="shared" si="12"/>
        <v>0</v>
      </c>
      <c r="J21" s="220"/>
      <c r="K21" s="221">
        <f>J21</f>
        <v>0</v>
      </c>
      <c r="L21" s="221">
        <f t="shared" si="13"/>
        <v>0</v>
      </c>
      <c r="M21" s="221">
        <f t="shared" si="13"/>
        <v>0</v>
      </c>
      <c r="N21" s="221">
        <f t="shared" si="13"/>
        <v>0</v>
      </c>
      <c r="O21" s="221">
        <f t="shared" si="13"/>
        <v>0</v>
      </c>
    </row>
    <row r="22" spans="2:15" s="215" customFormat="1" x14ac:dyDescent="0.25">
      <c r="B22" s="222" t="s">
        <v>152</v>
      </c>
      <c r="C22" s="291">
        <f>'Proposed price'!M8</f>
        <v>18.43537075443</v>
      </c>
      <c r="D22" s="210">
        <f>SUM(D19:D21)</f>
        <v>18.43537075443</v>
      </c>
      <c r="E22" s="210">
        <f t="shared" ref="E22:H22" si="14">SUM(E19:E21)</f>
        <v>18.43537075443</v>
      </c>
      <c r="F22" s="210">
        <f t="shared" si="14"/>
        <v>18.638159832728729</v>
      </c>
      <c r="G22" s="210">
        <f t="shared" si="14"/>
        <v>19.069297745979409</v>
      </c>
      <c r="H22" s="210">
        <f t="shared" si="14"/>
        <v>19.713316992350371</v>
      </c>
      <c r="J22" s="223"/>
      <c r="K22" s="208">
        <f>SUM(K19:K21)</f>
        <v>0</v>
      </c>
      <c r="L22" s="208">
        <f t="shared" ref="L22:O22" si="15">SUM(L19:L21)</f>
        <v>0</v>
      </c>
      <c r="M22" s="208">
        <f t="shared" si="15"/>
        <v>0</v>
      </c>
      <c r="N22" s="208">
        <f t="shared" si="15"/>
        <v>0</v>
      </c>
      <c r="O22" s="208">
        <f t="shared" si="15"/>
        <v>0</v>
      </c>
    </row>
    <row r="23" spans="2:15" x14ac:dyDescent="0.25">
      <c r="B23" s="219" t="s">
        <v>133</v>
      </c>
      <c r="C23" s="220">
        <f>'Proposed price'!N8</f>
        <v>8.5895298276667482</v>
      </c>
      <c r="D23" s="221">
        <f>D22*D$3</f>
        <v>8.5895298276667482</v>
      </c>
      <c r="E23" s="221">
        <f t="shared" ref="E23:H23" si="16">E22*E$3</f>
        <v>8.5895298276667482</v>
      </c>
      <c r="F23" s="221">
        <f t="shared" si="16"/>
        <v>8.6840146557710813</v>
      </c>
      <c r="G23" s="221">
        <f t="shared" si="16"/>
        <v>8.8848932827883793</v>
      </c>
      <c r="H23" s="221">
        <f t="shared" si="16"/>
        <v>9.1849589880015792</v>
      </c>
      <c r="J23" s="220"/>
      <c r="K23" s="221">
        <f>K22*K$3</f>
        <v>0</v>
      </c>
      <c r="L23" s="221">
        <f t="shared" ref="L23:O23" si="17">L22*L$3</f>
        <v>0</v>
      </c>
      <c r="M23" s="221">
        <f t="shared" si="17"/>
        <v>0</v>
      </c>
      <c r="N23" s="221">
        <f t="shared" si="17"/>
        <v>0</v>
      </c>
      <c r="O23" s="221">
        <f t="shared" si="17"/>
        <v>0</v>
      </c>
    </row>
    <row r="24" spans="2:15" x14ac:dyDescent="0.25">
      <c r="B24" s="219" t="s">
        <v>134</v>
      </c>
      <c r="C24" s="220">
        <f>'Proposed price'!O8</f>
        <v>2.9566202423750805</v>
      </c>
      <c r="D24" s="221">
        <f>D22*D$4</f>
        <v>2.9566202423750805</v>
      </c>
      <c r="E24" s="221">
        <f t="shared" ref="E24:H24" si="18">E22*E$4</f>
        <v>2.9566202423750805</v>
      </c>
      <c r="F24" s="221">
        <f t="shared" si="18"/>
        <v>2.9891430650412061</v>
      </c>
      <c r="G24" s="221">
        <f t="shared" si="18"/>
        <v>3.0582879224217394</v>
      </c>
      <c r="H24" s="221">
        <f t="shared" si="18"/>
        <v>3.161574173925088</v>
      </c>
      <c r="J24" s="220"/>
      <c r="K24" s="221">
        <f>K22*K$4</f>
        <v>0</v>
      </c>
      <c r="L24" s="221">
        <f t="shared" ref="L24:O24" si="19">L22*L$4</f>
        <v>0</v>
      </c>
      <c r="M24" s="221">
        <f t="shared" si="19"/>
        <v>0</v>
      </c>
      <c r="N24" s="221">
        <f t="shared" si="19"/>
        <v>0</v>
      </c>
      <c r="O24" s="221">
        <f t="shared" si="19"/>
        <v>0</v>
      </c>
    </row>
    <row r="25" spans="2:15" x14ac:dyDescent="0.25">
      <c r="B25" s="219" t="s">
        <v>135</v>
      </c>
      <c r="C25" s="220">
        <f>'Proposed price'!P8</f>
        <v>1.9014280506880035</v>
      </c>
      <c r="D25" s="221">
        <f>SUM(D22:D24)*D$5</f>
        <v>1.9014280506880035</v>
      </c>
      <c r="E25" s="221">
        <f t="shared" ref="E25:H25" si="20">SUM(E22:E24)*E$5</f>
        <v>1.9014280506880035</v>
      </c>
      <c r="F25" s="221">
        <f t="shared" si="20"/>
        <v>1.9223437592455714</v>
      </c>
      <c r="G25" s="221">
        <f t="shared" si="20"/>
        <v>1.96681141508444</v>
      </c>
      <c r="H25" s="221">
        <f t="shared" si="20"/>
        <v>2.0332356967842498</v>
      </c>
      <c r="J25" s="220"/>
      <c r="K25" s="221">
        <f>SUM(K22:K24)*K$5</f>
        <v>0</v>
      </c>
      <c r="L25" s="221">
        <f t="shared" ref="L25:O25" si="21">SUM(L22:L24)*L$5</f>
        <v>0</v>
      </c>
      <c r="M25" s="221">
        <f t="shared" si="21"/>
        <v>0</v>
      </c>
      <c r="N25" s="221">
        <f t="shared" si="21"/>
        <v>0</v>
      </c>
      <c r="O25" s="221">
        <f t="shared" si="21"/>
        <v>0</v>
      </c>
    </row>
    <row r="26" spans="2:15" s="215" customFormat="1" x14ac:dyDescent="0.25">
      <c r="B26" s="224" t="s">
        <v>157</v>
      </c>
      <c r="C26" s="225">
        <f>'Proposed price'!Q8</f>
        <v>31.882948875159833</v>
      </c>
      <c r="D26" s="226">
        <f>SUM(D22:D25)</f>
        <v>31.882948875159833</v>
      </c>
      <c r="E26" s="226">
        <f t="shared" ref="E26:H26" si="22">SUM(E22:E25)</f>
        <v>31.882948875159833</v>
      </c>
      <c r="F26" s="226">
        <f t="shared" si="22"/>
        <v>32.233661312786587</v>
      </c>
      <c r="G26" s="226">
        <f t="shared" si="22"/>
        <v>32.979290366273972</v>
      </c>
      <c r="H26" s="226">
        <f t="shared" si="22"/>
        <v>34.093085851061289</v>
      </c>
      <c r="J26" s="225"/>
      <c r="K26" s="226">
        <f>SUM(K22:K25)</f>
        <v>0</v>
      </c>
      <c r="L26" s="226">
        <f t="shared" ref="L26:O26" si="23">SUM(L22:L25)</f>
        <v>0</v>
      </c>
      <c r="M26" s="226">
        <f t="shared" si="23"/>
        <v>0</v>
      </c>
      <c r="N26" s="226">
        <f t="shared" si="23"/>
        <v>0</v>
      </c>
      <c r="O26" s="226">
        <f t="shared" si="23"/>
        <v>0</v>
      </c>
    </row>
    <row r="27" spans="2:15" x14ac:dyDescent="0.25">
      <c r="B27" s="227" t="s">
        <v>158</v>
      </c>
      <c r="C27" s="221"/>
      <c r="D27" s="228">
        <f>'Forecast Revenue - Costs'!D10</f>
        <v>30000</v>
      </c>
      <c r="E27" s="228">
        <f>'Forecast Revenue - Costs'!E10</f>
        <v>30000</v>
      </c>
      <c r="F27" s="228">
        <f>'Forecast Revenue - Costs'!F10</f>
        <v>30000</v>
      </c>
      <c r="G27" s="228">
        <f>'Forecast Revenue - Costs'!G10</f>
        <v>30000</v>
      </c>
      <c r="H27" s="228">
        <f>'Forecast Revenue - Costs'!H10</f>
        <v>30000</v>
      </c>
      <c r="J27" s="221"/>
      <c r="K27" s="228"/>
      <c r="L27" s="228"/>
      <c r="M27" s="228"/>
      <c r="N27" s="228"/>
      <c r="O27" s="228"/>
    </row>
    <row r="28" spans="2:15" s="215" customFormat="1" x14ac:dyDescent="0.25">
      <c r="B28" s="212" t="s">
        <v>159</v>
      </c>
      <c r="C28" s="210"/>
      <c r="D28" s="211">
        <f>D26*D27</f>
        <v>956488.46625479497</v>
      </c>
      <c r="E28" s="211">
        <f t="shared" ref="E28:H28" si="24">E26*E27</f>
        <v>956488.46625479497</v>
      </c>
      <c r="F28" s="211">
        <f t="shared" si="24"/>
        <v>967009.8393835976</v>
      </c>
      <c r="G28" s="211">
        <f t="shared" si="24"/>
        <v>989378.71098821913</v>
      </c>
      <c r="H28" s="211">
        <f t="shared" si="24"/>
        <v>1022792.5755318387</v>
      </c>
      <c r="J28" s="210"/>
      <c r="K28" s="211"/>
      <c r="L28" s="211"/>
      <c r="M28" s="211"/>
      <c r="N28" s="211"/>
      <c r="O28" s="211"/>
    </row>
    <row r="30" spans="2:15" x14ac:dyDescent="0.25">
      <c r="B30" s="217" t="s">
        <v>164</v>
      </c>
      <c r="C30" s="218"/>
      <c r="D30" s="279" t="s">
        <v>156</v>
      </c>
      <c r="E30" s="280"/>
      <c r="F30" s="280"/>
      <c r="G30" s="280"/>
      <c r="H30" s="280"/>
      <c r="J30" s="218"/>
      <c r="K30" s="279" t="s">
        <v>156</v>
      </c>
      <c r="L30" s="280"/>
      <c r="M30" s="280"/>
      <c r="N30" s="280"/>
      <c r="O30" s="280"/>
    </row>
    <row r="31" spans="2:15" x14ac:dyDescent="0.25">
      <c r="B31" s="219" t="s">
        <v>127</v>
      </c>
      <c r="C31" s="220">
        <f>'Proposed price'!Z9</f>
        <v>103.26059762014499</v>
      </c>
      <c r="D31" s="221">
        <f>C31*D$1</f>
        <v>103.26059762014499</v>
      </c>
      <c r="E31" s="221">
        <f t="shared" ref="E31:H31" si="25">D31*E$1</f>
        <v>103.26059762014499</v>
      </c>
      <c r="F31" s="221">
        <f t="shared" si="25"/>
        <v>104.39646419396658</v>
      </c>
      <c r="G31" s="221">
        <f t="shared" si="25"/>
        <v>106.8113632037014</v>
      </c>
      <c r="H31" s="221">
        <f t="shared" si="25"/>
        <v>110.41865774336563</v>
      </c>
      <c r="J31" s="220"/>
      <c r="K31" s="221">
        <f>J31*K$1</f>
        <v>0</v>
      </c>
      <c r="L31" s="221">
        <f t="shared" ref="L31:O31" si="26">K31*L$1</f>
        <v>0</v>
      </c>
      <c r="M31" s="221">
        <f t="shared" si="26"/>
        <v>0</v>
      </c>
      <c r="N31" s="221">
        <f t="shared" si="26"/>
        <v>0</v>
      </c>
      <c r="O31" s="221">
        <f t="shared" si="26"/>
        <v>0</v>
      </c>
    </row>
    <row r="32" spans="2:15" x14ac:dyDescent="0.25">
      <c r="B32" s="219" t="s">
        <v>128</v>
      </c>
      <c r="C32" s="220">
        <f>'Proposed price'!AA9</f>
        <v>0</v>
      </c>
      <c r="D32" s="221">
        <f>C32</f>
        <v>0</v>
      </c>
      <c r="E32" s="221">
        <f>D32</f>
        <v>0</v>
      </c>
      <c r="F32" s="221">
        <f t="shared" ref="F32:H32" si="27">E32</f>
        <v>0</v>
      </c>
      <c r="G32" s="221">
        <f t="shared" si="27"/>
        <v>0</v>
      </c>
      <c r="H32" s="221">
        <f t="shared" si="27"/>
        <v>0</v>
      </c>
      <c r="J32" s="220"/>
      <c r="K32" s="221">
        <f>J32</f>
        <v>0</v>
      </c>
      <c r="L32" s="221">
        <f t="shared" ref="L32:O33" si="28">K32</f>
        <v>0</v>
      </c>
      <c r="M32" s="221">
        <f t="shared" si="28"/>
        <v>0</v>
      </c>
      <c r="N32" s="221">
        <f t="shared" si="28"/>
        <v>0</v>
      </c>
      <c r="O32" s="221">
        <f t="shared" si="28"/>
        <v>0</v>
      </c>
    </row>
    <row r="33" spans="2:15" x14ac:dyDescent="0.25">
      <c r="B33" s="219" t="s">
        <v>129</v>
      </c>
      <c r="C33" s="220">
        <f>'Proposed price'!AB9</f>
        <v>0</v>
      </c>
      <c r="D33" s="221">
        <f>C33</f>
        <v>0</v>
      </c>
      <c r="E33" s="221">
        <f t="shared" ref="E33:H33" si="29">D33</f>
        <v>0</v>
      </c>
      <c r="F33" s="221">
        <f t="shared" si="29"/>
        <v>0</v>
      </c>
      <c r="G33" s="221">
        <f t="shared" si="29"/>
        <v>0</v>
      </c>
      <c r="H33" s="221">
        <f t="shared" si="29"/>
        <v>0</v>
      </c>
      <c r="J33" s="220"/>
      <c r="K33" s="221">
        <f>J33</f>
        <v>0</v>
      </c>
      <c r="L33" s="221">
        <f t="shared" si="28"/>
        <v>0</v>
      </c>
      <c r="M33" s="221">
        <f t="shared" si="28"/>
        <v>0</v>
      </c>
      <c r="N33" s="221">
        <f t="shared" si="28"/>
        <v>0</v>
      </c>
      <c r="O33" s="221">
        <f t="shared" si="28"/>
        <v>0</v>
      </c>
    </row>
    <row r="34" spans="2:15" x14ac:dyDescent="0.25">
      <c r="B34" s="222" t="s">
        <v>152</v>
      </c>
      <c r="C34" s="291">
        <f>'Proposed price'!AE9</f>
        <v>103.26059762014499</v>
      </c>
      <c r="D34" s="210">
        <f>SUM(D31:D33)</f>
        <v>103.26059762014499</v>
      </c>
      <c r="E34" s="210">
        <f t="shared" ref="E34:H34" si="30">SUM(E31:E33)</f>
        <v>103.26059762014499</v>
      </c>
      <c r="F34" s="210">
        <f t="shared" si="30"/>
        <v>104.39646419396658</v>
      </c>
      <c r="G34" s="210">
        <f t="shared" si="30"/>
        <v>106.8113632037014</v>
      </c>
      <c r="H34" s="210">
        <f t="shared" si="30"/>
        <v>110.41865774336563</v>
      </c>
      <c r="J34" s="223"/>
      <c r="K34" s="208">
        <f>SUM(K31:K33)</f>
        <v>0</v>
      </c>
      <c r="L34" s="208">
        <f t="shared" ref="L34:O34" si="31">SUM(L31:L33)</f>
        <v>0</v>
      </c>
      <c r="M34" s="208">
        <f t="shared" si="31"/>
        <v>0</v>
      </c>
      <c r="N34" s="208">
        <f t="shared" si="31"/>
        <v>0</v>
      </c>
      <c r="O34" s="208">
        <f t="shared" si="31"/>
        <v>0</v>
      </c>
    </row>
    <row r="35" spans="2:15" x14ac:dyDescent="0.25">
      <c r="B35" s="219" t="s">
        <v>133</v>
      </c>
      <c r="C35" s="220">
        <f>'Proposed price'!AF9</f>
        <v>48.111860352349787</v>
      </c>
      <c r="D35" s="221">
        <f>D34*D$3</f>
        <v>48.111860352349787</v>
      </c>
      <c r="E35" s="221">
        <f t="shared" ref="E35:H35" si="32">E34*E$3</f>
        <v>48.111860352349787</v>
      </c>
      <c r="F35" s="221">
        <f t="shared" si="32"/>
        <v>48.641090816225628</v>
      </c>
      <c r="G35" s="221">
        <f t="shared" si="32"/>
        <v>49.76625652898656</v>
      </c>
      <c r="H35" s="221">
        <f t="shared" si="32"/>
        <v>51.446991050595223</v>
      </c>
      <c r="J35" s="220"/>
      <c r="K35" s="221">
        <f>K34*K$3</f>
        <v>0</v>
      </c>
      <c r="L35" s="221">
        <f t="shared" ref="L35:O35" si="33">L34*L$3</f>
        <v>0</v>
      </c>
      <c r="M35" s="221">
        <f t="shared" si="33"/>
        <v>0</v>
      </c>
      <c r="N35" s="221">
        <f t="shared" si="33"/>
        <v>0</v>
      </c>
      <c r="O35" s="221">
        <f t="shared" si="33"/>
        <v>0</v>
      </c>
    </row>
    <row r="36" spans="2:15" x14ac:dyDescent="0.25">
      <c r="B36" s="219" t="s">
        <v>134</v>
      </c>
      <c r="C36" s="220">
        <f>'Proposed price'!AG9</f>
        <v>16.560685284298117</v>
      </c>
      <c r="D36" s="221">
        <f>D34*D$4</f>
        <v>16.560685284298117</v>
      </c>
      <c r="E36" s="221">
        <f t="shared" ref="E36:H36" si="34">E34*E$4</f>
        <v>16.560685284298117</v>
      </c>
      <c r="F36" s="221">
        <f t="shared" si="34"/>
        <v>16.742852822425395</v>
      </c>
      <c r="G36" s="221">
        <f t="shared" si="34"/>
        <v>17.130148493913737</v>
      </c>
      <c r="H36" s="221">
        <f t="shared" si="34"/>
        <v>17.708677680999244</v>
      </c>
      <c r="J36" s="220"/>
      <c r="K36" s="221">
        <f>K34*K$4</f>
        <v>0</v>
      </c>
      <c r="L36" s="221">
        <f t="shared" ref="L36:O36" si="35">L34*L$4</f>
        <v>0</v>
      </c>
      <c r="M36" s="221">
        <f t="shared" si="35"/>
        <v>0</v>
      </c>
      <c r="N36" s="221">
        <f t="shared" si="35"/>
        <v>0</v>
      </c>
      <c r="O36" s="221">
        <f t="shared" si="35"/>
        <v>0</v>
      </c>
    </row>
    <row r="37" spans="2:15" x14ac:dyDescent="0.25">
      <c r="B37" s="219" t="s">
        <v>135</v>
      </c>
      <c r="C37" s="220">
        <f>'Proposed price'!AH9</f>
        <v>10.650319945345807</v>
      </c>
      <c r="D37" s="221">
        <f>SUM(D34:D36)*D$5</f>
        <v>10.650319945345807</v>
      </c>
      <c r="E37" s="221">
        <f t="shared" ref="E37:H37" si="36">SUM(E34:E36)*E$5</f>
        <v>10.650319945345807</v>
      </c>
      <c r="F37" s="221">
        <f t="shared" si="36"/>
        <v>10.767473464744608</v>
      </c>
      <c r="G37" s="221">
        <f t="shared" si="36"/>
        <v>11.01654666093108</v>
      </c>
      <c r="H37" s="221">
        <f t="shared" si="36"/>
        <v>11.388603785041969</v>
      </c>
      <c r="J37" s="220"/>
      <c r="K37" s="221">
        <f>SUM(K34:K36)*K$5</f>
        <v>0</v>
      </c>
      <c r="L37" s="221">
        <f t="shared" ref="L37:O37" si="37">SUM(L34:L36)*L$5</f>
        <v>0</v>
      </c>
      <c r="M37" s="221">
        <f t="shared" si="37"/>
        <v>0</v>
      </c>
      <c r="N37" s="221">
        <f t="shared" si="37"/>
        <v>0</v>
      </c>
      <c r="O37" s="221">
        <f t="shared" si="37"/>
        <v>0</v>
      </c>
    </row>
    <row r="38" spans="2:15" s="215" customFormat="1" x14ac:dyDescent="0.25">
      <c r="B38" s="224" t="s">
        <v>157</v>
      </c>
      <c r="C38" s="225">
        <f>'Proposed price'!AI9</f>
        <v>178.58346320213872</v>
      </c>
      <c r="D38" s="226">
        <f>SUM(D34:D37)</f>
        <v>178.58346320213872</v>
      </c>
      <c r="E38" s="226">
        <f t="shared" ref="E38:H38" si="38">SUM(E34:E37)</f>
        <v>178.58346320213872</v>
      </c>
      <c r="F38" s="226">
        <f t="shared" si="38"/>
        <v>180.54788129736218</v>
      </c>
      <c r="G38" s="226">
        <f t="shared" si="38"/>
        <v>184.72431488753278</v>
      </c>
      <c r="H38" s="226">
        <f t="shared" si="38"/>
        <v>190.96293026000205</v>
      </c>
      <c r="J38" s="225"/>
      <c r="K38" s="226">
        <f>SUM(K34:K37)</f>
        <v>0</v>
      </c>
      <c r="L38" s="226">
        <f t="shared" ref="L38:O38" si="39">SUM(L34:L37)</f>
        <v>0</v>
      </c>
      <c r="M38" s="226">
        <f t="shared" si="39"/>
        <v>0</v>
      </c>
      <c r="N38" s="226">
        <f t="shared" si="39"/>
        <v>0</v>
      </c>
      <c r="O38" s="226">
        <f t="shared" si="39"/>
        <v>0</v>
      </c>
    </row>
    <row r="39" spans="2:15" x14ac:dyDescent="0.25">
      <c r="B39" s="227" t="s">
        <v>158</v>
      </c>
      <c r="C39" s="221"/>
      <c r="D39" s="228">
        <f>'Forecast Revenue - Costs'!D11</f>
        <v>2000</v>
      </c>
      <c r="E39" s="228">
        <f>'Forecast Revenue - Costs'!E11</f>
        <v>2000</v>
      </c>
      <c r="F39" s="228">
        <f>'Forecast Revenue - Costs'!F11</f>
        <v>2000</v>
      </c>
      <c r="G39" s="228">
        <f>'Forecast Revenue - Costs'!G11</f>
        <v>2000</v>
      </c>
      <c r="H39" s="228">
        <f>'Forecast Revenue - Costs'!H11</f>
        <v>2000</v>
      </c>
      <c r="J39" s="221"/>
      <c r="K39" s="228"/>
      <c r="L39" s="228"/>
      <c r="M39" s="228"/>
      <c r="N39" s="228"/>
      <c r="O39" s="228"/>
    </row>
    <row r="40" spans="2:15" s="215" customFormat="1" x14ac:dyDescent="0.25">
      <c r="B40" s="212" t="s">
        <v>159</v>
      </c>
      <c r="C40" s="210"/>
      <c r="D40" s="211">
        <f>D38*D39</f>
        <v>357166.92640427744</v>
      </c>
      <c r="E40" s="211">
        <f t="shared" ref="E40:H40" si="40">E38*E39</f>
        <v>357166.92640427744</v>
      </c>
      <c r="F40" s="211">
        <f t="shared" si="40"/>
        <v>361095.76259472437</v>
      </c>
      <c r="G40" s="211">
        <f t="shared" si="40"/>
        <v>369448.62977506558</v>
      </c>
      <c r="H40" s="211">
        <f t="shared" si="40"/>
        <v>381925.86052000412</v>
      </c>
      <c r="J40" s="210"/>
      <c r="K40" s="211"/>
      <c r="L40" s="211"/>
      <c r="M40" s="211"/>
      <c r="N40" s="211"/>
      <c r="O40" s="211"/>
    </row>
  </sheetData>
  <mergeCells count="6">
    <mergeCell ref="D6:H6"/>
    <mergeCell ref="J6:O6"/>
    <mergeCell ref="D18:H18"/>
    <mergeCell ref="K18:O18"/>
    <mergeCell ref="D30:H30"/>
    <mergeCell ref="K30:O30"/>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3"/>
  <sheetViews>
    <sheetView showGridLines="0" workbookViewId="0">
      <selection activeCell="C38" sqref="C38"/>
    </sheetView>
  </sheetViews>
  <sheetFormatPr defaultColWidth="9.140625" defaultRowHeight="15" x14ac:dyDescent="0.25"/>
  <cols>
    <col min="1" max="1" width="3.28515625" style="74" customWidth="1"/>
    <col min="2" max="2" width="66.42578125" style="74" customWidth="1"/>
    <col min="3" max="3" width="35.5703125" style="74" customWidth="1"/>
    <col min="4" max="4" width="13" style="74" customWidth="1"/>
    <col min="5" max="5" width="12.85546875" style="74" customWidth="1"/>
    <col min="6" max="6" width="11.85546875" style="74" customWidth="1"/>
    <col min="7" max="8" width="11.28515625" style="74" customWidth="1"/>
    <col min="9" max="9" width="12.7109375" style="74" customWidth="1"/>
    <col min="10" max="16384" width="9.140625" style="74"/>
  </cols>
  <sheetData>
    <row r="2" spans="2:9" x14ac:dyDescent="0.25">
      <c r="B2" s="72" t="s">
        <v>48</v>
      </c>
      <c r="C2" s="73"/>
      <c r="D2" s="73"/>
      <c r="E2" s="73"/>
      <c r="F2" s="73"/>
      <c r="G2" s="73"/>
      <c r="H2" s="73"/>
      <c r="I2" s="73"/>
    </row>
    <row r="3" spans="2:9" x14ac:dyDescent="0.25">
      <c r="B3" s="75" t="s">
        <v>78</v>
      </c>
      <c r="C3" s="75" t="s">
        <v>3</v>
      </c>
      <c r="D3" s="76" t="s">
        <v>61</v>
      </c>
      <c r="E3" s="76" t="s">
        <v>62</v>
      </c>
      <c r="F3" s="76" t="s">
        <v>63</v>
      </c>
      <c r="G3" s="76" t="s">
        <v>81</v>
      </c>
      <c r="H3" s="77" t="s">
        <v>64</v>
      </c>
      <c r="I3" s="78" t="s">
        <v>1</v>
      </c>
    </row>
    <row r="4" spans="2:9" x14ac:dyDescent="0.25">
      <c r="B4" s="79" t="s">
        <v>93</v>
      </c>
      <c r="C4" s="3" t="s">
        <v>90</v>
      </c>
      <c r="D4" s="81">
        <f>'Forecasts by year'!D28</f>
        <v>956488.46625479497</v>
      </c>
      <c r="E4" s="81">
        <f>'Forecasts by year'!E28</f>
        <v>956488.46625479497</v>
      </c>
      <c r="F4" s="81">
        <f>'Forecasts by year'!F28</f>
        <v>967009.8393835976</v>
      </c>
      <c r="G4" s="81">
        <f>'Forecasts by year'!G28</f>
        <v>989378.71098821913</v>
      </c>
      <c r="H4" s="81">
        <f>'Forecasts by year'!H28</f>
        <v>1022792.5755318387</v>
      </c>
      <c r="I4" s="241">
        <f>SUM(D4:H4)</f>
        <v>4892158.0584132448</v>
      </c>
    </row>
    <row r="5" spans="2:9" x14ac:dyDescent="0.25">
      <c r="B5" s="82" t="s">
        <v>92</v>
      </c>
      <c r="C5" s="80" t="s">
        <v>91</v>
      </c>
      <c r="D5" s="81">
        <f>'Forecasts by year'!D40</f>
        <v>357166.92640427744</v>
      </c>
      <c r="E5" s="81">
        <f>'Forecasts by year'!E40</f>
        <v>357166.92640427744</v>
      </c>
      <c r="F5" s="81">
        <f>'Forecasts by year'!F40</f>
        <v>361095.76259472437</v>
      </c>
      <c r="G5" s="81">
        <f>'Forecasts by year'!G40</f>
        <v>369448.62977506558</v>
      </c>
      <c r="H5" s="81">
        <f>'Forecasts by year'!H40</f>
        <v>381925.86052000412</v>
      </c>
      <c r="I5" s="241">
        <f t="shared" ref="I5" si="0">SUM(D5:H5)</f>
        <v>1826804.1056983487</v>
      </c>
    </row>
    <row r="6" spans="2:9" x14ac:dyDescent="0.25">
      <c r="B6" s="83" t="s">
        <v>1</v>
      </c>
      <c r="C6" s="84"/>
      <c r="D6" s="85">
        <f>SUM(D4:D5)</f>
        <v>1313655.3926590723</v>
      </c>
      <c r="E6" s="85">
        <f>SUM(E4:E5)</f>
        <v>1313655.3926590723</v>
      </c>
      <c r="F6" s="85">
        <f>SUM(F4:F5)</f>
        <v>1328105.601978322</v>
      </c>
      <c r="G6" s="85">
        <f>SUM(G4:G5)</f>
        <v>1358827.3407632848</v>
      </c>
      <c r="H6" s="85">
        <f>SUM(H4:H5)</f>
        <v>1404718.4360518428</v>
      </c>
      <c r="I6" s="85">
        <f>SUM(I4:I5)</f>
        <v>6718962.1641115937</v>
      </c>
    </row>
    <row r="7" spans="2:9" x14ac:dyDescent="0.25">
      <c r="B7" s="86"/>
      <c r="C7" s="86"/>
      <c r="D7" s="86"/>
      <c r="E7" s="86"/>
      <c r="F7" s="86"/>
      <c r="G7" s="86"/>
      <c r="H7" s="86"/>
      <c r="I7" s="86"/>
    </row>
    <row r="8" spans="2:9" x14ac:dyDescent="0.25">
      <c r="B8" s="72" t="s">
        <v>26</v>
      </c>
      <c r="C8" s="73"/>
      <c r="D8" s="73"/>
      <c r="E8" s="73"/>
      <c r="F8" s="73"/>
      <c r="G8" s="73"/>
      <c r="H8" s="73"/>
      <c r="I8" s="73"/>
    </row>
    <row r="9" spans="2:9" x14ac:dyDescent="0.25">
      <c r="B9" s="75" t="s">
        <v>78</v>
      </c>
      <c r="C9" s="75" t="s">
        <v>3</v>
      </c>
      <c r="D9" s="76" t="s">
        <v>61</v>
      </c>
      <c r="E9" s="76" t="s">
        <v>62</v>
      </c>
      <c r="F9" s="76" t="s">
        <v>63</v>
      </c>
      <c r="G9" s="76" t="s">
        <v>81</v>
      </c>
      <c r="H9" s="77" t="s">
        <v>64</v>
      </c>
      <c r="I9" s="78" t="s">
        <v>1</v>
      </c>
    </row>
    <row r="10" spans="2:9" x14ac:dyDescent="0.25">
      <c r="B10" s="79" t="s">
        <v>93</v>
      </c>
      <c r="C10" s="3" t="s">
        <v>90</v>
      </c>
      <c r="D10" s="87">
        <v>30000</v>
      </c>
      <c r="E10" s="87">
        <v>30000</v>
      </c>
      <c r="F10" s="87">
        <v>30000</v>
      </c>
      <c r="G10" s="87">
        <v>30000</v>
      </c>
      <c r="H10" s="87">
        <v>30000</v>
      </c>
      <c r="I10" s="242">
        <f>SUM(D10:H10)</f>
        <v>150000</v>
      </c>
    </row>
    <row r="11" spans="2:9" x14ac:dyDescent="0.25">
      <c r="B11" s="82" t="s">
        <v>92</v>
      </c>
      <c r="C11" s="80" t="s">
        <v>91</v>
      </c>
      <c r="D11" s="87">
        <v>2000</v>
      </c>
      <c r="E11" s="87">
        <v>2000</v>
      </c>
      <c r="F11" s="87">
        <v>2000</v>
      </c>
      <c r="G11" s="87">
        <v>2000</v>
      </c>
      <c r="H11" s="87">
        <v>2000</v>
      </c>
      <c r="I11" s="242">
        <f t="shared" ref="I11:I12" si="1">SUM(D11:H11)</f>
        <v>10000</v>
      </c>
    </row>
    <row r="12" spans="2:9" x14ac:dyDescent="0.25">
      <c r="B12" s="83" t="s">
        <v>17</v>
      </c>
      <c r="C12" s="84"/>
      <c r="D12" s="88">
        <f>SUM(D10:D11)</f>
        <v>32000</v>
      </c>
      <c r="E12" s="88">
        <f>SUM(E10:E11)</f>
        <v>32000</v>
      </c>
      <c r="F12" s="88">
        <f>SUM(F10:F11)</f>
        <v>32000</v>
      </c>
      <c r="G12" s="88">
        <f>SUM(G10:G11)</f>
        <v>32000</v>
      </c>
      <c r="H12" s="88">
        <f>SUM(H10:H11)</f>
        <v>32000</v>
      </c>
      <c r="I12" s="242">
        <f t="shared" si="1"/>
        <v>160000</v>
      </c>
    </row>
    <row r="13" spans="2:9" x14ac:dyDescent="0.25">
      <c r="B13" s="86"/>
      <c r="C13" s="86"/>
      <c r="D13" s="89"/>
      <c r="E13" s="89"/>
      <c r="F13" s="89"/>
      <c r="G13" s="89"/>
      <c r="H13" s="89"/>
      <c r="I13" s="89"/>
    </row>
    <row r="14" spans="2:9" x14ac:dyDescent="0.25">
      <c r="B14" s="90" t="s">
        <v>6</v>
      </c>
      <c r="C14" s="86"/>
      <c r="D14" s="89"/>
      <c r="E14" s="89"/>
      <c r="F14" s="89"/>
      <c r="G14" s="89"/>
      <c r="H14" s="89"/>
      <c r="I14" s="89"/>
    </row>
    <row r="15" spans="2:9" x14ac:dyDescent="0.25">
      <c r="B15" s="281"/>
      <c r="C15" s="281"/>
      <c r="D15" s="281"/>
      <c r="E15" s="281"/>
      <c r="F15" s="281"/>
      <c r="G15" s="281"/>
      <c r="H15" s="281"/>
      <c r="I15" s="281"/>
    </row>
    <row r="16" spans="2:9" x14ac:dyDescent="0.25">
      <c r="B16" s="282"/>
      <c r="C16" s="282"/>
      <c r="D16" s="282"/>
      <c r="E16" s="282"/>
      <c r="F16" s="282"/>
      <c r="G16" s="282"/>
      <c r="H16" s="282"/>
      <c r="I16" s="282"/>
    </row>
    <row r="17" spans="2:9" x14ac:dyDescent="0.25">
      <c r="B17" s="86"/>
      <c r="C17" s="86"/>
      <c r="D17" s="89"/>
      <c r="E17" s="89"/>
      <c r="F17" s="89"/>
      <c r="G17" s="89"/>
      <c r="H17" s="89"/>
      <c r="I17" s="89"/>
    </row>
    <row r="18" spans="2:9" x14ac:dyDescent="0.25">
      <c r="B18" s="72" t="s">
        <v>27</v>
      </c>
      <c r="C18" s="73"/>
      <c r="D18" s="73"/>
      <c r="E18" s="73"/>
      <c r="F18" s="73"/>
      <c r="G18" s="73"/>
      <c r="H18" s="73"/>
      <c r="I18" s="73"/>
    </row>
    <row r="19" spans="2:9" x14ac:dyDescent="0.25">
      <c r="B19" s="91" t="s">
        <v>25</v>
      </c>
      <c r="C19" s="92"/>
      <c r="D19" s="92"/>
      <c r="E19" s="92"/>
      <c r="F19" s="92"/>
      <c r="G19" s="92"/>
      <c r="H19" s="92"/>
      <c r="I19" s="92"/>
    </row>
    <row r="20" spans="2:9" x14ac:dyDescent="0.25">
      <c r="B20" s="283" t="s">
        <v>96</v>
      </c>
      <c r="C20" s="283"/>
      <c r="D20" s="283"/>
      <c r="E20" s="283"/>
      <c r="F20" s="283"/>
      <c r="G20" s="283"/>
      <c r="H20" s="283"/>
      <c r="I20" s="283"/>
    </row>
    <row r="21" spans="2:9" x14ac:dyDescent="0.25">
      <c r="B21" s="284"/>
      <c r="C21" s="284"/>
      <c r="D21" s="284"/>
      <c r="E21" s="284"/>
      <c r="F21" s="284"/>
      <c r="G21" s="284"/>
      <c r="H21" s="284"/>
      <c r="I21" s="284"/>
    </row>
    <row r="22" spans="2:9" x14ac:dyDescent="0.25">
      <c r="B22" s="93"/>
      <c r="C22" s="94"/>
      <c r="D22" s="94"/>
      <c r="E22" s="94"/>
      <c r="F22" s="94"/>
      <c r="G22" s="94"/>
      <c r="H22" s="94"/>
      <c r="I22" s="94"/>
    </row>
    <row r="23" spans="2:9" x14ac:dyDescent="0.25">
      <c r="B23" s="86"/>
      <c r="C23" s="86"/>
      <c r="D23" s="86"/>
      <c r="E23" s="86"/>
      <c r="F23" s="86"/>
      <c r="G23" s="86"/>
      <c r="H23" s="86"/>
      <c r="I23" s="86"/>
    </row>
    <row r="24" spans="2:9" customFormat="1" x14ac:dyDescent="0.25">
      <c r="B24" s="232" t="s">
        <v>47</v>
      </c>
      <c r="C24" s="18"/>
      <c r="D24" s="285" t="s">
        <v>165</v>
      </c>
      <c r="E24" s="285"/>
      <c r="F24" s="285"/>
      <c r="G24" s="285"/>
      <c r="H24" s="285"/>
      <c r="I24" s="18"/>
    </row>
    <row r="25" spans="2:9" customFormat="1" ht="15.75" customHeight="1" x14ac:dyDescent="0.25">
      <c r="B25" s="2" t="s">
        <v>19</v>
      </c>
      <c r="C25" s="10" t="s">
        <v>3</v>
      </c>
      <c r="D25" s="233" t="s">
        <v>61</v>
      </c>
      <c r="E25" s="233" t="s">
        <v>62</v>
      </c>
      <c r="F25" s="233" t="s">
        <v>63</v>
      </c>
      <c r="G25" s="233" t="s">
        <v>81</v>
      </c>
      <c r="H25" s="234" t="s">
        <v>64</v>
      </c>
      <c r="I25" s="11" t="s">
        <v>1</v>
      </c>
    </row>
    <row r="26" spans="2:9" s="215" customFormat="1" x14ac:dyDescent="0.25">
      <c r="B26" s="235" t="s">
        <v>166</v>
      </c>
      <c r="C26" s="236"/>
      <c r="D26" s="56">
        <f>'Forecasts by year'!D8</f>
        <v>759582.31787319004</v>
      </c>
      <c r="E26" s="56">
        <f>'Forecasts by year'!E8</f>
        <v>759582.31787319004</v>
      </c>
      <c r="F26" s="56">
        <f>'Forecasts by year'!F8</f>
        <v>767937.72336979501</v>
      </c>
      <c r="G26" s="56">
        <f>'Forecasts by year'!G8</f>
        <v>785701.65878678509</v>
      </c>
      <c r="H26" s="56">
        <f>'Forecasts by year'!H8</f>
        <v>812236.82525724242</v>
      </c>
      <c r="I26" s="237">
        <f t="shared" ref="I26:I28" si="2">SUM(D26:H26)</f>
        <v>3885040.8431602027</v>
      </c>
    </row>
    <row r="27" spans="2:9" s="215" customFormat="1" x14ac:dyDescent="0.25">
      <c r="B27" s="235" t="s">
        <v>167</v>
      </c>
      <c r="C27" s="218"/>
      <c r="D27" s="56">
        <f>'Forecasts by year'!D9</f>
        <v>0</v>
      </c>
      <c r="E27" s="56">
        <f>'Forecasts by year'!E9</f>
        <v>0</v>
      </c>
      <c r="F27" s="56">
        <f>'Forecasts by year'!F9</f>
        <v>0</v>
      </c>
      <c r="G27" s="56">
        <f>'Forecasts by year'!G9</f>
        <v>0</v>
      </c>
      <c r="H27" s="56">
        <f>'Forecasts by year'!H9</f>
        <v>0</v>
      </c>
      <c r="I27" s="237">
        <f t="shared" si="2"/>
        <v>0</v>
      </c>
    </row>
    <row r="28" spans="2:9" s="215" customFormat="1" x14ac:dyDescent="0.25">
      <c r="B28" s="235" t="s">
        <v>129</v>
      </c>
      <c r="C28" s="218"/>
      <c r="D28" s="56">
        <f>'Forecasts by year'!D10</f>
        <v>0</v>
      </c>
      <c r="E28" s="56">
        <f>'Forecasts by year'!E10</f>
        <v>0</v>
      </c>
      <c r="F28" s="56">
        <f>'Forecasts by year'!F10</f>
        <v>0</v>
      </c>
      <c r="G28" s="56">
        <f>'Forecasts by year'!G10</f>
        <v>0</v>
      </c>
      <c r="H28" s="56">
        <f>'Forecasts by year'!H10</f>
        <v>0</v>
      </c>
      <c r="I28" s="237">
        <f t="shared" si="2"/>
        <v>0</v>
      </c>
    </row>
    <row r="29" spans="2:9" s="215" customFormat="1" x14ac:dyDescent="0.25">
      <c r="B29" s="238" t="s">
        <v>168</v>
      </c>
      <c r="C29" s="218"/>
      <c r="D29" s="239">
        <f>'Forecasts by year'!D11</f>
        <v>759582.31787319004</v>
      </c>
      <c r="E29" s="239">
        <f>'Forecasts by year'!E11</f>
        <v>759582.31787319004</v>
      </c>
      <c r="F29" s="239">
        <f>'Forecasts by year'!F11</f>
        <v>767937.72336979501</v>
      </c>
      <c r="G29" s="239">
        <f>'Forecasts by year'!G11</f>
        <v>785701.65878678509</v>
      </c>
      <c r="H29" s="239">
        <f>'Forecasts by year'!H11</f>
        <v>812236.82525724242</v>
      </c>
      <c r="I29" s="237">
        <f>SUM(D29:H29)</f>
        <v>3885040.8431602027</v>
      </c>
    </row>
    <row r="30" spans="2:9" customFormat="1" x14ac:dyDescent="0.25">
      <c r="B30" s="4" t="s">
        <v>133</v>
      </c>
      <c r="C30" s="5"/>
      <c r="D30" s="56">
        <f>'Forecasts by year'!D12</f>
        <v>353909.61553470202</v>
      </c>
      <c r="E30" s="56">
        <f>'Forecasts by year'!E12</f>
        <v>353909.61553470202</v>
      </c>
      <c r="F30" s="56">
        <f>'Forecasts by year'!F12</f>
        <v>357802.62130558369</v>
      </c>
      <c r="G30" s="56">
        <f>'Forecasts by year'!G12</f>
        <v>366079.31154162448</v>
      </c>
      <c r="H30" s="56">
        <f>'Forecasts by year'!H12</f>
        <v>378442.75174123782</v>
      </c>
      <c r="I30" s="237">
        <f>SUM(D30:H30)</f>
        <v>1810143.91565785</v>
      </c>
    </row>
    <row r="31" spans="2:9" customFormat="1" x14ac:dyDescent="0.25">
      <c r="B31" s="4" t="s">
        <v>134</v>
      </c>
      <c r="C31" s="3"/>
      <c r="D31" s="56">
        <f>'Forecasts by year'!D13</f>
        <v>121819.97783984865</v>
      </c>
      <c r="E31" s="56">
        <f>'Forecasts by year'!E13</f>
        <v>121819.97783984865</v>
      </c>
      <c r="F31" s="56">
        <f>'Forecasts by year'!F13</f>
        <v>123159.99759608696</v>
      </c>
      <c r="G31" s="56">
        <f>'Forecasts by year'!G13</f>
        <v>126008.93466047966</v>
      </c>
      <c r="H31" s="56">
        <f>'Forecasts by year'!H13</f>
        <v>130264.58057975113</v>
      </c>
      <c r="I31" s="237">
        <f>SUM(D31:H31)</f>
        <v>623073.4685160151</v>
      </c>
    </row>
    <row r="32" spans="2:9" customFormat="1" x14ac:dyDescent="0.25">
      <c r="B32" s="4" t="s">
        <v>153</v>
      </c>
      <c r="C32" s="3"/>
      <c r="D32" s="56">
        <f>'Forecasts by year'!D14</f>
        <v>78343.481411331712</v>
      </c>
      <c r="E32" s="56">
        <f>'Forecasts by year'!E14</f>
        <v>78343.481411331712</v>
      </c>
      <c r="F32" s="56">
        <f>'Forecasts by year'!F14</f>
        <v>79205.259706856363</v>
      </c>
      <c r="G32" s="56">
        <f>'Forecasts by year'!G14</f>
        <v>81037.435774395359</v>
      </c>
      <c r="H32" s="56">
        <f>'Forecasts by year'!H14</f>
        <v>83774.278473611426</v>
      </c>
      <c r="I32" s="237">
        <f>SUM(D32:H32)</f>
        <v>400703.93677752663</v>
      </c>
    </row>
    <row r="33" spans="2:9" customFormat="1" x14ac:dyDescent="0.25">
      <c r="B33" s="240" t="s">
        <v>1</v>
      </c>
      <c r="C33" s="13"/>
      <c r="D33" s="14">
        <f>SUM(D29:D32)</f>
        <v>1313655.3926590725</v>
      </c>
      <c r="E33" s="14">
        <f t="shared" ref="E33:H33" si="3">SUM(E29:E32)</f>
        <v>1313655.3926590725</v>
      </c>
      <c r="F33" s="14">
        <f t="shared" si="3"/>
        <v>1328105.601978322</v>
      </c>
      <c r="G33" s="14">
        <f t="shared" si="3"/>
        <v>1358827.3407632848</v>
      </c>
      <c r="H33" s="14">
        <f t="shared" si="3"/>
        <v>1404718.4360518428</v>
      </c>
      <c r="I33" s="15">
        <f>SUM(I29:I32)</f>
        <v>6718962.1641115947</v>
      </c>
    </row>
  </sheetData>
  <mergeCells count="3">
    <mergeCell ref="B15:I16"/>
    <mergeCell ref="B20:I21"/>
    <mergeCell ref="D24:H2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2018-04-17T01:46:14Z</dcterms:modified>
</cp:coreProperties>
</file>