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4_Access Permits, Oversight &amp; Facilitation\"/>
    </mc:Choice>
  </mc:AlternateContent>
  <xr:revisionPtr revIDLastSave="0" documentId="13_ncr:1_{02F3532F-FD93-43BF-B13E-E3242043B275}"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I5" i="15" l="1"/>
  <c r="I6" i="15"/>
  <c r="I7" i="15"/>
  <c r="I8" i="15"/>
  <c r="I14" i="15"/>
  <c r="B20" i="9"/>
  <c r="H5" i="17" l="1"/>
  <c r="G5" i="17"/>
  <c r="F5" i="17"/>
  <c r="E5" i="17"/>
  <c r="D5" i="17"/>
  <c r="H2" i="17"/>
  <c r="G2" i="17"/>
  <c r="F2" i="17"/>
  <c r="E2" i="17"/>
  <c r="D2" i="17"/>
  <c r="H1" i="17"/>
  <c r="G1" i="17"/>
  <c r="F1" i="17"/>
  <c r="E1" i="17"/>
  <c r="D1" i="17"/>
  <c r="Z46" i="11"/>
  <c r="Y46" i="11"/>
  <c r="Z45" i="11"/>
  <c r="Y45" i="11"/>
  <c r="Z44" i="11"/>
  <c r="Y44" i="11"/>
  <c r="Z43" i="11"/>
  <c r="Y43" i="11"/>
  <c r="Z42" i="11"/>
  <c r="Y42" i="11"/>
  <c r="Z41" i="11"/>
  <c r="Y41" i="11"/>
  <c r="Z40" i="11"/>
  <c r="Y40" i="11"/>
  <c r="I46" i="11"/>
  <c r="H46" i="11"/>
  <c r="I45" i="11"/>
  <c r="H45" i="11"/>
  <c r="I44" i="11"/>
  <c r="H44" i="11"/>
  <c r="I43" i="11"/>
  <c r="H43" i="11"/>
  <c r="I42" i="11"/>
  <c r="H42" i="11"/>
  <c r="I41" i="11"/>
  <c r="H41" i="11"/>
  <c r="I40" i="11"/>
  <c r="H40" i="11"/>
  <c r="Z32" i="11"/>
  <c r="Y32" i="11"/>
  <c r="Z31" i="11"/>
  <c r="Y31" i="11"/>
  <c r="Z30" i="11"/>
  <c r="Y30" i="11"/>
  <c r="Z29" i="11"/>
  <c r="Y29" i="11"/>
  <c r="Z28" i="11"/>
  <c r="Y28" i="11"/>
  <c r="Z27" i="11"/>
  <c r="Y27" i="11"/>
  <c r="Z26" i="11"/>
  <c r="Y26" i="11"/>
  <c r="I32" i="11"/>
  <c r="H32" i="11"/>
  <c r="I31" i="11"/>
  <c r="H31" i="11"/>
  <c r="I30" i="11"/>
  <c r="H30" i="11"/>
  <c r="I29" i="11"/>
  <c r="H29" i="11"/>
  <c r="I28" i="11"/>
  <c r="H28" i="11"/>
  <c r="I27" i="11"/>
  <c r="H27" i="11"/>
  <c r="I26" i="11"/>
  <c r="H26" i="11"/>
  <c r="AG17" i="11"/>
  <c r="Z16" i="11"/>
  <c r="Y16" i="11"/>
  <c r="Z15" i="11"/>
  <c r="Y15" i="11"/>
  <c r="Z14" i="11"/>
  <c r="Y14" i="11"/>
  <c r="Z13" i="11"/>
  <c r="Y13" i="11"/>
  <c r="Z12" i="11"/>
  <c r="Y12" i="11"/>
  <c r="Z11" i="11"/>
  <c r="Y11" i="11"/>
  <c r="Z10" i="11"/>
  <c r="Y10" i="11"/>
  <c r="Z9" i="11"/>
  <c r="Y9" i="11"/>
  <c r="Z8" i="11"/>
  <c r="Y8" i="11"/>
  <c r="Z7" i="11"/>
  <c r="Y7" i="11"/>
  <c r="P17" i="11"/>
  <c r="I16" i="11"/>
  <c r="H16" i="11"/>
  <c r="I15" i="11"/>
  <c r="H15" i="11"/>
  <c r="I14" i="11"/>
  <c r="H14" i="11"/>
  <c r="I13" i="11"/>
  <c r="H13" i="11"/>
  <c r="I12" i="11"/>
  <c r="H12" i="11"/>
  <c r="I11" i="11"/>
  <c r="H11" i="11"/>
  <c r="I10" i="11"/>
  <c r="H10" i="11"/>
  <c r="I9" i="11"/>
  <c r="H9" i="11"/>
  <c r="I8" i="11"/>
  <c r="H8" i="11"/>
  <c r="I7" i="11"/>
  <c r="H7" i="11"/>
  <c r="E16" i="8" l="1"/>
  <c r="D16" i="8"/>
  <c r="C45" i="17" l="1"/>
  <c r="J45" i="17" l="1"/>
  <c r="E51" i="17"/>
  <c r="F51" i="17"/>
  <c r="G51" i="17"/>
  <c r="H51" i="17"/>
  <c r="D51" i="17"/>
  <c r="J33" i="17"/>
  <c r="K33" i="17" s="1"/>
  <c r="L33" i="17" s="1"/>
  <c r="M33" i="17" s="1"/>
  <c r="N33" i="17" s="1"/>
  <c r="O33" i="17" s="1"/>
  <c r="E39" i="17"/>
  <c r="F39" i="17"/>
  <c r="G39" i="17"/>
  <c r="H39" i="17"/>
  <c r="D39" i="17"/>
  <c r="C33" i="17"/>
  <c r="J21" i="17"/>
  <c r="C21" i="17"/>
  <c r="D21" i="17" s="1"/>
  <c r="M10" i="17"/>
  <c r="K45" i="17"/>
  <c r="L45" i="17" s="1"/>
  <c r="M45" i="17" s="1"/>
  <c r="N45" i="17" s="1"/>
  <c r="O45" i="17" s="1"/>
  <c r="D33" i="17"/>
  <c r="E33" i="17" s="1"/>
  <c r="F33" i="17" s="1"/>
  <c r="G33" i="17" s="1"/>
  <c r="H33" i="17" s="1"/>
  <c r="K21" i="17"/>
  <c r="L21" i="17" s="1"/>
  <c r="M21" i="17" s="1"/>
  <c r="N21" i="17" s="1"/>
  <c r="O21" i="17" s="1"/>
  <c r="O10" i="17" s="1"/>
  <c r="O5" i="17"/>
  <c r="M5" i="17"/>
  <c r="O1" i="17"/>
  <c r="N1" i="17"/>
  <c r="M1" i="17"/>
  <c r="L1" i="17"/>
  <c r="G49" i="11"/>
  <c r="J49" i="11"/>
  <c r="K49" i="11"/>
  <c r="L49" i="11"/>
  <c r="G35" i="11"/>
  <c r="J35" i="11"/>
  <c r="K35" i="11"/>
  <c r="L35" i="11"/>
  <c r="G20" i="11"/>
  <c r="J20" i="11"/>
  <c r="K20" i="11"/>
  <c r="L20" i="11"/>
  <c r="M40" i="11"/>
  <c r="AD40" i="11"/>
  <c r="X49" i="11"/>
  <c r="AA49" i="11"/>
  <c r="AB49" i="11"/>
  <c r="AC49" i="11"/>
  <c r="X35" i="11"/>
  <c r="AA35" i="11"/>
  <c r="AB35" i="11"/>
  <c r="AC35" i="11"/>
  <c r="W27" i="11"/>
  <c r="W28" i="11"/>
  <c r="W29" i="11"/>
  <c r="W30" i="11"/>
  <c r="W31" i="11"/>
  <c r="W32" i="11"/>
  <c r="X20" i="11"/>
  <c r="AA20" i="11"/>
  <c r="AB20" i="11"/>
  <c r="AC20" i="11"/>
  <c r="AD31" i="11" l="1"/>
  <c r="AD16" i="11"/>
  <c r="AD14" i="11"/>
  <c r="AD11" i="11"/>
  <c r="M16" i="11"/>
  <c r="M31" i="11"/>
  <c r="M29" i="11"/>
  <c r="AD9" i="11"/>
  <c r="AD28" i="11"/>
  <c r="AD46" i="11"/>
  <c r="AD44" i="11"/>
  <c r="AD42" i="11"/>
  <c r="I49" i="11"/>
  <c r="C44" i="17" s="1"/>
  <c r="M45" i="11"/>
  <c r="M43" i="11"/>
  <c r="M41" i="11"/>
  <c r="M27" i="11"/>
  <c r="M15" i="11"/>
  <c r="AD29" i="11"/>
  <c r="Z49" i="11"/>
  <c r="J44" i="17" s="1"/>
  <c r="K44" i="17" s="1"/>
  <c r="L44" i="17" s="1"/>
  <c r="M44" i="17" s="1"/>
  <c r="N44" i="17" s="1"/>
  <c r="O44" i="17" s="1"/>
  <c r="AD15" i="11"/>
  <c r="AD12" i="11"/>
  <c r="AD10" i="11"/>
  <c r="M14" i="11"/>
  <c r="M11" i="11"/>
  <c r="M9" i="11"/>
  <c r="AD8" i="11"/>
  <c r="AD30" i="11"/>
  <c r="AD45" i="11"/>
  <c r="AD43" i="11"/>
  <c r="AD41" i="11"/>
  <c r="M46" i="11"/>
  <c r="M44" i="11"/>
  <c r="M42" i="11"/>
  <c r="M30" i="11"/>
  <c r="M28" i="11"/>
  <c r="M12" i="11"/>
  <c r="M10" i="11"/>
  <c r="M8" i="11"/>
  <c r="N10" i="17"/>
  <c r="K10" i="17"/>
  <c r="L10" i="17"/>
  <c r="E21" i="17"/>
  <c r="K5" i="17"/>
  <c r="N5" i="17"/>
  <c r="K1" i="17"/>
  <c r="L5" i="17"/>
  <c r="H49" i="11"/>
  <c r="AD32" i="11"/>
  <c r="AD27" i="11"/>
  <c r="Y49" i="11"/>
  <c r="J43" i="17" s="1"/>
  <c r="G19" i="13"/>
  <c r="H19" i="13"/>
  <c r="I16" i="13"/>
  <c r="H5" i="15"/>
  <c r="H6" i="15"/>
  <c r="H7" i="15"/>
  <c r="H8" i="15"/>
  <c r="H4" i="15"/>
  <c r="I4" i="15" s="1"/>
  <c r="I7" i="13"/>
  <c r="I8" i="13"/>
  <c r="I9" i="13"/>
  <c r="I10" i="13"/>
  <c r="I11" i="13"/>
  <c r="I6" i="13"/>
  <c r="G12" i="13"/>
  <c r="H12" i="13"/>
  <c r="G9" i="15"/>
  <c r="C43" i="17" l="1"/>
  <c r="D43" i="17" s="1"/>
  <c r="E43" i="17" s="1"/>
  <c r="K43" i="17"/>
  <c r="K46" i="17" s="1"/>
  <c r="AD49" i="11"/>
  <c r="J46" i="17" s="1"/>
  <c r="M49" i="11"/>
  <c r="C46" i="17" s="1"/>
  <c r="D45" i="17"/>
  <c r="D44" i="17"/>
  <c r="F21" i="17"/>
  <c r="H9" i="15"/>
  <c r="E13" i="15"/>
  <c r="D46" i="17" l="1"/>
  <c r="E44" i="17"/>
  <c r="F44" i="17" s="1"/>
  <c r="G44" i="17" s="1"/>
  <c r="H44" i="17" s="1"/>
  <c r="L43" i="17"/>
  <c r="L46" i="17" s="1"/>
  <c r="E45" i="17"/>
  <c r="D10" i="17"/>
  <c r="D31" i="16" s="1"/>
  <c r="G21" i="17"/>
  <c r="F43" i="17"/>
  <c r="M43" i="17"/>
  <c r="G13" i="15"/>
  <c r="G15" i="15" s="1"/>
  <c r="H13" i="15"/>
  <c r="H15" i="15" s="1"/>
  <c r="F45" i="17" l="1"/>
  <c r="E10" i="17"/>
  <c r="E31" i="16" s="1"/>
  <c r="H21" i="17"/>
  <c r="N43" i="17"/>
  <c r="M46" i="17"/>
  <c r="G43" i="17"/>
  <c r="F9" i="15"/>
  <c r="E9" i="15"/>
  <c r="G45" i="17" l="1"/>
  <c r="F10" i="17"/>
  <c r="F31" i="16" s="1"/>
  <c r="O43" i="17"/>
  <c r="O46" i="17" s="1"/>
  <c r="N46" i="17"/>
  <c r="H43" i="17"/>
  <c r="W46" i="11"/>
  <c r="W45" i="11"/>
  <c r="W44" i="11"/>
  <c r="W43" i="11"/>
  <c r="W42" i="11"/>
  <c r="W41" i="11"/>
  <c r="W26" i="11"/>
  <c r="W16" i="11"/>
  <c r="W15" i="11"/>
  <c r="W14" i="11"/>
  <c r="W13" i="11"/>
  <c r="W12" i="11"/>
  <c r="W11" i="11"/>
  <c r="W10" i="11"/>
  <c r="W9" i="11"/>
  <c r="W8" i="11"/>
  <c r="W7" i="11"/>
  <c r="H45" i="17" l="1"/>
  <c r="H10" i="17" s="1"/>
  <c r="H31" i="16" s="1"/>
  <c r="G10" i="17"/>
  <c r="G31" i="16" s="1"/>
  <c r="Z35" i="11"/>
  <c r="J32" i="17" s="1"/>
  <c r="K32" i="17" s="1"/>
  <c r="L32" i="17" s="1"/>
  <c r="M32" i="17" s="1"/>
  <c r="N32" i="17" s="1"/>
  <c r="O32" i="17" s="1"/>
  <c r="W49" i="11"/>
  <c r="W35" i="11"/>
  <c r="W20" i="11"/>
  <c r="I13" i="16"/>
  <c r="I12" i="16"/>
  <c r="D13" i="15"/>
  <c r="F13" i="15"/>
  <c r="I31" i="16" l="1"/>
  <c r="AD7" i="11"/>
  <c r="Z20" i="11"/>
  <c r="J20" i="17" s="1"/>
  <c r="K20" i="17" s="1"/>
  <c r="K9" i="17" s="1"/>
  <c r="AD26" i="11"/>
  <c r="Y35" i="11"/>
  <c r="J31" i="17" s="1"/>
  <c r="K31" i="17" s="1"/>
  <c r="Y20" i="11"/>
  <c r="J19" i="17" s="1"/>
  <c r="K19" i="17" s="1"/>
  <c r="AD13" i="11"/>
  <c r="I13" i="15"/>
  <c r="L20" i="17" l="1"/>
  <c r="M20" i="17" s="1"/>
  <c r="AD35" i="11"/>
  <c r="J34" i="17" s="1"/>
  <c r="L31" i="17"/>
  <c r="K34" i="17"/>
  <c r="K8" i="17"/>
  <c r="K22" i="17"/>
  <c r="L19" i="17"/>
  <c r="L9" i="17"/>
  <c r="AD20" i="11"/>
  <c r="J22" i="17" s="1"/>
  <c r="F8" i="11"/>
  <c r="F9" i="11"/>
  <c r="F10" i="11"/>
  <c r="F11" i="11"/>
  <c r="F12" i="11"/>
  <c r="F13" i="11"/>
  <c r="F14" i="11"/>
  <c r="F15" i="11"/>
  <c r="F16" i="11"/>
  <c r="F7" i="11"/>
  <c r="K11" i="17" l="1"/>
  <c r="N20" i="17"/>
  <c r="M9" i="17"/>
  <c r="L8" i="17"/>
  <c r="M19" i="17"/>
  <c r="L22" i="17"/>
  <c r="M31" i="17"/>
  <c r="L34" i="17"/>
  <c r="F46" i="11"/>
  <c r="F45" i="11"/>
  <c r="F44" i="11"/>
  <c r="F43" i="11"/>
  <c r="F42" i="11"/>
  <c r="F41" i="11"/>
  <c r="M7" i="11" l="1"/>
  <c r="M8" i="17"/>
  <c r="N19" i="17"/>
  <c r="M22" i="17"/>
  <c r="I20" i="11"/>
  <c r="C20" i="17" s="1"/>
  <c r="D20" i="17" s="1"/>
  <c r="M34" i="17"/>
  <c r="N31" i="17"/>
  <c r="O20" i="17"/>
  <c r="O9" i="17" s="1"/>
  <c r="N9" i="17"/>
  <c r="L11" i="17"/>
  <c r="M13" i="11"/>
  <c r="H20" i="11"/>
  <c r="C19" i="17" s="1"/>
  <c r="D19" i="17" s="1"/>
  <c r="F27" i="11"/>
  <c r="F28" i="11"/>
  <c r="F29" i="11"/>
  <c r="F30" i="11"/>
  <c r="F31" i="11"/>
  <c r="F32" i="11"/>
  <c r="F26" i="11"/>
  <c r="E20" i="17" l="1"/>
  <c r="M11" i="17"/>
  <c r="E19" i="17"/>
  <c r="D22" i="17"/>
  <c r="N34" i="17"/>
  <c r="O31" i="17"/>
  <c r="O34" i="17" s="1"/>
  <c r="N8" i="17"/>
  <c r="N22" i="17"/>
  <c r="O19" i="17"/>
  <c r="M20" i="11"/>
  <c r="C22" i="17" s="1"/>
  <c r="F49" i="11"/>
  <c r="F35" i="11"/>
  <c r="F20" i="11"/>
  <c r="F19" i="17" l="1"/>
  <c r="E22" i="17"/>
  <c r="F20" i="17"/>
  <c r="O22" i="17"/>
  <c r="O8" i="17"/>
  <c r="N11" i="17"/>
  <c r="I35" i="11"/>
  <c r="C32" i="17" s="1"/>
  <c r="D32" i="17" s="1"/>
  <c r="M32" i="11"/>
  <c r="H35" i="11"/>
  <c r="C31" i="17" s="1"/>
  <c r="D31" i="17" s="1"/>
  <c r="M26" i="11"/>
  <c r="G20" i="17" l="1"/>
  <c r="D34" i="17"/>
  <c r="E31" i="17"/>
  <c r="D8" i="17"/>
  <c r="D29" i="16" s="1"/>
  <c r="E32" i="17"/>
  <c r="D9" i="17"/>
  <c r="D30" i="16" s="1"/>
  <c r="O11" i="17"/>
  <c r="F22" i="17"/>
  <c r="G19" i="17"/>
  <c r="M35" i="11"/>
  <c r="C34" i="17" s="1"/>
  <c r="F15" i="15"/>
  <c r="E15" i="15"/>
  <c r="D15" i="15"/>
  <c r="H20" i="17" l="1"/>
  <c r="F32" i="17"/>
  <c r="F31" i="17"/>
  <c r="E34" i="17"/>
  <c r="E8" i="17"/>
  <c r="E29" i="16" s="1"/>
  <c r="G22" i="17"/>
  <c r="H19" i="17"/>
  <c r="D11" i="17"/>
  <c r="D32" i="16" s="1"/>
  <c r="I15" i="15"/>
  <c r="H14" i="16"/>
  <c r="G66" i="8" s="1"/>
  <c r="G14" i="16"/>
  <c r="F66" i="8" s="1"/>
  <c r="F14" i="16"/>
  <c r="E66" i="8" s="1"/>
  <c r="E14" i="16"/>
  <c r="D66" i="8" s="1"/>
  <c r="I11" i="16"/>
  <c r="I18" i="13"/>
  <c r="I17" i="13"/>
  <c r="F19" i="13"/>
  <c r="E19" i="13"/>
  <c r="D19" i="13"/>
  <c r="F12" i="13"/>
  <c r="E12" i="13"/>
  <c r="D12" i="13"/>
  <c r="C50" i="8" l="1"/>
  <c r="H22" i="17"/>
  <c r="G32" i="17"/>
  <c r="F34" i="17"/>
  <c r="G31" i="17"/>
  <c r="F8" i="17"/>
  <c r="F29" i="16" s="1"/>
  <c r="I14" i="16"/>
  <c r="I12" i="13"/>
  <c r="I19" i="13"/>
  <c r="D14" i="16"/>
  <c r="C66" i="8" s="1"/>
  <c r="H31" i="17" l="1"/>
  <c r="G34" i="17"/>
  <c r="G8" i="17"/>
  <c r="G29" i="16" s="1"/>
  <c r="H32" i="17"/>
  <c r="I9" i="15"/>
  <c r="H34" i="17" l="1"/>
  <c r="H8" i="17"/>
  <c r="H29" i="16" s="1"/>
  <c r="I29" i="16" s="1"/>
  <c r="D3" i="9"/>
  <c r="H66" i="8" l="1"/>
  <c r="F46" i="17" l="1"/>
  <c r="F9" i="17"/>
  <c r="F30" i="16" s="1"/>
  <c r="E46" i="17"/>
  <c r="E9" i="17"/>
  <c r="E30" i="16" s="1"/>
  <c r="H46" i="17"/>
  <c r="H9" i="17"/>
  <c r="G46" i="17"/>
  <c r="G9" i="17"/>
  <c r="G30" i="16" s="1"/>
  <c r="H11" i="17" l="1"/>
  <c r="H32" i="16" s="1"/>
  <c r="F11" i="17"/>
  <c r="F32" i="16" s="1"/>
  <c r="G11" i="17"/>
  <c r="G32" i="16" s="1"/>
  <c r="E11" i="17"/>
  <c r="E32" i="16" s="1"/>
  <c r="H30" i="16"/>
  <c r="I30" i="16" s="1"/>
  <c r="E50" i="8" l="1"/>
  <c r="G50" i="8"/>
  <c r="D50" i="8"/>
  <c r="I32" i="16"/>
  <c r="F50" i="8"/>
  <c r="H50" i="8" l="1"/>
  <c r="H4" i="17" l="1"/>
  <c r="D4" i="17"/>
  <c r="AF45" i="11"/>
  <c r="AF41" i="11"/>
  <c r="O46" i="11"/>
  <c r="O42" i="11"/>
  <c r="AF29" i="11"/>
  <c r="O30" i="11"/>
  <c r="O26" i="11"/>
  <c r="AF16" i="11"/>
  <c r="AF12" i="11"/>
  <c r="AF8" i="11"/>
  <c r="O15" i="11"/>
  <c r="O11" i="11"/>
  <c r="O7" i="11"/>
  <c r="G4" i="17"/>
  <c r="AF46" i="11"/>
  <c r="AF42" i="11"/>
  <c r="O43" i="11"/>
  <c r="AF30" i="11"/>
  <c r="AF26" i="11"/>
  <c r="O31" i="11"/>
  <c r="O27" i="11"/>
  <c r="AF13" i="11"/>
  <c r="AF9" i="11"/>
  <c r="O16" i="11"/>
  <c r="O12" i="11"/>
  <c r="O8" i="11"/>
  <c r="F4" i="17"/>
  <c r="AF40" i="11"/>
  <c r="O40" i="11"/>
  <c r="AF27" i="11"/>
  <c r="AF10" i="11"/>
  <c r="O13" i="11"/>
  <c r="E4" i="17"/>
  <c r="O45" i="11"/>
  <c r="AF32" i="11"/>
  <c r="AF44" i="11"/>
  <c r="O44" i="11"/>
  <c r="AF31" i="11"/>
  <c r="O9" i="11"/>
  <c r="AF43" i="11"/>
  <c r="O41" i="11"/>
  <c r="AF28" i="11"/>
  <c r="O28" i="11"/>
  <c r="AF11" i="11"/>
  <c r="O14" i="11"/>
  <c r="O32" i="11"/>
  <c r="AF15" i="11"/>
  <c r="AF7" i="11"/>
  <c r="O10" i="11"/>
  <c r="O29" i="11"/>
  <c r="AF14" i="11"/>
  <c r="AF20" i="11" l="1"/>
  <c r="J24" i="17" s="1"/>
  <c r="AF49" i="11"/>
  <c r="J48" i="17" s="1"/>
  <c r="K4" i="17"/>
  <c r="D48" i="17"/>
  <c r="D24" i="17"/>
  <c r="D36" i="17"/>
  <c r="N4" i="17"/>
  <c r="G24" i="17"/>
  <c r="G36" i="17"/>
  <c r="G48" i="17"/>
  <c r="L4" i="17"/>
  <c r="E24" i="17"/>
  <c r="E36" i="17"/>
  <c r="E48" i="17"/>
  <c r="O49" i="11"/>
  <c r="C48" i="17" s="1"/>
  <c r="O20" i="11"/>
  <c r="C24" i="17" s="1"/>
  <c r="M4" i="17"/>
  <c r="F24" i="17"/>
  <c r="F36" i="17"/>
  <c r="F48" i="17"/>
  <c r="AF35" i="11"/>
  <c r="J36" i="17" s="1"/>
  <c r="O35" i="11"/>
  <c r="C36" i="17" s="1"/>
  <c r="O4" i="17"/>
  <c r="H24" i="17"/>
  <c r="H36" i="17"/>
  <c r="H48" i="17"/>
  <c r="H13" i="17" l="1"/>
  <c r="H34" i="16" s="1"/>
  <c r="E13" i="17"/>
  <c r="E34" i="16" s="1"/>
  <c r="G13" i="17"/>
  <c r="G34" i="16" s="1"/>
  <c r="D13" i="17"/>
  <c r="D34" i="16" s="1"/>
  <c r="M48" i="17"/>
  <c r="M24" i="17"/>
  <c r="M13" i="17" s="1"/>
  <c r="M36" i="17"/>
  <c r="F13" i="17"/>
  <c r="F34" i="16" s="1"/>
  <c r="O48" i="17"/>
  <c r="O36" i="17"/>
  <c r="O24" i="17"/>
  <c r="O13" i="17" s="1"/>
  <c r="L48" i="17"/>
  <c r="L24" i="17"/>
  <c r="L13" i="17" s="1"/>
  <c r="L36" i="17"/>
  <c r="N48" i="17"/>
  <c r="N36" i="17"/>
  <c r="N24" i="17"/>
  <c r="N13" i="17" s="1"/>
  <c r="K48" i="17"/>
  <c r="K24" i="17"/>
  <c r="K13" i="17" s="1"/>
  <c r="K36" i="17"/>
  <c r="I34" i="16" l="1"/>
  <c r="E3" i="17" l="1"/>
  <c r="AE44" i="11"/>
  <c r="AE40" i="11"/>
  <c r="N45" i="11"/>
  <c r="N41" i="11"/>
  <c r="AE32" i="11"/>
  <c r="AE28" i="11"/>
  <c r="N29" i="11"/>
  <c r="AH17" i="11"/>
  <c r="AE15" i="11"/>
  <c r="AE11" i="11"/>
  <c r="AE7" i="11"/>
  <c r="N14" i="11"/>
  <c r="N10" i="11"/>
  <c r="H3" i="17"/>
  <c r="D3" i="17"/>
  <c r="AE45" i="11"/>
  <c r="AE41" i="11"/>
  <c r="N46" i="11"/>
  <c r="N42" i="11"/>
  <c r="AE29" i="11"/>
  <c r="N30" i="11"/>
  <c r="N26" i="11"/>
  <c r="AE16" i="11"/>
  <c r="AE12" i="11"/>
  <c r="AE8" i="11"/>
  <c r="Q17" i="11"/>
  <c r="N15" i="11"/>
  <c r="N11" i="11"/>
  <c r="N7" i="11"/>
  <c r="G3" i="17"/>
  <c r="AE46" i="11"/>
  <c r="AE43" i="11"/>
  <c r="N43" i="11"/>
  <c r="AE30" i="11"/>
  <c r="N28" i="11"/>
  <c r="AE13" i="11"/>
  <c r="N16" i="11"/>
  <c r="N8" i="11"/>
  <c r="AE42" i="11"/>
  <c r="N40" i="11"/>
  <c r="AE27" i="11"/>
  <c r="N27" i="11"/>
  <c r="AE26" i="11"/>
  <c r="AE17" i="11"/>
  <c r="E15" i="8" s="1"/>
  <c r="E14" i="8" s="1"/>
  <c r="AE9" i="11"/>
  <c r="N12" i="11"/>
  <c r="N44" i="11"/>
  <c r="AE31" i="11"/>
  <c r="N31" i="11"/>
  <c r="AE14" i="11"/>
  <c r="N17" i="11"/>
  <c r="D15" i="8" s="1"/>
  <c r="D14" i="8" s="1"/>
  <c r="N9" i="11"/>
  <c r="AE10" i="11"/>
  <c r="N13" i="11"/>
  <c r="F3" i="17"/>
  <c r="N32" i="11"/>
  <c r="F23" i="17" l="1"/>
  <c r="F47" i="17"/>
  <c r="F49" i="17" s="1"/>
  <c r="F50" i="17" s="1"/>
  <c r="F52" i="17" s="1"/>
  <c r="M3" i="17"/>
  <c r="F35" i="17"/>
  <c r="F37" i="17" s="1"/>
  <c r="F38" i="17" s="1"/>
  <c r="F40" i="17" s="1"/>
  <c r="AG26" i="11"/>
  <c r="AH26" i="11" s="1"/>
  <c r="AE35" i="11"/>
  <c r="J35" i="17" s="1"/>
  <c r="P28" i="11"/>
  <c r="Q28" i="11" s="1"/>
  <c r="P15" i="11"/>
  <c r="Q15" i="11" s="1"/>
  <c r="P42" i="11"/>
  <c r="Q42" i="11" s="1"/>
  <c r="K3" i="17"/>
  <c r="D35" i="17"/>
  <c r="D37" i="17" s="1"/>
  <c r="D38" i="17" s="1"/>
  <c r="D40" i="17" s="1"/>
  <c r="D23" i="17"/>
  <c r="D47" i="17"/>
  <c r="D49" i="17" s="1"/>
  <c r="D50" i="17" s="1"/>
  <c r="D52" i="17" s="1"/>
  <c r="AG7" i="11"/>
  <c r="AH7" i="11"/>
  <c r="AE20" i="11"/>
  <c r="J23" i="17" s="1"/>
  <c r="P45" i="11"/>
  <c r="Q45" i="11" s="1"/>
  <c r="P13" i="11"/>
  <c r="Q13" i="11" s="1"/>
  <c r="AG14" i="11"/>
  <c r="AH14" i="11" s="1"/>
  <c r="P12" i="11"/>
  <c r="Q12" i="11" s="1"/>
  <c r="P27" i="11"/>
  <c r="Q27" i="11" s="1"/>
  <c r="P8" i="11"/>
  <c r="Q8" i="11" s="1"/>
  <c r="AG30" i="11"/>
  <c r="AH30" i="11" s="1"/>
  <c r="G23" i="17"/>
  <c r="N3" i="17"/>
  <c r="G47" i="17"/>
  <c r="G49" i="17" s="1"/>
  <c r="G50" i="17" s="1"/>
  <c r="G52" i="17" s="1"/>
  <c r="G35" i="17"/>
  <c r="G37" i="17" s="1"/>
  <c r="G38" i="17" s="1"/>
  <c r="G40" i="17" s="1"/>
  <c r="P26" i="11"/>
  <c r="Q26" i="11" s="1"/>
  <c r="N35" i="11"/>
  <c r="C35" i="17" s="1"/>
  <c r="P46" i="11"/>
  <c r="Q46" i="11" s="1"/>
  <c r="H35" i="17"/>
  <c r="H37" i="17" s="1"/>
  <c r="H38" i="17" s="1"/>
  <c r="H40" i="17" s="1"/>
  <c r="H47" i="17"/>
  <c r="H49" i="17" s="1"/>
  <c r="H50" i="17" s="1"/>
  <c r="H52" i="17" s="1"/>
  <c r="H23" i="17"/>
  <c r="O3" i="17"/>
  <c r="AG11" i="11"/>
  <c r="AH11" i="11" s="1"/>
  <c r="AG28" i="11"/>
  <c r="AH28" i="11" s="1"/>
  <c r="AG40" i="11"/>
  <c r="AE49" i="11"/>
  <c r="J47" i="17" s="1"/>
  <c r="P44" i="11"/>
  <c r="Q44" i="11" s="1"/>
  <c r="AG42" i="11"/>
  <c r="AH42" i="11" s="1"/>
  <c r="AG46" i="11"/>
  <c r="AH46" i="11" s="1"/>
  <c r="AG16" i="11"/>
  <c r="AH16" i="11" s="1"/>
  <c r="P29" i="11"/>
  <c r="Q29" i="11" s="1"/>
  <c r="AG10" i="11"/>
  <c r="AH10" i="11" s="1"/>
  <c r="P31" i="11"/>
  <c r="Q31" i="11" s="1"/>
  <c r="AG9" i="11"/>
  <c r="AH9" i="11" s="1"/>
  <c r="AG27" i="11"/>
  <c r="AH27" i="11"/>
  <c r="P16" i="11"/>
  <c r="Q16" i="11" s="1"/>
  <c r="P43" i="11"/>
  <c r="Q43" i="11" s="1"/>
  <c r="P7" i="11"/>
  <c r="Q7" i="11" s="1"/>
  <c r="N20" i="11"/>
  <c r="C23" i="17" s="1"/>
  <c r="AG8" i="11"/>
  <c r="AH8" i="11" s="1"/>
  <c r="P30" i="11"/>
  <c r="Q30" i="11" s="1"/>
  <c r="AG41" i="11"/>
  <c r="AH41" i="11" s="1"/>
  <c r="P10" i="11"/>
  <c r="Q10" i="11" s="1"/>
  <c r="AG15" i="11"/>
  <c r="AH15" i="11" s="1"/>
  <c r="AG32" i="11"/>
  <c r="AH32" i="11"/>
  <c r="AG44" i="11"/>
  <c r="AH44" i="11" s="1"/>
  <c r="P32" i="11"/>
  <c r="Q32" i="11" s="1"/>
  <c r="P9" i="11"/>
  <c r="Q9" i="11" s="1"/>
  <c r="AG31" i="11"/>
  <c r="AH31" i="11"/>
  <c r="P40" i="11"/>
  <c r="N49" i="11"/>
  <c r="C47" i="17" s="1"/>
  <c r="AG13" i="11"/>
  <c r="AH13" i="11"/>
  <c r="AG43" i="11"/>
  <c r="AH43" i="11" s="1"/>
  <c r="P11" i="11"/>
  <c r="Q11" i="11" s="1"/>
  <c r="AG12" i="11"/>
  <c r="AH12" i="11" s="1"/>
  <c r="AG29" i="11"/>
  <c r="AH29" i="11" s="1"/>
  <c r="AG45" i="11"/>
  <c r="AH45" i="11" s="1"/>
  <c r="P14" i="11"/>
  <c r="Q14" i="11" s="1"/>
  <c r="P41" i="11"/>
  <c r="Q41" i="11" s="1"/>
  <c r="E47" i="17"/>
  <c r="E49" i="17" s="1"/>
  <c r="E50" i="17" s="1"/>
  <c r="E52" i="17" s="1"/>
  <c r="E35" i="17"/>
  <c r="E37" i="17" s="1"/>
  <c r="E38" i="17" s="1"/>
  <c r="E40" i="17" s="1"/>
  <c r="E23" i="17"/>
  <c r="L3" i="17"/>
  <c r="P49" i="11" l="1"/>
  <c r="C49" i="17" s="1"/>
  <c r="Q20" i="11"/>
  <c r="D12" i="17"/>
  <c r="D33" i="16" s="1"/>
  <c r="D25" i="17"/>
  <c r="O35" i="17"/>
  <c r="O37" i="17" s="1"/>
  <c r="O38" i="17" s="1"/>
  <c r="O40" i="17" s="1"/>
  <c r="H5" i="16" s="1"/>
  <c r="O47" i="17"/>
  <c r="O49" i="17" s="1"/>
  <c r="O50" i="17" s="1"/>
  <c r="O52" i="17" s="1"/>
  <c r="H6" i="16" s="1"/>
  <c r="O23" i="17"/>
  <c r="P35" i="11"/>
  <c r="C37" i="17" s="1"/>
  <c r="G12" i="17"/>
  <c r="G33" i="16" s="1"/>
  <c r="G25" i="17"/>
  <c r="AH20" i="11"/>
  <c r="AH35" i="11"/>
  <c r="M47" i="17"/>
  <c r="M49" i="17" s="1"/>
  <c r="M50" i="17" s="1"/>
  <c r="M52" i="17" s="1"/>
  <c r="F6" i="16" s="1"/>
  <c r="M35" i="17"/>
  <c r="M37" i="17" s="1"/>
  <c r="M38" i="17" s="1"/>
  <c r="M40" i="17" s="1"/>
  <c r="F5" i="16" s="1"/>
  <c r="M23" i="17"/>
  <c r="AG49" i="11"/>
  <c r="J49" i="17" s="1"/>
  <c r="L47" i="17"/>
  <c r="L49" i="17" s="1"/>
  <c r="L50" i="17" s="1"/>
  <c r="L52" i="17" s="1"/>
  <c r="E6" i="16" s="1"/>
  <c r="L35" i="17"/>
  <c r="L37" i="17" s="1"/>
  <c r="L38" i="17" s="1"/>
  <c r="L40" i="17" s="1"/>
  <c r="E5" i="16" s="1"/>
  <c r="L23" i="17"/>
  <c r="Q40" i="11"/>
  <c r="Q49" i="11" s="1"/>
  <c r="AH40" i="11"/>
  <c r="AH49" i="11" s="1"/>
  <c r="H12" i="17"/>
  <c r="H33" i="16" s="1"/>
  <c r="H25" i="17"/>
  <c r="AG20" i="11"/>
  <c r="J25" i="17" s="1"/>
  <c r="K35" i="17"/>
  <c r="K37" i="17" s="1"/>
  <c r="K38" i="17" s="1"/>
  <c r="K40" i="17" s="1"/>
  <c r="D5" i="16" s="1"/>
  <c r="K47" i="17"/>
  <c r="K49" i="17" s="1"/>
  <c r="K50" i="17" s="1"/>
  <c r="K52" i="17" s="1"/>
  <c r="D6" i="16" s="1"/>
  <c r="K23" i="17"/>
  <c r="N47" i="17"/>
  <c r="N49" i="17" s="1"/>
  <c r="N50" i="17" s="1"/>
  <c r="N52" i="17" s="1"/>
  <c r="G6" i="16" s="1"/>
  <c r="N35" i="17"/>
  <c r="N37" i="17" s="1"/>
  <c r="N38" i="17" s="1"/>
  <c r="N40" i="17" s="1"/>
  <c r="G5" i="16" s="1"/>
  <c r="N23" i="17"/>
  <c r="E25" i="17"/>
  <c r="E12" i="17"/>
  <c r="E33" i="16" s="1"/>
  <c r="P20" i="11"/>
  <c r="C25" i="17" s="1"/>
  <c r="Q35" i="11"/>
  <c r="AG35" i="11"/>
  <c r="J37" i="17" s="1"/>
  <c r="F25" i="17"/>
  <c r="F14" i="17" s="1"/>
  <c r="F35" i="16" s="1"/>
  <c r="F12" i="17"/>
  <c r="F33" i="16" s="1"/>
  <c r="F26" i="17" l="1"/>
  <c r="F36" i="16"/>
  <c r="I5" i="16"/>
  <c r="J50" i="17"/>
  <c r="E13" i="8"/>
  <c r="E52" i="8"/>
  <c r="E54" i="8" s="1"/>
  <c r="C50" i="17"/>
  <c r="D13" i="8"/>
  <c r="J38" i="17"/>
  <c r="E12" i="8"/>
  <c r="D26" i="17"/>
  <c r="D14" i="17"/>
  <c r="D35" i="16" s="1"/>
  <c r="E26" i="17"/>
  <c r="E14" i="17"/>
  <c r="E35" i="16" s="1"/>
  <c r="E36" i="16" s="1"/>
  <c r="K12" i="17"/>
  <c r="K25" i="17"/>
  <c r="K14" i="17" s="1"/>
  <c r="H26" i="17"/>
  <c r="H14" i="17"/>
  <c r="H35" i="16" s="1"/>
  <c r="G52" i="8" s="1"/>
  <c r="G54" i="8" s="1"/>
  <c r="L25" i="17"/>
  <c r="L14" i="17" s="1"/>
  <c r="L12" i="17"/>
  <c r="M25" i="17"/>
  <c r="M14" i="17" s="1"/>
  <c r="M12" i="17"/>
  <c r="J26" i="17"/>
  <c r="E11" i="8"/>
  <c r="O25" i="17"/>
  <c r="O14" i="17" s="1"/>
  <c r="O12" i="17"/>
  <c r="I33" i="16"/>
  <c r="D36" i="16"/>
  <c r="F28" i="17"/>
  <c r="F15" i="17"/>
  <c r="D12" i="8"/>
  <c r="C38" i="17"/>
  <c r="N25" i="17"/>
  <c r="N14" i="17" s="1"/>
  <c r="N12" i="17"/>
  <c r="N26" i="17"/>
  <c r="I6" i="16"/>
  <c r="G26" i="17"/>
  <c r="G14" i="17"/>
  <c r="G35" i="16" s="1"/>
  <c r="G36" i="16" s="1"/>
  <c r="D11" i="8"/>
  <c r="C26" i="17"/>
  <c r="H36" i="16" l="1"/>
  <c r="C52" i="8"/>
  <c r="I35" i="16"/>
  <c r="I36" i="16" s="1"/>
  <c r="N15" i="17"/>
  <c r="N28" i="17"/>
  <c r="D15" i="17"/>
  <c r="D28" i="17"/>
  <c r="F52" i="8"/>
  <c r="F54" i="8" s="1"/>
  <c r="G15" i="17"/>
  <c r="G28" i="17"/>
  <c r="O26" i="17"/>
  <c r="L26" i="17"/>
  <c r="H15" i="17"/>
  <c r="H28" i="17"/>
  <c r="D52" i="8"/>
  <c r="D54" i="8" s="1"/>
  <c r="F16" i="17"/>
  <c r="M26" i="17"/>
  <c r="K26" i="17"/>
  <c r="E28" i="17"/>
  <c r="E15" i="17"/>
  <c r="N16" i="17" l="1"/>
  <c r="L15" i="17"/>
  <c r="L28" i="17"/>
  <c r="M15" i="17"/>
  <c r="M28" i="17"/>
  <c r="E16" i="17"/>
  <c r="O15" i="17"/>
  <c r="O28" i="17"/>
  <c r="D16" i="17"/>
  <c r="K15" i="17"/>
  <c r="K28" i="17"/>
  <c r="K16" i="17" s="1"/>
  <c r="H16" i="17"/>
  <c r="G16" i="17"/>
  <c r="G4" i="16"/>
  <c r="G7" i="16" s="1"/>
  <c r="C54" i="8"/>
  <c r="H52" i="8"/>
  <c r="H54" i="8" s="1"/>
  <c r="F4" i="16" l="1"/>
  <c r="F7" i="16" s="1"/>
  <c r="M16" i="17"/>
  <c r="H4" i="16"/>
  <c r="H7" i="16" s="1"/>
  <c r="O16" i="17"/>
  <c r="E4" i="16"/>
  <c r="E7" i="16" s="1"/>
  <c r="L16" i="17"/>
  <c r="D4" i="16"/>
  <c r="I4" i="16" l="1"/>
  <c r="I7" i="16" s="1"/>
  <c r="D7" i="16"/>
</calcChain>
</file>

<file path=xl/sharedStrings.xml><?xml version="1.0" encoding="utf-8"?>
<sst xmlns="http://schemas.openxmlformats.org/spreadsheetml/2006/main" count="478" uniqueCount="186">
  <si>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</si>
  <si>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</si>
  <si>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</si>
  <si>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</si>
  <si>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</si>
  <si>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</si>
  <si>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</si>
  <si>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</si>
  <si>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</si>
  <si>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</si>
  <si>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</si>
  <si>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</si>
  <si>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</si>
  <si>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</si>
  <si>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</si>
  <si>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</si>
  <si>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</si>
  <si>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GL Code</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</si>
  <si>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</si>
  <si>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</si>
  <si>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</si>
  <si>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</si>
  <si>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</si>
  <si>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</si>
  <si>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</si>
  <si>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</si>
  <si>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</si>
  <si>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</si>
  <si>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</si>
  <si>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</si>
  <si>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</si>
  <si>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</si>
  <si>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</si>
  <si>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</si>
  <si>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</si>
  <si>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</si>
  <si>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</si>
  <si>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</si>
  <si>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</si>
  <si>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</si>
  <si>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</si>
  <si>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</si>
  <si>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</si>
  <si>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</si>
  <si>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</si>
  <si>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</si>
  <si>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</si>
  <si>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</si>
  <si>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</si>
  <si>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</si>
  <si>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</si>
  <si>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</si>
  <si>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</si>
  <si>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</si>
  <si>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</si>
  <si>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</si>
  <si>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</si>
  <si>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Network Service:</t>
  </si>
  <si>
    <t>FY16/17</t>
  </si>
  <si>
    <t>FY15/16</t>
  </si>
  <si>
    <t>FY14/15</t>
  </si>
  <si>
    <t>FY19/20</t>
  </si>
  <si>
    <t>FY20/21</t>
  </si>
  <si>
    <t>FY21/22</t>
  </si>
  <si>
    <t>FY23/24</t>
  </si>
  <si>
    <t>Time on Task (Hours)</t>
  </si>
  <si>
    <t>Contestable Works Database</t>
  </si>
  <si>
    <t>Connect / disconnect generator to OH / UG mains, switchboard or kiosk</t>
  </si>
  <si>
    <t>Install &amp; remove HV LL Links</t>
  </si>
  <si>
    <t>Break &amp; remake LV bonds</t>
  </si>
  <si>
    <t>Break &amp; remake HV bonds</t>
  </si>
  <si>
    <t>Connect / disconnect generator to switchboard or kiosk</t>
  </si>
  <si>
    <t>Connect / disconnect generator to OH / UG mains.</t>
  </si>
  <si>
    <t xml:space="preserve">
The provision of an MG (Motor Generator) connection to the network or a direct distributor and / or use of HV Line Live Techniques when required to maintain a continued but temporary supply to otherwise impacted customers during contestable connection works. Service is in conjunction with but in addition to access permits and clearance to work.
The costs of MG hire and operation are not included as these are commercially available. Note also, there is no allowance for Essential Energy to supply an MG standby technician if required.</t>
  </si>
  <si>
    <t>Access permits, oversight and facilitation
Activities include:
·a distributor issuing access permits or clearances to work to a person authorised to work on or near distribution systems including high and low voltage.
·a distributor issuing confined space entry permits and associated safe entry equipment to a person authorised to enter a confined space.
·a distributor providing access to switch rooms, substations and the like to a non-LNSP party who is accompanied and supervised by a distributor's staff member. May also include a distributor providing safe entry equipment (fall-arrest) to enter difficult access areas. 
·specialist services (which may involve design related activities and oversight/inspections of works) where the design or construction is non-standard, technically complex or environmentally sensitive and any enquiries related to distributor assets. 
·facilitation of generator connection and operation of the network.
·facilitation of activities within clearances of distributor’s assets, including physical and electrical isolation of assets.
·provision of approved materials/equipment to ASPs for connection assets that will become part of the shared distribution network.
·assessing an application from an ASP or manufacturer to consider approval of alternative material and equipment items that are not specified in the distributor’s approved materials list.</t>
  </si>
  <si>
    <t>Services to supply temporary supply to one or more customers</t>
  </si>
  <si>
    <t>Review generator request, network configuration and submit NAR</t>
  </si>
  <si>
    <t>Review HV LL request, network configuration and submit NAR</t>
  </si>
  <si>
    <t>Review LV isolation request, network configuration and submit NAR</t>
  </si>
  <si>
    <t xml:space="preserve">Review protection setting and process NAR request </t>
  </si>
  <si>
    <t>Write switching sheet (pre and approved)</t>
  </si>
  <si>
    <t>Complete site assesment in field to verify switching sheet and NECF compliance</t>
  </si>
  <si>
    <t>R4</t>
  </si>
  <si>
    <t>Travel to / from site</t>
  </si>
  <si>
    <t>Complete network switching for generator connection</t>
  </si>
  <si>
    <t xml:space="preserve">Network Operator - run switching sheet for generator connection </t>
  </si>
  <si>
    <t>Connect generator and complete all tests as required</t>
  </si>
  <si>
    <t>Complete network return switching for generator connection</t>
  </si>
  <si>
    <t>Disconnect generator and complete all tests as required</t>
  </si>
  <si>
    <t>Network Operator - run switching sheet for Live Line Works</t>
  </si>
  <si>
    <t>Install / Remove HV LL Links</t>
  </si>
  <si>
    <t>Make / break LV bridges Links</t>
  </si>
  <si>
    <t>Network Operator - run switching sheet for Live LV Works</t>
  </si>
  <si>
    <t xml:space="preserve">Process NAR request </t>
  </si>
  <si>
    <t>Bottom Up Estimation</t>
  </si>
  <si>
    <t xml:space="preserve">Existing Service Description (2014-19) </t>
  </si>
  <si>
    <t>Field Officer</t>
  </si>
  <si>
    <t xml:space="preserve"> - </t>
  </si>
  <si>
    <t>Install &amp; remove HV LL Links or Bonds</t>
  </si>
  <si>
    <t>Projected Volumes for FY2019-24 Regulatory Period</t>
  </si>
  <si>
    <t>Project Code</t>
  </si>
  <si>
    <t>FY22/23</t>
  </si>
  <si>
    <t>Operating Costs (on IO's, work orders, cost objects, cost centres)</t>
  </si>
  <si>
    <t>ACSCW 30610 - Temp Works HV Bonds</t>
  </si>
  <si>
    <t>ACSCW 30620 - Temp Works LV Bonds</t>
  </si>
  <si>
    <t>ACSCW 30630 Temp Works Gen to Mains</t>
  </si>
  <si>
    <t>ACSCW 30640 Temp Works Gen to Kiosk</t>
  </si>
  <si>
    <t>Connect / disconnect MG to OH/UG mains, switchboard or kiosk (fixed fee) NT</t>
  </si>
  <si>
    <t>Connect / disconnect MG to OH/UG mains, switchboard or kiosk (fixed fee) OT</t>
  </si>
  <si>
    <t>Install &amp; remove HV LL Links / bonds (fixed fee) NT</t>
  </si>
  <si>
    <t>Install &amp; remove HV LL Links / bonds (fixed fee) OT</t>
  </si>
  <si>
    <t>Break &amp; remake LV bonds (fixed fee) NT</t>
  </si>
  <si>
    <t>Break &amp; remake LV bonds (fixed fee) OT</t>
  </si>
  <si>
    <t>Fixed Fee OT</t>
  </si>
  <si>
    <t>Fixed Fee NT</t>
  </si>
  <si>
    <t>ANS P&amp;L</t>
  </si>
  <si>
    <t xml:space="preserve">Operating Costs - </t>
  </si>
  <si>
    <t>Historical operating costs weere referenced form ANS P&amp;L Report.</t>
  </si>
  <si>
    <t>Service description altered.</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</si>
  <si>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</si>
  <si>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</si>
  <si>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</si>
  <si>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</si>
  <si>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</si>
  <si>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</si>
  <si>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</si>
  <si>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</si>
  <si>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</si>
  <si>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</si>
  <si>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</si>
  <si>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</si>
  <si>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No fees were recorded for Temporary Supply Services.</t>
  </si>
  <si>
    <t>Services to supply and connect temporary supply to one or more customers</t>
  </si>
  <si>
    <t>Inconsistencies between operating costs and recorded volumes / hrs.</t>
  </si>
  <si>
    <t>ACSCW 30600 / 10 - Temp Works HV LL / Bonds</t>
  </si>
  <si>
    <t>ACSCW 30630 / 40 - Temp Works Gen to Mains / Kiosk</t>
  </si>
  <si>
    <t>ACSCW 30600 - Temp Works HV LL</t>
  </si>
  <si>
    <t>OT Fixed Fee's.</t>
  </si>
  <si>
    <r>
      <t xml:space="preserve">
</t>
    </r>
    <r>
      <rPr>
        <b/>
        <sz val="10"/>
        <color theme="1"/>
        <rFont val="Arial"/>
        <family val="2"/>
      </rPr>
      <t>Services to supply and connect temporary supply to one or more customers</t>
    </r>
    <r>
      <rPr>
        <sz val="10"/>
        <color theme="1"/>
        <rFont val="Arial"/>
        <family val="2"/>
      </rPr>
      <t xml:space="preserve">
The provision of an MG (Motor Generator) connection to the network or a direct distributor and / or use of HV Line Live / LV Live Techniques when requested by an ASP and / or as prescribed in the design information requirements to maintain a continued but temporary supply to otherwise impacted customers during contestable connection works. Service is in conjunction with, but in addition to access permits and clearance to work.
The costs of MG hire are not included as these are commercially available. Hire cost of providing generators are in addition to this service.
Note also, there is no allowance for Essential Energy to supply an MG standby technician if required. This would be covered as an additional service.</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</si>
  <si>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</si>
  <si>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</si>
  <si>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</si>
  <si>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</si>
  <si>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</si>
  <si>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</si>
  <si>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</si>
  <si>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</si>
  <si>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</si>
  <si>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</si>
  <si>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</si>
  <si>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</si>
  <si>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</si>
  <si>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</si>
  <si>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</si>
  <si>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</si>
  <si>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</si>
  <si>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</si>
  <si>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</si>
  <si>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</si>
  <si>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</si>
  <si>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</si>
  <si>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</si>
  <si>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</si>
  <si>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</si>
  <si>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</si>
  <si>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</si>
  <si>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</si>
  <si>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</si>
  <si>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</si>
  <si>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</si>
  <si>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</si>
  <si>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</si>
  <si>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</si>
  <si>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</si>
  <si>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</si>
  <si>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</si>
  <si>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</si>
  <si>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</si>
  <si>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</si>
  <si>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4.4 Temporary supply services</t>
  </si>
  <si>
    <t>OVERTIME LABOUR TIME</t>
  </si>
  <si>
    <t>Provision of Generator  - [Invoice + Overheads] + Margin</t>
  </si>
  <si>
    <t>Overheads rate</t>
  </si>
  <si>
    <t>Margin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</si>
  <si>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</si>
  <si>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 Forecast volumes based on team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</si>
</sst>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quot;$&quot;#,##0_);\(&quot;$&quot;#,##0\)"/>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3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b/>
      <sz val="8"/>
      <name val="Arial"/>
      <family val="2"/>
    </font>
    <font>
      <sz val="1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auto="1"/>
      </left>
      <right style="thin">
        <color theme="0"/>
      </right>
      <top style="thin">
        <color theme="0"/>
      </top>
      <bottom style="thin">
        <color theme="0"/>
      </bottom>
      <diagonal/>
    </border>
    <border>
      <left/>
      <right style="thin">
        <color theme="0"/>
      </right>
      <top style="thin">
        <color theme="0"/>
      </top>
      <bottom/>
      <diagonal/>
    </border>
    <border>
      <left style="thin">
        <color auto="1"/>
      </left>
      <right style="thin">
        <color auto="1"/>
      </right>
      <top style="thin">
        <color theme="0"/>
      </top>
      <bottom style="thin">
        <color theme="0"/>
      </bottom>
      <diagonal/>
    </border>
    <border>
      <left style="thin">
        <color theme="0"/>
      </left>
      <right style="thin">
        <color auto="1"/>
      </right>
      <top style="thin">
        <color theme="0"/>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0" fontId="4" fillId="0" borderId="0"/>
  </cellStyleXfs>
  <cellXfs count="318">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8"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5" fillId="8" borderId="0" xfId="0" applyFont="1" applyFill="1"/>
    <xf numFmtId="0" fontId="8" fillId="8" borderId="0" xfId="0" applyFont="1" applyFill="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5" fillId="8" borderId="4" xfId="0" applyFont="1" applyFill="1" applyBorder="1" applyAlignment="1">
      <alignment horizontal="center" vertical="center" wrapText="1"/>
    </xf>
    <xf numFmtId="170" fontId="5" fillId="8" borderId="4" xfId="0" applyNumberFormat="1" applyFont="1" applyFill="1" applyBorder="1" applyAlignment="1">
      <alignment horizontal="center" vertical="center" wrapText="1"/>
    </xf>
    <xf numFmtId="0" fontId="4" fillId="10" borderId="4" xfId="0" applyFont="1" applyFill="1" applyBorder="1"/>
    <xf numFmtId="170" fontId="4" fillId="10" borderId="10" xfId="0" applyNumberFormat="1" applyFont="1" applyFill="1" applyBorder="1" applyAlignment="1">
      <alignment horizontal="center"/>
    </xf>
    <xf numFmtId="170" fontId="4" fillId="10" borderId="4" xfId="0" applyNumberFormat="1" applyFont="1" applyFill="1" applyBorder="1" applyAlignment="1">
      <alignment horizontal="center"/>
    </xf>
    <xf numFmtId="170" fontId="4" fillId="10" borderId="9" xfId="0" applyNumberFormat="1" applyFont="1" applyFill="1" applyBorder="1" applyAlignment="1">
      <alignment horizontal="center"/>
    </xf>
    <xf numFmtId="0" fontId="8" fillId="0" borderId="0" xfId="0" applyFont="1"/>
    <xf numFmtId="0" fontId="8" fillId="0" borderId="2" xfId="0" applyFont="1" applyBorder="1"/>
    <xf numFmtId="170" fontId="8" fillId="0" borderId="1" xfId="0" applyNumberFormat="1" applyFont="1" applyBorder="1" applyAlignment="1">
      <alignment horizontal="center"/>
    </xf>
    <xf numFmtId="0" fontId="2" fillId="0" borderId="2" xfId="0" applyFont="1" applyBorder="1"/>
    <xf numFmtId="170" fontId="2" fillId="0" borderId="0" xfId="0" applyNumberFormat="1" applyFont="1" applyAlignment="1">
      <alignment horizontal="center"/>
    </xf>
    <xf numFmtId="0" fontId="2" fillId="0" borderId="1" xfId="0" applyFont="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7"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4"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5" fillId="8" borderId="4" xfId="0" applyNumberFormat="1" applyFont="1" applyFill="1" applyBorder="1" applyAlignment="1">
      <alignment horizontal="center" vertical="center" wrapText="1"/>
    </xf>
    <xf numFmtId="1" fontId="4" fillId="10" borderId="10" xfId="0" applyNumberFormat="1" applyFont="1" applyFill="1" applyBorder="1" applyAlignment="1">
      <alignment horizontal="center"/>
    </xf>
    <xf numFmtId="1" fontId="4" fillId="10" borderId="1" xfId="0" applyNumberFormat="1" applyFont="1" applyFill="1" applyBorder="1" applyAlignment="1">
      <alignment horizontal="center"/>
    </xf>
    <xf numFmtId="1" fontId="4" fillId="10" borderId="4"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5" fillId="8" borderId="4" xfId="0" applyNumberFormat="1" applyFont="1" applyFill="1" applyBorder="1" applyAlignment="1">
      <alignment horizontal="center" vertical="center" wrapText="1"/>
    </xf>
    <xf numFmtId="2" fontId="4" fillId="10" borderId="14" xfId="0" applyNumberFormat="1" applyFont="1" applyFill="1" applyBorder="1" applyAlignment="1">
      <alignment horizontal="center"/>
    </xf>
    <xf numFmtId="2" fontId="4" fillId="10" borderId="9" xfId="0" applyNumberFormat="1" applyFont="1" applyFill="1" applyBorder="1" applyAlignment="1">
      <alignment horizontal="center"/>
    </xf>
    <xf numFmtId="2" fontId="4" fillId="10" borderId="4" xfId="0" applyNumberFormat="1" applyFont="1" applyFill="1" applyBorder="1" applyAlignment="1">
      <alignment horizontal="center"/>
    </xf>
    <xf numFmtId="2" fontId="4" fillId="10" borderId="8" xfId="0" applyNumberFormat="1" applyFont="1" applyFill="1" applyBorder="1" applyAlignment="1">
      <alignment horizontal="center"/>
    </xf>
    <xf numFmtId="2" fontId="4" fillId="10" borderId="10"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170" fontId="7" fillId="9" borderId="0" xfId="0" applyNumberFormat="1" applyFont="1" applyFill="1" applyBorder="1" applyAlignment="1">
      <alignment horizontal="left"/>
    </xf>
    <xf numFmtId="10" fontId="4" fillId="10" borderId="9" xfId="0" applyNumberFormat="1" applyFont="1" applyFill="1" applyBorder="1" applyAlignment="1">
      <alignment horizontal="center"/>
    </xf>
    <xf numFmtId="0" fontId="7" fillId="5" borderId="8" xfId="0" applyFont="1" applyFill="1" applyBorder="1" applyAlignment="1">
      <alignment horizontal="center"/>
    </xf>
    <xf numFmtId="168" fontId="2" fillId="10" borderId="4" xfId="2" applyNumberFormat="1" applyFont="1" applyFill="1" applyBorder="1"/>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11" borderId="7"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15" fillId="0" borderId="0" xfId="0" applyFont="1" applyFill="1"/>
    <xf numFmtId="0" fontId="16" fillId="10" borderId="4" xfId="0" applyFont="1" applyFill="1" applyBorder="1" applyAlignment="1">
      <alignment horizontal="left"/>
    </xf>
    <xf numFmtId="0" fontId="16" fillId="10" borderId="4" xfId="0" applyFont="1" applyFill="1" applyBorder="1" applyAlignment="1">
      <alignment wrapText="1"/>
    </xf>
    <xf numFmtId="165" fontId="16" fillId="10" borderId="4" xfId="2" applyNumberFormat="1" applyFont="1" applyFill="1" applyBorder="1"/>
    <xf numFmtId="0" fontId="16" fillId="4" borderId="3" xfId="0"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5" fontId="17" fillId="5" borderId="8" xfId="2" applyNumberFormat="1" applyFont="1" applyFill="1" applyBorder="1"/>
    <xf numFmtId="168" fontId="17" fillId="5" borderId="8" xfId="2" applyNumberFormat="1" applyFont="1" applyFill="1" applyBorder="1"/>
    <xf numFmtId="0" fontId="17" fillId="11" borderId="11" xfId="0" applyFont="1" applyFill="1" applyBorder="1" applyAlignment="1">
      <alignment horizontal="left"/>
    </xf>
    <xf numFmtId="0" fontId="16" fillId="4" borderId="5" xfId="0" applyFont="1" applyFill="1" applyBorder="1"/>
    <xf numFmtId="3" fontId="16" fillId="10" borderId="4" xfId="0" applyNumberFormat="1" applyFont="1" applyFill="1" applyBorder="1"/>
    <xf numFmtId="3" fontId="16" fillId="10" borderId="10" xfId="0" applyNumberFormat="1" applyFont="1" applyFill="1" applyBorder="1"/>
    <xf numFmtId="0" fontId="16" fillId="4" borderId="5" xfId="0" quotePrefix="1" applyFont="1" applyFill="1" applyBorder="1"/>
    <xf numFmtId="3" fontId="16" fillId="4" borderId="4" xfId="0" applyNumberFormat="1" applyFont="1" applyFill="1" applyBorder="1"/>
    <xf numFmtId="3" fontId="16" fillId="4" borderId="10" xfId="0" applyNumberFormat="1" applyFont="1" applyFill="1" applyBorder="1"/>
    <xf numFmtId="0" fontId="17" fillId="11" borderId="8" xfId="0" applyFont="1" applyFill="1" applyBorder="1"/>
    <xf numFmtId="3" fontId="17" fillId="5" borderId="8" xfId="0" applyNumberFormat="1" applyFont="1" applyFill="1" applyBorder="1"/>
    <xf numFmtId="0" fontId="18" fillId="0" borderId="0" xfId="0" applyFont="1"/>
    <xf numFmtId="0" fontId="17" fillId="5" borderId="6" xfId="0" applyFont="1" applyFill="1" applyBorder="1" applyAlignment="1">
      <alignment horizontal="left"/>
    </xf>
    <xf numFmtId="0" fontId="19" fillId="4" borderId="0" xfId="0" applyFont="1" applyFill="1" applyBorder="1" applyAlignment="1">
      <alignment vertical="top" wrapText="1"/>
    </xf>
    <xf numFmtId="0" fontId="19" fillId="4" borderId="1" xfId="0" applyFont="1" applyFill="1" applyBorder="1" applyAlignment="1">
      <alignment vertical="top" wrapText="1"/>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9" xfId="0" applyFont="1" applyFill="1" applyBorder="1"/>
    <xf numFmtId="0" fontId="26" fillId="7" borderId="0" xfId="0" applyFont="1" applyFill="1" applyBorder="1" applyAlignment="1">
      <alignment horizontal="center" vertical="center" wrapText="1"/>
    </xf>
    <xf numFmtId="0" fontId="27" fillId="2" borderId="4" xfId="0" applyFont="1" applyFill="1" applyBorder="1" applyAlignment="1">
      <alignment vertical="center"/>
    </xf>
    <xf numFmtId="0" fontId="28" fillId="2" borderId="4" xfId="0" applyFont="1" applyFill="1" applyBorder="1" applyAlignment="1">
      <alignment horizontal="center" vertical="center"/>
    </xf>
    <xf numFmtId="0" fontId="27" fillId="7" borderId="0" xfId="0" applyFont="1" applyFill="1" applyBorder="1" applyAlignment="1">
      <alignment horizontal="center" vertical="center"/>
    </xf>
    <xf numFmtId="170" fontId="23" fillId="7" borderId="4" xfId="0" applyNumberFormat="1" applyFont="1" applyFill="1" applyBorder="1" applyAlignment="1">
      <alignment wrapText="1"/>
    </xf>
    <xf numFmtId="170" fontId="23" fillId="7" borderId="4" xfId="0" applyNumberFormat="1" applyFont="1" applyFill="1" applyBorder="1" applyAlignment="1">
      <alignment horizontal="center" vertical="center"/>
    </xf>
    <xf numFmtId="170" fontId="23" fillId="7" borderId="4" xfId="0" applyNumberFormat="1" applyFont="1" applyFill="1" applyBorder="1" applyAlignment="1"/>
    <xf numFmtId="170" fontId="23" fillId="3" borderId="4" xfId="0" applyNumberFormat="1" applyFont="1" applyFill="1" applyBorder="1" applyAlignment="1">
      <alignment horizontal="center" vertical="center"/>
    </xf>
    <xf numFmtId="10" fontId="23" fillId="3" borderId="3" xfId="0" applyNumberFormat="1" applyFont="1" applyFill="1" applyBorder="1" applyAlignment="1">
      <alignment horizontal="center" vertical="center"/>
    </xf>
    <xf numFmtId="10" fontId="23" fillId="3" borderId="4" xfId="0" applyNumberFormat="1" applyFont="1" applyFill="1" applyBorder="1" applyAlignment="1">
      <alignment horizontal="center" vertical="center"/>
    </xf>
    <xf numFmtId="0" fontId="23" fillId="7" borderId="0" xfId="0" applyFont="1" applyFill="1" applyBorder="1" applyAlignment="1">
      <alignment horizontal="center" vertical="center"/>
    </xf>
    <xf numFmtId="0" fontId="24" fillId="9" borderId="4" xfId="0" applyFont="1" applyFill="1" applyBorder="1" applyAlignment="1">
      <alignment horizontal="left" vertical="center"/>
    </xf>
    <xf numFmtId="0" fontId="25" fillId="7" borderId="0" xfId="0" applyFont="1" applyFill="1" applyBorder="1" applyAlignment="1">
      <alignment horizontal="left"/>
    </xf>
    <xf numFmtId="0" fontId="21" fillId="8" borderId="5" xfId="0" applyFont="1" applyFill="1" applyBorder="1"/>
    <xf numFmtId="0" fontId="22" fillId="8" borderId="0" xfId="0" applyFont="1" applyFill="1" applyBorder="1"/>
    <xf numFmtId="0" fontId="22" fillId="8" borderId="2"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8" fontId="29" fillId="0" borderId="0" xfId="2" applyNumberFormat="1" applyFont="1"/>
    <xf numFmtId="168" fontId="24" fillId="2" borderId="7" xfId="2" applyNumberFormat="1" applyFont="1" applyFill="1" applyBorder="1"/>
    <xf numFmtId="10" fontId="23" fillId="0" borderId="0" xfId="1" applyNumberFormat="1" applyFont="1"/>
    <xf numFmtId="10" fontId="23" fillId="0" borderId="0" xfId="0" applyNumberFormat="1" applyFont="1"/>
    <xf numFmtId="171"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9" fontId="29" fillId="0" borderId="0" xfId="3" applyNumberFormat="1" applyFont="1" applyAlignment="1"/>
    <xf numFmtId="172" fontId="24" fillId="2" borderId="7" xfId="2" applyNumberFormat="1" applyFont="1" applyFill="1" applyBorder="1" applyAlignment="1"/>
    <xf numFmtId="169" fontId="30" fillId="0" borderId="0" xfId="3" applyNumberFormat="1" applyFont="1" applyAlignment="1">
      <alignment horizontal="right"/>
    </xf>
    <xf numFmtId="169" fontId="30" fillId="0" borderId="0" xfId="3" applyNumberFormat="1" applyFont="1" applyAlignment="1">
      <alignment horizontal="center" vertical="center"/>
    </xf>
    <xf numFmtId="0" fontId="2" fillId="10" borderId="4" xfId="0" applyFont="1" applyFill="1" applyBorder="1" applyAlignment="1">
      <alignment horizontal="left"/>
    </xf>
    <xf numFmtId="0" fontId="7" fillId="2" borderId="6" xfId="0" applyFont="1" applyFill="1" applyBorder="1"/>
    <xf numFmtId="168"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70" fontId="5" fillId="8" borderId="9" xfId="0" applyNumberFormat="1" applyFont="1" applyFill="1" applyBorder="1" applyAlignment="1">
      <alignment horizontal="center" vertical="center" wrapText="1"/>
    </xf>
    <xf numFmtId="0" fontId="4" fillId="10" borderId="17" xfId="0" applyFont="1" applyFill="1" applyBorder="1" applyAlignment="1">
      <alignment horizontal="left" vertical="center"/>
    </xf>
    <xf numFmtId="0" fontId="4" fillId="10" borderId="17"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70" fontId="7" fillId="9" borderId="3" xfId="0" applyNumberFormat="1" applyFont="1" applyFill="1" applyBorder="1" applyAlignment="1"/>
    <xf numFmtId="0" fontId="2" fillId="0" borderId="0" xfId="0" applyFont="1" applyBorder="1"/>
    <xf numFmtId="2" fontId="4" fillId="10" borderId="17" xfId="3" applyNumberFormat="1" applyFont="1" applyFill="1" applyBorder="1" applyAlignment="1">
      <alignment horizontal="center"/>
    </xf>
    <xf numFmtId="170" fontId="7" fillId="9" borderId="3" xfId="0" applyNumberFormat="1" applyFont="1" applyFill="1" applyBorder="1" applyAlignment="1">
      <alignment horizontal="left"/>
    </xf>
    <xf numFmtId="2" fontId="4" fillId="10" borderId="17" xfId="0" applyNumberFormat="1" applyFont="1" applyFill="1" applyBorder="1" applyAlignment="1">
      <alignment horizontal="center"/>
    </xf>
    <xf numFmtId="170" fontId="2" fillId="7" borderId="5" xfId="0" applyNumberFormat="1" applyFont="1" applyFill="1" applyBorder="1" applyAlignment="1"/>
    <xf numFmtId="168" fontId="18" fillId="11" borderId="5" xfId="2" applyNumberFormat="1" applyFont="1" applyFill="1" applyBorder="1"/>
    <xf numFmtId="3" fontId="18" fillId="11" borderId="10"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2"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3" fillId="4" borderId="5" xfId="0" applyFont="1" applyFill="1" applyBorder="1"/>
    <xf numFmtId="0" fontId="2" fillId="4" borderId="4" xfId="0" applyFont="1" applyFill="1" applyBorder="1" applyAlignment="1">
      <alignment horizontal="left"/>
    </xf>
    <xf numFmtId="167" fontId="34"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0" fontId="6" fillId="4" borderId="4" xfId="0" applyFont="1" applyFill="1" applyBorder="1" applyAlignment="1">
      <alignment horizontal="left"/>
    </xf>
    <xf numFmtId="167" fontId="35"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170" fontId="2" fillId="7" borderId="4" xfId="0" applyNumberFormat="1" applyFont="1" applyFill="1" applyBorder="1" applyAlignment="1">
      <alignment vertical="center" wrapText="1"/>
    </xf>
    <xf numFmtId="170" fontId="2" fillId="7" borderId="4" xfId="0" applyNumberFormat="1" applyFont="1" applyFill="1" applyBorder="1" applyAlignment="1"/>
    <xf numFmtId="3" fontId="18" fillId="11" borderId="5" xfId="0" applyNumberFormat="1" applyFont="1" applyFill="1" applyBorder="1"/>
    <xf numFmtId="0" fontId="23" fillId="7" borderId="0" xfId="0" applyFont="1" applyFill="1" applyBorder="1" applyAlignment="1">
      <alignment horizontal="center" vertical="center"/>
    </xf>
    <xf numFmtId="10" fontId="4" fillId="10" borderId="10" xfId="1" applyNumberFormat="1" applyFont="1" applyFill="1" applyBorder="1" applyAlignment="1">
      <alignment horizontal="center" vertical="center"/>
    </xf>
    <xf numFmtId="4" fontId="4" fillId="10" borderId="17" xfId="0" applyNumberFormat="1" applyFont="1" applyFill="1" applyBorder="1" applyAlignment="1">
      <alignment horizontal="center"/>
    </xf>
    <xf numFmtId="10" fontId="7" fillId="10" borderId="10" xfId="1" applyNumberFormat="1" applyFont="1" applyFill="1" applyBorder="1" applyAlignment="1">
      <alignment horizontal="center" vertical="center" wrapText="1"/>
    </xf>
    <xf numFmtId="170" fontId="2" fillId="7" borderId="5" xfId="0" applyNumberFormat="1" applyFont="1" applyFill="1" applyBorder="1" applyAlignment="1">
      <alignment wrapText="1"/>
    </xf>
    <xf numFmtId="10" fontId="2" fillId="3" borderId="3" xfId="0" applyNumberFormat="1" applyFont="1" applyFill="1" applyBorder="1" applyAlignment="1">
      <alignment horizontal="center" vertical="center"/>
    </xf>
    <xf numFmtId="0" fontId="24" fillId="9" borderId="9" xfId="0" applyFont="1" applyFill="1" applyBorder="1" applyAlignment="1">
      <alignment horizontal="left" vertical="center"/>
    </xf>
    <xf numFmtId="0" fontId="24" fillId="9" borderId="7" xfId="0" applyFont="1" applyFill="1" applyBorder="1" applyAlignment="1">
      <alignment horizontal="left" vertical="center"/>
    </xf>
    <xf numFmtId="0" fontId="24" fillId="9" borderId="17" xfId="0" applyFont="1" applyFill="1" applyBorder="1" applyAlignment="1">
      <alignment horizontal="left" vertical="center"/>
    </xf>
    <xf numFmtId="0" fontId="25" fillId="7" borderId="10"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0" xfId="0" applyFont="1" applyFill="1" applyBorder="1" applyAlignment="1">
      <alignment horizontal="left" wrapText="1"/>
    </xf>
    <xf numFmtId="0" fontId="2" fillId="7" borderId="1" xfId="0" applyFont="1" applyFill="1" applyBorder="1" applyAlignment="1">
      <alignment horizontal="left" vertical="top" wrapText="1"/>
    </xf>
    <xf numFmtId="0" fontId="23" fillId="7" borderId="1" xfId="0" applyFont="1" applyFill="1" applyBorder="1" applyAlignment="1">
      <alignment horizontal="left" vertical="top" wrapText="1"/>
    </xf>
    <xf numFmtId="0" fontId="23" fillId="7" borderId="0" xfId="0" applyFont="1" applyFill="1" applyBorder="1" applyAlignment="1">
      <alignment horizontal="center" vertical="center"/>
    </xf>
    <xf numFmtId="0" fontId="7" fillId="9" borderId="9" xfId="0" applyFont="1" applyFill="1" applyBorder="1" applyAlignment="1">
      <alignment horizontal="left" vertical="center"/>
    </xf>
    <xf numFmtId="0" fontId="23" fillId="2" borderId="8" xfId="0" applyFont="1" applyFill="1" applyBorder="1" applyAlignment="1">
      <alignment horizontal="center"/>
    </xf>
    <xf numFmtId="0" fontId="23" fillId="2" borderId="0" xfId="0" applyFont="1" applyFill="1" applyBorder="1" applyAlignment="1">
      <alignment horizontal="center"/>
    </xf>
    <xf numFmtId="170" fontId="29" fillId="7" borderId="5" xfId="0" applyNumberFormat="1" applyFont="1" applyFill="1" applyBorder="1" applyAlignment="1">
      <alignment horizontal="left"/>
    </xf>
    <xf numFmtId="170" fontId="29" fillId="7" borderId="2" xfId="0" applyNumberFormat="1" applyFont="1" applyFill="1" applyBorder="1" applyAlignment="1">
      <alignment horizontal="left"/>
    </xf>
    <xf numFmtId="0" fontId="2" fillId="7" borderId="0" xfId="0" quotePrefix="1" applyFont="1" applyFill="1" applyBorder="1" applyAlignment="1">
      <alignment horizontal="left" vertical="top" wrapText="1"/>
    </xf>
    <xf numFmtId="0" fontId="23" fillId="7" borderId="1" xfId="0" applyFont="1" applyFill="1" applyBorder="1" applyAlignment="1">
      <alignment horizontal="left" wrapText="1"/>
    </xf>
    <xf numFmtId="0" fontId="23" fillId="7" borderId="0" xfId="0" quotePrefix="1"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170" fontId="7" fillId="9" borderId="16" xfId="0" applyNumberFormat="1" applyFont="1" applyFill="1" applyBorder="1" applyAlignment="1">
      <alignment horizontal="left"/>
    </xf>
    <xf numFmtId="170" fontId="7" fillId="9" borderId="15" xfId="0" applyNumberFormat="1" applyFont="1" applyFill="1" applyBorder="1" applyAlignment="1">
      <alignment horizontal="left"/>
    </xf>
    <xf numFmtId="170" fontId="7" fillId="9" borderId="13" xfId="0" applyNumberFormat="1" applyFont="1" applyFill="1" applyBorder="1" applyAlignment="1">
      <alignment horizontal="left"/>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5" fillId="8" borderId="8" xfId="0" applyFont="1" applyFill="1" applyBorder="1" applyAlignment="1">
      <alignment horizontal="left"/>
    </xf>
    <xf numFmtId="0" fontId="5" fillId="8" borderId="0" xfId="0" applyFont="1" applyFill="1" applyBorder="1" applyAlignment="1">
      <alignment horizontal="left"/>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0" fontId="6" fillId="4" borderId="5" xfId="0" applyFont="1" applyFill="1" applyBorder="1" applyAlignment="1">
      <alignment horizontal="center"/>
    </xf>
    <xf numFmtId="0" fontId="6" fillId="4" borderId="2" xfId="0" applyFont="1" applyFill="1" applyBorder="1" applyAlignment="1">
      <alignment horizontal="center"/>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6" fillId="9" borderId="8" xfId="0" applyFont="1" applyFill="1" applyBorder="1" applyAlignment="1">
      <alignment horizontal="left"/>
    </xf>
    <xf numFmtId="0" fontId="6" fillId="9" borderId="0" xfId="0" applyFont="1" applyFill="1" applyBorder="1" applyAlignment="1">
      <alignment horizontal="left"/>
    </xf>
    <xf numFmtId="167" fontId="35"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A6A6A6"/>
      <color rgb="FFD9D9D9"/>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7"/>
  <sheetViews>
    <sheetView showGridLines="0" tabSelected="1" zoomScale="90" zoomScaleNormal="90" workbookViewId="0">
      <selection activeCell="M13" sqref="M13"/>
    </sheetView>
  </sheetViews>
  <sheetFormatPr defaultColWidth="9.140625" defaultRowHeight="12.75" x14ac:dyDescent="0.2"/>
  <cols>
    <col min="1" max="1" width="2.42578125" style="153" customWidth="1"/>
    <col min="2" max="2" width="41.85546875" style="153" customWidth="1"/>
    <col min="3" max="3" width="44.140625" style="153" customWidth="1"/>
    <col min="4" max="5" width="18.28515625" style="153" customWidth="1"/>
    <col min="6" max="6" width="14" style="153" customWidth="1"/>
    <col min="7" max="7" width="12.85546875" style="153" customWidth="1"/>
    <col min="8" max="8" width="13.28515625" style="153" customWidth="1"/>
    <col min="9" max="9" width="11.5703125" style="153" customWidth="1"/>
    <col min="10" max="16384" width="9.140625" style="153"/>
  </cols>
  <sheetData>
    <row r="2" spans="2:19" x14ac:dyDescent="0.2">
      <c r="B2" s="151" t="s">
        <v>7</v>
      </c>
      <c r="C2" s="152"/>
      <c r="D2" s="152"/>
      <c r="E2" s="152"/>
      <c r="F2" s="152"/>
      <c r="G2" s="152"/>
      <c r="H2" s="152"/>
      <c r="O2" s="154"/>
      <c r="P2" s="154"/>
      <c r="Q2" s="154"/>
      <c r="R2" s="154"/>
      <c r="S2" s="154"/>
    </row>
    <row r="3" spans="2:19" ht="75.75" customHeight="1" x14ac:dyDescent="0.2">
      <c r="B3" s="155" t="s">
        <v>57</v>
      </c>
      <c r="C3" s="269" t="s">
        <v>132</v>
      </c>
      <c r="D3" s="270"/>
      <c r="E3" s="270"/>
      <c r="F3" s="270"/>
      <c r="G3" s="270"/>
      <c r="H3" s="270"/>
      <c r="M3" s="156"/>
      <c r="N3" s="156"/>
      <c r="O3" s="154"/>
      <c r="P3" s="154"/>
      <c r="Q3" s="154"/>
      <c r="R3" s="154"/>
      <c r="S3" s="154"/>
    </row>
    <row r="4" spans="2:19" ht="55.5" customHeight="1" x14ac:dyDescent="0.2">
      <c r="B4" s="157"/>
      <c r="C4" s="276"/>
      <c r="D4" s="277"/>
      <c r="E4" s="277"/>
      <c r="F4" s="158"/>
      <c r="G4" s="158"/>
      <c r="H4" s="158"/>
      <c r="M4" s="156"/>
      <c r="N4" s="156"/>
      <c r="O4" s="154"/>
      <c r="P4" s="154"/>
      <c r="Q4" s="154"/>
      <c r="R4" s="154"/>
      <c r="S4" s="154"/>
    </row>
    <row r="5" spans="2:19" ht="15" customHeight="1" x14ac:dyDescent="0.2">
      <c r="B5" s="155" t="s">
        <v>13</v>
      </c>
      <c r="C5" s="159"/>
      <c r="D5" s="160" t="s">
        <v>114</v>
      </c>
      <c r="E5" s="160" t="s">
        <v>113</v>
      </c>
      <c r="F5" s="161"/>
      <c r="G5" s="161"/>
      <c r="H5" s="161"/>
      <c r="M5" s="156"/>
      <c r="N5" s="156"/>
      <c r="O5" s="154"/>
      <c r="P5" s="154"/>
      <c r="Q5" s="154"/>
      <c r="R5" s="154"/>
      <c r="S5" s="154"/>
    </row>
    <row r="6" spans="2:19" ht="15" customHeight="1" x14ac:dyDescent="0.2">
      <c r="B6" s="266" t="s">
        <v>42</v>
      </c>
      <c r="C6" s="162" t="s">
        <v>72</v>
      </c>
      <c r="D6" s="163">
        <v>2164.86</v>
      </c>
      <c r="E6" s="163" t="s">
        <v>97</v>
      </c>
      <c r="F6" s="274"/>
      <c r="G6" s="274"/>
      <c r="H6" s="274"/>
      <c r="M6" s="156"/>
      <c r="N6" s="156"/>
      <c r="O6" s="154"/>
      <c r="P6" s="154"/>
      <c r="Q6" s="154"/>
      <c r="R6" s="154"/>
      <c r="S6" s="154"/>
    </row>
    <row r="7" spans="2:19" ht="12.75" customHeight="1" x14ac:dyDescent="0.2">
      <c r="B7" s="267"/>
      <c r="C7" s="162" t="s">
        <v>71</v>
      </c>
      <c r="D7" s="163">
        <v>1443.24</v>
      </c>
      <c r="E7" s="163" t="s">
        <v>97</v>
      </c>
      <c r="F7" s="274"/>
      <c r="G7" s="274"/>
      <c r="H7" s="274"/>
      <c r="M7" s="156"/>
      <c r="N7" s="156"/>
      <c r="O7" s="154"/>
      <c r="P7" s="154"/>
      <c r="Q7" s="154"/>
      <c r="R7" s="154"/>
      <c r="S7" s="154"/>
    </row>
    <row r="8" spans="2:19" x14ac:dyDescent="0.2">
      <c r="B8" s="267"/>
      <c r="C8" s="164" t="s">
        <v>68</v>
      </c>
      <c r="D8" s="163">
        <v>3608.1</v>
      </c>
      <c r="E8" s="163" t="s">
        <v>97</v>
      </c>
      <c r="F8" s="274"/>
      <c r="G8" s="274"/>
      <c r="H8" s="274"/>
      <c r="M8" s="156"/>
      <c r="N8" s="156"/>
      <c r="O8" s="154"/>
      <c r="P8" s="154"/>
      <c r="Q8" s="154"/>
      <c r="R8" s="154"/>
      <c r="S8" s="154"/>
    </row>
    <row r="9" spans="2:19" x14ac:dyDescent="0.2">
      <c r="B9" s="267"/>
      <c r="C9" s="164" t="s">
        <v>70</v>
      </c>
      <c r="D9" s="163">
        <v>2706.07</v>
      </c>
      <c r="E9" s="163" t="s">
        <v>97</v>
      </c>
      <c r="F9" s="274"/>
      <c r="G9" s="274"/>
      <c r="H9" s="274"/>
      <c r="M9" s="156"/>
      <c r="N9" s="156"/>
      <c r="O9" s="154"/>
      <c r="P9" s="154"/>
      <c r="Q9" s="154"/>
      <c r="R9" s="154"/>
      <c r="S9" s="154"/>
    </row>
    <row r="10" spans="2:19" x14ac:dyDescent="0.2">
      <c r="B10" s="268"/>
      <c r="C10" s="164" t="s">
        <v>69</v>
      </c>
      <c r="D10" s="163">
        <v>2164.86</v>
      </c>
      <c r="E10" s="163" t="s">
        <v>97</v>
      </c>
      <c r="F10" s="274"/>
      <c r="G10" s="274"/>
      <c r="H10" s="274"/>
      <c r="M10" s="156"/>
      <c r="N10" s="156"/>
      <c r="O10" s="154"/>
      <c r="P10" s="154"/>
      <c r="Q10" s="154"/>
      <c r="R10" s="154"/>
      <c r="S10" s="154"/>
    </row>
    <row r="11" spans="2:19" ht="36" customHeight="1" x14ac:dyDescent="0.2">
      <c r="B11" s="275" t="s">
        <v>139</v>
      </c>
      <c r="C11" s="257" t="s">
        <v>67</v>
      </c>
      <c r="D11" s="165">
        <f>'Proposed price'!Q20</f>
        <v>2340.6821267183441</v>
      </c>
      <c r="E11" s="165">
        <f>'Proposed price'!AH20</f>
        <v>3128.8223774476037</v>
      </c>
      <c r="F11" s="274"/>
      <c r="G11" s="274"/>
      <c r="H11" s="274"/>
      <c r="O11" s="154"/>
      <c r="P11" s="154"/>
      <c r="Q11" s="154"/>
      <c r="R11" s="154"/>
      <c r="S11" s="154"/>
    </row>
    <row r="12" spans="2:19" x14ac:dyDescent="0.2">
      <c r="B12" s="267"/>
      <c r="C12" s="258" t="s">
        <v>98</v>
      </c>
      <c r="D12" s="165">
        <f>'Proposed price'!Q35</f>
        <v>3542.9063965125001</v>
      </c>
      <c r="E12" s="165">
        <f>'Proposed price'!AH35</f>
        <v>5288.0740945558609</v>
      </c>
      <c r="F12" s="274"/>
      <c r="G12" s="274"/>
      <c r="H12" s="274"/>
      <c r="O12" s="154"/>
      <c r="P12" s="154"/>
      <c r="Q12" s="154"/>
      <c r="R12" s="154"/>
      <c r="S12" s="154"/>
    </row>
    <row r="13" spans="2:19" x14ac:dyDescent="0.2">
      <c r="B13" s="267"/>
      <c r="C13" s="258" t="s">
        <v>69</v>
      </c>
      <c r="D13" s="165">
        <f>'Proposed price'!Q49</f>
        <v>2940.198929194728</v>
      </c>
      <c r="E13" s="165">
        <f>'Proposed price'!AH49</f>
        <v>4403.8879662633517</v>
      </c>
      <c r="F13" s="274"/>
      <c r="G13" s="274"/>
      <c r="H13" s="274"/>
      <c r="O13" s="154"/>
      <c r="P13" s="154"/>
      <c r="Q13" s="154"/>
      <c r="R13" s="154"/>
      <c r="S13" s="154"/>
    </row>
    <row r="14" spans="2:19" ht="30.75" customHeight="1" x14ac:dyDescent="0.2">
      <c r="B14" s="267"/>
      <c r="C14" s="264" t="s">
        <v>181</v>
      </c>
      <c r="D14" s="265">
        <f>(1+D15)*(1+D16)-1</f>
        <v>0.55889567721915312</v>
      </c>
      <c r="E14" s="265">
        <f>(1+E15)*(1+E16)-1</f>
        <v>0.55889567721915312</v>
      </c>
      <c r="F14" s="260"/>
      <c r="G14" s="260"/>
      <c r="H14" s="260"/>
      <c r="O14" s="154"/>
      <c r="P14" s="154"/>
      <c r="Q14" s="154"/>
      <c r="R14" s="154"/>
      <c r="S14" s="154"/>
    </row>
    <row r="15" spans="2:19" x14ac:dyDescent="0.2">
      <c r="B15" s="267"/>
      <c r="C15" s="223" t="s">
        <v>182</v>
      </c>
      <c r="D15" s="166">
        <f>'Proposed price'!N17</f>
        <v>0.46592661151676018</v>
      </c>
      <c r="E15" s="167">
        <f>'Proposed price'!AE17</f>
        <v>0.46592661151676018</v>
      </c>
      <c r="F15" s="260"/>
      <c r="G15" s="260"/>
      <c r="H15" s="260"/>
      <c r="O15" s="154"/>
      <c r="P15" s="154"/>
      <c r="Q15" s="154"/>
      <c r="R15" s="154"/>
      <c r="S15" s="154"/>
    </row>
    <row r="16" spans="2:19" x14ac:dyDescent="0.2">
      <c r="B16" s="268"/>
      <c r="C16" s="223" t="s">
        <v>183</v>
      </c>
      <c r="D16" s="166">
        <f>'Proposed price'!P17</f>
        <v>6.3420000000000004E-2</v>
      </c>
      <c r="E16" s="167">
        <f>'Proposed price'!AG17</f>
        <v>6.3420000000000004E-2</v>
      </c>
      <c r="F16" s="168"/>
      <c r="G16" s="168"/>
      <c r="H16" s="168"/>
      <c r="O16" s="154"/>
      <c r="P16" s="154"/>
      <c r="Q16" s="154"/>
      <c r="R16" s="154"/>
      <c r="S16" s="154"/>
    </row>
    <row r="17" spans="2:19" x14ac:dyDescent="0.2">
      <c r="B17" s="169" t="s">
        <v>48</v>
      </c>
      <c r="C17" s="278" t="s">
        <v>94</v>
      </c>
      <c r="D17" s="279"/>
      <c r="E17" s="279"/>
      <c r="F17" s="170"/>
      <c r="G17" s="170"/>
      <c r="H17" s="170"/>
      <c r="O17" s="154"/>
      <c r="P17" s="154"/>
      <c r="Q17" s="154"/>
      <c r="R17" s="154"/>
      <c r="S17" s="154"/>
    </row>
    <row r="18" spans="2:19" x14ac:dyDescent="0.2">
      <c r="B18" s="171" t="s">
        <v>5</v>
      </c>
      <c r="C18" s="172"/>
      <c r="D18" s="172"/>
      <c r="E18" s="173"/>
      <c r="F18" s="173"/>
      <c r="G18" s="173"/>
      <c r="H18" s="173"/>
      <c r="O18" s="154"/>
      <c r="P18" s="154"/>
      <c r="Q18" s="154"/>
      <c r="R18" s="154"/>
      <c r="S18" s="154"/>
    </row>
    <row r="19" spans="2:19" ht="159.75" customHeight="1" x14ac:dyDescent="0.2">
      <c r="B19" s="272" t="s">
        <v>138</v>
      </c>
      <c r="C19" s="273"/>
      <c r="D19" s="273"/>
      <c r="E19" s="273"/>
      <c r="F19" s="273"/>
      <c r="G19" s="273"/>
      <c r="H19" s="273"/>
      <c r="O19" s="154"/>
      <c r="P19" s="154"/>
      <c r="Q19" s="154"/>
      <c r="R19" s="154"/>
      <c r="S19" s="154"/>
    </row>
    <row r="20" spans="2:19" x14ac:dyDescent="0.2">
      <c r="B20" s="174"/>
      <c r="C20" s="174"/>
      <c r="D20" s="174"/>
      <c r="E20" s="174"/>
      <c r="F20" s="174"/>
      <c r="G20" s="174"/>
      <c r="H20" s="174"/>
      <c r="O20" s="154"/>
      <c r="P20" s="154"/>
      <c r="Q20" s="154"/>
      <c r="R20" s="154"/>
      <c r="S20" s="154"/>
    </row>
    <row r="21" spans="2:19" x14ac:dyDescent="0.2">
      <c r="O21" s="154"/>
      <c r="P21" s="154"/>
      <c r="Q21" s="154"/>
      <c r="R21" s="154"/>
      <c r="S21" s="154"/>
    </row>
    <row r="22" spans="2:19" x14ac:dyDescent="0.2">
      <c r="B22" s="175" t="s">
        <v>35</v>
      </c>
      <c r="C22" s="152"/>
      <c r="D22" s="152"/>
      <c r="E22" s="152"/>
      <c r="F22" s="152"/>
      <c r="G22" s="152"/>
      <c r="H22" s="152"/>
      <c r="O22" s="154"/>
      <c r="P22" s="154"/>
      <c r="Q22" s="154"/>
      <c r="R22" s="154"/>
      <c r="S22" s="154"/>
    </row>
    <row r="23" spans="2:19" x14ac:dyDescent="0.2">
      <c r="B23" s="271"/>
      <c r="C23" s="271"/>
      <c r="D23" s="271"/>
      <c r="E23" s="271"/>
      <c r="F23" s="271"/>
      <c r="G23" s="271"/>
      <c r="H23" s="271"/>
    </row>
    <row r="24" spans="2:19" ht="146.25" customHeight="1" x14ac:dyDescent="0.2">
      <c r="B24" s="280" t="s">
        <v>184</v>
      </c>
      <c r="C24" s="280"/>
      <c r="D24" s="280"/>
      <c r="E24" s="280"/>
      <c r="F24" s="280"/>
      <c r="G24" s="280"/>
      <c r="H24" s="280"/>
      <c r="I24" s="154"/>
    </row>
    <row r="25" spans="2:19" x14ac:dyDescent="0.2">
      <c r="B25" s="176"/>
      <c r="C25" s="176"/>
      <c r="D25" s="176"/>
      <c r="E25" s="176"/>
      <c r="F25" s="176"/>
      <c r="G25" s="176"/>
      <c r="H25" s="176"/>
    </row>
    <row r="26" spans="2:19" x14ac:dyDescent="0.2">
      <c r="B26" s="177"/>
      <c r="C26" s="177"/>
      <c r="D26" s="177"/>
      <c r="E26" s="177"/>
      <c r="F26" s="177"/>
      <c r="G26" s="177"/>
      <c r="H26" s="177"/>
    </row>
    <row r="27" spans="2:19" x14ac:dyDescent="0.2">
      <c r="B27" s="175" t="s">
        <v>43</v>
      </c>
      <c r="C27" s="152"/>
      <c r="D27" s="152"/>
      <c r="E27" s="152"/>
      <c r="F27" s="152"/>
      <c r="G27" s="152"/>
      <c r="H27" s="152"/>
    </row>
    <row r="28" spans="2:19" ht="12.75" customHeight="1" x14ac:dyDescent="0.2">
      <c r="B28" s="271" t="s">
        <v>118</v>
      </c>
      <c r="C28" s="271"/>
      <c r="D28" s="271"/>
      <c r="E28" s="271"/>
      <c r="F28" s="271"/>
      <c r="G28" s="271"/>
      <c r="H28" s="271"/>
    </row>
    <row r="29" spans="2:19" x14ac:dyDescent="0.2">
      <c r="B29" s="282" t="s">
        <v>137</v>
      </c>
      <c r="C29" s="282"/>
      <c r="D29" s="282"/>
      <c r="E29" s="282"/>
      <c r="F29" s="282"/>
      <c r="G29" s="282"/>
      <c r="H29" s="282"/>
    </row>
    <row r="30" spans="2:19" x14ac:dyDescent="0.2">
      <c r="B30" s="282"/>
      <c r="C30" s="282"/>
      <c r="D30" s="282"/>
      <c r="E30" s="282"/>
      <c r="F30" s="282"/>
      <c r="G30" s="282"/>
      <c r="H30" s="282"/>
    </row>
    <row r="31" spans="2:19" x14ac:dyDescent="0.2">
      <c r="B31" s="282"/>
      <c r="C31" s="282"/>
      <c r="D31" s="282"/>
      <c r="E31" s="282"/>
      <c r="F31" s="282"/>
      <c r="G31" s="282"/>
      <c r="H31" s="282"/>
    </row>
    <row r="32" spans="2:19" x14ac:dyDescent="0.2">
      <c r="B32" s="178"/>
      <c r="C32" s="178"/>
      <c r="D32" s="178"/>
      <c r="E32" s="178"/>
      <c r="F32" s="178"/>
      <c r="G32" s="178"/>
      <c r="H32" s="178"/>
    </row>
    <row r="33" spans="2:9" x14ac:dyDescent="0.2">
      <c r="B33" s="271"/>
      <c r="C33" s="271"/>
      <c r="D33" s="271"/>
      <c r="E33" s="271"/>
      <c r="F33" s="271"/>
      <c r="G33" s="271"/>
      <c r="H33" s="271"/>
    </row>
    <row r="34" spans="2:9" x14ac:dyDescent="0.2">
      <c r="B34" s="176"/>
      <c r="C34" s="176"/>
      <c r="D34" s="176"/>
      <c r="E34" s="176"/>
      <c r="F34" s="176"/>
      <c r="G34" s="176"/>
      <c r="H34" s="176"/>
    </row>
    <row r="35" spans="2:9" x14ac:dyDescent="0.2">
      <c r="B35" s="176"/>
      <c r="C35" s="176"/>
      <c r="D35" s="176"/>
      <c r="E35" s="176"/>
      <c r="F35" s="176"/>
      <c r="G35" s="176"/>
      <c r="H35" s="176"/>
    </row>
    <row r="36" spans="2:9" x14ac:dyDescent="0.2">
      <c r="B36" s="176"/>
      <c r="C36" s="176"/>
      <c r="D36" s="176"/>
      <c r="E36" s="176"/>
      <c r="F36" s="176"/>
      <c r="G36" s="176"/>
      <c r="H36" s="176"/>
    </row>
    <row r="37" spans="2:9" x14ac:dyDescent="0.2">
      <c r="B37" s="176"/>
      <c r="C37" s="176"/>
      <c r="D37" s="176"/>
      <c r="E37" s="176"/>
      <c r="F37" s="176"/>
      <c r="G37" s="176"/>
      <c r="H37" s="176"/>
    </row>
    <row r="38" spans="2:9" x14ac:dyDescent="0.2">
      <c r="B38" s="179"/>
      <c r="C38" s="179"/>
      <c r="D38" s="179"/>
      <c r="E38" s="179"/>
      <c r="F38" s="179"/>
      <c r="G38" s="179"/>
      <c r="H38" s="179"/>
      <c r="I38" s="154"/>
    </row>
    <row r="39" spans="2:9" x14ac:dyDescent="0.2">
      <c r="B39" s="175" t="s">
        <v>6</v>
      </c>
    </row>
    <row r="40" spans="2:9" x14ac:dyDescent="0.2">
      <c r="B40" s="180" t="s">
        <v>14</v>
      </c>
      <c r="C40" s="181" t="s">
        <v>30</v>
      </c>
      <c r="D40" s="181"/>
      <c r="E40" s="181"/>
      <c r="F40" s="181"/>
      <c r="G40" s="181"/>
      <c r="H40" s="181"/>
    </row>
    <row r="41" spans="2:9" x14ac:dyDescent="0.2">
      <c r="B41" s="182" t="s">
        <v>46</v>
      </c>
      <c r="C41" s="181" t="s">
        <v>52</v>
      </c>
      <c r="D41" s="181"/>
      <c r="E41" s="181"/>
      <c r="F41" s="181"/>
      <c r="G41" s="181"/>
      <c r="H41" s="181"/>
    </row>
    <row r="42" spans="2:9" x14ac:dyDescent="0.2">
      <c r="B42" s="182" t="s">
        <v>47</v>
      </c>
      <c r="C42" s="181" t="s">
        <v>53</v>
      </c>
      <c r="D42" s="181"/>
      <c r="E42" s="181"/>
      <c r="F42" s="181"/>
      <c r="G42" s="181"/>
      <c r="H42" s="181"/>
    </row>
    <row r="43" spans="2:9" x14ac:dyDescent="0.2">
      <c r="B43" s="182" t="s">
        <v>15</v>
      </c>
      <c r="C43" s="181" t="s">
        <v>31</v>
      </c>
      <c r="D43" s="181"/>
      <c r="E43" s="181"/>
      <c r="F43" s="181"/>
      <c r="G43" s="181"/>
      <c r="H43" s="181"/>
    </row>
    <row r="46" spans="2:9" x14ac:dyDescent="0.2">
      <c r="B46" s="175" t="s">
        <v>36</v>
      </c>
      <c r="C46" s="152"/>
      <c r="D46" s="152"/>
      <c r="E46" s="152"/>
      <c r="F46" s="152"/>
      <c r="G46" s="152"/>
      <c r="H46" s="152"/>
    </row>
    <row r="48" spans="2:9" x14ac:dyDescent="0.2">
      <c r="B48" s="183"/>
      <c r="C48" s="184" t="s">
        <v>37</v>
      </c>
      <c r="D48" s="184" t="s">
        <v>38</v>
      </c>
      <c r="E48" s="184" t="s">
        <v>39</v>
      </c>
      <c r="F48" s="184" t="s">
        <v>41</v>
      </c>
      <c r="G48" s="184" t="s">
        <v>40</v>
      </c>
      <c r="H48" s="185" t="s">
        <v>1</v>
      </c>
    </row>
    <row r="49" spans="2:9" x14ac:dyDescent="0.2">
      <c r="C49" s="186"/>
      <c r="D49" s="186"/>
      <c r="E49" s="186"/>
      <c r="F49" s="186"/>
      <c r="G49" s="186"/>
      <c r="H49" s="186"/>
    </row>
    <row r="50" spans="2:9" x14ac:dyDescent="0.2">
      <c r="B50" s="201" t="s">
        <v>140</v>
      </c>
      <c r="C50" s="187">
        <f>'Forecast Revenue - Costs'!D32</f>
        <v>5102.0937172624472</v>
      </c>
      <c r="D50" s="187">
        <f>'Forecast Revenue - Costs'!E32</f>
        <v>5102.0937172624472</v>
      </c>
      <c r="E50" s="187">
        <f>'Forecast Revenue - Costs'!F32</f>
        <v>5148.5577205891877</v>
      </c>
      <c r="F50" s="187">
        <f>'Forecast Revenue - Costs'!G32</f>
        <v>5247.3421009099766</v>
      </c>
      <c r="G50" s="187">
        <f>'Forecast Revenue - Costs'!H32</f>
        <v>5394.9028702418682</v>
      </c>
      <c r="H50" s="187">
        <f>SUM(C50:G50)</f>
        <v>25994.99012626593</v>
      </c>
    </row>
    <row r="51" spans="2:9" x14ac:dyDescent="0.2">
      <c r="C51" s="188"/>
      <c r="D51" s="189"/>
      <c r="E51" s="188"/>
      <c r="F51" s="188"/>
      <c r="G51" s="188"/>
    </row>
    <row r="52" spans="2:9" x14ac:dyDescent="0.2">
      <c r="B52" s="201" t="s">
        <v>141</v>
      </c>
      <c r="C52" s="187">
        <f>SUM('Forecast Revenue - Costs'!D33:D35)</f>
        <v>3721.6937351631245</v>
      </c>
      <c r="D52" s="187">
        <f>SUM('Forecast Revenue - Costs'!E33:E35)</f>
        <v>3721.6937351631245</v>
      </c>
      <c r="E52" s="187">
        <f>SUM('Forecast Revenue - Costs'!F33:F35)</f>
        <v>3755.5866425996651</v>
      </c>
      <c r="F52" s="187">
        <f>SUM('Forecast Revenue - Costs'!G33:G35)</f>
        <v>3827.6443565001287</v>
      </c>
      <c r="G52" s="187">
        <f>SUM('Forecast Revenue - Costs'!H33:H35)</f>
        <v>3935.281734645549</v>
      </c>
      <c r="H52" s="187">
        <f>SUM(C52:G52)</f>
        <v>18961.900204071593</v>
      </c>
    </row>
    <row r="53" spans="2:9" x14ac:dyDescent="0.2">
      <c r="C53" s="188"/>
      <c r="D53" s="189"/>
      <c r="E53" s="188"/>
      <c r="F53" s="188"/>
      <c r="G53" s="188"/>
    </row>
    <row r="54" spans="2:9" x14ac:dyDescent="0.2">
      <c r="B54" s="201" t="s">
        <v>142</v>
      </c>
      <c r="C54" s="187">
        <f t="shared" ref="C54:H54" si="0">+C50+C52</f>
        <v>8823.7874524255712</v>
      </c>
      <c r="D54" s="187">
        <f t="shared" si="0"/>
        <v>8823.7874524255712</v>
      </c>
      <c r="E54" s="187">
        <f t="shared" si="0"/>
        <v>8904.1443631888524</v>
      </c>
      <c r="F54" s="187">
        <f t="shared" si="0"/>
        <v>9074.9864574101048</v>
      </c>
      <c r="G54" s="187">
        <f t="shared" si="0"/>
        <v>9330.1846048874177</v>
      </c>
      <c r="H54" s="187">
        <f t="shared" si="0"/>
        <v>44956.890330337526</v>
      </c>
    </row>
    <row r="55" spans="2:9" x14ac:dyDescent="0.2">
      <c r="C55" s="190"/>
      <c r="D55" s="190"/>
      <c r="E55" s="190"/>
      <c r="F55" s="190"/>
      <c r="G55" s="190"/>
    </row>
    <row r="56" spans="2:9" x14ac:dyDescent="0.2">
      <c r="B56" s="191" t="s">
        <v>6</v>
      </c>
    </row>
    <row r="57" spans="2:9" ht="14.25" customHeight="1" x14ac:dyDescent="0.2">
      <c r="B57" s="281"/>
      <c r="C57" s="281"/>
      <c r="D57" s="281"/>
      <c r="E57" s="281"/>
      <c r="F57" s="281"/>
      <c r="G57" s="281"/>
      <c r="H57" s="281"/>
    </row>
    <row r="58" spans="2:9" x14ac:dyDescent="0.2">
      <c r="B58" s="271"/>
      <c r="C58" s="271"/>
      <c r="D58" s="271"/>
      <c r="E58" s="271"/>
      <c r="F58" s="271"/>
      <c r="G58" s="271"/>
      <c r="H58" s="271"/>
      <c r="I58" s="154"/>
    </row>
    <row r="59" spans="2:9" ht="27.75" customHeight="1" x14ac:dyDescent="0.2">
      <c r="B59" s="271"/>
      <c r="C59" s="271"/>
      <c r="D59" s="271"/>
      <c r="E59" s="271"/>
      <c r="F59" s="271"/>
      <c r="G59" s="271"/>
      <c r="H59" s="271"/>
    </row>
    <row r="62" spans="2:9" x14ac:dyDescent="0.2">
      <c r="B62" s="175" t="s">
        <v>99</v>
      </c>
      <c r="C62" s="152"/>
      <c r="D62" s="152"/>
      <c r="E62" s="152"/>
      <c r="F62" s="152"/>
      <c r="G62" s="152"/>
      <c r="H62" s="152"/>
    </row>
    <row r="63" spans="2:9" x14ac:dyDescent="0.2">
      <c r="B63" s="192"/>
    </row>
    <row r="64" spans="2:9" x14ac:dyDescent="0.2">
      <c r="B64" s="193"/>
      <c r="C64" s="194" t="s">
        <v>37</v>
      </c>
      <c r="D64" s="194" t="s">
        <v>38</v>
      </c>
      <c r="E64" s="194" t="s">
        <v>39</v>
      </c>
      <c r="F64" s="194" t="s">
        <v>41</v>
      </c>
      <c r="G64" s="194" t="s">
        <v>40</v>
      </c>
      <c r="H64" s="195" t="s">
        <v>1</v>
      </c>
    </row>
    <row r="65" spans="2:8" x14ac:dyDescent="0.2">
      <c r="C65" s="196"/>
      <c r="D65" s="196"/>
      <c r="E65" s="196"/>
      <c r="F65" s="196"/>
      <c r="G65" s="196"/>
      <c r="H65" s="196"/>
    </row>
    <row r="66" spans="2:8" x14ac:dyDescent="0.2">
      <c r="B66" s="193" t="s">
        <v>12</v>
      </c>
      <c r="C66" s="197">
        <f>'Forecast Revenue - Costs'!D14</f>
        <v>3</v>
      </c>
      <c r="D66" s="197">
        <f>'Forecast Revenue - Costs'!E14</f>
        <v>3</v>
      </c>
      <c r="E66" s="197">
        <f>'Forecast Revenue - Costs'!F14</f>
        <v>3</v>
      </c>
      <c r="F66" s="197">
        <f>'Forecast Revenue - Costs'!G14</f>
        <v>3</v>
      </c>
      <c r="G66" s="197">
        <f>'Forecast Revenue - Costs'!H14</f>
        <v>3</v>
      </c>
      <c r="H66" s="197">
        <f>SUM(C66:G66)</f>
        <v>15</v>
      </c>
    </row>
    <row r="67" spans="2:8" x14ac:dyDescent="0.2">
      <c r="C67" s="198"/>
      <c r="D67" s="198"/>
      <c r="E67" s="198"/>
      <c r="F67" s="198"/>
      <c r="G67" s="198"/>
      <c r="H67" s="199"/>
    </row>
  </sheetData>
  <mergeCells count="20">
    <mergeCell ref="B24:H24"/>
    <mergeCell ref="B57:H59"/>
    <mergeCell ref="B28:H28"/>
    <mergeCell ref="B29:H29"/>
    <mergeCell ref="B30:H30"/>
    <mergeCell ref="B31:H31"/>
    <mergeCell ref="B33:H33"/>
    <mergeCell ref="B6:B10"/>
    <mergeCell ref="C3:H3"/>
    <mergeCell ref="B23:H23"/>
    <mergeCell ref="B19:H19"/>
    <mergeCell ref="F6:F10"/>
    <mergeCell ref="F11:F13"/>
    <mergeCell ref="G6:G10"/>
    <mergeCell ref="G11:G13"/>
    <mergeCell ref="H6:H10"/>
    <mergeCell ref="H11:H13"/>
    <mergeCell ref="B11:B16"/>
    <mergeCell ref="C4:E4"/>
    <mergeCell ref="C17:E17"/>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D3" sqref="D3:K3"/>
    </sheetView>
  </sheetViews>
  <sheetFormatPr defaultColWidth="9.140625" defaultRowHeight="12.75" x14ac:dyDescent="0.2"/>
  <cols>
    <col min="1" max="1" width="2.28515625" style="1" customWidth="1"/>
    <col min="2" max="2" width="2.42578125" style="53" customWidth="1"/>
    <col min="3" max="3" width="10.140625" style="53" customWidth="1"/>
    <col min="4" max="9" width="13.140625" style="53" customWidth="1"/>
    <col min="10" max="11" width="9.140625" style="53"/>
    <col min="12" max="12" width="5.28515625" style="53" customWidth="1"/>
    <col min="13" max="13" width="2.42578125" style="1" customWidth="1"/>
    <col min="14" max="16384" width="9.140625" style="1"/>
  </cols>
  <sheetData>
    <row r="1" spans="2:14" ht="9" customHeight="1" x14ac:dyDescent="0.2"/>
    <row r="2" spans="2:14" ht="18" customHeight="1" x14ac:dyDescent="0.2">
      <c r="B2" s="50" t="s">
        <v>16</v>
      </c>
      <c r="C2" s="50"/>
      <c r="D2" s="50"/>
      <c r="E2" s="50"/>
      <c r="F2" s="50"/>
      <c r="G2" s="50"/>
      <c r="H2" s="50"/>
      <c r="I2" s="50"/>
      <c r="J2" s="50"/>
      <c r="K2" s="50"/>
    </row>
    <row r="3" spans="2:14" x14ac:dyDescent="0.2">
      <c r="B3" s="35" t="s">
        <v>0</v>
      </c>
      <c r="C3" s="51"/>
      <c r="D3" s="314" t="str">
        <f>'AER Summary'!C3</f>
        <v>Services to supply and connect temporary supply to one or more customers</v>
      </c>
      <c r="E3" s="315"/>
      <c r="F3" s="315"/>
      <c r="G3" s="315"/>
      <c r="H3" s="315"/>
      <c r="I3" s="315"/>
      <c r="J3" s="315"/>
      <c r="K3" s="315"/>
      <c r="N3" s="33"/>
    </row>
    <row r="4" spans="2:14" x14ac:dyDescent="0.2">
      <c r="N4" s="33"/>
    </row>
    <row r="5" spans="2:14" x14ac:dyDescent="0.2">
      <c r="B5" s="285" t="s">
        <v>95</v>
      </c>
      <c r="C5" s="285"/>
      <c r="D5" s="285"/>
      <c r="E5" s="285"/>
      <c r="F5" s="285"/>
      <c r="G5" s="285"/>
      <c r="H5" s="285"/>
      <c r="I5" s="285"/>
      <c r="J5" s="285"/>
      <c r="K5" s="285"/>
      <c r="N5" s="33"/>
    </row>
    <row r="6" spans="2:14" ht="124.5" customHeight="1" x14ac:dyDescent="0.2">
      <c r="B6" s="286" t="s">
        <v>73</v>
      </c>
      <c r="C6" s="287"/>
      <c r="D6" s="287"/>
      <c r="E6" s="287"/>
      <c r="F6" s="287"/>
      <c r="G6" s="287"/>
      <c r="H6" s="287"/>
      <c r="I6" s="287"/>
      <c r="J6" s="287"/>
      <c r="K6" s="287"/>
      <c r="N6" s="33"/>
    </row>
    <row r="9" spans="2:14" x14ac:dyDescent="0.2">
      <c r="B9" s="285" t="s">
        <v>44</v>
      </c>
      <c r="C9" s="285"/>
      <c r="D9" s="285"/>
      <c r="E9" s="285"/>
      <c r="F9" s="285"/>
      <c r="G9" s="285"/>
      <c r="H9" s="285"/>
      <c r="I9" s="285"/>
      <c r="J9" s="285"/>
      <c r="K9" s="285"/>
    </row>
    <row r="10" spans="2:14" ht="15" customHeight="1" x14ac:dyDescent="0.2">
      <c r="B10" s="284" t="s">
        <v>74</v>
      </c>
      <c r="C10" s="284"/>
      <c r="D10" s="284"/>
      <c r="E10" s="284"/>
      <c r="F10" s="284"/>
      <c r="G10" s="284"/>
      <c r="H10" s="284"/>
      <c r="I10" s="284"/>
      <c r="J10" s="284"/>
      <c r="K10" s="284"/>
    </row>
    <row r="11" spans="2:14" ht="24.75" customHeight="1" x14ac:dyDescent="0.2">
      <c r="B11" s="288"/>
      <c r="C11" s="288"/>
      <c r="D11" s="288"/>
      <c r="E11" s="288"/>
      <c r="F11" s="288"/>
      <c r="G11" s="288"/>
      <c r="H11" s="288"/>
      <c r="I11" s="288"/>
      <c r="J11" s="288"/>
      <c r="K11" s="288"/>
      <c r="L11" s="55"/>
      <c r="M11" s="34"/>
      <c r="N11" s="34"/>
    </row>
    <row r="12" spans="2:14" x14ac:dyDescent="0.2">
      <c r="B12" s="288"/>
      <c r="C12" s="288"/>
      <c r="D12" s="288"/>
      <c r="E12" s="288"/>
      <c r="F12" s="288"/>
      <c r="G12" s="288"/>
      <c r="H12" s="288"/>
      <c r="I12" s="288"/>
      <c r="J12" s="288"/>
      <c r="K12" s="288"/>
      <c r="L12" s="55"/>
      <c r="M12" s="34"/>
      <c r="N12" s="34"/>
    </row>
    <row r="13" spans="2:14" x14ac:dyDescent="0.2">
      <c r="B13" s="288"/>
      <c r="C13" s="288"/>
      <c r="D13" s="288"/>
      <c r="E13" s="288"/>
      <c r="F13" s="288"/>
      <c r="G13" s="288"/>
      <c r="H13" s="288"/>
      <c r="I13" s="288"/>
      <c r="J13" s="288"/>
      <c r="K13" s="288"/>
      <c r="L13" s="55"/>
      <c r="M13" s="34"/>
      <c r="N13" s="34"/>
    </row>
    <row r="14" spans="2:14" ht="48" customHeight="1" x14ac:dyDescent="0.2">
      <c r="B14" s="288"/>
      <c r="C14" s="288"/>
      <c r="D14" s="288"/>
      <c r="E14" s="288"/>
      <c r="F14" s="288"/>
      <c r="G14" s="288"/>
      <c r="H14" s="288"/>
      <c r="I14" s="288"/>
      <c r="J14" s="288"/>
      <c r="K14" s="288"/>
      <c r="L14" s="55"/>
      <c r="M14" s="34"/>
      <c r="N14" s="34"/>
    </row>
    <row r="15" spans="2:14" x14ac:dyDescent="0.2">
      <c r="B15" s="288"/>
      <c r="C15" s="288"/>
      <c r="D15" s="288"/>
      <c r="E15" s="288"/>
      <c r="F15" s="288"/>
      <c r="G15" s="288"/>
      <c r="H15" s="288"/>
      <c r="I15" s="288"/>
      <c r="J15" s="288"/>
      <c r="K15" s="288"/>
      <c r="L15" s="55"/>
      <c r="M15" s="34"/>
      <c r="N15" s="34"/>
    </row>
    <row r="16" spans="2:14" ht="81.75" customHeight="1" x14ac:dyDescent="0.2">
      <c r="B16" s="288"/>
      <c r="C16" s="288"/>
      <c r="D16" s="288"/>
      <c r="E16" s="288"/>
      <c r="F16" s="288"/>
      <c r="G16" s="288"/>
      <c r="H16" s="288"/>
      <c r="I16" s="288"/>
      <c r="J16" s="288"/>
      <c r="K16" s="288"/>
      <c r="L16" s="55"/>
      <c r="M16" s="34"/>
      <c r="N16" s="34"/>
    </row>
    <row r="17" spans="2:14" x14ac:dyDescent="0.2">
      <c r="L17" s="55"/>
      <c r="M17" s="34"/>
      <c r="N17" s="34"/>
    </row>
    <row r="18" spans="2:14" x14ac:dyDescent="0.2">
      <c r="L18" s="55"/>
      <c r="M18" s="34"/>
      <c r="N18" s="34"/>
    </row>
    <row r="19" spans="2:14" x14ac:dyDescent="0.2">
      <c r="B19" s="285" t="s">
        <v>45</v>
      </c>
      <c r="C19" s="285"/>
      <c r="D19" s="285"/>
      <c r="E19" s="285"/>
      <c r="F19" s="285"/>
      <c r="G19" s="285"/>
      <c r="H19" s="285"/>
      <c r="I19" s="285"/>
      <c r="J19" s="285"/>
      <c r="K19" s="285"/>
      <c r="L19" s="55"/>
      <c r="M19" s="34"/>
      <c r="N19" s="34"/>
    </row>
    <row r="20" spans="2:14" ht="174" customHeight="1" x14ac:dyDescent="0.2">
      <c r="B20" s="284" t="str">
        <f>'AER Summary'!B19:H19</f>
        <v xml:space="preserve">
Services to supply and connect temporary supply to one or more customers
The provision of an MG (Motor Generator) connection to the network or a direct distributor and / or use of HV Line Live / LV Live Techniques when requested by an ASP and / or as prescribed in the design information requirements to maintain a continued but temporary supply to otherwise impacted customers during contestable connection works. Service is in conjunction with, but in addition to access permits and clearance to work.
The costs of MG hire are not included as these are commercially available. Hire cost of providing generators are in addition to this service.
Note also, there is no allowance for Essential Energy to supply an MG standby technician if required. This would be covered as an additional service.</v>
      </c>
      <c r="C20" s="284"/>
      <c r="D20" s="284"/>
      <c r="E20" s="284"/>
      <c r="F20" s="284"/>
      <c r="G20" s="284"/>
      <c r="H20" s="284"/>
      <c r="I20" s="284"/>
      <c r="J20" s="284"/>
      <c r="K20" s="284"/>
    </row>
    <row r="21" spans="2:14" x14ac:dyDescent="0.2">
      <c r="B21" s="283"/>
      <c r="C21" s="283"/>
      <c r="D21" s="283"/>
      <c r="E21" s="283"/>
      <c r="F21" s="283"/>
      <c r="G21" s="283"/>
      <c r="H21" s="283"/>
      <c r="I21" s="283"/>
      <c r="J21" s="283"/>
      <c r="K21" s="283"/>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0"/>
  <sheetViews>
    <sheetView showGridLines="0" workbookViewId="0">
      <selection activeCell="K11" sqref="K11"/>
    </sheetView>
  </sheetViews>
  <sheetFormatPr defaultColWidth="9.140625" defaultRowHeight="12.75" x14ac:dyDescent="0.2"/>
  <cols>
    <col min="1" max="1" width="3.5703125" style="56" customWidth="1"/>
    <col min="2" max="2" width="58.7109375" style="56" customWidth="1"/>
    <col min="3" max="3" width="65.140625" style="56" customWidth="1"/>
    <col min="4" max="4" width="12.85546875" style="56" customWidth="1"/>
    <col min="5" max="8" width="11.28515625" style="56" customWidth="1"/>
    <col min="9" max="9" width="12.7109375" style="56" customWidth="1"/>
    <col min="10" max="16384" width="9.140625" style="56"/>
  </cols>
  <sheetData>
    <row r="2" spans="1:9" x14ac:dyDescent="0.2">
      <c r="B2" s="52" t="s">
        <v>102</v>
      </c>
      <c r="C2" s="31"/>
      <c r="D2" s="31"/>
      <c r="E2" s="31"/>
      <c r="F2" s="31"/>
      <c r="G2" s="31"/>
      <c r="H2" s="31"/>
      <c r="I2" s="31"/>
    </row>
    <row r="3" spans="1:9" x14ac:dyDescent="0.2">
      <c r="B3" s="21" t="s">
        <v>21</v>
      </c>
      <c r="C3" s="21" t="s">
        <v>3</v>
      </c>
      <c r="D3" s="72" t="s">
        <v>60</v>
      </c>
      <c r="E3" s="72" t="s">
        <v>59</v>
      </c>
      <c r="F3" s="72" t="s">
        <v>58</v>
      </c>
      <c r="G3" s="112" t="s">
        <v>119</v>
      </c>
      <c r="H3" s="112" t="s">
        <v>120</v>
      </c>
      <c r="I3" s="22" t="s">
        <v>1</v>
      </c>
    </row>
    <row r="4" spans="1:9" x14ac:dyDescent="0.2">
      <c r="B4" s="5" t="s">
        <v>22</v>
      </c>
      <c r="C4" s="5" t="s">
        <v>96</v>
      </c>
      <c r="D4" s="105">
        <v>0</v>
      </c>
      <c r="E4" s="105">
        <v>1503.43</v>
      </c>
      <c r="F4" s="105">
        <v>5425.91</v>
      </c>
      <c r="G4" s="105">
        <v>3485.22</v>
      </c>
      <c r="H4" s="105">
        <f>G4*102.5%</f>
        <v>3572.3504999999996</v>
      </c>
      <c r="I4" s="202">
        <f>SUM(D4:H4)</f>
        <v>13986.910499999998</v>
      </c>
    </row>
    <row r="5" spans="1:9" x14ac:dyDescent="0.2">
      <c r="B5" s="5" t="s">
        <v>24</v>
      </c>
      <c r="C5" s="11"/>
      <c r="D5" s="105"/>
      <c r="E5" s="105">
        <v>0</v>
      </c>
      <c r="F5" s="105">
        <v>0</v>
      </c>
      <c r="G5" s="105">
        <v>0</v>
      </c>
      <c r="H5" s="105">
        <f t="shared" ref="H5:H8" si="0">G5*102.5%</f>
        <v>0</v>
      </c>
      <c r="I5" s="202">
        <f t="shared" ref="I5:I8" si="1">SUM(D5:H5)</f>
        <v>0</v>
      </c>
    </row>
    <row r="6" spans="1:9" x14ac:dyDescent="0.2">
      <c r="B6" s="5" t="s">
        <v>25</v>
      </c>
      <c r="C6" s="5"/>
      <c r="D6" s="105">
        <v>0</v>
      </c>
      <c r="E6" s="105">
        <v>416</v>
      </c>
      <c r="F6" s="105">
        <v>1686</v>
      </c>
      <c r="G6" s="105">
        <v>1169.94</v>
      </c>
      <c r="H6" s="105">
        <f t="shared" si="0"/>
        <v>1199.1885</v>
      </c>
      <c r="I6" s="202">
        <f t="shared" si="1"/>
        <v>4471.1284999999998</v>
      </c>
    </row>
    <row r="7" spans="1:9" x14ac:dyDescent="0.2">
      <c r="B7" s="5" t="s">
        <v>26</v>
      </c>
      <c r="C7" s="5"/>
      <c r="D7" s="105"/>
      <c r="E7" s="105">
        <v>0</v>
      </c>
      <c r="F7" s="105">
        <v>0</v>
      </c>
      <c r="G7" s="105">
        <v>0</v>
      </c>
      <c r="H7" s="105">
        <f t="shared" si="0"/>
        <v>0</v>
      </c>
      <c r="I7" s="202">
        <f t="shared" si="1"/>
        <v>0</v>
      </c>
    </row>
    <row r="8" spans="1:9" x14ac:dyDescent="0.2">
      <c r="B8" s="5" t="s">
        <v>23</v>
      </c>
      <c r="C8" s="5"/>
      <c r="D8" s="23"/>
      <c r="E8" s="23">
        <v>1818</v>
      </c>
      <c r="F8" s="23">
        <v>5308</v>
      </c>
      <c r="G8" s="23">
        <v>2192.54</v>
      </c>
      <c r="H8" s="105">
        <f t="shared" si="0"/>
        <v>2247.3534999999997</v>
      </c>
      <c r="I8" s="202">
        <f t="shared" si="1"/>
        <v>11565.8935</v>
      </c>
    </row>
    <row r="9" spans="1:9" x14ac:dyDescent="0.2">
      <c r="B9" s="64" t="s">
        <v>1</v>
      </c>
      <c r="C9" s="25"/>
      <c r="D9" s="26">
        <v>0</v>
      </c>
      <c r="E9" s="26">
        <f>SUM(E4:E8)</f>
        <v>3737.4300000000003</v>
      </c>
      <c r="F9" s="26">
        <f>SUM(F4:F8)</f>
        <v>12419.91</v>
      </c>
      <c r="G9" s="26">
        <f t="shared" ref="G9:H9" si="2">SUM(G4:G8)</f>
        <v>6847.7</v>
      </c>
      <c r="H9" s="26">
        <f t="shared" si="2"/>
        <v>7018.8924999999999</v>
      </c>
      <c r="I9" s="27">
        <f t="shared" ref="I9" si="3">SUM(I4:I8)</f>
        <v>30023.932499999995</v>
      </c>
    </row>
    <row r="10" spans="1:9" x14ac:dyDescent="0.2">
      <c r="B10" s="60"/>
      <c r="C10" s="61"/>
      <c r="D10" s="62"/>
      <c r="E10" s="62"/>
      <c r="F10" s="62"/>
      <c r="G10" s="62"/>
      <c r="H10" s="62"/>
      <c r="I10" s="62"/>
    </row>
    <row r="11" spans="1:9" x14ac:dyDescent="0.2">
      <c r="B11" s="63" t="s">
        <v>10</v>
      </c>
      <c r="C11" s="29"/>
      <c r="D11" s="29"/>
      <c r="E11" s="29"/>
      <c r="F11" s="29"/>
      <c r="G11" s="29"/>
      <c r="H11" s="29"/>
      <c r="I11" s="29"/>
    </row>
    <row r="12" spans="1:9" x14ac:dyDescent="0.2">
      <c r="B12" s="65" t="s">
        <v>4</v>
      </c>
      <c r="C12" s="10" t="s">
        <v>9</v>
      </c>
      <c r="D12" s="73" t="s">
        <v>60</v>
      </c>
      <c r="E12" s="73" t="s">
        <v>59</v>
      </c>
      <c r="F12" s="73" t="s">
        <v>58</v>
      </c>
      <c r="G12" s="109" t="s">
        <v>119</v>
      </c>
      <c r="H12" s="109" t="s">
        <v>120</v>
      </c>
      <c r="I12" s="4" t="s">
        <v>1</v>
      </c>
    </row>
    <row r="13" spans="1:9" x14ac:dyDescent="0.2">
      <c r="B13" s="5" t="s">
        <v>20</v>
      </c>
      <c r="C13" s="11" t="s">
        <v>50</v>
      </c>
      <c r="D13" s="106">
        <f>'Historical Revenue'!D16</f>
        <v>0</v>
      </c>
      <c r="E13" s="106">
        <f>'Historical Revenue'!E16</f>
        <v>0</v>
      </c>
      <c r="F13" s="106">
        <f>'Historical Revenue'!F16</f>
        <v>0</v>
      </c>
      <c r="G13" s="106">
        <f>'Historical Revenue'!I16</f>
        <v>0</v>
      </c>
      <c r="H13" s="106">
        <f>'Historical Revenue'!J16</f>
        <v>0</v>
      </c>
      <c r="I13" s="203">
        <f>SUM(D13:H13)</f>
        <v>0</v>
      </c>
    </row>
    <row r="14" spans="1:9" x14ac:dyDescent="0.2">
      <c r="B14" s="11"/>
      <c r="C14" s="13"/>
      <c r="D14" s="12"/>
      <c r="E14" s="12"/>
      <c r="F14" s="12"/>
      <c r="G14" s="12"/>
      <c r="H14" s="12"/>
      <c r="I14" s="203">
        <f>SUM(D14:H14)</f>
        <v>0</v>
      </c>
    </row>
    <row r="15" spans="1:9" x14ac:dyDescent="0.2">
      <c r="A15" s="66"/>
      <c r="B15" s="67" t="s">
        <v>54</v>
      </c>
      <c r="C15" s="8"/>
      <c r="D15" s="14">
        <f t="shared" ref="D15:I15" si="4">SUM(D13:D14)</f>
        <v>0</v>
      </c>
      <c r="E15" s="14">
        <f t="shared" si="4"/>
        <v>0</v>
      </c>
      <c r="F15" s="14">
        <f t="shared" si="4"/>
        <v>0</v>
      </c>
      <c r="G15" s="14">
        <f t="shared" ref="G15:H15" si="5">SUM(G13:G14)</f>
        <v>0</v>
      </c>
      <c r="H15" s="14">
        <f t="shared" si="5"/>
        <v>0</v>
      </c>
      <c r="I15" s="14">
        <f t="shared" si="4"/>
        <v>0</v>
      </c>
    </row>
    <row r="17" spans="1:9" x14ac:dyDescent="0.2">
      <c r="A17" s="66"/>
      <c r="B17" s="16" t="s">
        <v>6</v>
      </c>
      <c r="C17" s="1"/>
      <c r="D17" s="15"/>
      <c r="E17" s="15"/>
      <c r="F17" s="15"/>
      <c r="G17" s="15"/>
      <c r="H17" s="15"/>
      <c r="I17" s="15"/>
    </row>
    <row r="18" spans="1:9" ht="15" customHeight="1" x14ac:dyDescent="0.2">
      <c r="B18" s="293" t="s">
        <v>133</v>
      </c>
      <c r="C18" s="294"/>
      <c r="D18" s="113"/>
      <c r="E18" s="113"/>
      <c r="F18" s="113"/>
      <c r="G18" s="113"/>
      <c r="H18" s="113"/>
      <c r="I18" s="113"/>
    </row>
    <row r="19" spans="1:9" x14ac:dyDescent="0.2">
      <c r="B19" s="114" t="s">
        <v>121</v>
      </c>
      <c r="C19" s="115"/>
      <c r="D19" s="115"/>
      <c r="E19" s="115"/>
      <c r="F19" s="115"/>
      <c r="G19" s="115"/>
      <c r="H19" s="115"/>
      <c r="I19" s="115"/>
    </row>
    <row r="20" spans="1:9" x14ac:dyDescent="0.2">
      <c r="B20" s="114" t="s">
        <v>122</v>
      </c>
      <c r="C20" s="115"/>
      <c r="D20" s="115"/>
      <c r="E20" s="115"/>
      <c r="F20" s="115"/>
      <c r="G20" s="115"/>
      <c r="H20" s="115"/>
      <c r="I20" s="115"/>
    </row>
    <row r="21" spans="1:9" x14ac:dyDescent="0.2">
      <c r="B21" s="114" t="s">
        <v>123</v>
      </c>
      <c r="C21" s="115"/>
      <c r="D21" s="115"/>
      <c r="E21" s="115"/>
      <c r="F21" s="115"/>
      <c r="G21" s="115"/>
      <c r="H21" s="115"/>
      <c r="I21" s="115"/>
    </row>
    <row r="22" spans="1:9" x14ac:dyDescent="0.2">
      <c r="B22" s="114" t="s">
        <v>124</v>
      </c>
      <c r="C22" s="115"/>
      <c r="D22" s="115"/>
      <c r="E22" s="115"/>
      <c r="F22" s="115"/>
      <c r="G22" s="115"/>
      <c r="H22" s="115"/>
      <c r="I22" s="115"/>
    </row>
    <row r="23" spans="1:9" x14ac:dyDescent="0.2">
      <c r="B23" s="68" t="s">
        <v>125</v>
      </c>
      <c r="C23" s="32"/>
      <c r="D23" s="32"/>
      <c r="E23" s="32"/>
      <c r="F23" s="32"/>
      <c r="G23" s="111"/>
      <c r="H23" s="111"/>
      <c r="I23" s="32"/>
    </row>
    <row r="24" spans="1:9" x14ac:dyDescent="0.2">
      <c r="B24" s="1"/>
      <c r="C24" s="1"/>
      <c r="D24" s="15"/>
      <c r="E24" s="15"/>
      <c r="F24" s="15"/>
      <c r="G24" s="15"/>
      <c r="H24" s="15"/>
      <c r="I24" s="15"/>
    </row>
    <row r="25" spans="1:9" x14ac:dyDescent="0.2">
      <c r="B25" s="63" t="s">
        <v>116</v>
      </c>
      <c r="C25" s="29"/>
      <c r="D25" s="29"/>
      <c r="E25" s="29"/>
      <c r="F25" s="29"/>
      <c r="G25" s="29"/>
      <c r="H25" s="29"/>
      <c r="I25" s="29"/>
    </row>
    <row r="26" spans="1:9" x14ac:dyDescent="0.2">
      <c r="B26" s="1"/>
      <c r="C26" s="1"/>
      <c r="D26" s="1"/>
      <c r="E26" s="1"/>
      <c r="F26" s="1"/>
      <c r="G26" s="1"/>
      <c r="H26" s="1"/>
      <c r="I26" s="1"/>
    </row>
    <row r="27" spans="1:9" x14ac:dyDescent="0.2">
      <c r="B27" s="69" t="s">
        <v>11</v>
      </c>
      <c r="C27" s="18"/>
      <c r="D27" s="18"/>
      <c r="E27" s="18"/>
      <c r="F27" s="18"/>
      <c r="G27" s="18"/>
      <c r="H27" s="18"/>
      <c r="I27" s="18"/>
    </row>
    <row r="28" spans="1:9" x14ac:dyDescent="0.2">
      <c r="B28" s="289" t="s">
        <v>117</v>
      </c>
      <c r="C28" s="290"/>
      <c r="D28" s="290"/>
      <c r="E28" s="290"/>
      <c r="F28" s="290"/>
      <c r="G28" s="290"/>
      <c r="H28" s="290"/>
      <c r="I28" s="290"/>
    </row>
    <row r="29" spans="1:9" x14ac:dyDescent="0.2">
      <c r="B29" s="291"/>
      <c r="C29" s="292"/>
      <c r="D29" s="292"/>
      <c r="E29" s="292"/>
      <c r="F29" s="292"/>
      <c r="G29" s="292"/>
      <c r="H29" s="292"/>
      <c r="I29" s="292"/>
    </row>
    <row r="30" spans="1:9" x14ac:dyDescent="0.2">
      <c r="B30" s="70"/>
      <c r="C30" s="20"/>
      <c r="D30" s="20"/>
      <c r="E30" s="20"/>
      <c r="F30" s="20"/>
      <c r="G30" s="20"/>
      <c r="H30" s="20"/>
      <c r="I30" s="20"/>
    </row>
  </sheetData>
  <mergeCells count="2">
    <mergeCell ref="B28:I29"/>
    <mergeCell ref="B18:C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AM53"/>
  <sheetViews>
    <sheetView showGridLines="0" zoomScale="90" zoomScaleNormal="90" workbookViewId="0">
      <selection activeCell="H7" sqref="H7"/>
    </sheetView>
  </sheetViews>
  <sheetFormatPr defaultColWidth="9.140625" defaultRowHeight="12.75" x14ac:dyDescent="0.2"/>
  <cols>
    <col min="1" max="1" width="2.28515625" style="1" customWidth="1"/>
    <col min="2" max="2" width="87.42578125" style="1" bestFit="1" customWidth="1"/>
    <col min="3" max="3" width="15.140625" style="87" bestFit="1" customWidth="1"/>
    <col min="4" max="4" width="9.140625" style="101"/>
    <col min="5" max="5" width="9.140625" style="84"/>
    <col min="6" max="14" width="9.140625" style="97"/>
    <col min="15" max="15" width="9.140625" style="1"/>
    <col min="16" max="16" width="11.28515625" style="48" customWidth="1"/>
    <col min="17" max="17" width="26" style="48" bestFit="1" customWidth="1"/>
    <col min="18" max="18" width="2.85546875" style="1" customWidth="1"/>
    <col min="19" max="19" width="87.42578125" style="1" bestFit="1" customWidth="1"/>
    <col min="20" max="20" width="15.140625" style="1" bestFit="1" customWidth="1"/>
    <col min="21" max="23" width="9.140625" style="1"/>
    <col min="24" max="31" width="9.140625" style="97"/>
    <col min="32" max="32" width="9.140625" style="1"/>
    <col min="33" max="33" width="11.28515625" style="48" customWidth="1"/>
    <col min="34" max="34" width="26" style="48" bestFit="1" customWidth="1"/>
    <col min="35" max="35" width="15.7109375" style="1" customWidth="1"/>
    <col min="36" max="40" width="9.140625" style="1"/>
    <col min="41" max="41" width="4" style="1" customWidth="1"/>
    <col min="42" max="42" width="53.7109375" style="1" customWidth="1"/>
    <col min="43" max="43" width="15.7109375" style="1" customWidth="1"/>
    <col min="44" max="48" width="9.140625" style="1"/>
    <col min="49" max="49" width="9.140625" style="1" customWidth="1"/>
    <col min="50" max="50" width="53.7109375" style="1" customWidth="1"/>
    <col min="51" max="51" width="15.7109375" style="1" customWidth="1"/>
    <col min="52" max="16384" width="9.140625" style="1"/>
  </cols>
  <sheetData>
    <row r="2" spans="1:39" x14ac:dyDescent="0.2">
      <c r="B2" s="205" t="s">
        <v>56</v>
      </c>
      <c r="C2" s="206"/>
      <c r="D2" s="206"/>
      <c r="E2" s="206"/>
      <c r="F2" s="206"/>
      <c r="G2" s="206"/>
      <c r="H2" s="301" t="s">
        <v>143</v>
      </c>
      <c r="I2" s="301"/>
      <c r="J2" s="301"/>
      <c r="K2" s="301"/>
      <c r="L2" s="301"/>
      <c r="M2" s="301"/>
      <c r="N2" s="301"/>
      <c r="O2" s="301"/>
      <c r="P2" s="301"/>
      <c r="Q2" s="301"/>
      <c r="S2" s="303" t="s">
        <v>56</v>
      </c>
      <c r="T2" s="304"/>
      <c r="U2" s="304"/>
      <c r="V2" s="304"/>
      <c r="W2" s="304"/>
      <c r="X2" s="304"/>
      <c r="Y2" s="304"/>
      <c r="Z2" s="304"/>
      <c r="AA2" s="304"/>
      <c r="AB2" s="304"/>
      <c r="AC2" s="304"/>
      <c r="AD2" s="304"/>
      <c r="AE2" s="304"/>
      <c r="AF2" s="304"/>
      <c r="AG2" s="304"/>
      <c r="AH2" s="304"/>
    </row>
    <row r="3" spans="1:39" ht="15.75" x14ac:dyDescent="0.25">
      <c r="B3" s="71" t="s">
        <v>75</v>
      </c>
      <c r="C3" s="54"/>
      <c r="D3" s="98"/>
      <c r="E3" s="77"/>
      <c r="F3" s="88"/>
      <c r="G3" s="88"/>
      <c r="H3" s="302" t="s">
        <v>144</v>
      </c>
      <c r="I3" s="302"/>
      <c r="J3" s="302"/>
      <c r="K3" s="302"/>
      <c r="L3" s="302"/>
      <c r="M3" s="302"/>
      <c r="N3" s="302"/>
      <c r="O3" s="302"/>
      <c r="P3" s="302"/>
      <c r="Q3" s="302"/>
      <c r="S3" s="71" t="s">
        <v>75</v>
      </c>
      <c r="T3" s="54"/>
      <c r="U3" s="98"/>
      <c r="V3" s="77"/>
      <c r="W3" s="88"/>
      <c r="X3" s="88"/>
      <c r="Y3" s="302" t="s">
        <v>144</v>
      </c>
      <c r="Z3" s="302"/>
      <c r="AA3" s="302"/>
      <c r="AB3" s="302"/>
      <c r="AC3" s="302"/>
      <c r="AD3" s="302"/>
      <c r="AE3" s="302"/>
      <c r="AF3" s="302"/>
      <c r="AG3" s="302"/>
      <c r="AH3" s="302"/>
    </row>
    <row r="4" spans="1:39" s="34" customFormat="1" ht="3" customHeight="1" x14ac:dyDescent="0.2">
      <c r="B4" s="36"/>
      <c r="C4" s="85"/>
      <c r="D4" s="99"/>
      <c r="E4" s="78"/>
      <c r="F4" s="89"/>
      <c r="G4" s="89"/>
      <c r="H4" s="89"/>
      <c r="I4" s="89"/>
      <c r="J4" s="89"/>
      <c r="K4" s="89"/>
      <c r="L4" s="89"/>
      <c r="M4" s="89"/>
      <c r="N4" s="89"/>
      <c r="O4" s="36"/>
      <c r="P4" s="36"/>
      <c r="Q4" s="36"/>
      <c r="S4" s="36"/>
      <c r="T4" s="85"/>
      <c r="U4" s="99"/>
      <c r="V4" s="78"/>
      <c r="W4" s="89"/>
      <c r="X4" s="89"/>
      <c r="Y4" s="89"/>
      <c r="Z4" s="89"/>
      <c r="AA4" s="89"/>
      <c r="AB4" s="89"/>
      <c r="AC4" s="89"/>
      <c r="AD4" s="89"/>
      <c r="AE4" s="89"/>
      <c r="AF4" s="36"/>
      <c r="AG4" s="36"/>
      <c r="AH4" s="36"/>
    </row>
    <row r="5" spans="1:39" ht="63.75" x14ac:dyDescent="0.2">
      <c r="B5" s="37" t="s">
        <v>19</v>
      </c>
      <c r="C5" s="37" t="s">
        <v>32</v>
      </c>
      <c r="D5" s="207" t="s">
        <v>65</v>
      </c>
      <c r="E5" s="208" t="s">
        <v>34</v>
      </c>
      <c r="F5" s="207" t="s">
        <v>33</v>
      </c>
      <c r="G5" s="207" t="s">
        <v>145</v>
      </c>
      <c r="H5" s="207" t="s">
        <v>146</v>
      </c>
      <c r="I5" s="207" t="s">
        <v>147</v>
      </c>
      <c r="J5" s="207" t="s">
        <v>148</v>
      </c>
      <c r="K5" s="207" t="s">
        <v>149</v>
      </c>
      <c r="L5" s="207" t="s">
        <v>150</v>
      </c>
      <c r="M5" s="207" t="s">
        <v>151</v>
      </c>
      <c r="N5" s="207" t="s">
        <v>152</v>
      </c>
      <c r="O5" s="209" t="s">
        <v>153</v>
      </c>
      <c r="P5" s="210" t="s">
        <v>154</v>
      </c>
      <c r="Q5" s="210" t="s">
        <v>155</v>
      </c>
      <c r="R5" s="57"/>
      <c r="S5" s="37" t="s">
        <v>19</v>
      </c>
      <c r="T5" s="37" t="s">
        <v>32</v>
      </c>
      <c r="U5" s="90" t="s">
        <v>65</v>
      </c>
      <c r="V5" s="79" t="s">
        <v>34</v>
      </c>
      <c r="W5" s="90" t="s">
        <v>33</v>
      </c>
      <c r="X5" s="207" t="s">
        <v>145</v>
      </c>
      <c r="Y5" s="207" t="s">
        <v>146</v>
      </c>
      <c r="Z5" s="207" t="s">
        <v>147</v>
      </c>
      <c r="AA5" s="207" t="s">
        <v>148</v>
      </c>
      <c r="AB5" s="207" t="s">
        <v>149</v>
      </c>
      <c r="AC5" s="207" t="s">
        <v>150</v>
      </c>
      <c r="AD5" s="207" t="s">
        <v>151</v>
      </c>
      <c r="AE5" s="207" t="s">
        <v>152</v>
      </c>
      <c r="AF5" s="209" t="s">
        <v>153</v>
      </c>
      <c r="AG5" s="210" t="s">
        <v>154</v>
      </c>
      <c r="AH5" s="210" t="s">
        <v>155</v>
      </c>
    </row>
    <row r="6" spans="1:39" ht="14.25" customHeight="1" x14ac:dyDescent="0.2">
      <c r="B6" s="216" t="s">
        <v>107</v>
      </c>
      <c r="C6" s="217"/>
      <c r="D6" s="217"/>
      <c r="E6" s="217"/>
      <c r="F6" s="217"/>
      <c r="G6" s="217"/>
      <c r="H6" s="217"/>
      <c r="I6" s="217"/>
      <c r="J6" s="217"/>
      <c r="K6" s="217"/>
      <c r="L6" s="217"/>
      <c r="M6" s="217"/>
      <c r="N6" s="217"/>
      <c r="O6" s="217"/>
      <c r="P6" s="217"/>
      <c r="Q6" s="221"/>
      <c r="R6" s="219"/>
      <c r="S6" s="295" t="s">
        <v>108</v>
      </c>
      <c r="T6" s="296"/>
      <c r="U6" s="296"/>
      <c r="V6" s="296"/>
      <c r="W6" s="296"/>
      <c r="X6" s="296"/>
      <c r="Y6" s="296"/>
      <c r="Z6" s="296"/>
      <c r="AA6" s="296"/>
      <c r="AB6" s="296"/>
      <c r="AC6" s="296"/>
      <c r="AD6" s="296"/>
      <c r="AE6" s="296"/>
      <c r="AF6" s="296"/>
      <c r="AG6" s="296"/>
      <c r="AH6" s="296"/>
    </row>
    <row r="7" spans="1:39" x14ac:dyDescent="0.2">
      <c r="B7" s="211" t="s">
        <v>76</v>
      </c>
      <c r="C7" s="212" t="s">
        <v>82</v>
      </c>
      <c r="D7" s="213">
        <v>3</v>
      </c>
      <c r="E7" s="214">
        <v>1</v>
      </c>
      <c r="F7" s="220">
        <f>D7*E7</f>
        <v>3</v>
      </c>
      <c r="G7" s="220">
        <v>0</v>
      </c>
      <c r="H7" s="220">
        <f>IF(G7=0,VLOOKUP(C:C,[1]Inputs!$B$20:$H$25,7,FALSE)*F7,VLOOKUP(C:C,[1]Inputs!$B$20:$I$25,8,FALSE)*F7)</f>
        <v>239.51503940899505</v>
      </c>
      <c r="I7" s="220">
        <f>VLOOKUP(C:C,[1]Inputs!$C$54:$G$59,5,FALSE)*F7</f>
        <v>59.197308865038949</v>
      </c>
      <c r="J7" s="220"/>
      <c r="K7" s="220"/>
      <c r="L7" s="220"/>
      <c r="M7" s="220">
        <f>SUM(H7:J7)</f>
        <v>298.71234827403401</v>
      </c>
      <c r="N7" s="220">
        <f>[1]Inputs!$M$43*M7</f>
        <v>139.17803224953502</v>
      </c>
      <c r="O7" s="222">
        <f>[1]Inputs!$M$48*M7</f>
        <v>47.906765061515074</v>
      </c>
      <c r="P7" s="222">
        <f>[1]Inputs!$H$13*SUM(M7:O7)</f>
        <v>30.809254973006034</v>
      </c>
      <c r="Q7" s="222">
        <f t="shared" ref="Q7" si="0">SUM(M7:P7)</f>
        <v>516.60640055809017</v>
      </c>
      <c r="S7" s="75" t="s">
        <v>76</v>
      </c>
      <c r="T7" s="74" t="s">
        <v>82</v>
      </c>
      <c r="U7" s="91">
        <v>3</v>
      </c>
      <c r="V7" s="80">
        <v>1</v>
      </c>
      <c r="W7" s="103">
        <f>U7*V7</f>
        <v>3</v>
      </c>
      <c r="X7" s="220">
        <v>0</v>
      </c>
      <c r="Y7" s="220">
        <f>IF(X7=0,VLOOKUP(T:T,[1]Inputs!$B$20:$H$25,7,FALSE)*W7,VLOOKUP(T:T,[1]Inputs!$B$20:$I$25,8,FALSE)*W7)</f>
        <v>239.51503940899505</v>
      </c>
      <c r="Z7" s="220">
        <f>VLOOKUP(T:T,[1]Inputs!$C$54:$G$59,5,FALSE)*W7</f>
        <v>59.197308865038949</v>
      </c>
      <c r="AA7" s="220"/>
      <c r="AB7" s="220"/>
      <c r="AC7" s="220"/>
      <c r="AD7" s="220">
        <f>SUM(Y7:AA7)</f>
        <v>298.71234827403401</v>
      </c>
      <c r="AE7" s="220">
        <f>[1]Inputs!$M$43*AD7</f>
        <v>139.17803224953502</v>
      </c>
      <c r="AF7" s="222">
        <f>[1]Inputs!$M$48*AD7</f>
        <v>47.906765061515074</v>
      </c>
      <c r="AG7" s="222">
        <f>[1]Inputs!$H$13*SUM(AD7:AF7)</f>
        <v>30.809254973006034</v>
      </c>
      <c r="AH7" s="222">
        <f t="shared" ref="AH7" si="1">SUM(AD7:AG7)</f>
        <v>516.60640055809017</v>
      </c>
    </row>
    <row r="8" spans="1:39" ht="14.25" customHeight="1" x14ac:dyDescent="0.2">
      <c r="B8" s="76" t="s">
        <v>79</v>
      </c>
      <c r="C8" s="74" t="s">
        <v>55</v>
      </c>
      <c r="D8" s="92">
        <v>0.5</v>
      </c>
      <c r="E8" s="80">
        <v>1</v>
      </c>
      <c r="F8" s="103">
        <f t="shared" ref="F8:F16" si="2">D8*E8</f>
        <v>0.5</v>
      </c>
      <c r="G8" s="220">
        <v>0</v>
      </c>
      <c r="H8" s="220">
        <f>IF(G8=0,VLOOKUP(C:C,[1]Inputs!$B$20:$H$25,7,FALSE)*F8,VLOOKUP(C:C,[1]Inputs!$B$20:$I$25,8,FALSE)*F8)</f>
        <v>51.630298810072496</v>
      </c>
      <c r="I8" s="220">
        <f>VLOOKUP(C:C,[1]Inputs!$C$54:$G$59,5,FALSE)*F8</f>
        <v>0</v>
      </c>
      <c r="J8" s="220"/>
      <c r="K8" s="220"/>
      <c r="L8" s="220"/>
      <c r="M8" s="220">
        <f t="shared" ref="M8:M16" si="3">SUM(H8:J8)</f>
        <v>51.630298810072496</v>
      </c>
      <c r="N8" s="220">
        <f>[1]Inputs!$M$43*M8</f>
        <v>24.055930176174893</v>
      </c>
      <c r="O8" s="222">
        <f>[1]Inputs!$M$48*M8</f>
        <v>8.2803426421490585</v>
      </c>
      <c r="P8" s="222">
        <f>[1]Inputs!$H$13*SUM(M8:O8)</f>
        <v>5.3251599726729033</v>
      </c>
      <c r="Q8" s="222">
        <f t="shared" ref="Q8:Q16" si="4">SUM(M8:P8)</f>
        <v>89.291731601069358</v>
      </c>
      <c r="R8" s="57"/>
      <c r="S8" s="76" t="s">
        <v>79</v>
      </c>
      <c r="T8" s="74" t="s">
        <v>55</v>
      </c>
      <c r="U8" s="92">
        <v>0.5</v>
      </c>
      <c r="V8" s="80">
        <v>1</v>
      </c>
      <c r="W8" s="103">
        <f t="shared" ref="W8:W16" si="5">U8*V8</f>
        <v>0.5</v>
      </c>
      <c r="X8" s="220">
        <v>0</v>
      </c>
      <c r="Y8" s="220">
        <f>IF(X8=0,VLOOKUP(T:T,[1]Inputs!$B$20:$H$25,7,FALSE)*W8,VLOOKUP(T:T,[1]Inputs!$B$20:$I$25,8,FALSE)*W8)</f>
        <v>51.630298810072496</v>
      </c>
      <c r="Z8" s="220">
        <f>VLOOKUP(T:T,[1]Inputs!$C$54:$G$59,5,FALSE)*W8</f>
        <v>0</v>
      </c>
      <c r="AA8" s="220"/>
      <c r="AB8" s="220"/>
      <c r="AC8" s="220"/>
      <c r="AD8" s="220">
        <f t="shared" ref="AD8:AD16" si="6">SUM(Y8:AA8)</f>
        <v>51.630298810072496</v>
      </c>
      <c r="AE8" s="220">
        <f>[1]Inputs!$M$43*AD8</f>
        <v>24.055930176174893</v>
      </c>
      <c r="AF8" s="222">
        <f>[1]Inputs!$M$48*AD8</f>
        <v>8.2803426421490585</v>
      </c>
      <c r="AG8" s="222">
        <f>[1]Inputs!$H$13*SUM(AD8:AF8)</f>
        <v>5.3251599726729033</v>
      </c>
      <c r="AH8" s="222">
        <f t="shared" ref="AH8:AH16" si="7">SUM(AD8:AG8)</f>
        <v>89.291731601069358</v>
      </c>
    </row>
    <row r="9" spans="1:39" x14ac:dyDescent="0.2">
      <c r="A9" s="58"/>
      <c r="B9" s="75" t="s">
        <v>80</v>
      </c>
      <c r="C9" s="74" t="s">
        <v>55</v>
      </c>
      <c r="D9" s="93">
        <v>1</v>
      </c>
      <c r="E9" s="80">
        <v>1</v>
      </c>
      <c r="F9" s="103">
        <f t="shared" si="2"/>
        <v>1</v>
      </c>
      <c r="G9" s="220">
        <v>0</v>
      </c>
      <c r="H9" s="220">
        <f>IF(G9=0,VLOOKUP(C:C,[1]Inputs!$B$20:$H$25,7,FALSE)*F9,VLOOKUP(C:C,[1]Inputs!$B$20:$I$25,8,FALSE)*F9)</f>
        <v>103.26059762014499</v>
      </c>
      <c r="I9" s="220">
        <f>VLOOKUP(C:C,[1]Inputs!$C$54:$G$59,5,FALSE)*F9</f>
        <v>0</v>
      </c>
      <c r="J9" s="220"/>
      <c r="K9" s="220"/>
      <c r="L9" s="220"/>
      <c r="M9" s="220">
        <f t="shared" si="3"/>
        <v>103.26059762014499</v>
      </c>
      <c r="N9" s="220">
        <f>[1]Inputs!$M$43*M9</f>
        <v>48.111860352349787</v>
      </c>
      <c r="O9" s="222">
        <f>[1]Inputs!$M$48*M9</f>
        <v>16.560685284298117</v>
      </c>
      <c r="P9" s="222">
        <f>[1]Inputs!$H$13*SUM(M9:O9)</f>
        <v>10.650319945345807</v>
      </c>
      <c r="Q9" s="222">
        <f t="shared" si="4"/>
        <v>178.58346320213872</v>
      </c>
      <c r="R9" s="57"/>
      <c r="S9" s="75" t="s">
        <v>80</v>
      </c>
      <c r="T9" s="74" t="s">
        <v>55</v>
      </c>
      <c r="U9" s="93">
        <v>1</v>
      </c>
      <c r="V9" s="80">
        <v>1</v>
      </c>
      <c r="W9" s="103">
        <f t="shared" si="5"/>
        <v>1</v>
      </c>
      <c r="X9" s="220">
        <v>0</v>
      </c>
      <c r="Y9" s="220">
        <f>IF(X9=0,VLOOKUP(T:T,[1]Inputs!$B$20:$H$25,7,FALSE)*W9,VLOOKUP(T:T,[1]Inputs!$B$20:$I$25,8,FALSE)*W9)</f>
        <v>103.26059762014499</v>
      </c>
      <c r="Z9" s="220">
        <f>VLOOKUP(T:T,[1]Inputs!$C$54:$G$59,5,FALSE)*W9</f>
        <v>0</v>
      </c>
      <c r="AA9" s="220"/>
      <c r="AB9" s="220"/>
      <c r="AC9" s="220"/>
      <c r="AD9" s="220">
        <f t="shared" si="6"/>
        <v>103.26059762014499</v>
      </c>
      <c r="AE9" s="220">
        <f>[1]Inputs!$M$43*AD9</f>
        <v>48.111860352349787</v>
      </c>
      <c r="AF9" s="222">
        <f>[1]Inputs!$M$48*AD9</f>
        <v>16.560685284298117</v>
      </c>
      <c r="AG9" s="222">
        <f>[1]Inputs!$H$13*SUM(AD9:AF9)</f>
        <v>10.650319945345807</v>
      </c>
      <c r="AH9" s="222">
        <f t="shared" si="7"/>
        <v>178.58346320213872</v>
      </c>
      <c r="AM9" s="49"/>
    </row>
    <row r="10" spans="1:39" x14ac:dyDescent="0.2">
      <c r="B10" s="75" t="s">
        <v>81</v>
      </c>
      <c r="C10" s="74" t="s">
        <v>82</v>
      </c>
      <c r="D10" s="94">
        <v>1</v>
      </c>
      <c r="E10" s="80">
        <v>1</v>
      </c>
      <c r="F10" s="103">
        <f t="shared" si="2"/>
        <v>1</v>
      </c>
      <c r="G10" s="220">
        <v>0</v>
      </c>
      <c r="H10" s="220">
        <f>IF(G10=0,VLOOKUP(C:C,[1]Inputs!$B$20:$H$25,7,FALSE)*F10,VLOOKUP(C:C,[1]Inputs!$B$20:$I$25,8,FALSE)*F10)</f>
        <v>79.838346469665012</v>
      </c>
      <c r="I10" s="220">
        <f>VLOOKUP(C:C,[1]Inputs!$C$54:$G$59,5,FALSE)*F10</f>
        <v>19.732436288346317</v>
      </c>
      <c r="J10" s="220"/>
      <c r="K10" s="220"/>
      <c r="L10" s="220"/>
      <c r="M10" s="220">
        <f t="shared" si="3"/>
        <v>99.570782758011333</v>
      </c>
      <c r="N10" s="220">
        <f>[1]Inputs!$M$43*M10</f>
        <v>46.392677416511667</v>
      </c>
      <c r="O10" s="222">
        <f>[1]Inputs!$M$48*M10</f>
        <v>15.968921687171692</v>
      </c>
      <c r="P10" s="222">
        <f>[1]Inputs!$H$13*SUM(M10:O10)</f>
        <v>10.269751657668678</v>
      </c>
      <c r="Q10" s="222">
        <f t="shared" si="4"/>
        <v>172.20213351936337</v>
      </c>
      <c r="S10" s="75" t="s">
        <v>81</v>
      </c>
      <c r="T10" s="74" t="s">
        <v>82</v>
      </c>
      <c r="U10" s="94">
        <v>1</v>
      </c>
      <c r="V10" s="80">
        <v>1</v>
      </c>
      <c r="W10" s="103">
        <f t="shared" si="5"/>
        <v>1</v>
      </c>
      <c r="X10" s="220">
        <v>0</v>
      </c>
      <c r="Y10" s="220">
        <f>IF(X10=0,VLOOKUP(T:T,[1]Inputs!$B$20:$H$25,7,FALSE)*W10,VLOOKUP(T:T,[1]Inputs!$B$20:$I$25,8,FALSE)*W10)</f>
        <v>79.838346469665012</v>
      </c>
      <c r="Z10" s="220">
        <f>VLOOKUP(T:T,[1]Inputs!$C$54:$G$59,5,FALSE)*W10</f>
        <v>19.732436288346317</v>
      </c>
      <c r="AA10" s="220"/>
      <c r="AB10" s="220"/>
      <c r="AC10" s="220"/>
      <c r="AD10" s="220">
        <f t="shared" si="6"/>
        <v>99.570782758011333</v>
      </c>
      <c r="AE10" s="220">
        <f>[1]Inputs!$M$43*AD10</f>
        <v>46.392677416511667</v>
      </c>
      <c r="AF10" s="222">
        <f>[1]Inputs!$M$48*AD10</f>
        <v>15.968921687171692</v>
      </c>
      <c r="AG10" s="222">
        <f>[1]Inputs!$H$13*SUM(AD10:AF10)</f>
        <v>10.269751657668678</v>
      </c>
      <c r="AH10" s="222">
        <f t="shared" si="7"/>
        <v>172.20213351936337</v>
      </c>
    </row>
    <row r="11" spans="1:39" x14ac:dyDescent="0.2">
      <c r="B11" s="75" t="s">
        <v>83</v>
      </c>
      <c r="C11" s="74" t="s">
        <v>82</v>
      </c>
      <c r="D11" s="95">
        <v>1</v>
      </c>
      <c r="E11" s="80">
        <v>2</v>
      </c>
      <c r="F11" s="103">
        <f t="shared" si="2"/>
        <v>2</v>
      </c>
      <c r="G11" s="220">
        <v>0</v>
      </c>
      <c r="H11" s="220">
        <f>IF(G11=0,VLOOKUP(C:C,[1]Inputs!$B$20:$H$25,7,FALSE)*F11,VLOOKUP(C:C,[1]Inputs!$B$20:$I$25,8,FALSE)*F11)</f>
        <v>159.67669293933002</v>
      </c>
      <c r="I11" s="220">
        <f>VLOOKUP(C:C,[1]Inputs!$C$54:$G$59,5,FALSE)*F11</f>
        <v>39.464872576692635</v>
      </c>
      <c r="J11" s="220"/>
      <c r="K11" s="220"/>
      <c r="L11" s="220"/>
      <c r="M11" s="220">
        <f t="shared" si="3"/>
        <v>199.14156551602267</v>
      </c>
      <c r="N11" s="220">
        <f>[1]Inputs!$M$43*M11</f>
        <v>92.785354833023334</v>
      </c>
      <c r="O11" s="222">
        <f>[1]Inputs!$M$48*M11</f>
        <v>31.937843374343384</v>
      </c>
      <c r="P11" s="222">
        <f>[1]Inputs!$H$13*SUM(M11:O11)</f>
        <v>20.539503315337356</v>
      </c>
      <c r="Q11" s="222">
        <f t="shared" si="4"/>
        <v>344.40426703872674</v>
      </c>
      <c r="S11" s="75" t="s">
        <v>83</v>
      </c>
      <c r="T11" s="74" t="s">
        <v>82</v>
      </c>
      <c r="U11" s="95">
        <v>1</v>
      </c>
      <c r="V11" s="80">
        <v>2</v>
      </c>
      <c r="W11" s="103">
        <f t="shared" si="5"/>
        <v>2</v>
      </c>
      <c r="X11" s="220">
        <v>1</v>
      </c>
      <c r="Y11" s="220">
        <f>IF(X11=0,VLOOKUP(T:T,[1]Inputs!$B$20:$H$25,7,FALSE)*W11,VLOOKUP(T:T,[1]Inputs!$B$20:$I$25,8,FALSE)*W11)</f>
        <v>289.88205116634543</v>
      </c>
      <c r="Z11" s="220">
        <f>VLOOKUP(T:T,[1]Inputs!$C$54:$G$59,5,FALSE)*W11</f>
        <v>39.464872576692635</v>
      </c>
      <c r="AA11" s="220"/>
      <c r="AB11" s="220"/>
      <c r="AC11" s="220"/>
      <c r="AD11" s="220">
        <f t="shared" si="6"/>
        <v>329.34692374303808</v>
      </c>
      <c r="AE11" s="220">
        <f>[1]Inputs!$M$43*AD11</f>
        <v>153.45149619306255</v>
      </c>
      <c r="AF11" s="222">
        <f>[1]Inputs!$M$48*AD11</f>
        <v>52.819864296389937</v>
      </c>
      <c r="AG11" s="222">
        <f>[1]Inputs!$H$13*SUM(AD11:AF11)</f>
        <v>33.968911586024561</v>
      </c>
      <c r="AH11" s="222">
        <f t="shared" si="7"/>
        <v>569.58719581851517</v>
      </c>
    </row>
    <row r="12" spans="1:39" x14ac:dyDescent="0.2">
      <c r="B12" s="75" t="s">
        <v>85</v>
      </c>
      <c r="C12" s="74" t="s">
        <v>55</v>
      </c>
      <c r="D12" s="95">
        <v>1</v>
      </c>
      <c r="E12" s="80">
        <v>1</v>
      </c>
      <c r="F12" s="103">
        <f t="shared" si="2"/>
        <v>1</v>
      </c>
      <c r="G12" s="220">
        <v>0</v>
      </c>
      <c r="H12" s="220">
        <f>IF(G12=0,VLOOKUP(C:C,[1]Inputs!$B$20:$H$25,7,FALSE)*F12,VLOOKUP(C:C,[1]Inputs!$B$20:$I$25,8,FALSE)*F12)</f>
        <v>103.26059762014499</v>
      </c>
      <c r="I12" s="220">
        <f>VLOOKUP(C:C,[1]Inputs!$C$54:$G$59,5,FALSE)*F12</f>
        <v>0</v>
      </c>
      <c r="J12" s="220"/>
      <c r="K12" s="220"/>
      <c r="L12" s="220"/>
      <c r="M12" s="220">
        <f t="shared" si="3"/>
        <v>103.26059762014499</v>
      </c>
      <c r="N12" s="220">
        <f>[1]Inputs!$M$43*M12</f>
        <v>48.111860352349787</v>
      </c>
      <c r="O12" s="222">
        <f>[1]Inputs!$M$48*M12</f>
        <v>16.560685284298117</v>
      </c>
      <c r="P12" s="222">
        <f>[1]Inputs!$H$13*SUM(M12:O12)</f>
        <v>10.650319945345807</v>
      </c>
      <c r="Q12" s="222">
        <f t="shared" si="4"/>
        <v>178.58346320213872</v>
      </c>
      <c r="R12" s="59"/>
      <c r="S12" s="75" t="s">
        <v>85</v>
      </c>
      <c r="T12" s="74" t="s">
        <v>55</v>
      </c>
      <c r="U12" s="95">
        <v>1</v>
      </c>
      <c r="V12" s="80">
        <v>1</v>
      </c>
      <c r="W12" s="103">
        <f t="shared" si="5"/>
        <v>1</v>
      </c>
      <c r="X12" s="220">
        <v>0</v>
      </c>
      <c r="Y12" s="220">
        <f>IF(X12=0,VLOOKUP(T:T,[1]Inputs!$B$20:$H$25,7,FALSE)*W12,VLOOKUP(T:T,[1]Inputs!$B$20:$I$25,8,FALSE)*W12)</f>
        <v>103.26059762014499</v>
      </c>
      <c r="Z12" s="220">
        <f>VLOOKUP(T:T,[1]Inputs!$C$54:$G$59,5,FALSE)*W12</f>
        <v>0</v>
      </c>
      <c r="AA12" s="220"/>
      <c r="AB12" s="220"/>
      <c r="AC12" s="220"/>
      <c r="AD12" s="220">
        <f t="shared" si="6"/>
        <v>103.26059762014499</v>
      </c>
      <c r="AE12" s="220">
        <f>[1]Inputs!$M$43*AD12</f>
        <v>48.111860352349787</v>
      </c>
      <c r="AF12" s="222">
        <f>[1]Inputs!$M$48*AD12</f>
        <v>16.560685284298117</v>
      </c>
      <c r="AG12" s="222">
        <f>[1]Inputs!$H$13*SUM(AD12:AF12)</f>
        <v>10.650319945345807</v>
      </c>
      <c r="AH12" s="222">
        <f t="shared" si="7"/>
        <v>178.58346320213872</v>
      </c>
    </row>
    <row r="13" spans="1:39" x14ac:dyDescent="0.2">
      <c r="B13" s="75" t="s">
        <v>84</v>
      </c>
      <c r="C13" s="74" t="s">
        <v>82</v>
      </c>
      <c r="D13" s="95">
        <v>1</v>
      </c>
      <c r="E13" s="80">
        <v>2</v>
      </c>
      <c r="F13" s="103">
        <f t="shared" si="2"/>
        <v>2</v>
      </c>
      <c r="G13" s="220">
        <v>0</v>
      </c>
      <c r="H13" s="220">
        <f>IF(G13=0,VLOOKUP(C:C,[1]Inputs!$B$20:$H$25,7,FALSE)*F13,VLOOKUP(C:C,[1]Inputs!$B$20:$I$25,8,FALSE)*F13)</f>
        <v>159.67669293933002</v>
      </c>
      <c r="I13" s="220">
        <f>VLOOKUP(C:C,[1]Inputs!$C$54:$G$59,5,FALSE)*F13</f>
        <v>39.464872576692635</v>
      </c>
      <c r="J13" s="220"/>
      <c r="K13" s="220"/>
      <c r="L13" s="220"/>
      <c r="M13" s="220">
        <f t="shared" si="3"/>
        <v>199.14156551602267</v>
      </c>
      <c r="N13" s="220">
        <f>[1]Inputs!$M$43*M13</f>
        <v>92.785354833023334</v>
      </c>
      <c r="O13" s="222">
        <f>[1]Inputs!$M$48*M13</f>
        <v>31.937843374343384</v>
      </c>
      <c r="P13" s="222">
        <f>[1]Inputs!$H$13*SUM(M13:O13)</f>
        <v>20.539503315337356</v>
      </c>
      <c r="Q13" s="222">
        <f t="shared" si="4"/>
        <v>344.40426703872674</v>
      </c>
      <c r="S13" s="75" t="s">
        <v>84</v>
      </c>
      <c r="T13" s="74" t="s">
        <v>82</v>
      </c>
      <c r="U13" s="95">
        <v>1</v>
      </c>
      <c r="V13" s="80">
        <v>2</v>
      </c>
      <c r="W13" s="103">
        <f t="shared" si="5"/>
        <v>2</v>
      </c>
      <c r="X13" s="220">
        <v>1</v>
      </c>
      <c r="Y13" s="220">
        <f>IF(X13=0,VLOOKUP(T:T,[1]Inputs!$B$20:$H$25,7,FALSE)*W13,VLOOKUP(T:T,[1]Inputs!$B$20:$I$25,8,FALSE)*W13)</f>
        <v>289.88205116634543</v>
      </c>
      <c r="Z13" s="220">
        <f>VLOOKUP(T:T,[1]Inputs!$C$54:$G$59,5,FALSE)*W13</f>
        <v>39.464872576692635</v>
      </c>
      <c r="AA13" s="220"/>
      <c r="AB13" s="220"/>
      <c r="AC13" s="220"/>
      <c r="AD13" s="220">
        <f t="shared" si="6"/>
        <v>329.34692374303808</v>
      </c>
      <c r="AE13" s="220">
        <f>[1]Inputs!$M$43*AD13</f>
        <v>153.45149619306255</v>
      </c>
      <c r="AF13" s="222">
        <f>[1]Inputs!$M$48*AD13</f>
        <v>52.819864296389937</v>
      </c>
      <c r="AG13" s="222">
        <f>[1]Inputs!$H$13*SUM(AD13:AF13)</f>
        <v>33.968911586024561</v>
      </c>
      <c r="AH13" s="222">
        <f t="shared" si="7"/>
        <v>569.58719581851517</v>
      </c>
    </row>
    <row r="14" spans="1:39" x14ac:dyDescent="0.2">
      <c r="B14" s="75" t="s">
        <v>86</v>
      </c>
      <c r="C14" s="74" t="s">
        <v>82</v>
      </c>
      <c r="D14" s="95">
        <v>1</v>
      </c>
      <c r="E14" s="80">
        <v>1</v>
      </c>
      <c r="F14" s="103">
        <f t="shared" si="2"/>
        <v>1</v>
      </c>
      <c r="G14" s="220">
        <v>0</v>
      </c>
      <c r="H14" s="220">
        <f>IF(G14=0,VLOOKUP(C:C,[1]Inputs!$B$20:$H$25,7,FALSE)*F14,VLOOKUP(C:C,[1]Inputs!$B$20:$I$25,8,FALSE)*F14)</f>
        <v>79.838346469665012</v>
      </c>
      <c r="I14" s="220">
        <f>VLOOKUP(C:C,[1]Inputs!$C$54:$G$59,5,FALSE)*F14</f>
        <v>19.732436288346317</v>
      </c>
      <c r="J14" s="220"/>
      <c r="K14" s="220"/>
      <c r="L14" s="220"/>
      <c r="M14" s="220">
        <f t="shared" si="3"/>
        <v>99.570782758011333</v>
      </c>
      <c r="N14" s="220">
        <f>[1]Inputs!$M$43*M14</f>
        <v>46.392677416511667</v>
      </c>
      <c r="O14" s="222">
        <f>[1]Inputs!$M$48*M14</f>
        <v>15.968921687171692</v>
      </c>
      <c r="P14" s="222">
        <f>[1]Inputs!$H$13*SUM(M14:O14)</f>
        <v>10.269751657668678</v>
      </c>
      <c r="Q14" s="222">
        <f t="shared" si="4"/>
        <v>172.20213351936337</v>
      </c>
      <c r="S14" s="75" t="s">
        <v>86</v>
      </c>
      <c r="T14" s="74" t="s">
        <v>82</v>
      </c>
      <c r="U14" s="95">
        <v>1</v>
      </c>
      <c r="V14" s="80">
        <v>1</v>
      </c>
      <c r="W14" s="103">
        <f t="shared" si="5"/>
        <v>1</v>
      </c>
      <c r="X14" s="220">
        <v>1</v>
      </c>
      <c r="Y14" s="220">
        <f>IF(X14=0,VLOOKUP(T:T,[1]Inputs!$B$20:$H$25,7,FALSE)*W14,VLOOKUP(T:T,[1]Inputs!$B$20:$I$25,8,FALSE)*W14)</f>
        <v>144.94102558317272</v>
      </c>
      <c r="Z14" s="220">
        <f>VLOOKUP(T:T,[1]Inputs!$C$54:$G$59,5,FALSE)*W14</f>
        <v>19.732436288346317</v>
      </c>
      <c r="AA14" s="220"/>
      <c r="AB14" s="220"/>
      <c r="AC14" s="220"/>
      <c r="AD14" s="220">
        <f t="shared" si="6"/>
        <v>164.67346187151904</v>
      </c>
      <c r="AE14" s="220">
        <f>[1]Inputs!$M$43*AD14</f>
        <v>76.725748096531277</v>
      </c>
      <c r="AF14" s="222">
        <f>[1]Inputs!$M$48*AD14</f>
        <v>26.409932148194969</v>
      </c>
      <c r="AG14" s="222">
        <f>[1]Inputs!$H$13*SUM(AD14:AF14)</f>
        <v>16.98445579301228</v>
      </c>
      <c r="AH14" s="222">
        <f t="shared" si="7"/>
        <v>284.79359790925758</v>
      </c>
    </row>
    <row r="15" spans="1:39" x14ac:dyDescent="0.2">
      <c r="B15" s="75" t="s">
        <v>88</v>
      </c>
      <c r="C15" s="74" t="s">
        <v>82</v>
      </c>
      <c r="D15" s="95">
        <v>1</v>
      </c>
      <c r="E15" s="80">
        <v>1</v>
      </c>
      <c r="F15" s="103">
        <f t="shared" si="2"/>
        <v>1</v>
      </c>
      <c r="G15" s="220">
        <v>0</v>
      </c>
      <c r="H15" s="220">
        <f>IF(G15=0,VLOOKUP(C:C,[1]Inputs!$B$20:$H$25,7,FALSE)*F15,VLOOKUP(C:C,[1]Inputs!$B$20:$I$25,8,FALSE)*F15)</f>
        <v>79.838346469665012</v>
      </c>
      <c r="I15" s="220">
        <f>VLOOKUP(C:C,[1]Inputs!$C$54:$G$59,5,FALSE)*F15</f>
        <v>19.732436288346317</v>
      </c>
      <c r="J15" s="220"/>
      <c r="K15" s="220"/>
      <c r="L15" s="220"/>
      <c r="M15" s="220">
        <f t="shared" si="3"/>
        <v>99.570782758011333</v>
      </c>
      <c r="N15" s="220">
        <f>[1]Inputs!$M$43*M15</f>
        <v>46.392677416511667</v>
      </c>
      <c r="O15" s="222">
        <f>[1]Inputs!$M$48*M15</f>
        <v>15.968921687171692</v>
      </c>
      <c r="P15" s="222">
        <f>[1]Inputs!$H$13*SUM(M15:O15)</f>
        <v>10.269751657668678</v>
      </c>
      <c r="Q15" s="222">
        <f t="shared" si="4"/>
        <v>172.20213351936337</v>
      </c>
      <c r="S15" s="75" t="s">
        <v>88</v>
      </c>
      <c r="T15" s="74" t="s">
        <v>82</v>
      </c>
      <c r="U15" s="95">
        <v>1</v>
      </c>
      <c r="V15" s="80">
        <v>1</v>
      </c>
      <c r="W15" s="103">
        <f t="shared" si="5"/>
        <v>1</v>
      </c>
      <c r="X15" s="220">
        <v>1</v>
      </c>
      <c r="Y15" s="220">
        <f>IF(X15=0,VLOOKUP(T:T,[1]Inputs!$B$20:$H$25,7,FALSE)*W15,VLOOKUP(T:T,[1]Inputs!$B$20:$I$25,8,FALSE)*W15)</f>
        <v>144.94102558317272</v>
      </c>
      <c r="Z15" s="220">
        <f>VLOOKUP(T:T,[1]Inputs!$C$54:$G$59,5,FALSE)*W15</f>
        <v>19.732436288346317</v>
      </c>
      <c r="AA15" s="220"/>
      <c r="AB15" s="220"/>
      <c r="AC15" s="220"/>
      <c r="AD15" s="220">
        <f t="shared" si="6"/>
        <v>164.67346187151904</v>
      </c>
      <c r="AE15" s="220">
        <f>[1]Inputs!$M$43*AD15</f>
        <v>76.725748096531277</v>
      </c>
      <c r="AF15" s="222">
        <f>[1]Inputs!$M$48*AD15</f>
        <v>26.409932148194969</v>
      </c>
      <c r="AG15" s="222">
        <f>[1]Inputs!$H$13*SUM(AD15:AF15)</f>
        <v>16.98445579301228</v>
      </c>
      <c r="AH15" s="222">
        <f t="shared" si="7"/>
        <v>284.79359790925758</v>
      </c>
    </row>
    <row r="16" spans="1:39" x14ac:dyDescent="0.2">
      <c r="B16" s="75" t="s">
        <v>87</v>
      </c>
      <c r="C16" s="74" t="s">
        <v>82</v>
      </c>
      <c r="D16" s="95">
        <v>1</v>
      </c>
      <c r="E16" s="80">
        <v>1</v>
      </c>
      <c r="F16" s="103">
        <f t="shared" si="2"/>
        <v>1</v>
      </c>
      <c r="G16" s="220">
        <v>0</v>
      </c>
      <c r="H16" s="220">
        <f>IF(G16=0,VLOOKUP(C:C,[1]Inputs!$B$20:$H$25,7,FALSE)*F16,VLOOKUP(C:C,[1]Inputs!$B$20:$I$25,8,FALSE)*F16)</f>
        <v>79.838346469665012</v>
      </c>
      <c r="I16" s="220">
        <f>VLOOKUP(C:C,[1]Inputs!$C$54:$G$59,5,FALSE)*F16</f>
        <v>19.732436288346317</v>
      </c>
      <c r="J16" s="220"/>
      <c r="K16" s="220"/>
      <c r="L16" s="220"/>
      <c r="M16" s="220">
        <f t="shared" si="3"/>
        <v>99.570782758011333</v>
      </c>
      <c r="N16" s="220">
        <f>[1]Inputs!$M$43*M16</f>
        <v>46.392677416511667</v>
      </c>
      <c r="O16" s="222">
        <f>[1]Inputs!$M$48*M16</f>
        <v>15.968921687171692</v>
      </c>
      <c r="P16" s="222">
        <f>[1]Inputs!$H$13*SUM(M16:O16)</f>
        <v>10.269751657668678</v>
      </c>
      <c r="Q16" s="222">
        <f t="shared" si="4"/>
        <v>172.20213351936337</v>
      </c>
      <c r="S16" s="75" t="s">
        <v>87</v>
      </c>
      <c r="T16" s="74" t="s">
        <v>82</v>
      </c>
      <c r="U16" s="95">
        <v>1</v>
      </c>
      <c r="V16" s="80">
        <v>1</v>
      </c>
      <c r="W16" s="103">
        <f t="shared" si="5"/>
        <v>1</v>
      </c>
      <c r="X16" s="220">
        <v>1</v>
      </c>
      <c r="Y16" s="220">
        <f>IF(X16=0,VLOOKUP(T:T,[1]Inputs!$B$20:$H$25,7,FALSE)*W16,VLOOKUP(T:T,[1]Inputs!$B$20:$I$25,8,FALSE)*W16)</f>
        <v>144.94102558317272</v>
      </c>
      <c r="Z16" s="220">
        <f>VLOOKUP(T:T,[1]Inputs!$C$54:$G$59,5,FALSE)*W16</f>
        <v>19.732436288346317</v>
      </c>
      <c r="AA16" s="220"/>
      <c r="AB16" s="220"/>
      <c r="AC16" s="220"/>
      <c r="AD16" s="220">
        <f t="shared" si="6"/>
        <v>164.67346187151904</v>
      </c>
      <c r="AE16" s="220">
        <f>[1]Inputs!$M$43*AD16</f>
        <v>76.725748096531277</v>
      </c>
      <c r="AF16" s="222">
        <f>[1]Inputs!$M$48*AD16</f>
        <v>26.409932148194969</v>
      </c>
      <c r="AG16" s="222">
        <f>[1]Inputs!$H$13*SUM(AD16:AF16)</f>
        <v>16.98445579301228</v>
      </c>
      <c r="AH16" s="222">
        <f t="shared" si="7"/>
        <v>284.79359790925758</v>
      </c>
    </row>
    <row r="17" spans="2:34" ht="30.75" customHeight="1" x14ac:dyDescent="0.2">
      <c r="B17" s="75" t="s">
        <v>181</v>
      </c>
      <c r="C17" s="74"/>
      <c r="D17" s="95"/>
      <c r="E17" s="80"/>
      <c r="F17" s="102"/>
      <c r="G17" s="102"/>
      <c r="H17" s="102"/>
      <c r="I17" s="102"/>
      <c r="J17" s="102"/>
      <c r="K17" s="102"/>
      <c r="L17" s="102"/>
      <c r="M17" s="102"/>
      <c r="N17" s="261">
        <f>[1]Inputs!$M$43</f>
        <v>0.46592661151676018</v>
      </c>
      <c r="O17" s="262"/>
      <c r="P17" s="261">
        <f>[1]Inputs!$H$13</f>
        <v>6.3420000000000004E-2</v>
      </c>
      <c r="Q17" s="263" t="str">
        <f>_xlfn.CONCAT("[Invoice + ",TEXT([1]Inputs!$M$43,"0.00%")," Overheads] + ",TEXT(P17,"0.00%")," Margin")</f>
        <v>[Invoice + 46.59% Overheads] + 6.34% Margin</v>
      </c>
      <c r="S17" s="75" t="s">
        <v>181</v>
      </c>
      <c r="T17" s="74"/>
      <c r="U17" s="95"/>
      <c r="V17" s="80"/>
      <c r="W17" s="102"/>
      <c r="X17" s="102"/>
      <c r="Y17" s="102"/>
      <c r="Z17" s="102"/>
      <c r="AA17" s="102"/>
      <c r="AB17" s="102"/>
      <c r="AC17" s="102"/>
      <c r="AD17" s="102"/>
      <c r="AE17" s="261">
        <f>[1]Inputs!$M$43</f>
        <v>0.46592661151676018</v>
      </c>
      <c r="AF17" s="262"/>
      <c r="AG17" s="261">
        <f>[1]Inputs!$H$13</f>
        <v>6.3420000000000004E-2</v>
      </c>
      <c r="AH17" s="263" t="str">
        <f>_xlfn.CONCAT("[Invoice + ",TEXT([1]Inputs!$M$43,"0.00%")," Overheads] + ",TEXT(AG17,"0.00%")," Margin")</f>
        <v>[Invoice + 46.59% Overheads] + 6.34% Margin</v>
      </c>
    </row>
    <row r="18" spans="2:34" x14ac:dyDescent="0.2">
      <c r="B18" s="75"/>
      <c r="C18" s="74"/>
      <c r="D18" s="95"/>
      <c r="E18" s="80"/>
      <c r="F18" s="102"/>
      <c r="G18" s="102"/>
      <c r="H18" s="102"/>
      <c r="I18" s="102"/>
      <c r="J18" s="102"/>
      <c r="K18" s="102"/>
      <c r="L18" s="102"/>
      <c r="M18" s="102"/>
      <c r="N18" s="102"/>
      <c r="O18" s="42"/>
      <c r="P18" s="43"/>
      <c r="Q18" s="108"/>
      <c r="S18" s="75"/>
      <c r="T18" s="74"/>
      <c r="U18" s="95"/>
      <c r="V18" s="80"/>
      <c r="W18" s="102"/>
      <c r="X18" s="102"/>
      <c r="Y18" s="102"/>
      <c r="Z18" s="102"/>
      <c r="AA18" s="102"/>
      <c r="AB18" s="102"/>
      <c r="AC18" s="102"/>
      <c r="AD18" s="102"/>
      <c r="AE18" s="102"/>
      <c r="AF18" s="42"/>
      <c r="AG18" s="43"/>
      <c r="AH18" s="108"/>
    </row>
    <row r="19" spans="2:34" x14ac:dyDescent="0.2">
      <c r="B19" s="75"/>
      <c r="C19" s="74"/>
      <c r="D19" s="93"/>
      <c r="E19" s="80"/>
      <c r="F19" s="102"/>
      <c r="G19" s="102"/>
      <c r="H19" s="102"/>
      <c r="I19" s="102"/>
      <c r="J19" s="102"/>
      <c r="K19" s="102"/>
      <c r="L19" s="102"/>
      <c r="M19" s="102"/>
      <c r="N19" s="102"/>
      <c r="O19" s="42"/>
      <c r="P19" s="43"/>
      <c r="Q19" s="108"/>
      <c r="S19" s="75"/>
      <c r="T19" s="74"/>
      <c r="U19" s="93"/>
      <c r="V19" s="80"/>
      <c r="W19" s="102"/>
      <c r="X19" s="102"/>
      <c r="Y19" s="102"/>
      <c r="Z19" s="102"/>
      <c r="AA19" s="102"/>
      <c r="AB19" s="102"/>
      <c r="AC19" s="102"/>
      <c r="AD19" s="102"/>
      <c r="AE19" s="102"/>
      <c r="AF19" s="42"/>
      <c r="AG19" s="43"/>
      <c r="AH19" s="108"/>
    </row>
    <row r="20" spans="2:34" x14ac:dyDescent="0.2">
      <c r="B20" s="298" t="s">
        <v>1</v>
      </c>
      <c r="C20" s="299"/>
      <c r="D20" s="299"/>
      <c r="E20" s="300"/>
      <c r="F20" s="104">
        <f>SUM(F7:F19)</f>
        <v>13.5</v>
      </c>
      <c r="G20" s="104">
        <f t="shared" ref="G20:Q20" si="8">SUM(G7:G19)</f>
        <v>0</v>
      </c>
      <c r="H20" s="104">
        <f t="shared" si="8"/>
        <v>1136.3733052166776</v>
      </c>
      <c r="I20" s="104">
        <f t="shared" si="8"/>
        <v>217.0567991718095</v>
      </c>
      <c r="J20" s="104">
        <f t="shared" si="8"/>
        <v>0</v>
      </c>
      <c r="K20" s="104">
        <f t="shared" si="8"/>
        <v>0</v>
      </c>
      <c r="L20" s="104">
        <f t="shared" si="8"/>
        <v>0</v>
      </c>
      <c r="M20" s="104">
        <f t="shared" si="8"/>
        <v>1353.4301043884871</v>
      </c>
      <c r="N20" s="104">
        <f t="shared" si="8"/>
        <v>631.06502907401966</v>
      </c>
      <c r="O20" s="104">
        <f t="shared" si="8"/>
        <v>217.05985176963392</v>
      </c>
      <c r="P20" s="104">
        <f t="shared" si="8"/>
        <v>139.65648809772</v>
      </c>
      <c r="Q20" s="104">
        <f t="shared" si="8"/>
        <v>2340.6821267183441</v>
      </c>
      <c r="R20" s="57"/>
      <c r="S20" s="298" t="s">
        <v>1</v>
      </c>
      <c r="T20" s="299"/>
      <c r="U20" s="299"/>
      <c r="V20" s="300"/>
      <c r="W20" s="104">
        <f>SUM(W7:W19)</f>
        <v>13.5</v>
      </c>
      <c r="X20" s="104">
        <f t="shared" ref="X20:AH20" si="9">SUM(X7:X19)</f>
        <v>5</v>
      </c>
      <c r="Y20" s="104">
        <f t="shared" si="9"/>
        <v>1592.0920590112312</v>
      </c>
      <c r="Z20" s="104">
        <f t="shared" si="9"/>
        <v>217.0567991718095</v>
      </c>
      <c r="AA20" s="104">
        <f t="shared" si="9"/>
        <v>0</v>
      </c>
      <c r="AB20" s="104">
        <f t="shared" si="9"/>
        <v>0</v>
      </c>
      <c r="AC20" s="104">
        <f t="shared" si="9"/>
        <v>0</v>
      </c>
      <c r="AD20" s="104">
        <f t="shared" si="9"/>
        <v>1809.1488581830411</v>
      </c>
      <c r="AE20" s="104">
        <f t="shared" si="9"/>
        <v>843.39652383415705</v>
      </c>
      <c r="AF20" s="104">
        <f t="shared" si="9"/>
        <v>290.14692499679683</v>
      </c>
      <c r="AG20" s="104">
        <f t="shared" si="9"/>
        <v>186.65941704512517</v>
      </c>
      <c r="AH20" s="104">
        <f t="shared" si="9"/>
        <v>3128.8223774476037</v>
      </c>
    </row>
    <row r="21" spans="2:34" x14ac:dyDescent="0.2">
      <c r="B21" s="44"/>
      <c r="C21" s="86"/>
      <c r="D21" s="100"/>
      <c r="E21" s="83"/>
      <c r="F21" s="96"/>
      <c r="G21" s="96"/>
      <c r="H21" s="96"/>
      <c r="I21" s="96"/>
      <c r="J21" s="96"/>
      <c r="K21" s="96"/>
      <c r="L21" s="96"/>
      <c r="M21" s="96"/>
      <c r="N21" s="96"/>
      <c r="O21" s="45"/>
      <c r="P21" s="46"/>
      <c r="Q21" s="46"/>
      <c r="S21" s="44"/>
      <c r="T21" s="86"/>
      <c r="U21" s="100"/>
      <c r="V21" s="83"/>
      <c r="W21" s="96"/>
      <c r="X21" s="96"/>
      <c r="Y21" s="96"/>
      <c r="Z21" s="96"/>
      <c r="AA21" s="96"/>
      <c r="AB21" s="96"/>
      <c r="AC21" s="96"/>
      <c r="AD21" s="96"/>
      <c r="AE21" s="96"/>
      <c r="AF21" s="45"/>
      <c r="AG21" s="46"/>
      <c r="AH21" s="46"/>
    </row>
    <row r="22" spans="2:34" x14ac:dyDescent="0.2">
      <c r="B22" s="44"/>
      <c r="C22" s="86"/>
      <c r="D22" s="100"/>
      <c r="E22" s="83"/>
      <c r="F22" s="96"/>
      <c r="G22" s="96"/>
      <c r="H22" s="96"/>
      <c r="I22" s="96"/>
      <c r="J22" s="96"/>
      <c r="K22" s="96"/>
      <c r="L22" s="96"/>
      <c r="M22" s="96"/>
      <c r="N22" s="96"/>
      <c r="O22" s="45"/>
      <c r="P22" s="46"/>
      <c r="Q22" s="46"/>
      <c r="S22" s="44"/>
      <c r="T22" s="86"/>
      <c r="U22" s="100"/>
      <c r="V22" s="83"/>
      <c r="W22" s="96"/>
      <c r="X22" s="96"/>
      <c r="Y22" s="96"/>
      <c r="Z22" s="96"/>
      <c r="AA22" s="96"/>
      <c r="AB22" s="96"/>
      <c r="AC22" s="96"/>
      <c r="AD22" s="96"/>
      <c r="AE22" s="96"/>
      <c r="AF22" s="45"/>
      <c r="AG22" s="46"/>
      <c r="AH22" s="46"/>
    </row>
    <row r="23" spans="2:34" x14ac:dyDescent="0.2">
      <c r="B23" s="44"/>
      <c r="C23" s="86"/>
      <c r="D23" s="100"/>
      <c r="E23" s="83"/>
      <c r="F23" s="96"/>
      <c r="G23" s="96"/>
      <c r="H23" s="96"/>
      <c r="I23" s="96"/>
      <c r="J23" s="96"/>
      <c r="K23" s="96"/>
      <c r="L23" s="96"/>
      <c r="M23" s="96"/>
      <c r="N23" s="96"/>
      <c r="O23" s="45"/>
      <c r="P23" s="46"/>
      <c r="Q23" s="46"/>
      <c r="S23" s="44"/>
      <c r="T23" s="86"/>
      <c r="U23" s="100"/>
      <c r="V23" s="83"/>
      <c r="W23" s="96"/>
      <c r="X23" s="96"/>
      <c r="Y23" s="96"/>
      <c r="Z23" s="96"/>
      <c r="AA23" s="96"/>
      <c r="AB23" s="96"/>
      <c r="AC23" s="96"/>
      <c r="AD23" s="96"/>
      <c r="AE23" s="96"/>
      <c r="AF23" s="45"/>
      <c r="AG23" s="46"/>
      <c r="AH23" s="46"/>
    </row>
    <row r="24" spans="2:34" ht="63.75" x14ac:dyDescent="0.2">
      <c r="B24" s="37" t="s">
        <v>19</v>
      </c>
      <c r="C24" s="37" t="s">
        <v>32</v>
      </c>
      <c r="D24" s="207" t="s">
        <v>65</v>
      </c>
      <c r="E24" s="208" t="s">
        <v>34</v>
      </c>
      <c r="F24" s="207" t="s">
        <v>33</v>
      </c>
      <c r="G24" s="207" t="s">
        <v>145</v>
      </c>
      <c r="H24" s="207" t="s">
        <v>146</v>
      </c>
      <c r="I24" s="207" t="s">
        <v>147</v>
      </c>
      <c r="J24" s="207" t="s">
        <v>148</v>
      </c>
      <c r="K24" s="207" t="s">
        <v>149</v>
      </c>
      <c r="L24" s="207" t="s">
        <v>150</v>
      </c>
      <c r="M24" s="207" t="s">
        <v>151</v>
      </c>
      <c r="N24" s="207" t="s">
        <v>152</v>
      </c>
      <c r="O24" s="209" t="s">
        <v>153</v>
      </c>
      <c r="P24" s="210" t="s">
        <v>154</v>
      </c>
      <c r="Q24" s="210" t="s">
        <v>155</v>
      </c>
      <c r="S24" s="37" t="s">
        <v>19</v>
      </c>
      <c r="T24" s="37" t="s">
        <v>32</v>
      </c>
      <c r="U24" s="207" t="s">
        <v>65</v>
      </c>
      <c r="V24" s="208" t="s">
        <v>34</v>
      </c>
      <c r="W24" s="207" t="s">
        <v>33</v>
      </c>
      <c r="X24" s="207" t="s">
        <v>145</v>
      </c>
      <c r="Y24" s="207" t="s">
        <v>146</v>
      </c>
      <c r="Z24" s="207" t="s">
        <v>147</v>
      </c>
      <c r="AA24" s="207" t="s">
        <v>148</v>
      </c>
      <c r="AB24" s="207" t="s">
        <v>149</v>
      </c>
      <c r="AC24" s="207" t="s">
        <v>150</v>
      </c>
      <c r="AD24" s="207" t="s">
        <v>151</v>
      </c>
      <c r="AE24" s="207" t="s">
        <v>152</v>
      </c>
      <c r="AF24" s="209" t="s">
        <v>153</v>
      </c>
      <c r="AG24" s="210" t="s">
        <v>154</v>
      </c>
      <c r="AH24" s="210" t="s">
        <v>155</v>
      </c>
    </row>
    <row r="25" spans="2:34" x14ac:dyDescent="0.2">
      <c r="B25" s="216" t="s">
        <v>109</v>
      </c>
      <c r="C25" s="217"/>
      <c r="D25" s="217"/>
      <c r="E25" s="217"/>
      <c r="F25" s="217"/>
      <c r="G25" s="217"/>
      <c r="H25" s="217"/>
      <c r="I25" s="217"/>
      <c r="J25" s="217"/>
      <c r="K25" s="217"/>
      <c r="L25" s="217"/>
      <c r="M25" s="217"/>
      <c r="N25" s="217"/>
      <c r="O25" s="217"/>
      <c r="P25" s="217"/>
      <c r="Q25" s="221"/>
      <c r="S25" s="216" t="s">
        <v>110</v>
      </c>
      <c r="T25" s="217"/>
      <c r="U25" s="217"/>
      <c r="V25" s="217"/>
      <c r="W25" s="217"/>
      <c r="X25" s="217"/>
      <c r="Y25" s="217"/>
      <c r="Z25" s="217"/>
      <c r="AA25" s="217"/>
      <c r="AB25" s="217"/>
      <c r="AC25" s="217"/>
      <c r="AD25" s="217"/>
      <c r="AE25" s="217"/>
      <c r="AF25" s="217"/>
      <c r="AG25" s="217"/>
      <c r="AH25" s="218"/>
    </row>
    <row r="26" spans="2:34" x14ac:dyDescent="0.2">
      <c r="B26" s="211" t="s">
        <v>77</v>
      </c>
      <c r="C26" s="212" t="s">
        <v>82</v>
      </c>
      <c r="D26" s="213">
        <v>3</v>
      </c>
      <c r="E26" s="214">
        <v>1</v>
      </c>
      <c r="F26" s="215">
        <f>E26*D26</f>
        <v>3</v>
      </c>
      <c r="G26" s="220">
        <v>0</v>
      </c>
      <c r="H26" s="220">
        <f>IF(G26=0,VLOOKUP(C:C,[1]Inputs!$B$20:$H$25,7,FALSE)*F26,VLOOKUP(C:C,[1]Inputs!$B$20:$I$25,8,FALSE)*F26)</f>
        <v>239.51503940899505</v>
      </c>
      <c r="I26" s="220">
        <f>VLOOKUP(C:C,[1]Inputs!$C$54:$G$59,5,FALSE)*F26</f>
        <v>59.197308865038949</v>
      </c>
      <c r="J26" s="220"/>
      <c r="K26" s="220"/>
      <c r="L26" s="220"/>
      <c r="M26" s="220">
        <f>SUM(H26:J26)</f>
        <v>298.71234827403401</v>
      </c>
      <c r="N26" s="220">
        <f>[1]Inputs!$M$43*M26</f>
        <v>139.17803224953502</v>
      </c>
      <c r="O26" s="222">
        <f>[1]Inputs!$M$48*M26</f>
        <v>47.906765061515074</v>
      </c>
      <c r="P26" s="222">
        <f>[1]Inputs!$H$13*SUM(M26:O26)</f>
        <v>30.809254973006034</v>
      </c>
      <c r="Q26" s="222">
        <f t="shared" ref="Q26" si="10">SUM(M26:P26)</f>
        <v>516.60640055809017</v>
      </c>
      <c r="S26" s="211" t="s">
        <v>77</v>
      </c>
      <c r="T26" s="212" t="s">
        <v>82</v>
      </c>
      <c r="U26" s="213">
        <v>3</v>
      </c>
      <c r="V26" s="214">
        <v>1</v>
      </c>
      <c r="W26" s="215">
        <f>V26*U26</f>
        <v>3</v>
      </c>
      <c r="X26" s="220">
        <v>0</v>
      </c>
      <c r="Y26" s="220">
        <f>IF(X26=0,VLOOKUP(T:T,[1]Inputs!$B$20:$H$25,7,FALSE)*W26,VLOOKUP(T:T,[1]Inputs!$B$20:$I$25,8,FALSE)*W26)</f>
        <v>239.51503940899505</v>
      </c>
      <c r="Z26" s="220">
        <f>VLOOKUP(T:T,[1]Inputs!$C$54:$G$59,5,FALSE)*W26</f>
        <v>59.197308865038949</v>
      </c>
      <c r="AA26" s="220"/>
      <c r="AB26" s="220"/>
      <c r="AC26" s="220"/>
      <c r="AD26" s="220">
        <f>SUM(Y26:AA26)</f>
        <v>298.71234827403401</v>
      </c>
      <c r="AE26" s="220">
        <f>[1]Inputs!$M$43*AD26</f>
        <v>139.17803224953502</v>
      </c>
      <c r="AF26" s="222">
        <f>[1]Inputs!$M$48*AD26</f>
        <v>47.906765061515074</v>
      </c>
      <c r="AG26" s="222">
        <f>[1]Inputs!$H$13*SUM(AD26:AF26)</f>
        <v>30.809254973006034</v>
      </c>
      <c r="AH26" s="222">
        <f t="shared" ref="AH26" si="11">SUM(AD26:AG26)</f>
        <v>516.60640055809017</v>
      </c>
    </row>
    <row r="27" spans="2:34" ht="13.5" customHeight="1" x14ac:dyDescent="0.2">
      <c r="B27" s="76" t="s">
        <v>79</v>
      </c>
      <c r="C27" s="74" t="s">
        <v>55</v>
      </c>
      <c r="D27" s="92">
        <v>0.5</v>
      </c>
      <c r="E27" s="81">
        <v>1</v>
      </c>
      <c r="F27" s="102">
        <f t="shared" ref="F27:F32" si="12">E27*D27</f>
        <v>0.5</v>
      </c>
      <c r="G27" s="220">
        <v>0</v>
      </c>
      <c r="H27" s="220">
        <f>IF(G27=0,VLOOKUP(C:C,[1]Inputs!$B$20:$H$25,7,FALSE)*F27,VLOOKUP(C:C,[1]Inputs!$B$20:$I$25,8,FALSE)*F27)</f>
        <v>51.630298810072496</v>
      </c>
      <c r="I27" s="220">
        <f>VLOOKUP(C:C,[1]Inputs!$C$54:$G$59,5,FALSE)*F27</f>
        <v>0</v>
      </c>
      <c r="J27" s="220"/>
      <c r="K27" s="220"/>
      <c r="L27" s="220"/>
      <c r="M27" s="220">
        <f t="shared" ref="M27:M32" si="13">SUM(H27:J27)</f>
        <v>51.630298810072496</v>
      </c>
      <c r="N27" s="220">
        <f>[1]Inputs!$M$43*M27</f>
        <v>24.055930176174893</v>
      </c>
      <c r="O27" s="222">
        <f>[1]Inputs!$M$48*M27</f>
        <v>8.2803426421490585</v>
      </c>
      <c r="P27" s="222">
        <f>[1]Inputs!$H$13*SUM(M27:O27)</f>
        <v>5.3251599726729033</v>
      </c>
      <c r="Q27" s="222">
        <f t="shared" ref="Q27:Q32" si="14">SUM(M27:P27)</f>
        <v>89.291731601069358</v>
      </c>
      <c r="R27" s="57"/>
      <c r="S27" s="76" t="s">
        <v>79</v>
      </c>
      <c r="T27" s="74" t="s">
        <v>55</v>
      </c>
      <c r="U27" s="92">
        <v>0.5</v>
      </c>
      <c r="V27" s="81">
        <v>1</v>
      </c>
      <c r="W27" s="102">
        <f t="shared" ref="W27:W32" si="15">V27*U27</f>
        <v>0.5</v>
      </c>
      <c r="X27" s="220">
        <v>0</v>
      </c>
      <c r="Y27" s="220">
        <f>IF(X27=0,VLOOKUP(T:T,[1]Inputs!$B$20:$H$25,7,FALSE)*W27,VLOOKUP(T:T,[1]Inputs!$B$20:$I$25,8,FALSE)*W27)</f>
        <v>51.630298810072496</v>
      </c>
      <c r="Z27" s="220">
        <f>VLOOKUP(T:T,[1]Inputs!$C$54:$G$59,5,FALSE)*W27</f>
        <v>0</v>
      </c>
      <c r="AA27" s="220"/>
      <c r="AB27" s="220"/>
      <c r="AC27" s="220"/>
      <c r="AD27" s="220">
        <f t="shared" ref="AD27:AD32" si="16">SUM(Y27:AA27)</f>
        <v>51.630298810072496</v>
      </c>
      <c r="AE27" s="220">
        <f>[1]Inputs!$M$43*AD27</f>
        <v>24.055930176174893</v>
      </c>
      <c r="AF27" s="222">
        <f>[1]Inputs!$M$48*AD27</f>
        <v>8.2803426421490585</v>
      </c>
      <c r="AG27" s="222">
        <f>[1]Inputs!$H$13*SUM(AD27:AF27)</f>
        <v>5.3251599726729033</v>
      </c>
      <c r="AH27" s="222">
        <f t="shared" ref="AH27:AH32" si="17">SUM(AD27:AG27)</f>
        <v>89.291731601069358</v>
      </c>
    </row>
    <row r="28" spans="2:34" x14ac:dyDescent="0.2">
      <c r="B28" s="75" t="s">
        <v>80</v>
      </c>
      <c r="C28" s="74" t="s">
        <v>55</v>
      </c>
      <c r="D28" s="93">
        <v>1</v>
      </c>
      <c r="E28" s="80">
        <v>1</v>
      </c>
      <c r="F28" s="102">
        <f t="shared" si="12"/>
        <v>1</v>
      </c>
      <c r="G28" s="220">
        <v>0</v>
      </c>
      <c r="H28" s="220">
        <f>IF(G28=0,VLOOKUP(C:C,[1]Inputs!$B$20:$H$25,7,FALSE)*F28,VLOOKUP(C:C,[1]Inputs!$B$20:$I$25,8,FALSE)*F28)</f>
        <v>103.26059762014499</v>
      </c>
      <c r="I28" s="220">
        <f>VLOOKUP(C:C,[1]Inputs!$C$54:$G$59,5,FALSE)*F28</f>
        <v>0</v>
      </c>
      <c r="J28" s="220"/>
      <c r="K28" s="220"/>
      <c r="L28" s="220"/>
      <c r="M28" s="220">
        <f t="shared" si="13"/>
        <v>103.26059762014499</v>
      </c>
      <c r="N28" s="220">
        <f>[1]Inputs!$M$43*M28</f>
        <v>48.111860352349787</v>
      </c>
      <c r="O28" s="222">
        <f>[1]Inputs!$M$48*M28</f>
        <v>16.560685284298117</v>
      </c>
      <c r="P28" s="222">
        <f>[1]Inputs!$H$13*SUM(M28:O28)</f>
        <v>10.650319945345807</v>
      </c>
      <c r="Q28" s="222">
        <f t="shared" si="14"/>
        <v>178.58346320213872</v>
      </c>
      <c r="S28" s="75" t="s">
        <v>80</v>
      </c>
      <c r="T28" s="74" t="s">
        <v>55</v>
      </c>
      <c r="U28" s="93">
        <v>1</v>
      </c>
      <c r="V28" s="80">
        <v>1</v>
      </c>
      <c r="W28" s="102">
        <f t="shared" si="15"/>
        <v>1</v>
      </c>
      <c r="X28" s="220">
        <v>0</v>
      </c>
      <c r="Y28" s="220">
        <f>IF(X28=0,VLOOKUP(T:T,[1]Inputs!$B$20:$H$25,7,FALSE)*W28,VLOOKUP(T:T,[1]Inputs!$B$20:$I$25,8,FALSE)*W28)</f>
        <v>103.26059762014499</v>
      </c>
      <c r="Z28" s="220">
        <f>VLOOKUP(T:T,[1]Inputs!$C$54:$G$59,5,FALSE)*W28</f>
        <v>0</v>
      </c>
      <c r="AA28" s="220"/>
      <c r="AB28" s="220"/>
      <c r="AC28" s="220"/>
      <c r="AD28" s="220">
        <f t="shared" si="16"/>
        <v>103.26059762014499</v>
      </c>
      <c r="AE28" s="220">
        <f>[1]Inputs!$M$43*AD28</f>
        <v>48.111860352349787</v>
      </c>
      <c r="AF28" s="222">
        <f>[1]Inputs!$M$48*AD28</f>
        <v>16.560685284298117</v>
      </c>
      <c r="AG28" s="222">
        <f>[1]Inputs!$H$13*SUM(AD28:AF28)</f>
        <v>10.650319945345807</v>
      </c>
      <c r="AH28" s="222">
        <f t="shared" si="17"/>
        <v>178.58346320213872</v>
      </c>
    </row>
    <row r="29" spans="2:34" x14ac:dyDescent="0.2">
      <c r="B29" s="75" t="s">
        <v>81</v>
      </c>
      <c r="C29" s="74" t="s">
        <v>82</v>
      </c>
      <c r="D29" s="94">
        <v>1</v>
      </c>
      <c r="E29" s="82">
        <v>1</v>
      </c>
      <c r="F29" s="102">
        <f t="shared" si="12"/>
        <v>1</v>
      </c>
      <c r="G29" s="220">
        <v>0</v>
      </c>
      <c r="H29" s="220">
        <f>IF(G29=0,VLOOKUP(C:C,[1]Inputs!$B$20:$H$25,7,FALSE)*F29,VLOOKUP(C:C,[1]Inputs!$B$20:$I$25,8,FALSE)*F29)</f>
        <v>79.838346469665012</v>
      </c>
      <c r="I29" s="220">
        <f>VLOOKUP(C:C,[1]Inputs!$C$54:$G$59,5,FALSE)*F29</f>
        <v>19.732436288346317</v>
      </c>
      <c r="J29" s="220"/>
      <c r="K29" s="220"/>
      <c r="L29" s="220"/>
      <c r="M29" s="220">
        <f t="shared" si="13"/>
        <v>99.570782758011333</v>
      </c>
      <c r="N29" s="220">
        <f>[1]Inputs!$M$43*M29</f>
        <v>46.392677416511667</v>
      </c>
      <c r="O29" s="222">
        <f>[1]Inputs!$M$48*M29</f>
        <v>15.968921687171692</v>
      </c>
      <c r="P29" s="222">
        <f>[1]Inputs!$H$13*SUM(M29:O29)</f>
        <v>10.269751657668678</v>
      </c>
      <c r="Q29" s="222">
        <f t="shared" si="14"/>
        <v>172.20213351936337</v>
      </c>
      <c r="S29" s="75" t="s">
        <v>81</v>
      </c>
      <c r="T29" s="74" t="s">
        <v>82</v>
      </c>
      <c r="U29" s="94">
        <v>1</v>
      </c>
      <c r="V29" s="82">
        <v>1</v>
      </c>
      <c r="W29" s="102">
        <f t="shared" si="15"/>
        <v>1</v>
      </c>
      <c r="X29" s="220">
        <v>1</v>
      </c>
      <c r="Y29" s="220">
        <f>IF(X29=0,VLOOKUP(T:T,[1]Inputs!$B$20:$H$25,7,FALSE)*W29,VLOOKUP(T:T,[1]Inputs!$B$20:$I$25,8,FALSE)*W29)</f>
        <v>144.94102558317272</v>
      </c>
      <c r="Z29" s="220">
        <f>VLOOKUP(T:T,[1]Inputs!$C$54:$G$59,5,FALSE)*W29</f>
        <v>19.732436288346317</v>
      </c>
      <c r="AA29" s="220"/>
      <c r="AB29" s="220"/>
      <c r="AC29" s="220"/>
      <c r="AD29" s="220">
        <f t="shared" si="16"/>
        <v>164.67346187151904</v>
      </c>
      <c r="AE29" s="220">
        <f>[1]Inputs!$M$43*AD29</f>
        <v>76.725748096531277</v>
      </c>
      <c r="AF29" s="222">
        <f>[1]Inputs!$M$48*AD29</f>
        <v>26.409932148194969</v>
      </c>
      <c r="AG29" s="222">
        <f>[1]Inputs!$H$13*SUM(AD29:AF29)</f>
        <v>16.98445579301228</v>
      </c>
      <c r="AH29" s="222">
        <f t="shared" si="17"/>
        <v>284.79359790925758</v>
      </c>
    </row>
    <row r="30" spans="2:34" x14ac:dyDescent="0.2">
      <c r="B30" s="75" t="s">
        <v>83</v>
      </c>
      <c r="C30" s="74" t="s">
        <v>82</v>
      </c>
      <c r="D30" s="95">
        <v>1</v>
      </c>
      <c r="E30" s="80">
        <v>4</v>
      </c>
      <c r="F30" s="102">
        <f t="shared" si="12"/>
        <v>4</v>
      </c>
      <c r="G30" s="220">
        <v>0</v>
      </c>
      <c r="H30" s="220">
        <f>IF(G30=0,VLOOKUP(C:C,[1]Inputs!$B$20:$H$25,7,FALSE)*F30,VLOOKUP(C:C,[1]Inputs!$B$20:$I$25,8,FALSE)*F30)</f>
        <v>319.35338587866005</v>
      </c>
      <c r="I30" s="220">
        <f>VLOOKUP(C:C,[1]Inputs!$C$54:$G$59,5,FALSE)*F30</f>
        <v>78.929745153385269</v>
      </c>
      <c r="J30" s="220"/>
      <c r="K30" s="220"/>
      <c r="L30" s="220"/>
      <c r="M30" s="220">
        <f t="shared" si="13"/>
        <v>398.28313103204533</v>
      </c>
      <c r="N30" s="220">
        <f>[1]Inputs!$M$43*M30</f>
        <v>185.57070966604667</v>
      </c>
      <c r="O30" s="222">
        <f>[1]Inputs!$M$48*M30</f>
        <v>63.875686748686768</v>
      </c>
      <c r="P30" s="222">
        <f>[1]Inputs!$H$13*SUM(M30:O30)</f>
        <v>41.079006630674712</v>
      </c>
      <c r="Q30" s="222">
        <f t="shared" si="14"/>
        <v>688.80853407745349</v>
      </c>
      <c r="S30" s="75" t="s">
        <v>83</v>
      </c>
      <c r="T30" s="74" t="s">
        <v>82</v>
      </c>
      <c r="U30" s="95">
        <v>1</v>
      </c>
      <c r="V30" s="80">
        <v>4</v>
      </c>
      <c r="W30" s="102">
        <f t="shared" si="15"/>
        <v>4</v>
      </c>
      <c r="X30" s="220">
        <v>1</v>
      </c>
      <c r="Y30" s="220">
        <f>IF(X30=0,VLOOKUP(T:T,[1]Inputs!$B$20:$H$25,7,FALSE)*W30,VLOOKUP(T:T,[1]Inputs!$B$20:$I$25,8,FALSE)*W30)</f>
        <v>579.76410233269087</v>
      </c>
      <c r="Z30" s="220">
        <f>VLOOKUP(T:T,[1]Inputs!$C$54:$G$59,5,FALSE)*W30</f>
        <v>78.929745153385269</v>
      </c>
      <c r="AA30" s="220"/>
      <c r="AB30" s="220"/>
      <c r="AC30" s="220"/>
      <c r="AD30" s="220">
        <f t="shared" si="16"/>
        <v>658.69384748607615</v>
      </c>
      <c r="AE30" s="220">
        <f>[1]Inputs!$M$43*AD30</f>
        <v>306.90299238612511</v>
      </c>
      <c r="AF30" s="222">
        <f>[1]Inputs!$M$48*AD30</f>
        <v>105.63972859277987</v>
      </c>
      <c r="AG30" s="222">
        <f>[1]Inputs!$H$13*SUM(AD30:AF30)</f>
        <v>67.937823172049121</v>
      </c>
      <c r="AH30" s="222">
        <f t="shared" si="17"/>
        <v>1139.1743916370303</v>
      </c>
    </row>
    <row r="31" spans="2:34" x14ac:dyDescent="0.2">
      <c r="B31" s="75" t="s">
        <v>89</v>
      </c>
      <c r="C31" s="74" t="s">
        <v>55</v>
      </c>
      <c r="D31" s="95">
        <v>0.5</v>
      </c>
      <c r="E31" s="82">
        <v>1</v>
      </c>
      <c r="F31" s="102">
        <f t="shared" si="12"/>
        <v>0.5</v>
      </c>
      <c r="G31" s="220">
        <v>0</v>
      </c>
      <c r="H31" s="220">
        <f>IF(G31=0,VLOOKUP(C:C,[1]Inputs!$B$20:$H$25,7,FALSE)*F31,VLOOKUP(C:C,[1]Inputs!$B$20:$I$25,8,FALSE)*F31)</f>
        <v>51.630298810072496</v>
      </c>
      <c r="I31" s="220">
        <f>VLOOKUP(C:C,[1]Inputs!$C$54:$G$59,5,FALSE)*F31</f>
        <v>0</v>
      </c>
      <c r="J31" s="220"/>
      <c r="K31" s="220"/>
      <c r="L31" s="220"/>
      <c r="M31" s="220">
        <f t="shared" si="13"/>
        <v>51.630298810072496</v>
      </c>
      <c r="N31" s="220">
        <f>[1]Inputs!$M$43*M31</f>
        <v>24.055930176174893</v>
      </c>
      <c r="O31" s="222">
        <f>[1]Inputs!$M$48*M31</f>
        <v>8.2803426421490585</v>
      </c>
      <c r="P31" s="222">
        <f>[1]Inputs!$H$13*SUM(M31:O31)</f>
        <v>5.3251599726729033</v>
      </c>
      <c r="Q31" s="222">
        <f t="shared" si="14"/>
        <v>89.291731601069358</v>
      </c>
      <c r="S31" s="75" t="s">
        <v>89</v>
      </c>
      <c r="T31" s="74" t="s">
        <v>55</v>
      </c>
      <c r="U31" s="95">
        <v>0.5</v>
      </c>
      <c r="V31" s="82">
        <v>1</v>
      </c>
      <c r="W31" s="102">
        <f t="shared" si="15"/>
        <v>0.5</v>
      </c>
      <c r="X31" s="220">
        <v>0</v>
      </c>
      <c r="Y31" s="220">
        <f>IF(X31=0,VLOOKUP(T:T,[1]Inputs!$B$20:$H$25,7,FALSE)*W31,VLOOKUP(T:T,[1]Inputs!$B$20:$I$25,8,FALSE)*W31)</f>
        <v>51.630298810072496</v>
      </c>
      <c r="Z31" s="220">
        <f>VLOOKUP(T:T,[1]Inputs!$C$54:$G$59,5,FALSE)*W31</f>
        <v>0</v>
      </c>
      <c r="AA31" s="220"/>
      <c r="AB31" s="220"/>
      <c r="AC31" s="220"/>
      <c r="AD31" s="220">
        <f t="shared" si="16"/>
        <v>51.630298810072496</v>
      </c>
      <c r="AE31" s="220">
        <f>[1]Inputs!$M$43*AD31</f>
        <v>24.055930176174893</v>
      </c>
      <c r="AF31" s="222">
        <f>[1]Inputs!$M$48*AD31</f>
        <v>8.2803426421490585</v>
      </c>
      <c r="AG31" s="222">
        <f>[1]Inputs!$H$13*SUM(AD31:AF31)</f>
        <v>5.3251599726729033</v>
      </c>
      <c r="AH31" s="222">
        <f t="shared" si="17"/>
        <v>89.291731601069358</v>
      </c>
    </row>
    <row r="32" spans="2:34" x14ac:dyDescent="0.2">
      <c r="B32" s="75" t="s">
        <v>90</v>
      </c>
      <c r="C32" s="74" t="s">
        <v>82</v>
      </c>
      <c r="D32" s="95">
        <v>3.5</v>
      </c>
      <c r="E32" s="80">
        <v>3</v>
      </c>
      <c r="F32" s="102">
        <f t="shared" si="12"/>
        <v>10.5</v>
      </c>
      <c r="G32" s="220">
        <v>0</v>
      </c>
      <c r="H32" s="220">
        <f>IF(G32=0,VLOOKUP(C:C,[1]Inputs!$B$20:$H$25,7,FALSE)*F32,VLOOKUP(C:C,[1]Inputs!$B$20:$I$25,8,FALSE)*F32)</f>
        <v>838.30263793148265</v>
      </c>
      <c r="I32" s="220">
        <f>VLOOKUP(C:C,[1]Inputs!$C$54:$G$59,5,FALSE)*F32</f>
        <v>207.19058102763634</v>
      </c>
      <c r="J32" s="220"/>
      <c r="K32" s="220"/>
      <c r="L32" s="220"/>
      <c r="M32" s="220">
        <f t="shared" si="13"/>
        <v>1045.4932189591191</v>
      </c>
      <c r="N32" s="220">
        <f>[1]Inputs!$M$43*M32</f>
        <v>487.12311287337258</v>
      </c>
      <c r="O32" s="222">
        <f>[1]Inputs!$M$48*M32</f>
        <v>167.67367771530277</v>
      </c>
      <c r="P32" s="222">
        <f>[1]Inputs!$H$13*SUM(M32:O32)</f>
        <v>107.83239240552113</v>
      </c>
      <c r="Q32" s="222">
        <f t="shared" si="14"/>
        <v>1808.1224019533156</v>
      </c>
      <c r="S32" s="75" t="s">
        <v>90</v>
      </c>
      <c r="T32" s="74" t="s">
        <v>82</v>
      </c>
      <c r="U32" s="95">
        <v>3.5</v>
      </c>
      <c r="V32" s="80">
        <v>3</v>
      </c>
      <c r="W32" s="102">
        <f t="shared" si="15"/>
        <v>10.5</v>
      </c>
      <c r="X32" s="220">
        <v>1</v>
      </c>
      <c r="Y32" s="220">
        <f>IF(X32=0,VLOOKUP(T:T,[1]Inputs!$B$20:$H$25,7,FALSE)*W32,VLOOKUP(T:T,[1]Inputs!$B$20:$I$25,8,FALSE)*W32)</f>
        <v>1521.8807686233135</v>
      </c>
      <c r="Z32" s="220">
        <f>VLOOKUP(T:T,[1]Inputs!$C$54:$G$59,5,FALSE)*W32</f>
        <v>207.19058102763634</v>
      </c>
      <c r="AA32" s="220"/>
      <c r="AB32" s="220"/>
      <c r="AC32" s="220"/>
      <c r="AD32" s="220">
        <f t="shared" si="16"/>
        <v>1729.07134965095</v>
      </c>
      <c r="AE32" s="220">
        <f>[1]Inputs!$M$43*AD32</f>
        <v>805.62035501357832</v>
      </c>
      <c r="AF32" s="222">
        <f>[1]Inputs!$M$48*AD32</f>
        <v>277.3042875560472</v>
      </c>
      <c r="AG32" s="222">
        <f>[1]Inputs!$H$13*SUM(AD32:AF32)</f>
        <v>178.33678582662893</v>
      </c>
      <c r="AH32" s="222">
        <f t="shared" si="17"/>
        <v>2990.3327780472046</v>
      </c>
    </row>
    <row r="33" spans="2:34" x14ac:dyDescent="0.2">
      <c r="B33" s="75"/>
      <c r="C33" s="74"/>
      <c r="D33" s="95"/>
      <c r="E33" s="82"/>
      <c r="F33" s="102"/>
      <c r="G33" s="102"/>
      <c r="H33" s="102"/>
      <c r="I33" s="102"/>
      <c r="J33" s="102"/>
      <c r="K33" s="102"/>
      <c r="L33" s="102"/>
      <c r="M33" s="102"/>
      <c r="N33" s="102"/>
      <c r="O33" s="41"/>
      <c r="P33" s="42"/>
      <c r="Q33" s="42"/>
      <c r="S33" s="75"/>
      <c r="T33" s="74"/>
      <c r="U33" s="95"/>
      <c r="V33" s="82"/>
      <c r="W33" s="102"/>
      <c r="X33" s="102"/>
      <c r="Y33" s="102"/>
      <c r="Z33" s="102"/>
      <c r="AA33" s="102"/>
      <c r="AB33" s="102"/>
      <c r="AC33" s="102"/>
      <c r="AD33" s="102"/>
      <c r="AE33" s="102"/>
      <c r="AF33" s="41"/>
      <c r="AG33" s="42"/>
      <c r="AH33" s="42"/>
    </row>
    <row r="34" spans="2:34" x14ac:dyDescent="0.2">
      <c r="B34" s="75"/>
      <c r="C34" s="74"/>
      <c r="D34" s="95"/>
      <c r="E34" s="80"/>
      <c r="F34" s="102"/>
      <c r="G34" s="102"/>
      <c r="H34" s="102"/>
      <c r="I34" s="102"/>
      <c r="J34" s="102"/>
      <c r="K34" s="102"/>
      <c r="L34" s="102"/>
      <c r="M34" s="102"/>
      <c r="N34" s="102"/>
      <c r="O34" s="41"/>
      <c r="P34" s="42"/>
      <c r="Q34" s="42"/>
      <c r="S34" s="75"/>
      <c r="T34" s="74"/>
      <c r="U34" s="95"/>
      <c r="V34" s="80"/>
      <c r="W34" s="102"/>
      <c r="X34" s="102"/>
      <c r="Y34" s="102"/>
      <c r="Z34" s="102"/>
      <c r="AA34" s="102"/>
      <c r="AB34" s="102"/>
      <c r="AC34" s="102"/>
      <c r="AD34" s="102"/>
      <c r="AE34" s="102"/>
      <c r="AF34" s="41"/>
      <c r="AG34" s="42"/>
      <c r="AH34" s="42"/>
    </row>
    <row r="35" spans="2:34" x14ac:dyDescent="0.2">
      <c r="B35" s="298" t="s">
        <v>1</v>
      </c>
      <c r="C35" s="299"/>
      <c r="D35" s="299"/>
      <c r="E35" s="300"/>
      <c r="F35" s="104">
        <f>SUM(F26:F34)</f>
        <v>20.5</v>
      </c>
      <c r="G35" s="104">
        <f t="shared" ref="G35:Q35" si="18">SUM(G26:G34)</f>
        <v>0</v>
      </c>
      <c r="H35" s="104">
        <f t="shared" si="18"/>
        <v>1683.5306049290928</v>
      </c>
      <c r="I35" s="104">
        <f t="shared" si="18"/>
        <v>365.05007133440688</v>
      </c>
      <c r="J35" s="104">
        <f t="shared" si="18"/>
        <v>0</v>
      </c>
      <c r="K35" s="104">
        <f t="shared" si="18"/>
        <v>0</v>
      </c>
      <c r="L35" s="104">
        <f t="shared" si="18"/>
        <v>0</v>
      </c>
      <c r="M35" s="104">
        <f t="shared" si="18"/>
        <v>2048.5806762634998</v>
      </c>
      <c r="N35" s="104">
        <f t="shared" si="18"/>
        <v>954.48825291016556</v>
      </c>
      <c r="O35" s="104">
        <f t="shared" si="18"/>
        <v>328.54642178127256</v>
      </c>
      <c r="P35" s="104">
        <f t="shared" si="18"/>
        <v>211.2910455575622</v>
      </c>
      <c r="Q35" s="104">
        <f t="shared" si="18"/>
        <v>3542.9063965125001</v>
      </c>
      <c r="S35" s="298" t="s">
        <v>1</v>
      </c>
      <c r="T35" s="299"/>
      <c r="U35" s="299"/>
      <c r="V35" s="300"/>
      <c r="W35" s="104">
        <f>SUM(W26:W34)</f>
        <v>20.5</v>
      </c>
      <c r="X35" s="104">
        <f t="shared" ref="X35:AH35" si="19">SUM(X26:X34)</f>
        <v>3</v>
      </c>
      <c r="Y35" s="104">
        <f t="shared" si="19"/>
        <v>2692.6221311884619</v>
      </c>
      <c r="Z35" s="104">
        <f t="shared" si="19"/>
        <v>365.05007133440688</v>
      </c>
      <c r="AA35" s="104">
        <f t="shared" si="19"/>
        <v>0</v>
      </c>
      <c r="AB35" s="104">
        <f t="shared" si="19"/>
        <v>0</v>
      </c>
      <c r="AC35" s="104">
        <f t="shared" si="19"/>
        <v>0</v>
      </c>
      <c r="AD35" s="104">
        <f t="shared" si="19"/>
        <v>3057.6722025228692</v>
      </c>
      <c r="AE35" s="104">
        <f t="shared" si="19"/>
        <v>1424.6508484504693</v>
      </c>
      <c r="AF35" s="104">
        <f t="shared" si="19"/>
        <v>490.38208392713335</v>
      </c>
      <c r="AG35" s="104">
        <f t="shared" si="19"/>
        <v>315.36895965538798</v>
      </c>
      <c r="AH35" s="104">
        <f t="shared" si="19"/>
        <v>5288.0740945558609</v>
      </c>
    </row>
    <row r="36" spans="2:34" x14ac:dyDescent="0.2">
      <c r="O36" s="47"/>
      <c r="T36" s="87"/>
      <c r="U36" s="101"/>
      <c r="V36" s="84"/>
      <c r="W36" s="97"/>
      <c r="AF36" s="47"/>
    </row>
    <row r="37" spans="2:34" x14ac:dyDescent="0.2">
      <c r="O37" s="49"/>
      <c r="T37" s="87"/>
      <c r="U37" s="101"/>
      <c r="V37" s="84"/>
      <c r="W37" s="97"/>
      <c r="AF37" s="49"/>
    </row>
    <row r="38" spans="2:34" ht="63.75" x14ac:dyDescent="0.2">
      <c r="B38" s="37" t="s">
        <v>19</v>
      </c>
      <c r="C38" s="37" t="s">
        <v>32</v>
      </c>
      <c r="D38" s="90" t="s">
        <v>65</v>
      </c>
      <c r="E38" s="79" t="s">
        <v>34</v>
      </c>
      <c r="F38" s="90" t="s">
        <v>33</v>
      </c>
      <c r="G38" s="207" t="s">
        <v>145</v>
      </c>
      <c r="H38" s="207" t="s">
        <v>146</v>
      </c>
      <c r="I38" s="207" t="s">
        <v>147</v>
      </c>
      <c r="J38" s="207" t="s">
        <v>148</v>
      </c>
      <c r="K38" s="207" t="s">
        <v>149</v>
      </c>
      <c r="L38" s="207" t="s">
        <v>150</v>
      </c>
      <c r="M38" s="207" t="s">
        <v>151</v>
      </c>
      <c r="N38" s="207" t="s">
        <v>152</v>
      </c>
      <c r="O38" s="209" t="s">
        <v>153</v>
      </c>
      <c r="P38" s="210" t="s">
        <v>154</v>
      </c>
      <c r="Q38" s="210" t="s">
        <v>155</v>
      </c>
      <c r="S38" s="37" t="s">
        <v>19</v>
      </c>
      <c r="T38" s="37" t="s">
        <v>32</v>
      </c>
      <c r="U38" s="90" t="s">
        <v>65</v>
      </c>
      <c r="V38" s="79" t="s">
        <v>34</v>
      </c>
      <c r="W38" s="90" t="s">
        <v>33</v>
      </c>
      <c r="X38" s="90" t="s">
        <v>145</v>
      </c>
      <c r="Y38" s="90" t="s">
        <v>146</v>
      </c>
      <c r="Z38" s="90" t="s">
        <v>147</v>
      </c>
      <c r="AA38" s="90" t="s">
        <v>148</v>
      </c>
      <c r="AB38" s="90" t="s">
        <v>149</v>
      </c>
      <c r="AC38" s="90" t="s">
        <v>150</v>
      </c>
      <c r="AD38" s="90" t="s">
        <v>151</v>
      </c>
      <c r="AE38" s="90" t="s">
        <v>152</v>
      </c>
      <c r="AF38" s="38" t="s">
        <v>153</v>
      </c>
      <c r="AG38" s="39" t="s">
        <v>154</v>
      </c>
      <c r="AH38" s="39" t="s">
        <v>155</v>
      </c>
    </row>
    <row r="39" spans="2:34" x14ac:dyDescent="0.2">
      <c r="B39" s="295" t="s">
        <v>111</v>
      </c>
      <c r="C39" s="296"/>
      <c r="D39" s="296"/>
      <c r="E39" s="296"/>
      <c r="F39" s="296"/>
      <c r="G39" s="296"/>
      <c r="H39" s="296"/>
      <c r="I39" s="296"/>
      <c r="J39" s="296"/>
      <c r="K39" s="296"/>
      <c r="L39" s="296"/>
      <c r="M39" s="296"/>
      <c r="N39" s="296"/>
      <c r="O39" s="296"/>
      <c r="P39" s="297"/>
      <c r="Q39" s="107"/>
      <c r="S39" s="295" t="s">
        <v>112</v>
      </c>
      <c r="T39" s="296"/>
      <c r="U39" s="296"/>
      <c r="V39" s="296"/>
      <c r="W39" s="296"/>
      <c r="X39" s="296"/>
      <c r="Y39" s="296"/>
      <c r="Z39" s="296"/>
      <c r="AA39" s="296"/>
      <c r="AB39" s="296"/>
      <c r="AC39" s="296"/>
      <c r="AD39" s="296"/>
      <c r="AE39" s="296"/>
      <c r="AF39" s="296"/>
      <c r="AG39" s="296"/>
      <c r="AH39" s="296"/>
    </row>
    <row r="40" spans="2:34" x14ac:dyDescent="0.2">
      <c r="B40" s="75" t="s">
        <v>78</v>
      </c>
      <c r="C40" s="74" t="s">
        <v>82</v>
      </c>
      <c r="D40" s="91">
        <v>3</v>
      </c>
      <c r="E40" s="80">
        <v>1</v>
      </c>
      <c r="F40" s="102">
        <v>2</v>
      </c>
      <c r="G40" s="220">
        <v>0</v>
      </c>
      <c r="H40" s="220">
        <f>IF(G40=0,VLOOKUP(C:C,[1]Inputs!$B$20:$H$25,7,FALSE)*F40,VLOOKUP(C:C,[1]Inputs!$B$20:$I$25,8,FALSE)*F40)</f>
        <v>159.67669293933002</v>
      </c>
      <c r="I40" s="220">
        <f>VLOOKUP(C:C,[1]Inputs!$C$54:$G$59,5,FALSE)*F40</f>
        <v>39.464872576692635</v>
      </c>
      <c r="J40" s="220"/>
      <c r="K40" s="220"/>
      <c r="L40" s="220"/>
      <c r="M40" s="220">
        <f>SUM(H40:J40)</f>
        <v>199.14156551602267</v>
      </c>
      <c r="N40" s="220">
        <f>[1]Inputs!$M$43*M40</f>
        <v>92.785354833023334</v>
      </c>
      <c r="O40" s="222">
        <f>[1]Inputs!$M$48*M40</f>
        <v>31.937843374343384</v>
      </c>
      <c r="P40" s="222">
        <f>[1]Inputs!$H$13*SUM(M40:O40)</f>
        <v>20.539503315337356</v>
      </c>
      <c r="Q40" s="222">
        <f t="shared" ref="Q40" si="20">SUM(M40:P40)</f>
        <v>344.40426703872674</v>
      </c>
      <c r="R40" s="57"/>
      <c r="S40" s="75" t="s">
        <v>78</v>
      </c>
      <c r="T40" s="74" t="s">
        <v>82</v>
      </c>
      <c r="U40" s="91">
        <v>3</v>
      </c>
      <c r="V40" s="80">
        <v>1</v>
      </c>
      <c r="W40" s="102">
        <v>2</v>
      </c>
      <c r="X40" s="102">
        <v>0</v>
      </c>
      <c r="Y40" s="102">
        <f>IF(X40=0,VLOOKUP(T:T,[1]Inputs!$B$20:$H$25,7,FALSE)*W40,VLOOKUP(T:T,[1]Inputs!$B$20:$I$25,8,FALSE)*W40)</f>
        <v>159.67669293933002</v>
      </c>
      <c r="Z40" s="102">
        <f>VLOOKUP(T:T,[1]Inputs!$C$54:$G$59,5,FALSE)*W40</f>
        <v>39.464872576692635</v>
      </c>
      <c r="AA40" s="102"/>
      <c r="AB40" s="102"/>
      <c r="AC40" s="102"/>
      <c r="AD40" s="102">
        <f>SUM(Y40:AA40)</f>
        <v>199.14156551602267</v>
      </c>
      <c r="AE40" s="102">
        <f>[1]Inputs!$M$43*AD40</f>
        <v>92.785354833023334</v>
      </c>
      <c r="AF40" s="93">
        <f>[1]Inputs!$M$48*AD40</f>
        <v>31.937843374343384</v>
      </c>
      <c r="AG40" s="93">
        <f>[1]Inputs!$H$13*SUM(AD40:AF40)</f>
        <v>20.539503315337356</v>
      </c>
      <c r="AH40" s="93">
        <f t="shared" ref="AH40" si="21">SUM(AD40:AG40)</f>
        <v>344.40426703872674</v>
      </c>
    </row>
    <row r="41" spans="2:34" ht="14.25" customHeight="1" x14ac:dyDescent="0.2">
      <c r="B41" s="76" t="s">
        <v>93</v>
      </c>
      <c r="C41" s="74" t="s">
        <v>55</v>
      </c>
      <c r="D41" s="92">
        <v>0.5</v>
      </c>
      <c r="E41" s="81">
        <v>1</v>
      </c>
      <c r="F41" s="102">
        <f t="shared" ref="F41:F46" si="22">E41*D41</f>
        <v>0.5</v>
      </c>
      <c r="G41" s="220">
        <v>0</v>
      </c>
      <c r="H41" s="220">
        <f>IF(G41=0,VLOOKUP(C:C,[1]Inputs!$B$20:$H$25,7,FALSE)*F41,VLOOKUP(C:C,[1]Inputs!$B$20:$I$25,8,FALSE)*F41)</f>
        <v>51.630298810072496</v>
      </c>
      <c r="I41" s="220">
        <f>VLOOKUP(C:C,[1]Inputs!$C$54:$G$59,5,FALSE)*F41</f>
        <v>0</v>
      </c>
      <c r="J41" s="220"/>
      <c r="K41" s="220"/>
      <c r="L41" s="220"/>
      <c r="M41" s="220">
        <f t="shared" ref="M41:M46" si="23">SUM(H41:J41)</f>
        <v>51.630298810072496</v>
      </c>
      <c r="N41" s="220">
        <f>[1]Inputs!$M$43*M41</f>
        <v>24.055930176174893</v>
      </c>
      <c r="O41" s="222">
        <f>[1]Inputs!$M$48*M41</f>
        <v>8.2803426421490585</v>
      </c>
      <c r="P41" s="222">
        <f>[1]Inputs!$H$13*SUM(M41:O41)</f>
        <v>5.3251599726729033</v>
      </c>
      <c r="Q41" s="222">
        <f t="shared" ref="Q41:Q46" si="24">SUM(M41:P41)</f>
        <v>89.291731601069358</v>
      </c>
      <c r="S41" s="76" t="s">
        <v>93</v>
      </c>
      <c r="T41" s="74" t="s">
        <v>55</v>
      </c>
      <c r="U41" s="92">
        <v>0.5</v>
      </c>
      <c r="V41" s="81">
        <v>1</v>
      </c>
      <c r="W41" s="102">
        <f t="shared" ref="W41:W46" si="25">V41*U41</f>
        <v>0.5</v>
      </c>
      <c r="X41" s="102">
        <v>0</v>
      </c>
      <c r="Y41" s="102">
        <f>IF(X41=0,VLOOKUP(T:T,[1]Inputs!$B$20:$H$25,7,FALSE)*W41,VLOOKUP(T:T,[1]Inputs!$B$20:$I$25,8,FALSE)*W41)</f>
        <v>51.630298810072496</v>
      </c>
      <c r="Z41" s="102">
        <f>VLOOKUP(T:T,[1]Inputs!$C$54:$G$59,5,FALSE)*W41</f>
        <v>0</v>
      </c>
      <c r="AA41" s="102"/>
      <c r="AB41" s="102"/>
      <c r="AC41" s="102"/>
      <c r="AD41" s="102">
        <f t="shared" ref="AD41:AD46" si="26">SUM(Y41:AA41)</f>
        <v>51.630298810072496</v>
      </c>
      <c r="AE41" s="102">
        <f>[1]Inputs!$M$43*AD41</f>
        <v>24.055930176174893</v>
      </c>
      <c r="AF41" s="93">
        <f>[1]Inputs!$M$48*AD41</f>
        <v>8.2803426421490585</v>
      </c>
      <c r="AG41" s="93">
        <f>[1]Inputs!$H$13*SUM(AD41:AF41)</f>
        <v>5.3251599726729033</v>
      </c>
      <c r="AH41" s="93">
        <f t="shared" ref="AH41:AH46" si="27">SUM(AD41:AG41)</f>
        <v>89.291731601069358</v>
      </c>
    </row>
    <row r="42" spans="2:34" x14ac:dyDescent="0.2">
      <c r="B42" s="75" t="s">
        <v>80</v>
      </c>
      <c r="C42" s="74" t="s">
        <v>55</v>
      </c>
      <c r="D42" s="93">
        <v>1</v>
      </c>
      <c r="E42" s="80">
        <v>1</v>
      </c>
      <c r="F42" s="102">
        <f t="shared" si="22"/>
        <v>1</v>
      </c>
      <c r="G42" s="220">
        <v>0</v>
      </c>
      <c r="H42" s="220">
        <f>IF(G42=0,VLOOKUP(C:C,[1]Inputs!$B$20:$H$25,7,FALSE)*F42,VLOOKUP(C:C,[1]Inputs!$B$20:$I$25,8,FALSE)*F42)</f>
        <v>103.26059762014499</v>
      </c>
      <c r="I42" s="220">
        <f>VLOOKUP(C:C,[1]Inputs!$C$54:$G$59,5,FALSE)*F42</f>
        <v>0</v>
      </c>
      <c r="J42" s="220"/>
      <c r="K42" s="220"/>
      <c r="L42" s="220"/>
      <c r="M42" s="220">
        <f t="shared" si="23"/>
        <v>103.26059762014499</v>
      </c>
      <c r="N42" s="220">
        <f>[1]Inputs!$M$43*M42</f>
        <v>48.111860352349787</v>
      </c>
      <c r="O42" s="222">
        <f>[1]Inputs!$M$48*M42</f>
        <v>16.560685284298117</v>
      </c>
      <c r="P42" s="222">
        <f>[1]Inputs!$H$13*SUM(M42:O42)</f>
        <v>10.650319945345807</v>
      </c>
      <c r="Q42" s="222">
        <f t="shared" si="24"/>
        <v>178.58346320213872</v>
      </c>
      <c r="S42" s="75" t="s">
        <v>80</v>
      </c>
      <c r="T42" s="74" t="s">
        <v>55</v>
      </c>
      <c r="U42" s="93">
        <v>1</v>
      </c>
      <c r="V42" s="80">
        <v>1</v>
      </c>
      <c r="W42" s="102">
        <f t="shared" si="25"/>
        <v>1</v>
      </c>
      <c r="X42" s="102">
        <v>0</v>
      </c>
      <c r="Y42" s="102">
        <f>IF(X42=0,VLOOKUP(T:T,[1]Inputs!$B$20:$H$25,7,FALSE)*W42,VLOOKUP(T:T,[1]Inputs!$B$20:$I$25,8,FALSE)*W42)</f>
        <v>103.26059762014499</v>
      </c>
      <c r="Z42" s="102">
        <f>VLOOKUP(T:T,[1]Inputs!$C$54:$G$59,5,FALSE)*W42</f>
        <v>0</v>
      </c>
      <c r="AA42" s="102"/>
      <c r="AB42" s="102"/>
      <c r="AC42" s="102"/>
      <c r="AD42" s="102">
        <f t="shared" si="26"/>
        <v>103.26059762014499</v>
      </c>
      <c r="AE42" s="102">
        <f>[1]Inputs!$M$43*AD42</f>
        <v>48.111860352349787</v>
      </c>
      <c r="AF42" s="93">
        <f>[1]Inputs!$M$48*AD42</f>
        <v>16.560685284298117</v>
      </c>
      <c r="AG42" s="93">
        <f>[1]Inputs!$H$13*SUM(AD42:AF42)</f>
        <v>10.650319945345807</v>
      </c>
      <c r="AH42" s="93">
        <f t="shared" si="27"/>
        <v>178.58346320213872</v>
      </c>
    </row>
    <row r="43" spans="2:34" x14ac:dyDescent="0.2">
      <c r="B43" s="75" t="s">
        <v>81</v>
      </c>
      <c r="C43" s="74" t="s">
        <v>82</v>
      </c>
      <c r="D43" s="94">
        <v>1</v>
      </c>
      <c r="E43" s="82">
        <v>1</v>
      </c>
      <c r="F43" s="102">
        <f t="shared" si="22"/>
        <v>1</v>
      </c>
      <c r="G43" s="220">
        <v>0</v>
      </c>
      <c r="H43" s="220">
        <f>IF(G43=0,VLOOKUP(C:C,[1]Inputs!$B$20:$H$25,7,FALSE)*F43,VLOOKUP(C:C,[1]Inputs!$B$20:$I$25,8,FALSE)*F43)</f>
        <v>79.838346469665012</v>
      </c>
      <c r="I43" s="220">
        <f>VLOOKUP(C:C,[1]Inputs!$C$54:$G$59,5,FALSE)*F43</f>
        <v>19.732436288346317</v>
      </c>
      <c r="J43" s="220"/>
      <c r="K43" s="220"/>
      <c r="L43" s="220"/>
      <c r="M43" s="220">
        <f t="shared" si="23"/>
        <v>99.570782758011333</v>
      </c>
      <c r="N43" s="220">
        <f>[1]Inputs!$M$43*M43</f>
        <v>46.392677416511667</v>
      </c>
      <c r="O43" s="222">
        <f>[1]Inputs!$M$48*M43</f>
        <v>15.968921687171692</v>
      </c>
      <c r="P43" s="222">
        <f>[1]Inputs!$H$13*SUM(M43:O43)</f>
        <v>10.269751657668678</v>
      </c>
      <c r="Q43" s="222">
        <f t="shared" si="24"/>
        <v>172.20213351936337</v>
      </c>
      <c r="S43" s="75" t="s">
        <v>81</v>
      </c>
      <c r="T43" s="74" t="s">
        <v>82</v>
      </c>
      <c r="U43" s="94">
        <v>1</v>
      </c>
      <c r="V43" s="82">
        <v>1</v>
      </c>
      <c r="W43" s="102">
        <f t="shared" si="25"/>
        <v>1</v>
      </c>
      <c r="X43" s="102">
        <v>1</v>
      </c>
      <c r="Y43" s="102">
        <f>IF(X43=0,VLOOKUP(T:T,[1]Inputs!$B$20:$H$25,7,FALSE)*W43,VLOOKUP(T:T,[1]Inputs!$B$20:$I$25,8,FALSE)*W43)</f>
        <v>144.94102558317272</v>
      </c>
      <c r="Z43" s="102">
        <f>VLOOKUP(T:T,[1]Inputs!$C$54:$G$59,5,FALSE)*W43</f>
        <v>19.732436288346317</v>
      </c>
      <c r="AA43" s="102"/>
      <c r="AB43" s="102"/>
      <c r="AC43" s="102"/>
      <c r="AD43" s="102">
        <f t="shared" si="26"/>
        <v>164.67346187151904</v>
      </c>
      <c r="AE43" s="102">
        <f>[1]Inputs!$M$43*AD43</f>
        <v>76.725748096531277</v>
      </c>
      <c r="AF43" s="93">
        <f>[1]Inputs!$M$48*AD43</f>
        <v>26.409932148194969</v>
      </c>
      <c r="AG43" s="93">
        <f>[1]Inputs!$H$13*SUM(AD43:AF43)</f>
        <v>16.98445579301228</v>
      </c>
      <c r="AH43" s="93">
        <f t="shared" si="27"/>
        <v>284.79359790925758</v>
      </c>
    </row>
    <row r="44" spans="2:34" x14ac:dyDescent="0.2">
      <c r="B44" s="75" t="s">
        <v>83</v>
      </c>
      <c r="C44" s="74" t="s">
        <v>82</v>
      </c>
      <c r="D44" s="95">
        <v>1</v>
      </c>
      <c r="E44" s="80">
        <v>3</v>
      </c>
      <c r="F44" s="102">
        <f t="shared" si="22"/>
        <v>3</v>
      </c>
      <c r="G44" s="220">
        <v>0</v>
      </c>
      <c r="H44" s="220">
        <f>IF(G44=0,VLOOKUP(C:C,[1]Inputs!$B$20:$H$25,7,FALSE)*F44,VLOOKUP(C:C,[1]Inputs!$B$20:$I$25,8,FALSE)*F44)</f>
        <v>239.51503940899505</v>
      </c>
      <c r="I44" s="220">
        <f>VLOOKUP(C:C,[1]Inputs!$C$54:$G$59,5,FALSE)*F44</f>
        <v>59.197308865038949</v>
      </c>
      <c r="J44" s="220"/>
      <c r="K44" s="220"/>
      <c r="L44" s="220"/>
      <c r="M44" s="220">
        <f t="shared" si="23"/>
        <v>298.71234827403401</v>
      </c>
      <c r="N44" s="220">
        <f>[1]Inputs!$M$43*M44</f>
        <v>139.17803224953502</v>
      </c>
      <c r="O44" s="222">
        <f>[1]Inputs!$M$48*M44</f>
        <v>47.906765061515074</v>
      </c>
      <c r="P44" s="222">
        <f>[1]Inputs!$H$13*SUM(M44:O44)</f>
        <v>30.809254973006034</v>
      </c>
      <c r="Q44" s="222">
        <f t="shared" si="24"/>
        <v>516.60640055809017</v>
      </c>
      <c r="S44" s="75" t="s">
        <v>83</v>
      </c>
      <c r="T44" s="74" t="s">
        <v>82</v>
      </c>
      <c r="U44" s="95">
        <v>1</v>
      </c>
      <c r="V44" s="80">
        <v>3</v>
      </c>
      <c r="W44" s="102">
        <f t="shared" si="25"/>
        <v>3</v>
      </c>
      <c r="X44" s="102">
        <v>1</v>
      </c>
      <c r="Y44" s="102">
        <f>IF(X44=0,VLOOKUP(T:T,[1]Inputs!$B$20:$H$25,7,FALSE)*W44,VLOOKUP(T:T,[1]Inputs!$B$20:$I$25,8,FALSE)*W44)</f>
        <v>434.82307674951812</v>
      </c>
      <c r="Z44" s="102">
        <f>VLOOKUP(T:T,[1]Inputs!$C$54:$G$59,5,FALSE)*W44</f>
        <v>59.197308865038949</v>
      </c>
      <c r="AA44" s="102"/>
      <c r="AB44" s="102"/>
      <c r="AC44" s="102"/>
      <c r="AD44" s="102">
        <f t="shared" si="26"/>
        <v>494.02038561455709</v>
      </c>
      <c r="AE44" s="102">
        <f>[1]Inputs!$M$43*AD44</f>
        <v>230.1772442895938</v>
      </c>
      <c r="AF44" s="93">
        <f>[1]Inputs!$M$48*AD44</f>
        <v>79.229796444584906</v>
      </c>
      <c r="AG44" s="93">
        <f>[1]Inputs!$H$13*SUM(AD44:AF44)</f>
        <v>50.95336737903682</v>
      </c>
      <c r="AH44" s="93">
        <f t="shared" si="27"/>
        <v>854.38079372777247</v>
      </c>
    </row>
    <row r="45" spans="2:34" x14ac:dyDescent="0.2">
      <c r="B45" s="75" t="s">
        <v>92</v>
      </c>
      <c r="C45" s="74" t="s">
        <v>55</v>
      </c>
      <c r="D45" s="95">
        <v>0.5</v>
      </c>
      <c r="E45" s="82">
        <v>1</v>
      </c>
      <c r="F45" s="102">
        <f t="shared" si="22"/>
        <v>0.5</v>
      </c>
      <c r="G45" s="220">
        <v>0</v>
      </c>
      <c r="H45" s="220">
        <f>IF(G45=0,VLOOKUP(C:C,[1]Inputs!$B$20:$H$25,7,FALSE)*F45,VLOOKUP(C:C,[1]Inputs!$B$20:$I$25,8,FALSE)*F45)</f>
        <v>51.630298810072496</v>
      </c>
      <c r="I45" s="220">
        <f>VLOOKUP(C:C,[1]Inputs!$C$54:$G$59,5,FALSE)*F45</f>
        <v>0</v>
      </c>
      <c r="J45" s="220"/>
      <c r="K45" s="220"/>
      <c r="L45" s="220"/>
      <c r="M45" s="220">
        <f t="shared" si="23"/>
        <v>51.630298810072496</v>
      </c>
      <c r="N45" s="220">
        <f>[1]Inputs!$M$43*M45</f>
        <v>24.055930176174893</v>
      </c>
      <c r="O45" s="222">
        <f>[1]Inputs!$M$48*M45</f>
        <v>8.2803426421490585</v>
      </c>
      <c r="P45" s="222">
        <f>[1]Inputs!$H$13*SUM(M45:O45)</f>
        <v>5.3251599726729033</v>
      </c>
      <c r="Q45" s="222">
        <f t="shared" si="24"/>
        <v>89.291731601069358</v>
      </c>
      <c r="S45" s="75" t="s">
        <v>92</v>
      </c>
      <c r="T45" s="74" t="s">
        <v>55</v>
      </c>
      <c r="U45" s="95">
        <v>0.5</v>
      </c>
      <c r="V45" s="82">
        <v>1</v>
      </c>
      <c r="W45" s="102">
        <f t="shared" si="25"/>
        <v>0.5</v>
      </c>
      <c r="X45" s="102">
        <v>0</v>
      </c>
      <c r="Y45" s="102">
        <f>IF(X45=0,VLOOKUP(T:T,[1]Inputs!$B$20:$H$25,7,FALSE)*W45,VLOOKUP(T:T,[1]Inputs!$B$20:$I$25,8,FALSE)*W45)</f>
        <v>51.630298810072496</v>
      </c>
      <c r="Z45" s="102">
        <f>VLOOKUP(T:T,[1]Inputs!$C$54:$G$59,5,FALSE)*W45</f>
        <v>0</v>
      </c>
      <c r="AA45" s="102"/>
      <c r="AB45" s="102"/>
      <c r="AC45" s="102"/>
      <c r="AD45" s="102">
        <f t="shared" si="26"/>
        <v>51.630298810072496</v>
      </c>
      <c r="AE45" s="102">
        <f>[1]Inputs!$M$43*AD45</f>
        <v>24.055930176174893</v>
      </c>
      <c r="AF45" s="93">
        <f>[1]Inputs!$M$48*AD45</f>
        <v>8.2803426421490585</v>
      </c>
      <c r="AG45" s="93">
        <f>[1]Inputs!$H$13*SUM(AD45:AF45)</f>
        <v>5.3251599726729033</v>
      </c>
      <c r="AH45" s="93">
        <f t="shared" si="27"/>
        <v>89.291731601069358</v>
      </c>
    </row>
    <row r="46" spans="2:34" x14ac:dyDescent="0.2">
      <c r="B46" s="75" t="s">
        <v>91</v>
      </c>
      <c r="C46" s="74" t="s">
        <v>82</v>
      </c>
      <c r="D46" s="95">
        <v>3</v>
      </c>
      <c r="E46" s="80">
        <v>3</v>
      </c>
      <c r="F46" s="102">
        <f t="shared" si="22"/>
        <v>9</v>
      </c>
      <c r="G46" s="220">
        <v>0</v>
      </c>
      <c r="H46" s="220">
        <f>IF(G46=0,VLOOKUP(C:C,[1]Inputs!$B$20:$H$25,7,FALSE)*F46,VLOOKUP(C:C,[1]Inputs!$B$20:$I$25,8,FALSE)*F46)</f>
        <v>718.5451182269851</v>
      </c>
      <c r="I46" s="220">
        <f>VLOOKUP(C:C,[1]Inputs!$C$54:$G$59,5,FALSE)*F46</f>
        <v>177.59192659511686</v>
      </c>
      <c r="J46" s="220"/>
      <c r="K46" s="220"/>
      <c r="L46" s="220"/>
      <c r="M46" s="220">
        <f t="shared" si="23"/>
        <v>896.13704482210198</v>
      </c>
      <c r="N46" s="220">
        <f>[1]Inputs!$M$43*M46</f>
        <v>417.53409674860501</v>
      </c>
      <c r="O46" s="222">
        <f>[1]Inputs!$M$48*M46</f>
        <v>143.72029518454522</v>
      </c>
      <c r="P46" s="222">
        <f>[1]Inputs!$H$13*SUM(M46:O46)</f>
        <v>92.427764919018102</v>
      </c>
      <c r="Q46" s="222">
        <f t="shared" si="24"/>
        <v>1549.8192016742703</v>
      </c>
      <c r="S46" s="75" t="s">
        <v>91</v>
      </c>
      <c r="T46" s="74" t="s">
        <v>82</v>
      </c>
      <c r="U46" s="95">
        <v>3</v>
      </c>
      <c r="V46" s="80">
        <v>3</v>
      </c>
      <c r="W46" s="102">
        <f t="shared" si="25"/>
        <v>9</v>
      </c>
      <c r="X46" s="102">
        <v>1</v>
      </c>
      <c r="Y46" s="102">
        <f>IF(X46=0,VLOOKUP(T:T,[1]Inputs!$B$20:$H$25,7,FALSE)*W46,VLOOKUP(T:T,[1]Inputs!$B$20:$I$25,8,FALSE)*W46)</f>
        <v>1304.4692302485544</v>
      </c>
      <c r="Z46" s="102">
        <f>VLOOKUP(T:T,[1]Inputs!$C$54:$G$59,5,FALSE)*W46</f>
        <v>177.59192659511686</v>
      </c>
      <c r="AA46" s="102"/>
      <c r="AB46" s="102"/>
      <c r="AC46" s="102"/>
      <c r="AD46" s="102">
        <f t="shared" si="26"/>
        <v>1482.0611568436711</v>
      </c>
      <c r="AE46" s="102">
        <f>[1]Inputs!$M$43*AD46</f>
        <v>690.53173286878132</v>
      </c>
      <c r="AF46" s="93">
        <f>[1]Inputs!$M$48*AD46</f>
        <v>237.68938933375469</v>
      </c>
      <c r="AG46" s="93">
        <f>[1]Inputs!$H$13*SUM(AD46:AF46)</f>
        <v>152.86010213711046</v>
      </c>
      <c r="AH46" s="93">
        <f t="shared" si="27"/>
        <v>2563.1423811833174</v>
      </c>
    </row>
    <row r="47" spans="2:34" x14ac:dyDescent="0.2">
      <c r="B47" s="75"/>
      <c r="C47" s="74"/>
      <c r="D47" s="93"/>
      <c r="E47" s="81"/>
      <c r="F47" s="102"/>
      <c r="G47" s="102"/>
      <c r="H47" s="102"/>
      <c r="I47" s="102"/>
      <c r="J47" s="102"/>
      <c r="K47" s="102"/>
      <c r="L47" s="102"/>
      <c r="M47" s="102"/>
      <c r="N47" s="102"/>
      <c r="O47" s="41"/>
      <c r="P47" s="43"/>
      <c r="Q47" s="43"/>
      <c r="S47" s="75"/>
      <c r="T47" s="74"/>
      <c r="U47" s="93"/>
      <c r="V47" s="81"/>
      <c r="W47" s="102"/>
      <c r="X47" s="102"/>
      <c r="Y47" s="102"/>
      <c r="Z47" s="102"/>
      <c r="AA47" s="102"/>
      <c r="AB47" s="102"/>
      <c r="AC47" s="102"/>
      <c r="AD47" s="102"/>
      <c r="AE47" s="102"/>
      <c r="AF47" s="41"/>
      <c r="AG47" s="43"/>
      <c r="AH47" s="43"/>
    </row>
    <row r="48" spans="2:34" x14ac:dyDescent="0.2">
      <c r="B48" s="40"/>
      <c r="C48" s="74"/>
      <c r="D48" s="93"/>
      <c r="E48" s="80"/>
      <c r="F48" s="102"/>
      <c r="G48" s="102"/>
      <c r="H48" s="102"/>
      <c r="I48" s="102"/>
      <c r="J48" s="102"/>
      <c r="K48" s="102"/>
      <c r="L48" s="102"/>
      <c r="M48" s="102"/>
      <c r="N48" s="102"/>
      <c r="O48" s="41"/>
      <c r="P48" s="42"/>
      <c r="Q48" s="42"/>
      <c r="S48" s="40"/>
      <c r="T48" s="74"/>
      <c r="U48" s="93"/>
      <c r="V48" s="80"/>
      <c r="W48" s="102"/>
      <c r="X48" s="102"/>
      <c r="Y48" s="102"/>
      <c r="Z48" s="102"/>
      <c r="AA48" s="102"/>
      <c r="AB48" s="102"/>
      <c r="AC48" s="102"/>
      <c r="AD48" s="102"/>
      <c r="AE48" s="102"/>
      <c r="AF48" s="41"/>
      <c r="AG48" s="42"/>
      <c r="AH48" s="42"/>
    </row>
    <row r="49" spans="2:34" x14ac:dyDescent="0.2">
      <c r="B49" s="298" t="s">
        <v>1</v>
      </c>
      <c r="C49" s="299"/>
      <c r="D49" s="299"/>
      <c r="E49" s="300"/>
      <c r="F49" s="104">
        <f>SUM(F40:F48)</f>
        <v>17</v>
      </c>
      <c r="G49" s="104">
        <f t="shared" ref="G49:Q49" si="28">SUM(G40:G48)</f>
        <v>0</v>
      </c>
      <c r="H49" s="104">
        <f t="shared" si="28"/>
        <v>1404.0963922852652</v>
      </c>
      <c r="I49" s="104">
        <f t="shared" si="28"/>
        <v>295.98654432519476</v>
      </c>
      <c r="J49" s="104">
        <f t="shared" si="28"/>
        <v>0</v>
      </c>
      <c r="K49" s="104">
        <f t="shared" si="28"/>
        <v>0</v>
      </c>
      <c r="L49" s="104">
        <f t="shared" si="28"/>
        <v>0</v>
      </c>
      <c r="M49" s="104">
        <f t="shared" si="28"/>
        <v>1700.0829366104599</v>
      </c>
      <c r="N49" s="104">
        <f t="shared" si="28"/>
        <v>792.11388195237464</v>
      </c>
      <c r="O49" s="104">
        <f t="shared" si="28"/>
        <v>272.6551958761716</v>
      </c>
      <c r="P49" s="104">
        <f t="shared" si="28"/>
        <v>175.3469147557218</v>
      </c>
      <c r="Q49" s="104">
        <f t="shared" si="28"/>
        <v>2940.198929194728</v>
      </c>
      <c r="S49" s="298" t="s">
        <v>1</v>
      </c>
      <c r="T49" s="299"/>
      <c r="U49" s="299"/>
      <c r="V49" s="300"/>
      <c r="W49" s="104">
        <f>SUM(W40:W48)</f>
        <v>17</v>
      </c>
      <c r="X49" s="104">
        <f t="shared" ref="X49:AH49" si="29">SUM(X40:X48)</f>
        <v>3</v>
      </c>
      <c r="Y49" s="104">
        <f t="shared" si="29"/>
        <v>2250.4312207608655</v>
      </c>
      <c r="Z49" s="104">
        <f t="shared" si="29"/>
        <v>295.98654432519476</v>
      </c>
      <c r="AA49" s="104">
        <f t="shared" si="29"/>
        <v>0</v>
      </c>
      <c r="AB49" s="104">
        <f t="shared" si="29"/>
        <v>0</v>
      </c>
      <c r="AC49" s="104">
        <f t="shared" si="29"/>
        <v>0</v>
      </c>
      <c r="AD49" s="104">
        <f t="shared" si="29"/>
        <v>2546.4177650860602</v>
      </c>
      <c r="AE49" s="104">
        <f t="shared" si="29"/>
        <v>1186.4438007926292</v>
      </c>
      <c r="AF49" s="104">
        <f t="shared" si="29"/>
        <v>408.3883318694742</v>
      </c>
      <c r="AG49" s="104">
        <f t="shared" si="29"/>
        <v>262.63806851518854</v>
      </c>
      <c r="AH49" s="104">
        <f t="shared" si="29"/>
        <v>4403.8879662633517</v>
      </c>
    </row>
    <row r="50" spans="2:34" x14ac:dyDescent="0.2">
      <c r="O50" s="49"/>
      <c r="AF50" s="49"/>
    </row>
    <row r="53" spans="2:34" x14ac:dyDescent="0.2">
      <c r="R53" s="57"/>
    </row>
  </sheetData>
  <mergeCells count="13">
    <mergeCell ref="S39:AH39"/>
    <mergeCell ref="S49:V49"/>
    <mergeCell ref="S2:AH2"/>
    <mergeCell ref="S6:AH6"/>
    <mergeCell ref="S20:V20"/>
    <mergeCell ref="S35:V35"/>
    <mergeCell ref="Y3:AH3"/>
    <mergeCell ref="B39:P39"/>
    <mergeCell ref="B49:E49"/>
    <mergeCell ref="B35:E35"/>
    <mergeCell ref="B20:E20"/>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J33"/>
  <sheetViews>
    <sheetView showGridLines="0" workbookViewId="0">
      <selection activeCell="L23" sqref="L23"/>
    </sheetView>
  </sheetViews>
  <sheetFormatPr defaultColWidth="9.140625" defaultRowHeight="12.75" x14ac:dyDescent="0.2"/>
  <cols>
    <col min="1" max="1" width="3.140625" style="118" customWidth="1"/>
    <col min="2" max="2" width="80" style="118" bestFit="1" customWidth="1"/>
    <col min="3" max="3" width="65.140625" style="118" customWidth="1"/>
    <col min="4" max="4" width="12.85546875" style="118" customWidth="1"/>
    <col min="5" max="8" width="11.28515625" style="118" customWidth="1"/>
    <col min="9" max="9" width="12.7109375" style="118" customWidth="1"/>
    <col min="10" max="16384" width="9.140625" style="118"/>
  </cols>
  <sheetData>
    <row r="2" spans="2:10" x14ac:dyDescent="0.2">
      <c r="B2" s="116" t="s">
        <v>8</v>
      </c>
      <c r="C2" s="117"/>
      <c r="D2" s="117"/>
      <c r="E2" s="117"/>
      <c r="F2" s="117"/>
      <c r="G2" s="117"/>
      <c r="H2" s="117"/>
      <c r="I2" s="117"/>
    </row>
    <row r="3" spans="2:10" x14ac:dyDescent="0.2">
      <c r="B3" s="119"/>
      <c r="C3" s="119"/>
      <c r="D3" s="119"/>
      <c r="E3" s="119"/>
      <c r="F3" s="119"/>
      <c r="G3" s="119"/>
      <c r="H3" s="119"/>
      <c r="I3" s="119"/>
    </row>
    <row r="4" spans="2:10" x14ac:dyDescent="0.2">
      <c r="B4" s="116" t="s">
        <v>2</v>
      </c>
      <c r="C4" s="117"/>
      <c r="D4" s="117"/>
      <c r="E4" s="117"/>
      <c r="F4" s="117"/>
      <c r="G4" s="117"/>
      <c r="H4" s="117"/>
      <c r="I4" s="117"/>
    </row>
    <row r="5" spans="2:10" x14ac:dyDescent="0.2">
      <c r="B5" s="120" t="s">
        <v>100</v>
      </c>
      <c r="C5" s="120" t="s">
        <v>9</v>
      </c>
      <c r="D5" s="121" t="s">
        <v>60</v>
      </c>
      <c r="E5" s="121" t="s">
        <v>59</v>
      </c>
      <c r="F5" s="121" t="s">
        <v>58</v>
      </c>
      <c r="G5" s="122" t="s">
        <v>119</v>
      </c>
      <c r="H5" s="122" t="s">
        <v>120</v>
      </c>
      <c r="I5" s="123" t="s">
        <v>1</v>
      </c>
      <c r="J5" s="124"/>
    </row>
    <row r="6" spans="2:10" ht="14.25" customHeight="1" x14ac:dyDescent="0.2">
      <c r="B6" s="200" t="s">
        <v>136</v>
      </c>
      <c r="C6" s="126" t="s">
        <v>115</v>
      </c>
      <c r="D6" s="127">
        <v>0</v>
      </c>
      <c r="E6" s="127">
        <v>0</v>
      </c>
      <c r="F6" s="127">
        <v>0</v>
      </c>
      <c r="G6" s="127">
        <v>0</v>
      </c>
      <c r="H6" s="127">
        <v>0</v>
      </c>
      <c r="I6" s="224">
        <f>SUM(D6:H6)</f>
        <v>0</v>
      </c>
    </row>
    <row r="7" spans="2:10" ht="14.25" customHeight="1" x14ac:dyDescent="0.2">
      <c r="B7" s="125" t="s">
        <v>103</v>
      </c>
      <c r="C7" s="126" t="s">
        <v>115</v>
      </c>
      <c r="D7" s="127">
        <v>0</v>
      </c>
      <c r="E7" s="127">
        <v>0</v>
      </c>
      <c r="F7" s="127">
        <v>0</v>
      </c>
      <c r="G7" s="127">
        <v>0</v>
      </c>
      <c r="H7" s="127">
        <v>0</v>
      </c>
      <c r="I7" s="224">
        <f t="shared" ref="I7:I11" si="0">SUM(D7:H7)</f>
        <v>0</v>
      </c>
    </row>
    <row r="8" spans="2:10" ht="14.25" customHeight="1" x14ac:dyDescent="0.2">
      <c r="B8" s="125" t="s">
        <v>104</v>
      </c>
      <c r="C8" s="126" t="s">
        <v>115</v>
      </c>
      <c r="D8" s="127">
        <v>0</v>
      </c>
      <c r="E8" s="127">
        <v>0</v>
      </c>
      <c r="F8" s="127">
        <v>0</v>
      </c>
      <c r="G8" s="127">
        <v>0</v>
      </c>
      <c r="H8" s="127">
        <v>0</v>
      </c>
      <c r="I8" s="224">
        <f t="shared" si="0"/>
        <v>0</v>
      </c>
    </row>
    <row r="9" spans="2:10" x14ac:dyDescent="0.2">
      <c r="B9" s="125" t="s">
        <v>105</v>
      </c>
      <c r="C9" s="126" t="s">
        <v>115</v>
      </c>
      <c r="D9" s="127">
        <v>0</v>
      </c>
      <c r="E9" s="127">
        <v>0</v>
      </c>
      <c r="F9" s="127">
        <v>0</v>
      </c>
      <c r="G9" s="127">
        <v>0</v>
      </c>
      <c r="H9" s="127">
        <v>0</v>
      </c>
      <c r="I9" s="224">
        <f t="shared" si="0"/>
        <v>0</v>
      </c>
    </row>
    <row r="10" spans="2:10" x14ac:dyDescent="0.2">
      <c r="B10" s="125" t="s">
        <v>106</v>
      </c>
      <c r="C10" s="126" t="s">
        <v>115</v>
      </c>
      <c r="D10" s="127">
        <v>0</v>
      </c>
      <c r="E10" s="127">
        <v>0</v>
      </c>
      <c r="F10" s="127">
        <v>0</v>
      </c>
      <c r="G10" s="127">
        <v>0</v>
      </c>
      <c r="H10" s="127">
        <v>0</v>
      </c>
      <c r="I10" s="224">
        <f t="shared" si="0"/>
        <v>0</v>
      </c>
    </row>
    <row r="11" spans="2:10" x14ac:dyDescent="0.2">
      <c r="B11" s="128"/>
      <c r="C11" s="129"/>
      <c r="D11" s="127"/>
      <c r="E11" s="127"/>
      <c r="F11" s="127"/>
      <c r="G11" s="127"/>
      <c r="H11" s="127"/>
      <c r="I11" s="224">
        <f t="shared" si="0"/>
        <v>0</v>
      </c>
    </row>
    <row r="12" spans="2:10" x14ac:dyDescent="0.2">
      <c r="B12" s="130" t="s">
        <v>1</v>
      </c>
      <c r="C12" s="131"/>
      <c r="D12" s="132">
        <f t="shared" ref="D12:I12" si="1">SUM(D6:D11)</f>
        <v>0</v>
      </c>
      <c r="E12" s="132">
        <f t="shared" si="1"/>
        <v>0</v>
      </c>
      <c r="F12" s="132">
        <f t="shared" si="1"/>
        <v>0</v>
      </c>
      <c r="G12" s="132">
        <f t="shared" ref="G12:H12" si="2">SUM(G6:G11)</f>
        <v>0</v>
      </c>
      <c r="H12" s="132">
        <f t="shared" si="2"/>
        <v>0</v>
      </c>
      <c r="I12" s="133">
        <f t="shared" si="1"/>
        <v>0</v>
      </c>
    </row>
    <row r="13" spans="2:10" x14ac:dyDescent="0.2">
      <c r="B13" s="119"/>
      <c r="C13" s="119"/>
      <c r="D13" s="119"/>
      <c r="E13" s="119"/>
      <c r="F13" s="119"/>
      <c r="G13" s="119"/>
      <c r="H13" s="119"/>
      <c r="I13" s="119"/>
    </row>
    <row r="14" spans="2:10" x14ac:dyDescent="0.2">
      <c r="B14" s="116" t="s">
        <v>10</v>
      </c>
      <c r="C14" s="117"/>
      <c r="D14" s="117"/>
      <c r="E14" s="117"/>
      <c r="F14" s="117"/>
      <c r="G14" s="117"/>
      <c r="H14" s="117"/>
      <c r="I14" s="117"/>
    </row>
    <row r="15" spans="2:10" x14ac:dyDescent="0.2">
      <c r="B15" s="120" t="s">
        <v>4</v>
      </c>
      <c r="C15" s="134" t="s">
        <v>9</v>
      </c>
      <c r="D15" s="121" t="s">
        <v>60</v>
      </c>
      <c r="E15" s="121" t="s">
        <v>59</v>
      </c>
      <c r="F15" s="121" t="s">
        <v>58</v>
      </c>
      <c r="G15" s="122" t="s">
        <v>119</v>
      </c>
      <c r="H15" s="122" t="s">
        <v>120</v>
      </c>
      <c r="I15" s="123" t="s">
        <v>1</v>
      </c>
    </row>
    <row r="16" spans="2:10" x14ac:dyDescent="0.2">
      <c r="B16" s="135" t="s">
        <v>20</v>
      </c>
      <c r="C16" s="135" t="s">
        <v>66</v>
      </c>
      <c r="D16" s="136">
        <v>0</v>
      </c>
      <c r="E16" s="136">
        <v>0</v>
      </c>
      <c r="F16" s="136">
        <v>0</v>
      </c>
      <c r="G16" s="137">
        <v>0</v>
      </c>
      <c r="H16" s="137">
        <v>0</v>
      </c>
      <c r="I16" s="225">
        <f>SUM(D16:H16)</f>
        <v>0</v>
      </c>
    </row>
    <row r="17" spans="2:9" x14ac:dyDescent="0.2">
      <c r="B17" s="135"/>
      <c r="C17" s="138"/>
      <c r="D17" s="136"/>
      <c r="E17" s="136"/>
      <c r="F17" s="136"/>
      <c r="G17" s="137"/>
      <c r="H17" s="137"/>
      <c r="I17" s="225">
        <f>SUM(D17:F17)</f>
        <v>0</v>
      </c>
    </row>
    <row r="18" spans="2:9" x14ac:dyDescent="0.2">
      <c r="B18" s="135"/>
      <c r="C18" s="135"/>
      <c r="D18" s="139"/>
      <c r="E18" s="139"/>
      <c r="F18" s="139"/>
      <c r="G18" s="140"/>
      <c r="H18" s="140"/>
      <c r="I18" s="259">
        <f>SUM(D18:F18)</f>
        <v>0</v>
      </c>
    </row>
    <row r="19" spans="2:9" x14ac:dyDescent="0.2">
      <c r="B19" s="141" t="s">
        <v>18</v>
      </c>
      <c r="C19" s="131"/>
      <c r="D19" s="142">
        <f t="shared" ref="D19:H19" si="3">SUM(D16:D18)</f>
        <v>0</v>
      </c>
      <c r="E19" s="142">
        <f t="shared" si="3"/>
        <v>0</v>
      </c>
      <c r="F19" s="142">
        <f t="shared" si="3"/>
        <v>0</v>
      </c>
      <c r="G19" s="142">
        <f t="shared" si="3"/>
        <v>0</v>
      </c>
      <c r="H19" s="142">
        <f t="shared" si="3"/>
        <v>0</v>
      </c>
      <c r="I19" s="142">
        <f>SUM(I16:I18)</f>
        <v>0</v>
      </c>
    </row>
    <row r="20" spans="2:9" x14ac:dyDescent="0.2">
      <c r="B20" s="119"/>
      <c r="C20" s="119"/>
      <c r="D20" s="143"/>
      <c r="E20" s="143"/>
      <c r="F20" s="143"/>
      <c r="G20" s="143"/>
      <c r="H20" s="143"/>
      <c r="I20" s="143"/>
    </row>
    <row r="21" spans="2:9" x14ac:dyDescent="0.2">
      <c r="B21" s="144" t="s">
        <v>6</v>
      </c>
      <c r="C21" s="119"/>
      <c r="D21" s="143"/>
      <c r="E21" s="143"/>
      <c r="F21" s="143"/>
      <c r="G21" s="143"/>
      <c r="H21" s="143"/>
      <c r="I21" s="143"/>
    </row>
    <row r="22" spans="2:9" x14ac:dyDescent="0.2">
      <c r="B22" s="145" t="s">
        <v>131</v>
      </c>
      <c r="C22" s="146"/>
      <c r="D22" s="146"/>
      <c r="E22" s="146"/>
      <c r="F22" s="146"/>
      <c r="G22" s="146"/>
      <c r="H22" s="146"/>
      <c r="I22" s="146"/>
    </row>
    <row r="23" spans="2:9" x14ac:dyDescent="0.2">
      <c r="B23" s="145" t="s">
        <v>126</v>
      </c>
      <c r="C23" s="145"/>
      <c r="D23" s="145"/>
      <c r="E23" s="145"/>
      <c r="F23" s="145"/>
      <c r="G23" s="145"/>
      <c r="H23" s="145"/>
      <c r="I23" s="145"/>
    </row>
    <row r="24" spans="2:9" x14ac:dyDescent="0.2">
      <c r="B24" s="145" t="s">
        <v>127</v>
      </c>
      <c r="C24" s="145"/>
      <c r="D24" s="145"/>
      <c r="E24" s="145"/>
      <c r="F24" s="145"/>
      <c r="G24" s="145"/>
      <c r="H24" s="145"/>
      <c r="I24" s="145"/>
    </row>
    <row r="25" spans="2:9" x14ac:dyDescent="0.2">
      <c r="B25" s="145" t="s">
        <v>128</v>
      </c>
      <c r="C25" s="145"/>
      <c r="D25" s="145"/>
      <c r="E25" s="145"/>
      <c r="F25" s="145"/>
      <c r="G25" s="145"/>
      <c r="H25" s="145"/>
      <c r="I25" s="145"/>
    </row>
    <row r="26" spans="2:9" x14ac:dyDescent="0.2">
      <c r="B26" s="145" t="s">
        <v>129</v>
      </c>
      <c r="C26" s="145"/>
      <c r="D26" s="145"/>
      <c r="E26" s="145"/>
      <c r="F26" s="145"/>
      <c r="G26" s="145"/>
      <c r="H26" s="145"/>
      <c r="I26" s="145"/>
    </row>
    <row r="27" spans="2:9" x14ac:dyDescent="0.2">
      <c r="B27" s="145" t="s">
        <v>130</v>
      </c>
      <c r="C27" s="145"/>
      <c r="D27" s="145"/>
      <c r="E27" s="145"/>
      <c r="F27" s="145"/>
      <c r="G27" s="145"/>
      <c r="H27" s="145"/>
      <c r="I27" s="145"/>
    </row>
    <row r="28" spans="2:9" x14ac:dyDescent="0.2">
      <c r="B28" s="119"/>
      <c r="C28" s="119"/>
      <c r="D28" s="143"/>
      <c r="E28" s="143"/>
      <c r="F28" s="143"/>
      <c r="G28" s="143"/>
      <c r="H28" s="143"/>
      <c r="I28" s="143"/>
    </row>
    <row r="29" spans="2:9" x14ac:dyDescent="0.2">
      <c r="B29" s="116" t="s">
        <v>2</v>
      </c>
      <c r="C29" s="117"/>
      <c r="D29" s="117"/>
      <c r="E29" s="117"/>
      <c r="F29" s="117"/>
      <c r="G29" s="117"/>
      <c r="H29" s="117"/>
      <c r="I29" s="117"/>
    </row>
    <row r="30" spans="2:9" x14ac:dyDescent="0.2">
      <c r="B30" s="147" t="s">
        <v>11</v>
      </c>
      <c r="C30" s="148"/>
      <c r="D30" s="148"/>
      <c r="E30" s="148"/>
      <c r="F30" s="148"/>
      <c r="G30" s="148"/>
      <c r="H30" s="148"/>
      <c r="I30" s="148"/>
    </row>
    <row r="31" spans="2:9" x14ac:dyDescent="0.2">
      <c r="B31" s="305"/>
      <c r="C31" s="305"/>
      <c r="D31" s="305"/>
      <c r="E31" s="305"/>
      <c r="F31" s="305"/>
      <c r="G31" s="305"/>
      <c r="H31" s="305"/>
      <c r="I31" s="305"/>
    </row>
    <row r="32" spans="2:9" x14ac:dyDescent="0.2">
      <c r="B32" s="306"/>
      <c r="C32" s="306"/>
      <c r="D32" s="306"/>
      <c r="E32" s="306"/>
      <c r="F32" s="306"/>
      <c r="G32" s="306"/>
      <c r="H32" s="306"/>
      <c r="I32" s="306"/>
    </row>
    <row r="33" spans="2:9" x14ac:dyDescent="0.2">
      <c r="B33" s="149"/>
      <c r="C33" s="150"/>
      <c r="D33" s="150"/>
      <c r="E33" s="150"/>
      <c r="F33" s="150"/>
      <c r="G33" s="150"/>
      <c r="H33" s="150"/>
      <c r="I33" s="150"/>
    </row>
  </sheetData>
  <mergeCells count="1">
    <mergeCell ref="B31:I3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473CC-EFF6-4F99-8147-B0B4419BB4F1}">
  <dimension ref="B1:O52"/>
  <sheetViews>
    <sheetView zoomScale="80" zoomScaleNormal="80" workbookViewId="0">
      <selection activeCell="K32" sqref="K3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161</v>
      </c>
      <c r="D1" s="233">
        <f>[1]Inputs!H16</f>
        <v>1</v>
      </c>
      <c r="E1" s="233">
        <f>[1]Inputs!I16</f>
        <v>1</v>
      </c>
      <c r="F1" s="233">
        <f>[1]Inputs!J16</f>
        <v>1.0109999999999999</v>
      </c>
      <c r="G1" s="233">
        <f>[1]Inputs!K16</f>
        <v>1.0231319999999999</v>
      </c>
      <c r="H1" s="233">
        <f>[1]Inputs!L16</f>
        <v>1.0337725727999998</v>
      </c>
      <c r="K1" s="234">
        <f>D1</f>
        <v>1</v>
      </c>
      <c r="L1" s="234">
        <f t="shared" ref="L1:O5" si="0">E1</f>
        <v>1</v>
      </c>
      <c r="M1" s="234">
        <f t="shared" si="0"/>
        <v>1.0109999999999999</v>
      </c>
      <c r="N1" s="234">
        <f t="shared" si="0"/>
        <v>1.0231319999999999</v>
      </c>
      <c r="O1" s="234">
        <f t="shared" si="0"/>
        <v>1.0337725727999998</v>
      </c>
    </row>
    <row r="2" spans="2:15" x14ac:dyDescent="0.25">
      <c r="B2" t="s">
        <v>162</v>
      </c>
      <c r="D2" s="233">
        <f>[1]Inputs!H61</f>
        <v>0.04</v>
      </c>
      <c r="E2" s="233">
        <f>[1]Inputs!I61</f>
        <v>0.04</v>
      </c>
      <c r="F2" s="233">
        <f>[1]Inputs!J61</f>
        <v>0.04</v>
      </c>
      <c r="G2" s="233">
        <f>[1]Inputs!K61</f>
        <v>0.04</v>
      </c>
      <c r="H2" s="233">
        <f>[1]Inputs!L61</f>
        <v>0.04</v>
      </c>
      <c r="K2" s="234"/>
      <c r="L2" s="234"/>
      <c r="M2" s="234"/>
      <c r="N2" s="234"/>
      <c r="O2" s="234"/>
    </row>
    <row r="3" spans="2:15" x14ac:dyDescent="0.25">
      <c r="B3" t="s">
        <v>163</v>
      </c>
      <c r="D3" s="234">
        <f>[1]Inputs!$M$43</f>
        <v>0.46592661151676018</v>
      </c>
      <c r="E3" s="234">
        <f>[1]Inputs!$M$43</f>
        <v>0.46592661151676018</v>
      </c>
      <c r="F3" s="234">
        <f>[1]Inputs!$M$43</f>
        <v>0.46592661151676018</v>
      </c>
      <c r="G3" s="234">
        <f>[1]Inputs!$M$43</f>
        <v>0.46592661151676018</v>
      </c>
      <c r="H3" s="234">
        <f>[1]Inputs!$M$43</f>
        <v>0.46592661151676018</v>
      </c>
      <c r="K3" s="234">
        <f t="shared" ref="K3:K5" si="1">D3</f>
        <v>0.46592661151676018</v>
      </c>
      <c r="L3" s="234">
        <f t="shared" si="0"/>
        <v>0.46592661151676018</v>
      </c>
      <c r="M3" s="234">
        <f t="shared" si="0"/>
        <v>0.46592661151676018</v>
      </c>
      <c r="N3" s="234">
        <f t="shared" si="0"/>
        <v>0.46592661151676018</v>
      </c>
      <c r="O3" s="234">
        <f t="shared" si="0"/>
        <v>0.46592661151676018</v>
      </c>
    </row>
    <row r="4" spans="2:15" x14ac:dyDescent="0.25">
      <c r="B4" t="s">
        <v>164</v>
      </c>
      <c r="D4" s="234">
        <f>[1]Inputs!$M$48</f>
        <v>0.16037758511933414</v>
      </c>
      <c r="E4" s="234">
        <f>[1]Inputs!$M$48</f>
        <v>0.16037758511933414</v>
      </c>
      <c r="F4" s="234">
        <f>[1]Inputs!$M$48</f>
        <v>0.16037758511933414</v>
      </c>
      <c r="G4" s="234">
        <f>[1]Inputs!$M$48</f>
        <v>0.16037758511933414</v>
      </c>
      <c r="H4" s="234">
        <f>[1]Inputs!$M$48</f>
        <v>0.16037758511933414</v>
      </c>
      <c r="K4" s="234">
        <f t="shared" si="1"/>
        <v>0.16037758511933414</v>
      </c>
      <c r="L4" s="234">
        <f t="shared" si="0"/>
        <v>0.16037758511933414</v>
      </c>
      <c r="M4" s="234">
        <f t="shared" si="0"/>
        <v>0.16037758511933414</v>
      </c>
      <c r="N4" s="234">
        <f t="shared" si="0"/>
        <v>0.16037758511933414</v>
      </c>
      <c r="O4" s="234">
        <f t="shared" si="0"/>
        <v>0.16037758511933414</v>
      </c>
    </row>
    <row r="5" spans="2:15" x14ac:dyDescent="0.25">
      <c r="B5" t="s">
        <v>165</v>
      </c>
      <c r="D5" s="234">
        <f>[1]Inputs!$H$13</f>
        <v>6.3420000000000004E-2</v>
      </c>
      <c r="E5" s="234">
        <f>[1]Inputs!$H$13</f>
        <v>6.3420000000000004E-2</v>
      </c>
      <c r="F5" s="234">
        <f>[1]Inputs!$H$13</f>
        <v>6.3420000000000004E-2</v>
      </c>
      <c r="G5" s="234">
        <f>[1]Inputs!$H$13</f>
        <v>6.3420000000000004E-2</v>
      </c>
      <c r="H5" s="234">
        <f>[1]Inputs!$H$13</f>
        <v>6.3420000000000004E-2</v>
      </c>
      <c r="K5" s="234">
        <f t="shared" si="1"/>
        <v>6.3420000000000004E-2</v>
      </c>
      <c r="L5" s="234">
        <f t="shared" si="0"/>
        <v>6.3420000000000004E-2</v>
      </c>
      <c r="M5" s="234">
        <f t="shared" si="0"/>
        <v>6.3420000000000004E-2</v>
      </c>
      <c r="N5" s="234">
        <f t="shared" si="0"/>
        <v>6.3420000000000004E-2</v>
      </c>
      <c r="O5" s="234">
        <f t="shared" si="0"/>
        <v>6.3420000000000004E-2</v>
      </c>
    </row>
    <row r="6" spans="2:15" s="235" customFormat="1" ht="15.75" x14ac:dyDescent="0.25">
      <c r="D6" s="309" t="s">
        <v>166</v>
      </c>
      <c r="E6" s="309"/>
      <c r="F6" s="309"/>
      <c r="G6" s="309"/>
      <c r="H6" s="309"/>
      <c r="J6" s="310" t="s">
        <v>180</v>
      </c>
      <c r="K6" s="310"/>
      <c r="L6" s="310"/>
      <c r="M6" s="310"/>
      <c r="N6" s="310"/>
      <c r="O6" s="310"/>
    </row>
    <row r="7" spans="2:15" x14ac:dyDescent="0.25">
      <c r="B7" s="236" t="s">
        <v>179</v>
      </c>
      <c r="C7" s="237"/>
      <c r="D7" s="237" t="s">
        <v>167</v>
      </c>
      <c r="E7" s="237" t="s">
        <v>168</v>
      </c>
      <c r="F7" s="237" t="s">
        <v>169</v>
      </c>
      <c r="G7" s="237" t="s">
        <v>170</v>
      </c>
      <c r="H7" s="237" t="s">
        <v>171</v>
      </c>
      <c r="J7" s="237"/>
      <c r="K7" s="237" t="s">
        <v>167</v>
      </c>
      <c r="L7" s="237" t="s">
        <v>168</v>
      </c>
      <c r="M7" s="237" t="s">
        <v>169</v>
      </c>
      <c r="N7" s="237" t="s">
        <v>170</v>
      </c>
      <c r="O7" s="237" t="s">
        <v>171</v>
      </c>
    </row>
    <row r="8" spans="2:15" x14ac:dyDescent="0.25">
      <c r="B8" s="238" t="s">
        <v>146</v>
      </c>
      <c r="C8" s="239"/>
      <c r="D8" s="240">
        <f>(D19*D$27)+(D31*$D$39)+(D43*$D$51)</f>
        <v>4224.0003024310354</v>
      </c>
      <c r="E8" s="240">
        <f t="shared" ref="E8:H8" si="2">(E19*E$27)+(E31*$D$39)+(E43*$D$51)</f>
        <v>4224.0003024310354</v>
      </c>
      <c r="F8" s="240">
        <f t="shared" si="2"/>
        <v>4270.4643057577769</v>
      </c>
      <c r="G8" s="240">
        <f t="shared" si="2"/>
        <v>4369.2486860785648</v>
      </c>
      <c r="H8" s="240">
        <f t="shared" si="2"/>
        <v>4516.8094554104564</v>
      </c>
      <c r="J8" s="239"/>
      <c r="K8" s="240">
        <f>(K19*K$27)</f>
        <v>0</v>
      </c>
      <c r="L8" s="240">
        <f t="shared" ref="L8:O8" si="3">(L19*L$27)</f>
        <v>0</v>
      </c>
      <c r="M8" s="240">
        <f t="shared" si="3"/>
        <v>0</v>
      </c>
      <c r="N8" s="240">
        <f t="shared" si="3"/>
        <v>0</v>
      </c>
      <c r="O8" s="240">
        <f t="shared" si="3"/>
        <v>0</v>
      </c>
    </row>
    <row r="9" spans="2:15" x14ac:dyDescent="0.25">
      <c r="B9" s="238" t="s">
        <v>147</v>
      </c>
      <c r="C9" s="239"/>
      <c r="D9" s="240">
        <f t="shared" ref="D9:D15" si="4">(D20*D$27)+(D32*$D$39)+(D44*$D$51)</f>
        <v>878.09341483141111</v>
      </c>
      <c r="E9" s="240">
        <f t="shared" ref="E9:H9" si="5">(E20*E$27)+(E32*$D$39)+(E44*$D$51)</f>
        <v>878.09341483141111</v>
      </c>
      <c r="F9" s="240">
        <f t="shared" si="5"/>
        <v>878.09341483141111</v>
      </c>
      <c r="G9" s="240">
        <f t="shared" si="5"/>
        <v>878.09341483141111</v>
      </c>
      <c r="H9" s="240">
        <f t="shared" si="5"/>
        <v>878.09341483141111</v>
      </c>
      <c r="J9" s="239"/>
      <c r="K9" s="240">
        <f t="shared" ref="K9:O9" si="6">(K20*K$27)</f>
        <v>0</v>
      </c>
      <c r="L9" s="240">
        <f t="shared" si="6"/>
        <v>0</v>
      </c>
      <c r="M9" s="240">
        <f t="shared" si="6"/>
        <v>0</v>
      </c>
      <c r="N9" s="240">
        <f t="shared" si="6"/>
        <v>0</v>
      </c>
      <c r="O9" s="240">
        <f t="shared" si="6"/>
        <v>0</v>
      </c>
    </row>
    <row r="10" spans="2:15" x14ac:dyDescent="0.25">
      <c r="B10" s="238" t="s">
        <v>148</v>
      </c>
      <c r="C10" s="239"/>
      <c r="D10" s="240">
        <f t="shared" si="4"/>
        <v>0</v>
      </c>
      <c r="E10" s="240">
        <f t="shared" ref="E10:H10" si="7">(E21*E$27)+(E33*$D$39)+(E45*$D$51)</f>
        <v>0</v>
      </c>
      <c r="F10" s="240">
        <f t="shared" si="7"/>
        <v>0</v>
      </c>
      <c r="G10" s="240">
        <f t="shared" si="7"/>
        <v>0</v>
      </c>
      <c r="H10" s="240">
        <f t="shared" si="7"/>
        <v>0</v>
      </c>
      <c r="J10" s="239"/>
      <c r="K10" s="240">
        <f t="shared" ref="K10:O10" si="8">(K21*K$27)</f>
        <v>0</v>
      </c>
      <c r="L10" s="240">
        <f t="shared" si="8"/>
        <v>0</v>
      </c>
      <c r="M10" s="240">
        <f t="shared" si="8"/>
        <v>0</v>
      </c>
      <c r="N10" s="240">
        <f t="shared" si="8"/>
        <v>0</v>
      </c>
      <c r="O10" s="240">
        <f t="shared" si="8"/>
        <v>0</v>
      </c>
    </row>
    <row r="11" spans="2:15" x14ac:dyDescent="0.25">
      <c r="B11" s="241" t="s">
        <v>172</v>
      </c>
      <c r="C11" s="241"/>
      <c r="D11" s="242">
        <f t="shared" si="4"/>
        <v>5102.0937172624472</v>
      </c>
      <c r="E11" s="242">
        <f t="shared" ref="E11:H11" si="9">(E22*E$27)+(E34*$D$39)+(E46*$D$51)</f>
        <v>5102.0937172624472</v>
      </c>
      <c r="F11" s="242">
        <f t="shared" si="9"/>
        <v>5148.5577205891877</v>
      </c>
      <c r="G11" s="242">
        <f t="shared" si="9"/>
        <v>5247.3421009099766</v>
      </c>
      <c r="H11" s="242">
        <f t="shared" si="9"/>
        <v>5394.9028702418682</v>
      </c>
      <c r="J11" s="241"/>
      <c r="K11" s="240">
        <f t="shared" ref="K11:O11" si="10">(K22*K$27)</f>
        <v>0</v>
      </c>
      <c r="L11" s="240">
        <f t="shared" si="10"/>
        <v>0</v>
      </c>
      <c r="M11" s="240">
        <f t="shared" si="10"/>
        <v>0</v>
      </c>
      <c r="N11" s="240">
        <f t="shared" si="10"/>
        <v>0</v>
      </c>
      <c r="O11" s="240">
        <f t="shared" si="10"/>
        <v>0</v>
      </c>
    </row>
    <row r="12" spans="2:15" x14ac:dyDescent="0.25">
      <c r="B12" s="239" t="s">
        <v>152</v>
      </c>
      <c r="C12" s="239"/>
      <c r="D12" s="240">
        <f t="shared" si="4"/>
        <v>2377.2012373250427</v>
      </c>
      <c r="E12" s="240">
        <f t="shared" ref="E12:H12" si="11">(E23*E$27)+(E35*$D$39)+(E47*$D$51)</f>
        <v>2377.2012373250427</v>
      </c>
      <c r="F12" s="240">
        <f t="shared" si="11"/>
        <v>2398.8500529525745</v>
      </c>
      <c r="G12" s="240">
        <f t="shared" si="11"/>
        <v>2444.8763245462223</v>
      </c>
      <c r="H12" s="240">
        <f t="shared" si="11"/>
        <v>2513.6288137938373</v>
      </c>
      <c r="J12" s="239"/>
      <c r="K12" s="240">
        <f t="shared" ref="K12:O12" si="12">(K23*K$27)</f>
        <v>0</v>
      </c>
      <c r="L12" s="240">
        <f t="shared" si="12"/>
        <v>0</v>
      </c>
      <c r="M12" s="240">
        <f t="shared" si="12"/>
        <v>0</v>
      </c>
      <c r="N12" s="240">
        <f t="shared" si="12"/>
        <v>0</v>
      </c>
      <c r="O12" s="240">
        <f t="shared" si="12"/>
        <v>0</v>
      </c>
    </row>
    <row r="13" spans="2:15" x14ac:dyDescent="0.25">
      <c r="B13" s="239" t="s">
        <v>153</v>
      </c>
      <c r="C13" s="239"/>
      <c r="D13" s="240">
        <f t="shared" si="4"/>
        <v>818.26146942707805</v>
      </c>
      <c r="E13" s="240">
        <f t="shared" ref="E13:H13" si="13">(E24*E$27)+(E36*$D$39)+(E48*$D$51)</f>
        <v>818.26146942707805</v>
      </c>
      <c r="F13" s="240">
        <f t="shared" si="13"/>
        <v>825.71325407559743</v>
      </c>
      <c r="G13" s="240">
        <f t="shared" si="13"/>
        <v>841.55605443895524</v>
      </c>
      <c r="H13" s="240">
        <f t="shared" si="13"/>
        <v>865.2214942827552</v>
      </c>
      <c r="J13" s="239"/>
      <c r="K13" s="240">
        <f t="shared" ref="K13:O13" si="14">(K24*K$27)</f>
        <v>0</v>
      </c>
      <c r="L13" s="240">
        <f t="shared" si="14"/>
        <v>0</v>
      </c>
      <c r="M13" s="240">
        <f t="shared" si="14"/>
        <v>0</v>
      </c>
      <c r="N13" s="240">
        <f t="shared" si="14"/>
        <v>0</v>
      </c>
      <c r="O13" s="240">
        <f t="shared" si="14"/>
        <v>0</v>
      </c>
    </row>
    <row r="14" spans="2:15" x14ac:dyDescent="0.25">
      <c r="B14" s="239" t="s">
        <v>160</v>
      </c>
      <c r="C14" s="239"/>
      <c r="D14" s="240">
        <f t="shared" si="4"/>
        <v>526.23102841100388</v>
      </c>
      <c r="E14" s="240">
        <f t="shared" ref="E14:H14" si="15">(E25*E$27)+(E37*$D$39)+(E49*$D$51)</f>
        <v>526.23102841100388</v>
      </c>
      <c r="F14" s="240">
        <f t="shared" si="15"/>
        <v>531.02333557149302</v>
      </c>
      <c r="G14" s="240">
        <f t="shared" si="15"/>
        <v>541.21197751495072</v>
      </c>
      <c r="H14" s="240">
        <f t="shared" si="15"/>
        <v>556.43142656895679</v>
      </c>
      <c r="J14" s="239"/>
      <c r="K14" s="240">
        <f t="shared" ref="K14:O14" si="16">(K25*K$27)</f>
        <v>0</v>
      </c>
      <c r="L14" s="240">
        <f t="shared" si="16"/>
        <v>0</v>
      </c>
      <c r="M14" s="240">
        <f t="shared" si="16"/>
        <v>0</v>
      </c>
      <c r="N14" s="240">
        <f t="shared" si="16"/>
        <v>0</v>
      </c>
      <c r="O14" s="240">
        <f t="shared" si="16"/>
        <v>0</v>
      </c>
    </row>
    <row r="15" spans="2:15" s="244" customFormat="1" x14ac:dyDescent="0.25">
      <c r="B15" s="243" t="s">
        <v>173</v>
      </c>
      <c r="C15" s="239"/>
      <c r="D15" s="242">
        <f t="shared" si="4"/>
        <v>8823.7874524255712</v>
      </c>
      <c r="E15" s="242">
        <f>(E26*E$27)+(E38*$E$39)+(E50*$E$51)</f>
        <v>8823.7874524255712</v>
      </c>
      <c r="F15" s="242">
        <f>(F26*F$27)+(F38*$F$39)+(F50*$F$51)</f>
        <v>8904.1443631888542</v>
      </c>
      <c r="G15" s="242">
        <f>(G26*G$27)+(G38*E$39)+(G50*E$51)</f>
        <v>9074.9864574101048</v>
      </c>
      <c r="H15" s="242">
        <f>(H26*H$27)+(H38*F$39)+(H50*F$51)</f>
        <v>9330.1846048874177</v>
      </c>
      <c r="J15" s="239"/>
      <c r="K15" s="240">
        <f t="shared" ref="K15:O15" si="17">(K26*K$27)</f>
        <v>0</v>
      </c>
      <c r="L15" s="240">
        <f t="shared" si="17"/>
        <v>0</v>
      </c>
      <c r="M15" s="240">
        <f t="shared" si="17"/>
        <v>0</v>
      </c>
      <c r="N15" s="240">
        <f t="shared" si="17"/>
        <v>0</v>
      </c>
      <c r="O15" s="240">
        <f t="shared" si="17"/>
        <v>0</v>
      </c>
    </row>
    <row r="16" spans="2:15" s="229" customFormat="1" x14ac:dyDescent="0.25">
      <c r="B16" s="245" t="s">
        <v>174</v>
      </c>
      <c r="C16" s="241"/>
      <c r="D16" s="242">
        <f>D28+D40+D52-D15</f>
        <v>0</v>
      </c>
      <c r="E16" s="242">
        <f t="shared" ref="E16:H16" si="18">E28+E40+E52-E15</f>
        <v>0</v>
      </c>
      <c r="F16" s="242">
        <f t="shared" si="18"/>
        <v>0</v>
      </c>
      <c r="G16" s="242">
        <f t="shared" si="18"/>
        <v>0</v>
      </c>
      <c r="H16" s="242">
        <f t="shared" si="18"/>
        <v>0</v>
      </c>
      <c r="J16" s="241"/>
      <c r="K16" s="242">
        <f>K28-K15</f>
        <v>0</v>
      </c>
      <c r="L16" s="242">
        <f t="shared" ref="L16" si="19">L28-L15</f>
        <v>0</v>
      </c>
      <c r="M16" s="242">
        <f t="shared" ref="M16" si="20">M28-M15</f>
        <v>0</v>
      </c>
      <c r="N16" s="242">
        <f t="shared" ref="N16" si="21">N28-N15</f>
        <v>0</v>
      </c>
      <c r="O16" s="242">
        <f t="shared" ref="O16" si="22">O28-O15</f>
        <v>0</v>
      </c>
    </row>
    <row r="17" spans="2:15" s="229" customFormat="1" x14ac:dyDescent="0.25">
      <c r="C17" s="246"/>
    </row>
    <row r="18" spans="2:15" x14ac:dyDescent="0.25">
      <c r="B18" s="247" t="s">
        <v>67</v>
      </c>
      <c r="C18" s="230"/>
      <c r="D18" s="307" t="s">
        <v>175</v>
      </c>
      <c r="E18" s="308"/>
      <c r="F18" s="308"/>
      <c r="G18" s="308"/>
      <c r="H18" s="308"/>
      <c r="J18" s="230"/>
      <c r="K18" s="307" t="s">
        <v>175</v>
      </c>
      <c r="L18" s="308"/>
      <c r="M18" s="308"/>
      <c r="N18" s="308"/>
      <c r="O18" s="308"/>
    </row>
    <row r="19" spans="2:15" x14ac:dyDescent="0.25">
      <c r="B19" s="248" t="s">
        <v>146</v>
      </c>
      <c r="C19" s="249">
        <f>'Proposed price'!H20</f>
        <v>1136.3733052166776</v>
      </c>
      <c r="D19" s="250">
        <f>C19*D$1</f>
        <v>1136.3733052166776</v>
      </c>
      <c r="E19" s="250">
        <f>D19*E1</f>
        <v>1136.3733052166776</v>
      </c>
      <c r="F19" s="250">
        <f>E19*F1</f>
        <v>1148.873411574061</v>
      </c>
      <c r="G19" s="250">
        <f>F19*G1</f>
        <v>1175.449151330592</v>
      </c>
      <c r="H19" s="250">
        <f>G19*H1</f>
        <v>1215.1470933666023</v>
      </c>
      <c r="J19" s="249">
        <f>'Proposed price'!Y20</f>
        <v>1592.0920590112312</v>
      </c>
      <c r="K19" s="250">
        <f>J19*K$1</f>
        <v>1592.0920590112312</v>
      </c>
      <c r="L19" s="250">
        <f>K19*L1</f>
        <v>1592.0920590112312</v>
      </c>
      <c r="M19" s="250">
        <f>L19*M1</f>
        <v>1609.6050716603545</v>
      </c>
      <c r="N19" s="250">
        <f>M19*N1</f>
        <v>1646.8384561780017</v>
      </c>
      <c r="O19" s="250">
        <f>N19*O1</f>
        <v>1702.4564278291125</v>
      </c>
    </row>
    <row r="20" spans="2:15" x14ac:dyDescent="0.25">
      <c r="B20" s="248" t="s">
        <v>147</v>
      </c>
      <c r="C20" s="249">
        <f>'Proposed price'!I20</f>
        <v>217.0567991718095</v>
      </c>
      <c r="D20" s="250">
        <f>C20</f>
        <v>217.0567991718095</v>
      </c>
      <c r="E20" s="250">
        <f t="shared" ref="E20:H21" si="23">D20</f>
        <v>217.0567991718095</v>
      </c>
      <c r="F20" s="250">
        <f t="shared" si="23"/>
        <v>217.0567991718095</v>
      </c>
      <c r="G20" s="250">
        <f t="shared" si="23"/>
        <v>217.0567991718095</v>
      </c>
      <c r="H20" s="250">
        <f t="shared" si="23"/>
        <v>217.0567991718095</v>
      </c>
      <c r="J20" s="249">
        <f>'Proposed price'!Z20</f>
        <v>217.0567991718095</v>
      </c>
      <c r="K20" s="250">
        <f>J20</f>
        <v>217.0567991718095</v>
      </c>
      <c r="L20" s="250">
        <f t="shared" ref="L20:O21" si="24">K20</f>
        <v>217.0567991718095</v>
      </c>
      <c r="M20" s="250">
        <f t="shared" si="24"/>
        <v>217.0567991718095</v>
      </c>
      <c r="N20" s="250">
        <f t="shared" si="24"/>
        <v>217.0567991718095</v>
      </c>
      <c r="O20" s="250">
        <f t="shared" si="24"/>
        <v>217.0567991718095</v>
      </c>
    </row>
    <row r="21" spans="2:15" x14ac:dyDescent="0.25">
      <c r="B21" s="248" t="s">
        <v>148</v>
      </c>
      <c r="C21" s="249">
        <f>'Proposed price'!J20</f>
        <v>0</v>
      </c>
      <c r="D21" s="250">
        <f>C21</f>
        <v>0</v>
      </c>
      <c r="E21" s="250">
        <f t="shared" si="23"/>
        <v>0</v>
      </c>
      <c r="F21" s="250">
        <f t="shared" si="23"/>
        <v>0</v>
      </c>
      <c r="G21" s="250">
        <f t="shared" si="23"/>
        <v>0</v>
      </c>
      <c r="H21" s="250">
        <f t="shared" si="23"/>
        <v>0</v>
      </c>
      <c r="J21" s="249">
        <f>'Proposed price'!AA20</f>
        <v>0</v>
      </c>
      <c r="K21" s="250">
        <f>J21</f>
        <v>0</v>
      </c>
      <c r="L21" s="250">
        <f t="shared" si="24"/>
        <v>0</v>
      </c>
      <c r="M21" s="250">
        <f t="shared" si="24"/>
        <v>0</v>
      </c>
      <c r="N21" s="250">
        <f t="shared" si="24"/>
        <v>0</v>
      </c>
      <c r="O21" s="250">
        <f t="shared" si="24"/>
        <v>0</v>
      </c>
    </row>
    <row r="22" spans="2:15" s="229" customFormat="1" x14ac:dyDescent="0.25">
      <c r="B22" s="251" t="s">
        <v>172</v>
      </c>
      <c r="C22" s="316">
        <f>'Proposed price'!M20</f>
        <v>1353.4301043884871</v>
      </c>
      <c r="D22" s="241">
        <f>SUM(D19:D21)</f>
        <v>1353.4301043884871</v>
      </c>
      <c r="E22" s="241">
        <f t="shared" ref="E22:H22" si="25">SUM(E19:E21)</f>
        <v>1353.4301043884871</v>
      </c>
      <c r="F22" s="241">
        <f t="shared" si="25"/>
        <v>1365.9302107458705</v>
      </c>
      <c r="G22" s="241">
        <f t="shared" si="25"/>
        <v>1392.5059505024014</v>
      </c>
      <c r="H22" s="241">
        <f t="shared" si="25"/>
        <v>1432.2038925384118</v>
      </c>
      <c r="J22" s="316">
        <f>'Proposed price'!AD20</f>
        <v>1809.1488581830411</v>
      </c>
      <c r="K22" s="241">
        <f>SUM(K19:K21)</f>
        <v>1809.1488581830406</v>
      </c>
      <c r="L22" s="241">
        <f t="shared" ref="L22:O22" si="26">SUM(L19:L21)</f>
        <v>1809.1488581830406</v>
      </c>
      <c r="M22" s="241">
        <f t="shared" si="26"/>
        <v>1826.6618708321639</v>
      </c>
      <c r="N22" s="241">
        <f t="shared" si="26"/>
        <v>1863.8952553498111</v>
      </c>
      <c r="O22" s="241">
        <f t="shared" si="26"/>
        <v>1919.5132270009219</v>
      </c>
    </row>
    <row r="23" spans="2:15" x14ac:dyDescent="0.25">
      <c r="B23" s="248" t="s">
        <v>152</v>
      </c>
      <c r="C23" s="249">
        <f>'Proposed price'!N20</f>
        <v>631.06502907401966</v>
      </c>
      <c r="D23" s="250">
        <f>D22*D$3</f>
        <v>630.59910246250274</v>
      </c>
      <c r="E23" s="250">
        <f t="shared" ref="E23:H23" si="27">E22*E$3</f>
        <v>630.59910246250274</v>
      </c>
      <c r="F23" s="250">
        <f t="shared" si="27"/>
        <v>636.42323466119751</v>
      </c>
      <c r="G23" s="250">
        <f t="shared" si="27"/>
        <v>648.80557903450926</v>
      </c>
      <c r="H23" s="250">
        <f t="shared" si="27"/>
        <v>667.30190665153634</v>
      </c>
      <c r="J23" s="249">
        <f>'Proposed price'!AE20</f>
        <v>843.39652383415705</v>
      </c>
      <c r="K23" s="250">
        <f>K22*K$3</f>
        <v>842.93059722263979</v>
      </c>
      <c r="L23" s="250">
        <f t="shared" ref="L23:O23" si="28">L22*L$3</f>
        <v>842.93059722263979</v>
      </c>
      <c r="M23" s="250">
        <f t="shared" si="28"/>
        <v>851.09037586369595</v>
      </c>
      <c r="N23" s="250">
        <f t="shared" si="28"/>
        <v>868.43840054730401</v>
      </c>
      <c r="O23" s="250">
        <f t="shared" si="28"/>
        <v>894.35229361814129</v>
      </c>
    </row>
    <row r="24" spans="2:15" x14ac:dyDescent="0.25">
      <c r="B24" s="248" t="s">
        <v>153</v>
      </c>
      <c r="C24" s="249">
        <f>'Proposed price'!O20</f>
        <v>217.05985176963392</v>
      </c>
      <c r="D24" s="250">
        <f>D22*D$4</f>
        <v>217.05985176963387</v>
      </c>
      <c r="E24" s="250">
        <f t="shared" ref="E24:H24" si="29">E22*E$4</f>
        <v>217.05985176963387</v>
      </c>
      <c r="F24" s="250">
        <f t="shared" si="29"/>
        <v>219.06458864096587</v>
      </c>
      <c r="G24" s="250">
        <f t="shared" si="29"/>
        <v>223.3267416058782</v>
      </c>
      <c r="H24" s="250">
        <f t="shared" si="29"/>
        <v>229.69340168382081</v>
      </c>
      <c r="J24" s="249">
        <f>'Proposed price'!AF20</f>
        <v>290.14692499679683</v>
      </c>
      <c r="K24" s="250">
        <f>K22*K$4</f>
        <v>290.14692499679677</v>
      </c>
      <c r="L24" s="250">
        <f t="shared" ref="L24:O24" si="30">L22*L$4</f>
        <v>290.14692499679677</v>
      </c>
      <c r="M24" s="250">
        <f t="shared" si="30"/>
        <v>292.9556196736275</v>
      </c>
      <c r="N24" s="250">
        <f t="shared" si="30"/>
        <v>298.92701996838736</v>
      </c>
      <c r="O24" s="250">
        <f t="shared" si="30"/>
        <v>307.8468959510281</v>
      </c>
    </row>
    <row r="25" spans="2:15" x14ac:dyDescent="0.25">
      <c r="B25" s="248" t="s">
        <v>154</v>
      </c>
      <c r="C25" s="249">
        <f>'Proposed price'!P20</f>
        <v>139.65648809772</v>
      </c>
      <c r="D25" s="250">
        <f>SUM(D22:D24)*D$5</f>
        <v>139.59306809771996</v>
      </c>
      <c r="E25" s="250">
        <f t="shared" ref="E25:H25" si="31">SUM(E22:E24)*E$5</f>
        <v>139.59306809771996</v>
      </c>
      <c r="F25" s="250">
        <f t="shared" si="31"/>
        <v>140.88233171932632</v>
      </c>
      <c r="G25" s="250">
        <f t="shared" si="31"/>
        <v>143.6233591558757</v>
      </c>
      <c r="H25" s="250">
        <f t="shared" si="31"/>
        <v>147.71781331941443</v>
      </c>
      <c r="J25" s="249">
        <f>'Proposed price'!AG20</f>
        <v>186.65941704512517</v>
      </c>
      <c r="K25" s="250">
        <f>SUM(K22:K24)*K$5</f>
        <v>186.5959970451251</v>
      </c>
      <c r="L25" s="250">
        <f t="shared" ref="L25:O25" si="32">SUM(L22:L24)*L$5</f>
        <v>186.5959970451251</v>
      </c>
      <c r="M25" s="250">
        <f t="shared" si="32"/>
        <v>188.40229288515292</v>
      </c>
      <c r="N25" s="250">
        <f t="shared" si="32"/>
        <v>192.24255206339018</v>
      </c>
      <c r="O25" s="250">
        <f t="shared" si="32"/>
        <v>197.97900145887522</v>
      </c>
    </row>
    <row r="26" spans="2:15" s="229" customFormat="1" x14ac:dyDescent="0.25">
      <c r="B26" s="252" t="s">
        <v>176</v>
      </c>
      <c r="C26" s="253">
        <f>'Proposed price'!Q20</f>
        <v>2340.6821267183441</v>
      </c>
      <c r="D26" s="254">
        <f>SUM(D22:D25)</f>
        <v>2340.6821267183436</v>
      </c>
      <c r="E26" s="254">
        <f t="shared" ref="E26:H26" si="33">SUM(E22:E25)</f>
        <v>2340.6821267183436</v>
      </c>
      <c r="F26" s="254">
        <f t="shared" si="33"/>
        <v>2362.3003657673603</v>
      </c>
      <c r="G26" s="254">
        <f t="shared" si="33"/>
        <v>2408.2616302986648</v>
      </c>
      <c r="H26" s="254">
        <f t="shared" si="33"/>
        <v>2476.9170141931831</v>
      </c>
      <c r="J26" s="253">
        <f>'Proposed price'!AH20</f>
        <v>3128.8223774476037</v>
      </c>
      <c r="K26" s="254">
        <f>SUM(K22:K25)</f>
        <v>3128.8223774476019</v>
      </c>
      <c r="L26" s="254">
        <f t="shared" ref="L26:O26" si="34">SUM(L22:L25)</f>
        <v>3128.8223774476019</v>
      </c>
      <c r="M26" s="254">
        <f t="shared" si="34"/>
        <v>3159.1101592546402</v>
      </c>
      <c r="N26" s="254">
        <f t="shared" si="34"/>
        <v>3223.5032279288926</v>
      </c>
      <c r="O26" s="254">
        <f t="shared" si="34"/>
        <v>3319.6914180289668</v>
      </c>
    </row>
    <row r="27" spans="2:15" x14ac:dyDescent="0.25">
      <c r="B27" s="255" t="s">
        <v>177</v>
      </c>
      <c r="C27" s="250"/>
      <c r="D27" s="256">
        <v>1</v>
      </c>
      <c r="E27" s="256">
        <v>1</v>
      </c>
      <c r="F27" s="256">
        <v>1</v>
      </c>
      <c r="G27" s="256">
        <v>1</v>
      </c>
      <c r="H27" s="256">
        <v>1</v>
      </c>
      <c r="J27" s="250"/>
      <c r="K27" s="256">
        <v>0</v>
      </c>
      <c r="L27" s="256">
        <v>0</v>
      </c>
      <c r="M27" s="256">
        <v>0</v>
      </c>
      <c r="N27" s="256">
        <v>0</v>
      </c>
      <c r="O27" s="256">
        <v>0</v>
      </c>
    </row>
    <row r="28" spans="2:15" s="229" customFormat="1" x14ac:dyDescent="0.25">
      <c r="B28" s="243" t="s">
        <v>178</v>
      </c>
      <c r="C28" s="241"/>
      <c r="D28" s="242">
        <f>D26*D27</f>
        <v>2340.6821267183436</v>
      </c>
      <c r="E28" s="242">
        <f t="shared" ref="E28:H28" si="35">E26*E27</f>
        <v>2340.6821267183436</v>
      </c>
      <c r="F28" s="242">
        <f t="shared" si="35"/>
        <v>2362.3003657673603</v>
      </c>
      <c r="G28" s="242">
        <f t="shared" si="35"/>
        <v>2408.2616302986648</v>
      </c>
      <c r="H28" s="242">
        <f t="shared" si="35"/>
        <v>2476.9170141931831</v>
      </c>
      <c r="J28" s="241"/>
      <c r="K28" s="242">
        <f>K27*K26</f>
        <v>0</v>
      </c>
      <c r="L28" s="242">
        <f t="shared" ref="L28:O28" si="36">L27*L26</f>
        <v>0</v>
      </c>
      <c r="M28" s="242">
        <f t="shared" si="36"/>
        <v>0</v>
      </c>
      <c r="N28" s="242">
        <f t="shared" si="36"/>
        <v>0</v>
      </c>
      <c r="O28" s="242">
        <f t="shared" si="36"/>
        <v>0</v>
      </c>
    </row>
    <row r="30" spans="2:15" x14ac:dyDescent="0.25">
      <c r="B30" s="247" t="s">
        <v>98</v>
      </c>
      <c r="C30" s="230"/>
      <c r="D30" s="307" t="s">
        <v>175</v>
      </c>
      <c r="E30" s="308"/>
      <c r="F30" s="308"/>
      <c r="G30" s="308"/>
      <c r="H30" s="308"/>
      <c r="J30" s="230"/>
      <c r="K30" s="307" t="s">
        <v>175</v>
      </c>
      <c r="L30" s="308"/>
      <c r="M30" s="308"/>
      <c r="N30" s="308"/>
      <c r="O30" s="308"/>
    </row>
    <row r="31" spans="2:15" x14ac:dyDescent="0.25">
      <c r="B31" s="248" t="s">
        <v>146</v>
      </c>
      <c r="C31" s="249">
        <f>'Proposed price'!H35</f>
        <v>1683.5306049290928</v>
      </c>
      <c r="D31" s="250">
        <f>C31*D$1</f>
        <v>1683.5306049290928</v>
      </c>
      <c r="E31" s="250">
        <f t="shared" ref="E31:H31" si="37">D31*E$1</f>
        <v>1683.5306049290928</v>
      </c>
      <c r="F31" s="250">
        <f t="shared" si="37"/>
        <v>1702.0494415833125</v>
      </c>
      <c r="G31" s="250">
        <f t="shared" si="37"/>
        <v>1741.4212492660176</v>
      </c>
      <c r="H31" s="250">
        <f t="shared" si="37"/>
        <v>1800.2335251823208</v>
      </c>
      <c r="J31" s="249">
        <f>'Proposed price'!Y35</f>
        <v>2692.6221311884619</v>
      </c>
      <c r="K31" s="250">
        <f>J31*K$1</f>
        <v>2692.6221311884619</v>
      </c>
      <c r="L31" s="250">
        <f t="shared" ref="L31:O31" si="38">K31*L$1</f>
        <v>2692.6221311884619</v>
      </c>
      <c r="M31" s="250">
        <f t="shared" si="38"/>
        <v>2722.2409746315348</v>
      </c>
      <c r="N31" s="250">
        <f t="shared" si="38"/>
        <v>2785.2118528567112</v>
      </c>
      <c r="O31" s="250">
        <f t="shared" si="38"/>
        <v>2879.2756229207366</v>
      </c>
    </row>
    <row r="32" spans="2:15" x14ac:dyDescent="0.25">
      <c r="B32" s="248" t="s">
        <v>147</v>
      </c>
      <c r="C32" s="249">
        <f>'Proposed price'!I35</f>
        <v>365.05007133440688</v>
      </c>
      <c r="D32" s="250">
        <f>C32</f>
        <v>365.05007133440688</v>
      </c>
      <c r="E32" s="250">
        <f t="shared" ref="E32:H32" si="39">D32</f>
        <v>365.05007133440688</v>
      </c>
      <c r="F32" s="250">
        <f t="shared" si="39"/>
        <v>365.05007133440688</v>
      </c>
      <c r="G32" s="250">
        <f t="shared" si="39"/>
        <v>365.05007133440688</v>
      </c>
      <c r="H32" s="250">
        <f t="shared" si="39"/>
        <v>365.05007133440688</v>
      </c>
      <c r="J32" s="249">
        <f>'Proposed price'!Z35</f>
        <v>365.05007133440688</v>
      </c>
      <c r="K32" s="250">
        <f>J32</f>
        <v>365.05007133440688</v>
      </c>
      <c r="L32" s="250">
        <f t="shared" ref="L32:O33" si="40">K32</f>
        <v>365.05007133440688</v>
      </c>
      <c r="M32" s="250">
        <f t="shared" si="40"/>
        <v>365.05007133440688</v>
      </c>
      <c r="N32" s="250">
        <f t="shared" si="40"/>
        <v>365.05007133440688</v>
      </c>
      <c r="O32" s="250">
        <f t="shared" si="40"/>
        <v>365.05007133440688</v>
      </c>
    </row>
    <row r="33" spans="2:15" x14ac:dyDescent="0.25">
      <c r="B33" s="248" t="s">
        <v>148</v>
      </c>
      <c r="C33" s="249">
        <f>'Proposed price'!J35</f>
        <v>0</v>
      </c>
      <c r="D33" s="250">
        <f>C33</f>
        <v>0</v>
      </c>
      <c r="E33" s="250">
        <f t="shared" ref="E33:H33" si="41">D33</f>
        <v>0</v>
      </c>
      <c r="F33" s="250">
        <f t="shared" si="41"/>
        <v>0</v>
      </c>
      <c r="G33" s="250">
        <f t="shared" si="41"/>
        <v>0</v>
      </c>
      <c r="H33" s="250">
        <f t="shared" si="41"/>
        <v>0</v>
      </c>
      <c r="J33" s="249">
        <f>'Proposed price'!AA35</f>
        <v>0</v>
      </c>
      <c r="K33" s="250">
        <f>J33</f>
        <v>0</v>
      </c>
      <c r="L33" s="250">
        <f t="shared" si="40"/>
        <v>0</v>
      </c>
      <c r="M33" s="250">
        <f t="shared" si="40"/>
        <v>0</v>
      </c>
      <c r="N33" s="250">
        <f t="shared" si="40"/>
        <v>0</v>
      </c>
      <c r="O33" s="250">
        <f t="shared" si="40"/>
        <v>0</v>
      </c>
    </row>
    <row r="34" spans="2:15" x14ac:dyDescent="0.25">
      <c r="B34" s="251" t="s">
        <v>172</v>
      </c>
      <c r="C34" s="316">
        <f>'Proposed price'!M35</f>
        <v>2048.5806762634998</v>
      </c>
      <c r="D34" s="241">
        <f>SUM(D31:D33)</f>
        <v>2048.5806762634998</v>
      </c>
      <c r="E34" s="241">
        <f t="shared" ref="E34:H34" si="42">SUM(E31:E33)</f>
        <v>2048.5806762634998</v>
      </c>
      <c r="F34" s="241">
        <f t="shared" si="42"/>
        <v>2067.0995129177195</v>
      </c>
      <c r="G34" s="241">
        <f t="shared" si="42"/>
        <v>2106.4713206004244</v>
      </c>
      <c r="H34" s="241">
        <f t="shared" si="42"/>
        <v>2165.2835965167278</v>
      </c>
      <c r="J34" s="316">
        <f>'Proposed price'!AD35</f>
        <v>3057.6722025228692</v>
      </c>
      <c r="K34" s="241">
        <f>SUM(K31:K33)</f>
        <v>3057.6722025228687</v>
      </c>
      <c r="L34" s="241">
        <f t="shared" ref="L34:O34" si="43">SUM(L31:L33)</f>
        <v>3057.6722025228687</v>
      </c>
      <c r="M34" s="241">
        <f t="shared" si="43"/>
        <v>3087.2910459659415</v>
      </c>
      <c r="N34" s="241">
        <f t="shared" si="43"/>
        <v>3150.2619241911179</v>
      </c>
      <c r="O34" s="241">
        <f t="shared" si="43"/>
        <v>3244.3256942551434</v>
      </c>
    </row>
    <row r="35" spans="2:15" x14ac:dyDescent="0.25">
      <c r="B35" s="248" t="s">
        <v>152</v>
      </c>
      <c r="C35" s="249">
        <f>'Proposed price'!N35</f>
        <v>954.48825291016556</v>
      </c>
      <c r="D35" s="250">
        <f>D34*D$3</f>
        <v>954.48825291016556</v>
      </c>
      <c r="E35" s="250">
        <f t="shared" ref="E35:H35" si="44">E34*E$3</f>
        <v>954.48825291016556</v>
      </c>
      <c r="F35" s="250">
        <f t="shared" si="44"/>
        <v>963.11667172169848</v>
      </c>
      <c r="G35" s="250">
        <f t="shared" si="44"/>
        <v>981.46104466459076</v>
      </c>
      <c r="H35" s="250">
        <f t="shared" si="44"/>
        <v>1008.8632490978628</v>
      </c>
      <c r="J35" s="249">
        <f>'Proposed price'!AE35</f>
        <v>1424.6508484504693</v>
      </c>
      <c r="K35" s="250">
        <f>K34*K$3</f>
        <v>1424.6508484504691</v>
      </c>
      <c r="L35" s="250">
        <f t="shared" ref="L35:O35" si="45">L34*L$3</f>
        <v>1424.6508484504691</v>
      </c>
      <c r="M35" s="250">
        <f t="shared" si="45"/>
        <v>1438.4510558129455</v>
      </c>
      <c r="N35" s="250">
        <f t="shared" si="45"/>
        <v>1467.7908637286364</v>
      </c>
      <c r="O35" s="250">
        <f t="shared" si="45"/>
        <v>1511.6176773810594</v>
      </c>
    </row>
    <row r="36" spans="2:15" x14ac:dyDescent="0.25">
      <c r="B36" s="248" t="s">
        <v>153</v>
      </c>
      <c r="C36" s="249">
        <f>'Proposed price'!O35</f>
        <v>328.54642178127256</v>
      </c>
      <c r="D36" s="250">
        <f>D34*D$4</f>
        <v>328.54642178127256</v>
      </c>
      <c r="E36" s="250">
        <f t="shared" ref="E36:H36" si="46">E34*E$4</f>
        <v>328.54642178127256</v>
      </c>
      <c r="F36" s="250">
        <f t="shared" si="46"/>
        <v>331.51642808309572</v>
      </c>
      <c r="G36" s="250">
        <f t="shared" si="46"/>
        <v>337.83078352103075</v>
      </c>
      <c r="H36" s="250">
        <f t="shared" si="46"/>
        <v>347.2629543078595</v>
      </c>
      <c r="J36" s="249">
        <f>'Proposed price'!AF35</f>
        <v>490.38208392713335</v>
      </c>
      <c r="K36" s="250">
        <f>K34*K$4</f>
        <v>490.38208392713329</v>
      </c>
      <c r="L36" s="250">
        <f t="shared" ref="L36:O36" si="47">L34*L$4</f>
        <v>490.38208392713329</v>
      </c>
      <c r="M36" s="250">
        <f t="shared" si="47"/>
        <v>495.13228251256095</v>
      </c>
      <c r="N36" s="250">
        <f t="shared" si="47"/>
        <v>505.2313998951584</v>
      </c>
      <c r="O36" s="250">
        <f t="shared" si="47"/>
        <v>520.31712018524706</v>
      </c>
    </row>
    <row r="37" spans="2:15" x14ac:dyDescent="0.25">
      <c r="B37" s="248" t="s">
        <v>154</v>
      </c>
      <c r="C37" s="249">
        <f>'Proposed price'!P35</f>
        <v>211.2910455575622</v>
      </c>
      <c r="D37" s="250">
        <f>SUM(D34:D36)*D$5</f>
        <v>211.29104555756217</v>
      </c>
      <c r="E37" s="250">
        <f t="shared" ref="E37:H37" si="48">SUM(E34:E36)*E$5</f>
        <v>211.29104555756217</v>
      </c>
      <c r="F37" s="250">
        <f t="shared" si="48"/>
        <v>213.20108229886185</v>
      </c>
      <c r="G37" s="250">
        <f t="shared" si="48"/>
        <v>217.26189889601105</v>
      </c>
      <c r="H37" s="250">
        <f t="shared" si="48"/>
        <v>223.3278095110818</v>
      </c>
      <c r="J37" s="249">
        <f>'Proposed price'!AG35</f>
        <v>315.36895965538798</v>
      </c>
      <c r="K37" s="250">
        <f>SUM(K34:K36)*K$5</f>
        <v>315.36895965538787</v>
      </c>
      <c r="L37" s="250">
        <f t="shared" ref="L37:O37" si="49">SUM(L34:L36)*L$5</f>
        <v>315.36895965538787</v>
      </c>
      <c r="M37" s="250">
        <f t="shared" si="49"/>
        <v>318.42385345176365</v>
      </c>
      <c r="N37" s="250">
        <f t="shared" si="49"/>
        <v>324.91868319122182</v>
      </c>
      <c r="O37" s="250">
        <f t="shared" si="49"/>
        <v>334.62044039131638</v>
      </c>
    </row>
    <row r="38" spans="2:15" x14ac:dyDescent="0.25">
      <c r="B38" s="252" t="s">
        <v>176</v>
      </c>
      <c r="C38" s="253">
        <f>'Proposed price'!Q35</f>
        <v>3542.9063965125001</v>
      </c>
      <c r="D38" s="254">
        <f>SUM(D34:D37)</f>
        <v>3542.9063965124997</v>
      </c>
      <c r="E38" s="254">
        <f t="shared" ref="E38:H38" si="50">SUM(E34:E37)</f>
        <v>3542.9063965124997</v>
      </c>
      <c r="F38" s="254">
        <f t="shared" si="50"/>
        <v>3574.9336950213756</v>
      </c>
      <c r="G38" s="254">
        <f t="shared" si="50"/>
        <v>3643.025047682057</v>
      </c>
      <c r="H38" s="254">
        <f t="shared" si="50"/>
        <v>3744.7376094335318</v>
      </c>
      <c r="J38" s="253">
        <f>'Proposed price'!AH35</f>
        <v>5288.0740945558609</v>
      </c>
      <c r="K38" s="254">
        <f>SUM(K34:K37)</f>
        <v>5288.0740945558582</v>
      </c>
      <c r="L38" s="254">
        <f t="shared" ref="L38:O38" si="51">SUM(L34:L37)</f>
        <v>5288.0740945558582</v>
      </c>
      <c r="M38" s="254">
        <f t="shared" si="51"/>
        <v>5339.2982377432118</v>
      </c>
      <c r="N38" s="254">
        <f t="shared" si="51"/>
        <v>5448.202871006135</v>
      </c>
      <c r="O38" s="254">
        <f t="shared" si="51"/>
        <v>5610.8809322127663</v>
      </c>
    </row>
    <row r="39" spans="2:15" x14ac:dyDescent="0.25">
      <c r="B39" s="255" t="s">
        <v>177</v>
      </c>
      <c r="C39" s="250"/>
      <c r="D39" s="256">
        <f>'Forecast Revenue - Costs'!D12</f>
        <v>1</v>
      </c>
      <c r="E39" s="256">
        <f>'Forecast Revenue - Costs'!E12</f>
        <v>1</v>
      </c>
      <c r="F39" s="256">
        <f>'Forecast Revenue - Costs'!F12</f>
        <v>1</v>
      </c>
      <c r="G39" s="256">
        <f>'Forecast Revenue - Costs'!G12</f>
        <v>1</v>
      </c>
      <c r="H39" s="256">
        <f>'Forecast Revenue - Costs'!H12</f>
        <v>1</v>
      </c>
      <c r="J39" s="250"/>
      <c r="K39" s="256">
        <v>0</v>
      </c>
      <c r="L39" s="256">
        <v>0</v>
      </c>
      <c r="M39" s="256">
        <v>0</v>
      </c>
      <c r="N39" s="256">
        <v>0</v>
      </c>
      <c r="O39" s="256">
        <v>0</v>
      </c>
    </row>
    <row r="40" spans="2:15" x14ac:dyDescent="0.25">
      <c r="B40" s="243" t="s">
        <v>178</v>
      </c>
      <c r="C40" s="241"/>
      <c r="D40" s="242">
        <f>D38*D39</f>
        <v>3542.9063965124997</v>
      </c>
      <c r="E40" s="242">
        <f t="shared" ref="E40:H40" si="52">E38*E39</f>
        <v>3542.9063965124997</v>
      </c>
      <c r="F40" s="242">
        <f t="shared" si="52"/>
        <v>3574.9336950213756</v>
      </c>
      <c r="G40" s="242">
        <f t="shared" si="52"/>
        <v>3643.025047682057</v>
      </c>
      <c r="H40" s="242">
        <f t="shared" si="52"/>
        <v>3744.7376094335318</v>
      </c>
      <c r="J40" s="241"/>
      <c r="K40" s="242">
        <f>K39*K38</f>
        <v>0</v>
      </c>
      <c r="L40" s="242">
        <f t="shared" ref="L40:O40" si="53">L39*L38</f>
        <v>0</v>
      </c>
      <c r="M40" s="242">
        <f t="shared" si="53"/>
        <v>0</v>
      </c>
      <c r="N40" s="242">
        <f t="shared" si="53"/>
        <v>0</v>
      </c>
      <c r="O40" s="242">
        <f t="shared" si="53"/>
        <v>0</v>
      </c>
    </row>
    <row r="42" spans="2:15" x14ac:dyDescent="0.25">
      <c r="B42" s="247" t="s">
        <v>69</v>
      </c>
      <c r="C42" s="230"/>
      <c r="D42" s="307" t="s">
        <v>175</v>
      </c>
      <c r="E42" s="308"/>
      <c r="F42" s="308"/>
      <c r="G42" s="308"/>
      <c r="H42" s="308"/>
      <c r="J42" s="230"/>
      <c r="K42" s="307" t="s">
        <v>175</v>
      </c>
      <c r="L42" s="308"/>
      <c r="M42" s="308"/>
      <c r="N42" s="308"/>
      <c r="O42" s="308"/>
    </row>
    <row r="43" spans="2:15" x14ac:dyDescent="0.25">
      <c r="B43" s="248" t="s">
        <v>146</v>
      </c>
      <c r="C43" s="249">
        <f>'Proposed price'!H49</f>
        <v>1404.0963922852652</v>
      </c>
      <c r="D43" s="250">
        <f>C43*D$1</f>
        <v>1404.0963922852652</v>
      </c>
      <c r="E43" s="250">
        <f t="shared" ref="E43:H43" si="54">D43*E$1</f>
        <v>1404.0963922852652</v>
      </c>
      <c r="F43" s="250">
        <f t="shared" si="54"/>
        <v>1419.5414526004031</v>
      </c>
      <c r="G43" s="250">
        <f t="shared" si="54"/>
        <v>1452.3782854819556</v>
      </c>
      <c r="H43" s="250">
        <f t="shared" si="54"/>
        <v>1501.4288368615337</v>
      </c>
      <c r="J43" s="249">
        <f>'Proposed price'!Y49</f>
        <v>2250.4312207608655</v>
      </c>
      <c r="K43" s="250">
        <f>J43*K$1</f>
        <v>2250.4312207608655</v>
      </c>
      <c r="L43" s="250">
        <f t="shared" ref="L43:O43" si="55">K43*L$1</f>
        <v>2250.4312207608655</v>
      </c>
      <c r="M43" s="250">
        <f t="shared" si="55"/>
        <v>2275.1859641892347</v>
      </c>
      <c r="N43" s="250">
        <f t="shared" si="55"/>
        <v>2327.8155659128597</v>
      </c>
      <c r="O43" s="250">
        <f t="shared" si="55"/>
        <v>2406.4318865776245</v>
      </c>
    </row>
    <row r="44" spans="2:15" x14ac:dyDescent="0.25">
      <c r="B44" s="248" t="s">
        <v>147</v>
      </c>
      <c r="C44" s="249">
        <f>'Proposed price'!I49</f>
        <v>295.98654432519476</v>
      </c>
      <c r="D44" s="250">
        <f>C44</f>
        <v>295.98654432519476</v>
      </c>
      <c r="E44" s="250">
        <f t="shared" ref="E44:H44" si="56">D44</f>
        <v>295.98654432519476</v>
      </c>
      <c r="F44" s="250">
        <f t="shared" si="56"/>
        <v>295.98654432519476</v>
      </c>
      <c r="G44" s="250">
        <f t="shared" si="56"/>
        <v>295.98654432519476</v>
      </c>
      <c r="H44" s="250">
        <f t="shared" si="56"/>
        <v>295.98654432519476</v>
      </c>
      <c r="J44" s="249">
        <f>'Proposed price'!Z49</f>
        <v>295.98654432519476</v>
      </c>
      <c r="K44" s="250">
        <f>J44</f>
        <v>295.98654432519476</v>
      </c>
      <c r="L44" s="250">
        <f t="shared" ref="L44:O45" si="57">K44</f>
        <v>295.98654432519476</v>
      </c>
      <c r="M44" s="250">
        <f t="shared" si="57"/>
        <v>295.98654432519476</v>
      </c>
      <c r="N44" s="250">
        <f t="shared" si="57"/>
        <v>295.98654432519476</v>
      </c>
      <c r="O44" s="250">
        <f t="shared" si="57"/>
        <v>295.98654432519476</v>
      </c>
    </row>
    <row r="45" spans="2:15" x14ac:dyDescent="0.25">
      <c r="B45" s="248" t="s">
        <v>148</v>
      </c>
      <c r="C45" s="249">
        <f>'Proposed price'!J49</f>
        <v>0</v>
      </c>
      <c r="D45" s="250">
        <f>C45</f>
        <v>0</v>
      </c>
      <c r="E45" s="250">
        <f t="shared" ref="E45:H45" si="58">D45</f>
        <v>0</v>
      </c>
      <c r="F45" s="250">
        <f t="shared" si="58"/>
        <v>0</v>
      </c>
      <c r="G45" s="250">
        <f t="shared" si="58"/>
        <v>0</v>
      </c>
      <c r="H45" s="250">
        <f t="shared" si="58"/>
        <v>0</v>
      </c>
      <c r="J45" s="249">
        <f>'Proposed price'!AA49</f>
        <v>0</v>
      </c>
      <c r="K45" s="250">
        <f>J45</f>
        <v>0</v>
      </c>
      <c r="L45" s="250">
        <f t="shared" si="57"/>
        <v>0</v>
      </c>
      <c r="M45" s="250">
        <f t="shared" si="57"/>
        <v>0</v>
      </c>
      <c r="N45" s="250">
        <f t="shared" si="57"/>
        <v>0</v>
      </c>
      <c r="O45" s="250">
        <f t="shared" si="57"/>
        <v>0</v>
      </c>
    </row>
    <row r="46" spans="2:15" x14ac:dyDescent="0.25">
      <c r="B46" s="251" t="s">
        <v>172</v>
      </c>
      <c r="C46" s="316">
        <f>'Proposed price'!M49</f>
        <v>1700.0829366104599</v>
      </c>
      <c r="D46" s="241">
        <f>SUM(D43:D45)</f>
        <v>1700.0829366104599</v>
      </c>
      <c r="E46" s="241">
        <f t="shared" ref="E46:H46" si="59">SUM(E43:E45)</f>
        <v>1700.0829366104599</v>
      </c>
      <c r="F46" s="241">
        <f t="shared" si="59"/>
        <v>1715.5279969255978</v>
      </c>
      <c r="G46" s="241">
        <f t="shared" si="59"/>
        <v>1748.3648298071503</v>
      </c>
      <c r="H46" s="241">
        <f t="shared" si="59"/>
        <v>1797.4153811867284</v>
      </c>
      <c r="I46" s="229"/>
      <c r="J46" s="316">
        <f>'Proposed price'!AD49</f>
        <v>2546.4177650860602</v>
      </c>
      <c r="K46" s="241">
        <f>SUM(K43:K45)</f>
        <v>2546.4177650860602</v>
      </c>
      <c r="L46" s="241">
        <f t="shared" ref="L46:O46" si="60">SUM(L43:L45)</f>
        <v>2546.4177650860602</v>
      </c>
      <c r="M46" s="241">
        <f t="shared" si="60"/>
        <v>2571.1725085144294</v>
      </c>
      <c r="N46" s="241">
        <f t="shared" si="60"/>
        <v>2623.8021102380544</v>
      </c>
      <c r="O46" s="241">
        <f t="shared" si="60"/>
        <v>2702.4184309028192</v>
      </c>
    </row>
    <row r="47" spans="2:15" x14ac:dyDescent="0.25">
      <c r="B47" s="248" t="s">
        <v>152</v>
      </c>
      <c r="C47" s="249">
        <f>'Proposed price'!N49</f>
        <v>792.11388195237464</v>
      </c>
      <c r="D47" s="250">
        <f>D46*D$3</f>
        <v>792.11388195237453</v>
      </c>
      <c r="E47" s="250">
        <f t="shared" ref="E47:H47" si="61">E46*E$3</f>
        <v>792.11388195237453</v>
      </c>
      <c r="F47" s="250">
        <f t="shared" si="61"/>
        <v>799.31014656967875</v>
      </c>
      <c r="G47" s="250">
        <f t="shared" si="61"/>
        <v>814.60970084712267</v>
      </c>
      <c r="H47" s="250">
        <f t="shared" si="61"/>
        <v>837.46365804443826</v>
      </c>
      <c r="J47" s="249">
        <f>'Proposed price'!AE49</f>
        <v>1186.4438007926292</v>
      </c>
      <c r="K47" s="250">
        <f>K46*K$3</f>
        <v>1186.4438007926294</v>
      </c>
      <c r="L47" s="250">
        <f t="shared" ref="L47:O47" si="62">L46*L$3</f>
        <v>1186.4438007926294</v>
      </c>
      <c r="M47" s="250">
        <f t="shared" si="62"/>
        <v>1197.9776945171764</v>
      </c>
      <c r="N47" s="250">
        <f t="shared" si="62"/>
        <v>1222.4992265137416</v>
      </c>
      <c r="O47" s="250">
        <f t="shared" si="62"/>
        <v>1259.1286624109905</v>
      </c>
    </row>
    <row r="48" spans="2:15" x14ac:dyDescent="0.25">
      <c r="B48" s="248" t="s">
        <v>153</v>
      </c>
      <c r="C48" s="249">
        <f>'Proposed price'!O49</f>
        <v>272.6551958761716</v>
      </c>
      <c r="D48" s="250">
        <f>D46*D$4</f>
        <v>272.6551958761716</v>
      </c>
      <c r="E48" s="250">
        <f t="shared" ref="E48:H48" si="63">E46*E$4</f>
        <v>272.6551958761716</v>
      </c>
      <c r="F48" s="250">
        <f t="shared" si="63"/>
        <v>275.13223735153588</v>
      </c>
      <c r="G48" s="250">
        <f t="shared" si="63"/>
        <v>280.39852931204638</v>
      </c>
      <c r="H48" s="250">
        <f t="shared" si="63"/>
        <v>288.26513829107495</v>
      </c>
      <c r="J48" s="249">
        <f>'Proposed price'!AF49</f>
        <v>408.3883318694742</v>
      </c>
      <c r="K48" s="250">
        <f>K46*K$4</f>
        <v>408.38833186947426</v>
      </c>
      <c r="L48" s="250">
        <f t="shared" ref="L48:O48" si="64">L46*L$4</f>
        <v>408.38833186947426</v>
      </c>
      <c r="M48" s="250">
        <f t="shared" si="64"/>
        <v>412.35843784076479</v>
      </c>
      <c r="N48" s="250">
        <f t="shared" si="64"/>
        <v>420.79904627099211</v>
      </c>
      <c r="O48" s="250">
        <f t="shared" si="64"/>
        <v>433.40734193017431</v>
      </c>
    </row>
    <row r="49" spans="2:15" x14ac:dyDescent="0.25">
      <c r="B49" s="248" t="s">
        <v>154</v>
      </c>
      <c r="C49" s="249">
        <f>'Proposed price'!P49</f>
        <v>175.3469147557218</v>
      </c>
      <c r="D49" s="250">
        <f>SUM(D46:D48)*D$5</f>
        <v>175.34691475572177</v>
      </c>
      <c r="E49" s="250">
        <f t="shared" ref="E49:H49" si="65">SUM(E46:E48)*E$5</f>
        <v>175.34691475572177</v>
      </c>
      <c r="F49" s="250">
        <f t="shared" si="65"/>
        <v>176.93992155330486</v>
      </c>
      <c r="G49" s="250">
        <f t="shared" si="65"/>
        <v>180.32671946306397</v>
      </c>
      <c r="H49" s="250">
        <f t="shared" si="65"/>
        <v>185.38580373846057</v>
      </c>
      <c r="J49" s="249">
        <f>'Proposed price'!AG49</f>
        <v>262.63806851518854</v>
      </c>
      <c r="K49" s="250">
        <f>SUM(K46:K48)*K$5</f>
        <v>262.63806851518854</v>
      </c>
      <c r="L49" s="250">
        <f t="shared" ref="L49:O49" si="66">SUM(L46:L48)*L$5</f>
        <v>262.63806851518854</v>
      </c>
      <c r="M49" s="250">
        <f t="shared" si="66"/>
        <v>265.19127800412576</v>
      </c>
      <c r="N49" s="250">
        <f t="shared" si="66"/>
        <v>270.61950629130524</v>
      </c>
      <c r="O49" s="250">
        <f t="shared" si="66"/>
        <v>278.72801028317343</v>
      </c>
    </row>
    <row r="50" spans="2:15" x14ac:dyDescent="0.25">
      <c r="B50" s="252" t="s">
        <v>176</v>
      </c>
      <c r="C50" s="253">
        <f>'Proposed price'!Q49</f>
        <v>2940.198929194728</v>
      </c>
      <c r="D50" s="254">
        <f>SUM(D46:D49)</f>
        <v>2940.1989291947275</v>
      </c>
      <c r="E50" s="254">
        <f t="shared" ref="E50:H50" si="67">SUM(E46:E49)</f>
        <v>2940.1989291947275</v>
      </c>
      <c r="F50" s="254">
        <f t="shared" si="67"/>
        <v>2966.9103024001174</v>
      </c>
      <c r="G50" s="254">
        <f t="shared" si="67"/>
        <v>3023.6997794293829</v>
      </c>
      <c r="H50" s="254">
        <f t="shared" si="67"/>
        <v>3108.5299812607022</v>
      </c>
      <c r="J50" s="253">
        <f>'Proposed price'!AH49</f>
        <v>4403.8879662633517</v>
      </c>
      <c r="K50" s="254">
        <f>SUM(K46:K49)</f>
        <v>4403.8879662633526</v>
      </c>
      <c r="L50" s="254">
        <f t="shared" ref="L50:O50" si="68">SUM(L46:L49)</f>
        <v>4403.8879662633526</v>
      </c>
      <c r="M50" s="254">
        <f t="shared" si="68"/>
        <v>4446.6999188764967</v>
      </c>
      <c r="N50" s="254">
        <f t="shared" si="68"/>
        <v>4537.719889314094</v>
      </c>
      <c r="O50" s="254">
        <f t="shared" si="68"/>
        <v>4673.6824455271571</v>
      </c>
    </row>
    <row r="51" spans="2:15" x14ac:dyDescent="0.25">
      <c r="B51" s="255" t="s">
        <v>177</v>
      </c>
      <c r="C51" s="250"/>
      <c r="D51" s="256">
        <f>'Forecast Revenue - Costs'!D13</f>
        <v>1</v>
      </c>
      <c r="E51" s="256">
        <f>'Forecast Revenue - Costs'!E13</f>
        <v>1</v>
      </c>
      <c r="F51" s="256">
        <f>'Forecast Revenue - Costs'!F13</f>
        <v>1</v>
      </c>
      <c r="G51" s="256">
        <f>'Forecast Revenue - Costs'!G13</f>
        <v>1</v>
      </c>
      <c r="H51" s="256">
        <f>'Forecast Revenue - Costs'!H13</f>
        <v>1</v>
      </c>
      <c r="J51" s="250"/>
      <c r="K51" s="256">
        <v>0</v>
      </c>
      <c r="L51" s="256">
        <v>0</v>
      </c>
      <c r="M51" s="256">
        <v>0</v>
      </c>
      <c r="N51" s="256">
        <v>0</v>
      </c>
      <c r="O51" s="256">
        <v>0</v>
      </c>
    </row>
    <row r="52" spans="2:15" x14ac:dyDescent="0.25">
      <c r="B52" s="243" t="s">
        <v>178</v>
      </c>
      <c r="C52" s="241"/>
      <c r="D52" s="242">
        <f>D50*D51</f>
        <v>2940.1989291947275</v>
      </c>
      <c r="E52" s="242">
        <f t="shared" ref="E52:H52" si="69">E50*E51</f>
        <v>2940.1989291947275</v>
      </c>
      <c r="F52" s="242">
        <f t="shared" si="69"/>
        <v>2966.9103024001174</v>
      </c>
      <c r="G52" s="242">
        <f t="shared" si="69"/>
        <v>3023.6997794293829</v>
      </c>
      <c r="H52" s="242">
        <f t="shared" si="69"/>
        <v>3108.5299812607022</v>
      </c>
      <c r="J52" s="241"/>
      <c r="K52" s="242">
        <f>K51*K50</f>
        <v>0</v>
      </c>
      <c r="L52" s="242">
        <f t="shared" ref="L52:O52" si="70">L51*L50</f>
        <v>0</v>
      </c>
      <c r="M52" s="242">
        <f t="shared" si="70"/>
        <v>0</v>
      </c>
      <c r="N52" s="242">
        <f t="shared" si="70"/>
        <v>0</v>
      </c>
      <c r="O52" s="242">
        <f t="shared" si="70"/>
        <v>0</v>
      </c>
    </row>
  </sheetData>
  <mergeCells count="8">
    <mergeCell ref="D42:H42"/>
    <mergeCell ref="K42:O42"/>
    <mergeCell ref="D30:H30"/>
    <mergeCell ref="K30:O30"/>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6"/>
  <sheetViews>
    <sheetView showGridLines="0" zoomScale="90" zoomScaleNormal="90" workbookViewId="0">
      <selection activeCell="I11" sqref="I11"/>
    </sheetView>
  </sheetViews>
  <sheetFormatPr defaultRowHeight="15" x14ac:dyDescent="0.25"/>
  <cols>
    <col min="1" max="1" width="3.28515625" customWidth="1"/>
    <col min="2" max="2" width="66.42578125" customWidth="1"/>
    <col min="3" max="3" width="65.140625" customWidth="1"/>
    <col min="4" max="4" width="13" customWidth="1"/>
    <col min="5" max="5" width="12.85546875" customWidth="1"/>
    <col min="6" max="6" width="11.85546875" customWidth="1"/>
    <col min="7" max="8" width="11.28515625" customWidth="1"/>
    <col min="9" max="9" width="12.7109375" customWidth="1"/>
  </cols>
  <sheetData>
    <row r="2" spans="2:9" x14ac:dyDescent="0.25">
      <c r="B2" s="28" t="s">
        <v>51</v>
      </c>
      <c r="C2" s="29"/>
      <c r="D2" s="29"/>
      <c r="E2" s="29"/>
      <c r="F2" s="29"/>
      <c r="G2" s="29"/>
      <c r="H2" s="29"/>
      <c r="I2" s="29"/>
    </row>
    <row r="3" spans="2:9" x14ac:dyDescent="0.25">
      <c r="B3" s="3" t="s">
        <v>17</v>
      </c>
      <c r="C3" s="3" t="s">
        <v>3</v>
      </c>
      <c r="D3" s="73" t="s">
        <v>61</v>
      </c>
      <c r="E3" s="73" t="s">
        <v>62</v>
      </c>
      <c r="F3" s="73" t="s">
        <v>63</v>
      </c>
      <c r="G3" s="73" t="s">
        <v>101</v>
      </c>
      <c r="H3" s="109" t="s">
        <v>64</v>
      </c>
      <c r="I3" s="4" t="s">
        <v>1</v>
      </c>
    </row>
    <row r="4" spans="2:9" x14ac:dyDescent="0.25">
      <c r="B4" s="200" t="s">
        <v>135</v>
      </c>
      <c r="C4" s="5" t="s">
        <v>67</v>
      </c>
      <c r="D4" s="110">
        <f>'Forecasts by year'!D28+'Forecasts by year'!K28</f>
        <v>2340.6821267183436</v>
      </c>
      <c r="E4" s="110">
        <f>'Forecasts by year'!E28+'Forecasts by year'!L28</f>
        <v>2340.6821267183436</v>
      </c>
      <c r="F4" s="110">
        <f>'Forecasts by year'!F28+'Forecasts by year'!M28</f>
        <v>2362.3003657673603</v>
      </c>
      <c r="G4" s="110">
        <f>'Forecasts by year'!G28+'Forecasts by year'!N28</f>
        <v>2408.2616302986648</v>
      </c>
      <c r="H4" s="110">
        <f>'Forecasts by year'!H28+'Forecasts by year'!O28</f>
        <v>2476.9170141931831</v>
      </c>
      <c r="I4" s="202">
        <f>SUM(D4:H4)</f>
        <v>11928.843263695895</v>
      </c>
    </row>
    <row r="5" spans="2:9" x14ac:dyDescent="0.25">
      <c r="B5" s="200" t="s">
        <v>134</v>
      </c>
      <c r="C5" s="5" t="s">
        <v>98</v>
      </c>
      <c r="D5" s="110">
        <f>'Forecasts by year'!D40+'Forecasts by year'!K40</f>
        <v>3542.9063965124997</v>
      </c>
      <c r="E5" s="110">
        <f>'Forecasts by year'!E40+'Forecasts by year'!L40</f>
        <v>3542.9063965124997</v>
      </c>
      <c r="F5" s="110">
        <f>'Forecasts by year'!F40+'Forecasts by year'!M40</f>
        <v>3574.9336950213756</v>
      </c>
      <c r="G5" s="110">
        <f>'Forecasts by year'!G40+'Forecasts by year'!N40</f>
        <v>3643.025047682057</v>
      </c>
      <c r="H5" s="110">
        <f>'Forecasts by year'!H40+'Forecasts by year'!O40</f>
        <v>3744.7376094335318</v>
      </c>
      <c r="I5" s="202">
        <f>SUM(D5:H5)</f>
        <v>18048.509145161963</v>
      </c>
    </row>
    <row r="6" spans="2:9" x14ac:dyDescent="0.25">
      <c r="B6" s="125" t="s">
        <v>104</v>
      </c>
      <c r="C6" s="5" t="s">
        <v>69</v>
      </c>
      <c r="D6" s="110">
        <f>'Forecasts by year'!D52+'Forecasts by year'!K52</f>
        <v>2940.1989291947275</v>
      </c>
      <c r="E6" s="110">
        <f>'Forecasts by year'!E52+'Forecasts by year'!L52</f>
        <v>2940.1989291947275</v>
      </c>
      <c r="F6" s="110">
        <f>'Forecasts by year'!F52+'Forecasts by year'!M52</f>
        <v>2966.9103024001174</v>
      </c>
      <c r="G6" s="110">
        <f>'Forecasts by year'!G52+'Forecasts by year'!N52</f>
        <v>3023.6997794293829</v>
      </c>
      <c r="H6" s="110">
        <f>'Forecasts by year'!H52+'Forecasts by year'!O52</f>
        <v>3108.5299812607022</v>
      </c>
      <c r="I6" s="202">
        <f>SUM(D6:H6)</f>
        <v>14979.537921479658</v>
      </c>
    </row>
    <row r="7" spans="2:9" x14ac:dyDescent="0.25">
      <c r="B7" s="7" t="s">
        <v>1</v>
      </c>
      <c r="C7" s="8"/>
      <c r="D7" s="9">
        <f>SUM(D4:D6)</f>
        <v>8823.7874524255712</v>
      </c>
      <c r="E7" s="9">
        <f>SUM(E4:E6)</f>
        <v>8823.7874524255712</v>
      </c>
      <c r="F7" s="9">
        <f>SUM(F4:F6)</f>
        <v>8904.1443631888542</v>
      </c>
      <c r="G7" s="9">
        <f>SUM(G4:G6)</f>
        <v>9074.9864574101048</v>
      </c>
      <c r="H7" s="9">
        <f>SUM(H4:H6)</f>
        <v>9330.1846048874177</v>
      </c>
      <c r="I7" s="9">
        <f>SUM(I4:I6)</f>
        <v>44956.890330337512</v>
      </c>
    </row>
    <row r="8" spans="2:9" x14ac:dyDescent="0.25">
      <c r="B8" s="1"/>
      <c r="C8" s="1"/>
      <c r="D8" s="1"/>
      <c r="E8" s="1"/>
      <c r="F8" s="1"/>
      <c r="G8" s="1"/>
      <c r="H8" s="1"/>
      <c r="I8" s="1"/>
    </row>
    <row r="9" spans="2:9" x14ac:dyDescent="0.25">
      <c r="B9" s="28" t="s">
        <v>28</v>
      </c>
      <c r="C9" s="29"/>
      <c r="D9" s="29"/>
      <c r="E9" s="29"/>
      <c r="F9" s="29"/>
      <c r="G9" s="29"/>
      <c r="H9" s="29"/>
      <c r="I9" s="29"/>
    </row>
    <row r="10" spans="2:9" x14ac:dyDescent="0.25">
      <c r="B10" s="3" t="s">
        <v>4</v>
      </c>
      <c r="C10" s="10" t="s">
        <v>9</v>
      </c>
      <c r="D10" s="73" t="s">
        <v>61</v>
      </c>
      <c r="E10" s="73" t="s">
        <v>62</v>
      </c>
      <c r="F10" s="73" t="s">
        <v>63</v>
      </c>
      <c r="G10" s="73" t="s">
        <v>101</v>
      </c>
      <c r="H10" s="109" t="s">
        <v>64</v>
      </c>
      <c r="I10" s="4" t="s">
        <v>1</v>
      </c>
    </row>
    <row r="11" spans="2:9" x14ac:dyDescent="0.25">
      <c r="B11" s="11"/>
      <c r="C11" s="11" t="s">
        <v>67</v>
      </c>
      <c r="D11" s="106">
        <v>1</v>
      </c>
      <c r="E11" s="106">
        <v>1</v>
      </c>
      <c r="F11" s="106">
        <v>1</v>
      </c>
      <c r="G11" s="106">
        <v>1</v>
      </c>
      <c r="H11" s="106">
        <v>1</v>
      </c>
      <c r="I11" s="203">
        <f>SUM(D11:H11)</f>
        <v>5</v>
      </c>
    </row>
    <row r="12" spans="2:9" x14ac:dyDescent="0.25">
      <c r="B12" s="11"/>
      <c r="C12" s="11" t="s">
        <v>98</v>
      </c>
      <c r="D12" s="106">
        <v>1</v>
      </c>
      <c r="E12" s="106">
        <v>1</v>
      </c>
      <c r="F12" s="106">
        <v>1</v>
      </c>
      <c r="G12" s="106">
        <v>1</v>
      </c>
      <c r="H12" s="106">
        <v>1</v>
      </c>
      <c r="I12" s="203">
        <f>SUM(D12:H12)</f>
        <v>5</v>
      </c>
    </row>
    <row r="13" spans="2:9" x14ac:dyDescent="0.25">
      <c r="B13" s="11"/>
      <c r="C13" s="11" t="s">
        <v>69</v>
      </c>
      <c r="D13" s="106">
        <v>1</v>
      </c>
      <c r="E13" s="106">
        <v>1</v>
      </c>
      <c r="F13" s="106">
        <v>1</v>
      </c>
      <c r="G13" s="106">
        <v>1</v>
      </c>
      <c r="H13" s="106">
        <v>1</v>
      </c>
      <c r="I13" s="204">
        <f>SUM(D13:H13)</f>
        <v>5</v>
      </c>
    </row>
    <row r="14" spans="2:9" x14ac:dyDescent="0.25">
      <c r="B14" s="7" t="s">
        <v>18</v>
      </c>
      <c r="C14" s="8"/>
      <c r="D14" s="14">
        <f>SUM(D11:D13)</f>
        <v>3</v>
      </c>
      <c r="E14" s="14">
        <f>SUM(E11:E13)</f>
        <v>3</v>
      </c>
      <c r="F14" s="14">
        <f>SUM(F11:F13)</f>
        <v>3</v>
      </c>
      <c r="G14" s="14">
        <f>SUM(G11:G13)</f>
        <v>3</v>
      </c>
      <c r="H14" s="14">
        <f>SUM(H11:H13)</f>
        <v>3</v>
      </c>
      <c r="I14" s="14">
        <f>SUM(I11:I13)</f>
        <v>15</v>
      </c>
    </row>
    <row r="15" spans="2:9" x14ac:dyDescent="0.25">
      <c r="B15" s="1"/>
      <c r="C15" s="1"/>
      <c r="D15" s="15"/>
      <c r="E15" s="15"/>
      <c r="F15" s="15"/>
      <c r="G15" s="15"/>
      <c r="H15" s="15"/>
      <c r="I15" s="15"/>
    </row>
    <row r="16" spans="2:9" x14ac:dyDescent="0.25">
      <c r="B16" s="16" t="s">
        <v>6</v>
      </c>
      <c r="C16" s="1"/>
      <c r="D16" s="15"/>
      <c r="E16" s="15"/>
      <c r="F16" s="15"/>
      <c r="G16" s="15"/>
      <c r="H16" s="15"/>
      <c r="I16" s="15"/>
    </row>
    <row r="17" spans="2:9" x14ac:dyDescent="0.25">
      <c r="B17" s="311"/>
      <c r="C17" s="311"/>
      <c r="D17" s="311"/>
      <c r="E17" s="311"/>
      <c r="F17" s="311"/>
      <c r="G17" s="311"/>
      <c r="H17" s="311"/>
      <c r="I17" s="311"/>
    </row>
    <row r="18" spans="2:9" x14ac:dyDescent="0.25">
      <c r="B18" s="312"/>
      <c r="C18" s="312"/>
      <c r="D18" s="312"/>
      <c r="E18" s="312"/>
      <c r="F18" s="312"/>
      <c r="G18" s="312"/>
      <c r="H18" s="312"/>
      <c r="I18" s="312"/>
    </row>
    <row r="19" spans="2:9" x14ac:dyDescent="0.25">
      <c r="B19" s="1"/>
      <c r="C19" s="1"/>
      <c r="D19" s="15"/>
      <c r="E19" s="15"/>
      <c r="F19" s="15"/>
      <c r="G19" s="15"/>
      <c r="H19" s="15"/>
      <c r="I19" s="15"/>
    </row>
    <row r="20" spans="2:9" x14ac:dyDescent="0.25">
      <c r="B20" s="28" t="s">
        <v>29</v>
      </c>
      <c r="C20" s="29"/>
      <c r="D20" s="29"/>
      <c r="E20" s="29"/>
      <c r="F20" s="29"/>
      <c r="G20" s="29"/>
      <c r="H20" s="29"/>
      <c r="I20" s="29"/>
    </row>
    <row r="21" spans="2:9" x14ac:dyDescent="0.25">
      <c r="B21" s="1"/>
      <c r="C21" s="1"/>
      <c r="D21" s="1"/>
      <c r="E21" s="1"/>
      <c r="F21" s="1"/>
      <c r="G21" s="1"/>
      <c r="H21" s="1"/>
      <c r="I21" s="1"/>
    </row>
    <row r="22" spans="2:9" x14ac:dyDescent="0.25">
      <c r="B22" s="17" t="s">
        <v>27</v>
      </c>
      <c r="C22" s="18"/>
      <c r="D22" s="18"/>
      <c r="E22" s="18"/>
      <c r="F22" s="18"/>
      <c r="G22" s="18"/>
      <c r="H22" s="18"/>
      <c r="I22" s="18"/>
    </row>
    <row r="23" spans="2:9" x14ac:dyDescent="0.25">
      <c r="B23" s="317" t="s">
        <v>185</v>
      </c>
      <c r="C23" s="290"/>
      <c r="D23" s="290"/>
      <c r="E23" s="290"/>
      <c r="F23" s="290"/>
      <c r="G23" s="290"/>
      <c r="H23" s="290"/>
      <c r="I23" s="290"/>
    </row>
    <row r="24" spans="2:9" x14ac:dyDescent="0.25">
      <c r="B24" s="292"/>
      <c r="C24" s="292"/>
      <c r="D24" s="292"/>
      <c r="E24" s="292"/>
      <c r="F24" s="292"/>
      <c r="G24" s="292"/>
      <c r="H24" s="292"/>
      <c r="I24" s="292"/>
    </row>
    <row r="25" spans="2:9" x14ac:dyDescent="0.25">
      <c r="B25" s="19"/>
      <c r="C25" s="20"/>
      <c r="D25" s="20"/>
      <c r="E25" s="20"/>
      <c r="F25" s="20"/>
      <c r="G25" s="20"/>
      <c r="H25" s="20"/>
      <c r="I25" s="20"/>
    </row>
    <row r="26" spans="2:9" x14ac:dyDescent="0.25">
      <c r="B26" s="1"/>
      <c r="C26" s="1"/>
      <c r="D26" s="1"/>
      <c r="E26" s="1"/>
      <c r="F26" s="1"/>
      <c r="G26" s="1"/>
      <c r="H26" s="1"/>
      <c r="I26" s="1"/>
    </row>
    <row r="27" spans="2:9" x14ac:dyDescent="0.25">
      <c r="B27" s="30" t="s">
        <v>49</v>
      </c>
      <c r="C27" s="31"/>
      <c r="D27" s="313" t="s">
        <v>156</v>
      </c>
      <c r="E27" s="313"/>
      <c r="F27" s="313"/>
      <c r="G27" s="313"/>
      <c r="H27" s="313"/>
      <c r="I27" s="31"/>
    </row>
    <row r="28" spans="2:9" ht="15.75" customHeight="1" x14ac:dyDescent="0.25">
      <c r="B28" s="2" t="s">
        <v>21</v>
      </c>
      <c r="C28" s="21" t="s">
        <v>3</v>
      </c>
      <c r="D28" s="73" t="s">
        <v>61</v>
      </c>
      <c r="E28" s="73" t="s">
        <v>62</v>
      </c>
      <c r="F28" s="73" t="s">
        <v>63</v>
      </c>
      <c r="G28" s="73" t="s">
        <v>101</v>
      </c>
      <c r="H28" s="109" t="s">
        <v>64</v>
      </c>
      <c r="I28" s="22" t="s">
        <v>1</v>
      </c>
    </row>
    <row r="29" spans="2:9" s="229" customFormat="1" x14ac:dyDescent="0.25">
      <c r="B29" s="226" t="s">
        <v>157</v>
      </c>
      <c r="C29" s="227"/>
      <c r="D29" s="105">
        <f>'Forecasts by year'!D8</f>
        <v>4224.0003024310354</v>
      </c>
      <c r="E29" s="105">
        <f>'Forecasts by year'!E8</f>
        <v>4224.0003024310354</v>
      </c>
      <c r="F29" s="105">
        <f>'Forecasts by year'!F8</f>
        <v>4270.4643057577769</v>
      </c>
      <c r="G29" s="105">
        <f>'Forecasts by year'!G8</f>
        <v>4369.2486860785648</v>
      </c>
      <c r="H29" s="105">
        <f>'Forecasts by year'!H8</f>
        <v>4516.8094554104564</v>
      </c>
      <c r="I29" s="228">
        <f t="shared" ref="I29:I31" si="0">SUM(D29:H29)</f>
        <v>21604.523052108871</v>
      </c>
    </row>
    <row r="30" spans="2:9" s="229" customFormat="1" x14ac:dyDescent="0.25">
      <c r="B30" s="226" t="s">
        <v>158</v>
      </c>
      <c r="C30" s="230"/>
      <c r="D30" s="105">
        <f>'Forecasts by year'!D9</f>
        <v>878.09341483141111</v>
      </c>
      <c r="E30" s="105">
        <f>'Forecasts by year'!E9</f>
        <v>878.09341483141111</v>
      </c>
      <c r="F30" s="105">
        <f>'Forecasts by year'!F9</f>
        <v>878.09341483141111</v>
      </c>
      <c r="G30" s="105">
        <f>'Forecasts by year'!G9</f>
        <v>878.09341483141111</v>
      </c>
      <c r="H30" s="105">
        <f>'Forecasts by year'!H9</f>
        <v>878.09341483141111</v>
      </c>
      <c r="I30" s="228">
        <f t="shared" si="0"/>
        <v>4390.4670741570553</v>
      </c>
    </row>
    <row r="31" spans="2:9" s="229" customFormat="1" x14ac:dyDescent="0.25">
      <c r="B31" s="226" t="s">
        <v>148</v>
      </c>
      <c r="C31" s="230"/>
      <c r="D31" s="105">
        <f>'Forecasts by year'!D10</f>
        <v>0</v>
      </c>
      <c r="E31" s="105">
        <f>'Forecasts by year'!E10</f>
        <v>0</v>
      </c>
      <c r="F31" s="105">
        <f>'Forecasts by year'!F10</f>
        <v>0</v>
      </c>
      <c r="G31" s="105">
        <f>'Forecasts by year'!G10</f>
        <v>0</v>
      </c>
      <c r="H31" s="105">
        <f>'Forecasts by year'!H10</f>
        <v>0</v>
      </c>
      <c r="I31" s="228">
        <f t="shared" si="0"/>
        <v>0</v>
      </c>
    </row>
    <row r="32" spans="2:9" s="229" customFormat="1" x14ac:dyDescent="0.25">
      <c r="B32" s="231" t="s">
        <v>159</v>
      </c>
      <c r="C32" s="230"/>
      <c r="D32" s="232">
        <f>'Forecasts by year'!D11</f>
        <v>5102.0937172624472</v>
      </c>
      <c r="E32" s="232">
        <f>'Forecasts by year'!E11</f>
        <v>5102.0937172624472</v>
      </c>
      <c r="F32" s="232">
        <f>'Forecasts by year'!F11</f>
        <v>5148.5577205891877</v>
      </c>
      <c r="G32" s="232">
        <f>'Forecasts by year'!G11</f>
        <v>5247.3421009099766</v>
      </c>
      <c r="H32" s="232">
        <f>'Forecasts by year'!H11</f>
        <v>5394.9028702418682</v>
      </c>
      <c r="I32" s="228">
        <f>SUM(D32:H32)</f>
        <v>25994.99012626593</v>
      </c>
    </row>
    <row r="33" spans="2:9" x14ac:dyDescent="0.25">
      <c r="B33" s="6" t="s">
        <v>152</v>
      </c>
      <c r="C33" s="11"/>
      <c r="D33" s="105">
        <f>'Forecasts by year'!D12</f>
        <v>2377.2012373250427</v>
      </c>
      <c r="E33" s="105">
        <f>'Forecasts by year'!E12</f>
        <v>2377.2012373250427</v>
      </c>
      <c r="F33" s="105">
        <f>'Forecasts by year'!F12</f>
        <v>2398.8500529525745</v>
      </c>
      <c r="G33" s="105">
        <f>'Forecasts by year'!G12</f>
        <v>2444.8763245462223</v>
      </c>
      <c r="H33" s="105">
        <f>'Forecasts by year'!H12</f>
        <v>2513.6288137938373</v>
      </c>
      <c r="I33" s="228">
        <f>SUM(D33:H33)</f>
        <v>12111.75766594272</v>
      </c>
    </row>
    <row r="34" spans="2:9" x14ac:dyDescent="0.25">
      <c r="B34" s="6" t="s">
        <v>153</v>
      </c>
      <c r="C34" s="5"/>
      <c r="D34" s="105">
        <f>'Forecasts by year'!D13</f>
        <v>818.26146942707805</v>
      </c>
      <c r="E34" s="105">
        <f>'Forecasts by year'!E13</f>
        <v>818.26146942707805</v>
      </c>
      <c r="F34" s="105">
        <f>'Forecasts by year'!F13</f>
        <v>825.71325407559743</v>
      </c>
      <c r="G34" s="105">
        <f>'Forecasts by year'!G13</f>
        <v>841.55605443895524</v>
      </c>
      <c r="H34" s="105">
        <f>'Forecasts by year'!H13</f>
        <v>865.2214942827552</v>
      </c>
      <c r="I34" s="228">
        <f>SUM(D34:H34)</f>
        <v>4169.0137416514635</v>
      </c>
    </row>
    <row r="35" spans="2:9" x14ac:dyDescent="0.25">
      <c r="B35" s="6" t="s">
        <v>160</v>
      </c>
      <c r="C35" s="5"/>
      <c r="D35" s="105">
        <f>'Forecasts by year'!D14</f>
        <v>526.23102841100388</v>
      </c>
      <c r="E35" s="105">
        <f>'Forecasts by year'!E14</f>
        <v>526.23102841100388</v>
      </c>
      <c r="F35" s="105">
        <f>'Forecasts by year'!F14</f>
        <v>531.02333557149302</v>
      </c>
      <c r="G35" s="105">
        <f>'Forecasts by year'!G14</f>
        <v>541.21197751495072</v>
      </c>
      <c r="H35" s="105">
        <f>'Forecasts by year'!H14</f>
        <v>556.43142656895679</v>
      </c>
      <c r="I35" s="228">
        <f>SUM(D35:H35)</f>
        <v>2681.1287964774083</v>
      </c>
    </row>
    <row r="36" spans="2:9" x14ac:dyDescent="0.25">
      <c r="B36" s="24" t="s">
        <v>1</v>
      </c>
      <c r="C36" s="25"/>
      <c r="D36" s="26">
        <f>SUM(D32:D35)</f>
        <v>8823.7874524255731</v>
      </c>
      <c r="E36" s="26">
        <f t="shared" ref="E36:H36" si="1">SUM(E32:E35)</f>
        <v>8823.7874524255731</v>
      </c>
      <c r="F36" s="26">
        <f t="shared" si="1"/>
        <v>8904.1443631888524</v>
      </c>
      <c r="G36" s="26">
        <f t="shared" si="1"/>
        <v>9074.9864574101048</v>
      </c>
      <c r="H36" s="26">
        <f t="shared" si="1"/>
        <v>9330.1846048874177</v>
      </c>
      <c r="I36" s="27">
        <f>SUM(I32:I35)</f>
        <v>44956.890330337519</v>
      </c>
    </row>
  </sheetData>
  <mergeCells count="3">
    <mergeCell ref="B17:I18"/>
    <mergeCell ref="B23:I24"/>
    <mergeCell ref="D27:H2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2018-04-17T03:45:59Z</dcterms:modified>
</cp:coreProperties>
</file>