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5_Reconnect - Disconnect\"/>
    </mc:Choice>
  </mc:AlternateContent>
  <xr:revisionPtr revIDLastSave="0" documentId="13_ncr:1_{328D045B-C402-43C9-B565-48419B84139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5" i="13" l="1"/>
  <c r="I16" i="13"/>
  <c r="B20" i="9"/>
  <c r="H5" i="17" l="1"/>
  <c r="G5" i="17"/>
  <c r="F5" i="17"/>
  <c r="E5" i="17"/>
  <c r="D5" i="17"/>
  <c r="H2" i="17"/>
  <c r="G2" i="17"/>
  <c r="F2" i="17"/>
  <c r="E2" i="17"/>
  <c r="D2" i="17"/>
  <c r="H1" i="17"/>
  <c r="G1" i="17"/>
  <c r="F1" i="17"/>
  <c r="E1" i="17"/>
  <c r="D1" i="17"/>
  <c r="I17" i="11"/>
  <c r="H17" i="11"/>
  <c r="I16" i="11"/>
  <c r="H16" i="11"/>
  <c r="I8" i="11"/>
  <c r="H8" i="11"/>
  <c r="I7" i="11"/>
  <c r="H7" i="11"/>
  <c r="G10" i="13" l="1"/>
  <c r="H6" i="13"/>
  <c r="H10" i="13"/>
  <c r="H5" i="15"/>
  <c r="H6" i="15"/>
  <c r="H7" i="15"/>
  <c r="H8" i="15"/>
  <c r="H4" i="15"/>
  <c r="G17" i="13" l="1"/>
  <c r="H17" i="13"/>
  <c r="G15" i="15"/>
  <c r="H15" i="15"/>
  <c r="E40" i="17"/>
  <c r="F40" i="17"/>
  <c r="G40" i="17"/>
  <c r="H40" i="17"/>
  <c r="D40" i="17"/>
  <c r="K34" i="17"/>
  <c r="L34" i="17" s="1"/>
  <c r="M34" i="17" s="1"/>
  <c r="N34" i="17" s="1"/>
  <c r="O34" i="17" s="1"/>
  <c r="K33" i="17"/>
  <c r="L33" i="17" s="1"/>
  <c r="M33" i="17" s="1"/>
  <c r="N33" i="17" s="1"/>
  <c r="O33" i="17" s="1"/>
  <c r="L18" i="11"/>
  <c r="K18" i="11"/>
  <c r="J18" i="11"/>
  <c r="C34" i="17" s="1"/>
  <c r="D34" i="17" s="1"/>
  <c r="E34" i="17" s="1"/>
  <c r="F34" i="17" s="1"/>
  <c r="G34" i="17" s="1"/>
  <c r="H34" i="17" s="1"/>
  <c r="G18" i="11"/>
  <c r="M17" i="11"/>
  <c r="I18" i="11"/>
  <c r="C33" i="17" s="1"/>
  <c r="D33" i="17" s="1"/>
  <c r="E33" i="17" s="1"/>
  <c r="F33" i="17" s="1"/>
  <c r="G33" i="17" s="1"/>
  <c r="H33" i="17" s="1"/>
  <c r="M16" i="11" l="1"/>
  <c r="H18" i="11"/>
  <c r="C32" i="17" s="1"/>
  <c r="D32" i="17" s="1"/>
  <c r="E32" i="17" s="1"/>
  <c r="F32" i="17" s="1"/>
  <c r="G32" i="17" s="1"/>
  <c r="H32" i="17" s="1"/>
  <c r="F18" i="11"/>
  <c r="E28" i="17"/>
  <c r="F28" i="17"/>
  <c r="G28" i="17"/>
  <c r="H28" i="17"/>
  <c r="D28" i="17"/>
  <c r="K22" i="17"/>
  <c r="L22" i="17" s="1"/>
  <c r="M22" i="17" s="1"/>
  <c r="N22" i="17" s="1"/>
  <c r="O22" i="17" s="1"/>
  <c r="K21" i="17"/>
  <c r="L21" i="17" s="1"/>
  <c r="M21" i="17" s="1"/>
  <c r="N21" i="17" s="1"/>
  <c r="O21" i="17" s="1"/>
  <c r="M5" i="17"/>
  <c r="L5" i="17"/>
  <c r="O1" i="17"/>
  <c r="N1" i="17"/>
  <c r="M1" i="17"/>
  <c r="L1" i="17"/>
  <c r="I14" i="13"/>
  <c r="I6" i="13"/>
  <c r="G9" i="11"/>
  <c r="H9" i="11"/>
  <c r="C20" i="17" s="1"/>
  <c r="I9" i="11"/>
  <c r="C21" i="17" s="1"/>
  <c r="D21" i="17" s="1"/>
  <c r="J9" i="11"/>
  <c r="C22" i="17" s="1"/>
  <c r="D22" i="17" s="1"/>
  <c r="K9" i="11"/>
  <c r="L9" i="11"/>
  <c r="M8" i="11"/>
  <c r="M7" i="11"/>
  <c r="E22" i="17" l="1"/>
  <c r="D11" i="17"/>
  <c r="D29" i="16" s="1"/>
  <c r="E21" i="17"/>
  <c r="E10" i="17" s="1"/>
  <c r="E28" i="16" s="1"/>
  <c r="D10" i="17"/>
  <c r="D28" i="16" s="1"/>
  <c r="M9" i="11"/>
  <c r="C23" i="17" s="1"/>
  <c r="D35" i="17"/>
  <c r="E35" i="17"/>
  <c r="M18" i="11"/>
  <c r="C35" i="17" s="1"/>
  <c r="D20" i="17"/>
  <c r="N5" i="17"/>
  <c r="F22" i="17"/>
  <c r="K5" i="17"/>
  <c r="K1" i="17"/>
  <c r="K32" i="17" s="1"/>
  <c r="O5" i="17"/>
  <c r="F11" i="17" l="1"/>
  <c r="F29" i="16" s="1"/>
  <c r="E11" i="17"/>
  <c r="E29" i="16" s="1"/>
  <c r="K35" i="17"/>
  <c r="L32" i="17"/>
  <c r="F21" i="17"/>
  <c r="D9" i="17"/>
  <c r="D27" i="16" s="1"/>
  <c r="F35" i="17"/>
  <c r="E20" i="17"/>
  <c r="D23" i="17"/>
  <c r="D12" i="17" s="1"/>
  <c r="G22" i="17"/>
  <c r="K20" i="17"/>
  <c r="G11" i="17" l="1"/>
  <c r="G29" i="16" s="1"/>
  <c r="F10" i="17"/>
  <c r="F28" i="16" s="1"/>
  <c r="M32" i="17"/>
  <c r="L35" i="17"/>
  <c r="G21" i="17"/>
  <c r="H21" i="17" s="1"/>
  <c r="E9" i="17"/>
  <c r="E27" i="16" s="1"/>
  <c r="G35" i="17"/>
  <c r="H35" i="17"/>
  <c r="F20" i="17"/>
  <c r="F23" i="17" s="1"/>
  <c r="F12" i="17" s="1"/>
  <c r="E23" i="17"/>
  <c r="E12" i="17" s="1"/>
  <c r="H22" i="17"/>
  <c r="K23" i="17"/>
  <c r="L20" i="17"/>
  <c r="H11" i="17" l="1"/>
  <c r="H29" i="16" s="1"/>
  <c r="I29" i="16" s="1"/>
  <c r="H10" i="17"/>
  <c r="H28" i="16" s="1"/>
  <c r="G10" i="17"/>
  <c r="G28" i="16" s="1"/>
  <c r="M35" i="17"/>
  <c r="N32" i="17"/>
  <c r="F9" i="17"/>
  <c r="F27" i="16" s="1"/>
  <c r="D30" i="16"/>
  <c r="C42" i="8" s="1"/>
  <c r="E30" i="16"/>
  <c r="D42" i="8" s="1"/>
  <c r="G20" i="17"/>
  <c r="G23" i="17" s="1"/>
  <c r="G12" i="17" s="1"/>
  <c r="M20" i="17"/>
  <c r="L23" i="17"/>
  <c r="I28" i="16" l="1"/>
  <c r="O32" i="17"/>
  <c r="O35" i="17" s="1"/>
  <c r="N35" i="17"/>
  <c r="F30" i="16"/>
  <c r="E42" i="8" s="1"/>
  <c r="G9" i="17"/>
  <c r="G27" i="16" s="1"/>
  <c r="H20" i="17"/>
  <c r="H23" i="17" s="1"/>
  <c r="H12" i="17" s="1"/>
  <c r="M23" i="17"/>
  <c r="N20" i="17"/>
  <c r="G30" i="16" l="1"/>
  <c r="F42" i="8" s="1"/>
  <c r="H9" i="17"/>
  <c r="H27" i="16" s="1"/>
  <c r="I27" i="16" s="1"/>
  <c r="N23" i="17"/>
  <c r="O20" i="17"/>
  <c r="O23" i="17" s="1"/>
  <c r="H30" i="16" l="1"/>
  <c r="G42" i="8" s="1"/>
  <c r="I30" i="16" l="1"/>
  <c r="I14" i="15" l="1"/>
  <c r="I13" i="15"/>
  <c r="G9" i="15"/>
  <c r="H9" i="15"/>
  <c r="I5" i="15"/>
  <c r="I6" i="15"/>
  <c r="I7" i="15"/>
  <c r="I8" i="15"/>
  <c r="I4" i="15"/>
  <c r="I12" i="16" l="1"/>
  <c r="I11" i="16"/>
  <c r="G13" i="16"/>
  <c r="F58" i="8" l="1"/>
  <c r="F9" i="11"/>
  <c r="H13" i="16" l="1"/>
  <c r="G58" i="8" l="1"/>
  <c r="F15" i="15" l="1"/>
  <c r="E15" i="15"/>
  <c r="D15" i="15"/>
  <c r="I15" i="15" l="1"/>
  <c r="E9" i="15"/>
  <c r="D9" i="15"/>
  <c r="F13" i="16"/>
  <c r="E13" i="16"/>
  <c r="D13" i="16"/>
  <c r="C58" i="8" s="1"/>
  <c r="F17" i="13"/>
  <c r="E17" i="13"/>
  <c r="D17" i="13"/>
  <c r="F10" i="13"/>
  <c r="I9" i="13"/>
  <c r="I8" i="13"/>
  <c r="I7" i="13"/>
  <c r="E10" i="13"/>
  <c r="D10" i="13"/>
  <c r="D58" i="8" l="1"/>
  <c r="E58" i="8"/>
  <c r="I13" i="16"/>
  <c r="I10" i="13"/>
  <c r="I17" i="13"/>
  <c r="F9" i="15"/>
  <c r="I9" i="15" l="1"/>
  <c r="D3" i="9"/>
  <c r="H58" i="8" l="1"/>
  <c r="H42" i="8" l="1"/>
  <c r="E4" i="17" l="1"/>
  <c r="H4" i="17"/>
  <c r="D4" i="17"/>
  <c r="G4" i="17"/>
  <c r="F4" i="17"/>
  <c r="O17" i="11"/>
  <c r="O8" i="11"/>
  <c r="O7" i="11"/>
  <c r="O16" i="11"/>
  <c r="K4" i="17" l="1"/>
  <c r="D37" i="17"/>
  <c r="D25" i="17"/>
  <c r="O9" i="11"/>
  <c r="C25" i="17" s="1"/>
  <c r="N4" i="17"/>
  <c r="G37" i="17"/>
  <c r="G25" i="17"/>
  <c r="O4" i="17"/>
  <c r="H37" i="17"/>
  <c r="H25" i="17"/>
  <c r="O18" i="11"/>
  <c r="C37" i="17" s="1"/>
  <c r="M4" i="17"/>
  <c r="F37" i="17"/>
  <c r="F25" i="17"/>
  <c r="L4" i="17"/>
  <c r="E37" i="17"/>
  <c r="E25" i="17"/>
  <c r="E14" i="17" l="1"/>
  <c r="E32" i="16" s="1"/>
  <c r="H14" i="17"/>
  <c r="H32" i="16" s="1"/>
  <c r="D14" i="17"/>
  <c r="D32" i="16" s="1"/>
  <c r="M37" i="17"/>
  <c r="M25" i="17"/>
  <c r="O37" i="17"/>
  <c r="O25" i="17"/>
  <c r="K37" i="17"/>
  <c r="K25" i="17"/>
  <c r="N37" i="17"/>
  <c r="N25" i="17"/>
  <c r="L37" i="17"/>
  <c r="L25" i="17"/>
  <c r="F14" i="17"/>
  <c r="F32" i="16" s="1"/>
  <c r="G14" i="17"/>
  <c r="G32" i="16" s="1"/>
  <c r="I32" i="16" l="1"/>
  <c r="F3" i="17" l="1"/>
  <c r="E3" i="17"/>
  <c r="H3" i="17"/>
  <c r="D3" i="17"/>
  <c r="G3" i="17"/>
  <c r="N17" i="11"/>
  <c r="N16" i="11"/>
  <c r="N7" i="11"/>
  <c r="N8" i="11"/>
  <c r="N9" i="11" l="1"/>
  <c r="C24" i="17" s="1"/>
  <c r="P7" i="11"/>
  <c r="N18" i="11"/>
  <c r="C36" i="17" s="1"/>
  <c r="P16" i="11"/>
  <c r="H24" i="17"/>
  <c r="O3" i="17"/>
  <c r="H36" i="17"/>
  <c r="H38" i="17" s="1"/>
  <c r="H39" i="17" s="1"/>
  <c r="H41" i="17" s="1"/>
  <c r="H6" i="16" s="1"/>
  <c r="D24" i="17"/>
  <c r="D36" i="17"/>
  <c r="D38" i="17" s="1"/>
  <c r="D39" i="17" s="1"/>
  <c r="D41" i="17" s="1"/>
  <c r="D6" i="16" s="1"/>
  <c r="K3" i="17"/>
  <c r="P17" i="11"/>
  <c r="Q17" i="11" s="1"/>
  <c r="E36" i="17"/>
  <c r="E38" i="17" s="1"/>
  <c r="E39" i="17" s="1"/>
  <c r="E41" i="17" s="1"/>
  <c r="E6" i="16" s="1"/>
  <c r="E24" i="17"/>
  <c r="L3" i="17"/>
  <c r="P8" i="11"/>
  <c r="Q8" i="11" s="1"/>
  <c r="N3" i="17"/>
  <c r="G24" i="17"/>
  <c r="G36" i="17"/>
  <c r="G38" i="17" s="1"/>
  <c r="G39" i="17" s="1"/>
  <c r="G41" i="17" s="1"/>
  <c r="G6" i="16" s="1"/>
  <c r="F36" i="17"/>
  <c r="F38" i="17" s="1"/>
  <c r="F39" i="17" s="1"/>
  <c r="F41" i="17" s="1"/>
  <c r="F6" i="16" s="1"/>
  <c r="F24" i="17"/>
  <c r="M3" i="17"/>
  <c r="P18" i="11" l="1"/>
  <c r="C38" i="17" s="1"/>
  <c r="E13" i="17"/>
  <c r="E31" i="16" s="1"/>
  <c r="E26" i="17"/>
  <c r="K36" i="17"/>
  <c r="K38" i="17" s="1"/>
  <c r="K39" i="17" s="1"/>
  <c r="K24" i="17"/>
  <c r="K26" i="17" s="1"/>
  <c r="K27" i="17" s="1"/>
  <c r="I6" i="16"/>
  <c r="H13" i="17"/>
  <c r="H31" i="16" s="1"/>
  <c r="H26" i="17"/>
  <c r="P9" i="11"/>
  <c r="C26" i="17" s="1"/>
  <c r="F13" i="17"/>
  <c r="F31" i="16" s="1"/>
  <c r="F26" i="17"/>
  <c r="N36" i="17"/>
  <c r="N38" i="17" s="1"/>
  <c r="N39" i="17" s="1"/>
  <c r="N24" i="17"/>
  <c r="N26" i="17" s="1"/>
  <c r="N27" i="17" s="1"/>
  <c r="O24" i="17"/>
  <c r="O26" i="17" s="1"/>
  <c r="O27" i="17" s="1"/>
  <c r="O36" i="17"/>
  <c r="O38" i="17" s="1"/>
  <c r="O39" i="17" s="1"/>
  <c r="D26" i="17"/>
  <c r="D13" i="17"/>
  <c r="D31" i="16" s="1"/>
  <c r="Q7" i="11"/>
  <c r="Q9" i="11" s="1"/>
  <c r="M36" i="17"/>
  <c r="M38" i="17" s="1"/>
  <c r="M39" i="17" s="1"/>
  <c r="M24" i="17"/>
  <c r="M26" i="17" s="1"/>
  <c r="M27" i="17" s="1"/>
  <c r="G13" i="17"/>
  <c r="G31" i="16" s="1"/>
  <c r="G26" i="17"/>
  <c r="G15" i="17" s="1"/>
  <c r="G33" i="16" s="1"/>
  <c r="L24" i="17"/>
  <c r="L26" i="17" s="1"/>
  <c r="L27" i="17" s="1"/>
  <c r="L36" i="17"/>
  <c r="L38" i="17" s="1"/>
  <c r="L39" i="17" s="1"/>
  <c r="Q16" i="11"/>
  <c r="Q18" i="11" s="1"/>
  <c r="G34" i="16" l="1"/>
  <c r="D27" i="17"/>
  <c r="D15" i="17"/>
  <c r="D33" i="16" s="1"/>
  <c r="D34" i="16" s="1"/>
  <c r="H27" i="17"/>
  <c r="H15" i="17"/>
  <c r="H33" i="16" s="1"/>
  <c r="H34" i="16" s="1"/>
  <c r="G27" i="17"/>
  <c r="F27" i="17"/>
  <c r="F15" i="17"/>
  <c r="F33" i="16" s="1"/>
  <c r="E44" i="8" s="1"/>
  <c r="E46" i="8" s="1"/>
  <c r="G44" i="8"/>
  <c r="G46" i="8" s="1"/>
  <c r="E27" i="17"/>
  <c r="E15" i="17"/>
  <c r="E33" i="16" s="1"/>
  <c r="D44" i="8" s="1"/>
  <c r="D46" i="8" s="1"/>
  <c r="I31" i="16"/>
  <c r="D8" i="8"/>
  <c r="C39" i="17"/>
  <c r="F44" i="8"/>
  <c r="F46" i="8" s="1"/>
  <c r="C27" i="17"/>
  <c r="D7" i="8"/>
  <c r="E34" i="16" l="1"/>
  <c r="F34" i="16"/>
  <c r="F16" i="17"/>
  <c r="F29" i="17"/>
  <c r="C44" i="8"/>
  <c r="I33" i="16"/>
  <c r="I34" i="16" s="1"/>
  <c r="H16" i="17"/>
  <c r="H29" i="17"/>
  <c r="E16" i="17"/>
  <c r="E29" i="17"/>
  <c r="G16" i="17"/>
  <c r="G29" i="17"/>
  <c r="D16" i="17"/>
  <c r="D29" i="17"/>
  <c r="G5" i="16" l="1"/>
  <c r="G7" i="16" s="1"/>
  <c r="G17" i="17"/>
  <c r="F5" i="16"/>
  <c r="F7" i="16" s="1"/>
  <c r="F17" i="17"/>
  <c r="C46" i="8"/>
  <c r="H44" i="8"/>
  <c r="H46" i="8" s="1"/>
  <c r="H17" i="17"/>
  <c r="H5" i="16"/>
  <c r="H7" i="16" s="1"/>
  <c r="D5" i="16"/>
  <c r="D17" i="17"/>
  <c r="E17" i="17"/>
  <c r="E5" i="16"/>
  <c r="E7" i="16" s="1"/>
  <c r="I5" i="16" l="1"/>
  <c r="I7" i="16" s="1"/>
  <c r="D7" i="16"/>
</calcChain>
</file>

<file path=xl/sharedStrings.xml><?xml version="1.0" encoding="utf-8"?>
<sst xmlns="http://schemas.openxmlformats.org/spreadsheetml/2006/main" count="270" uniqueCount="148">
  <si>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</si>
  <si>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</si>
  <si>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</si>
  <si>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</si>
  <si>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</si>
  <si>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</si>
  <si>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</si>
  <si>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</si>
  <si>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</si>
  <si>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</si>
  <si>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</si>
  <si>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</si>
  <si>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</si>
  <si>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</si>
  <si>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</si>
  <si>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</si>
  <si>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</si>
  <si>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</si>
  <si>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</si>
  <si>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</si>
  <si>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</si>
  <si>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</si>
  <si>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</si>
  <si>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</si>
  <si>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</si>
  <si>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</si>
  <si>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</si>
  <si>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</si>
  <si>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</si>
  <si>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</si>
  <si>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</si>
  <si>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</si>
  <si>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</si>
  <si>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</si>
  <si>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</si>
  <si>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</si>
  <si>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</si>
  <si>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</si>
  <si>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</si>
  <si>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</si>
  <si>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</si>
  <si>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</si>
  <si>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</si>
  <si>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</si>
  <si>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</si>
  <si>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</si>
  <si>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</si>
  <si>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</si>
  <si>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</si>
  <si>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</si>
  <si>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</si>
  <si>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</si>
  <si>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</si>
  <si>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</si>
  <si>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</si>
  <si>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</si>
  <si>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</si>
  <si>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</si>
  <si>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</si>
  <si>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</si>
  <si>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 xml:space="preserve">Existing Service Description (2014 - 19) </t>
  </si>
  <si>
    <t xml:space="preserve">Reconnections/Disconnections
 - Disconnection visit (site visit only)
 - Disconnection visit (disconnection completed - technical)
 - Disconnection visit (disconnection completed)
 - Pillar box/pole top disconnection - completed
 - Reconnection/disconnection outside of business hours
 - Vacant property - site visit only
 - Vacant property disconnection (disconnection completed)
 - Shared service fuse replacement
 - Rectification of illegal connections 
 - Temporary connections
 - Remove or reposition connection
 - Single phase to three phase
</t>
  </si>
  <si>
    <t>FY2019 Fully Loaded Cost</t>
  </si>
  <si>
    <t>Disconnection / Reconnections - at Pole Top / Pillar</t>
  </si>
  <si>
    <t>Alternative Control Service - Botom Up Estimation</t>
  </si>
  <si>
    <t>Class of Labour</t>
  </si>
  <si>
    <t>Time on Task (Hours)</t>
  </si>
  <si>
    <t>Number of Staff</t>
  </si>
  <si>
    <t>Total Time
(Hours)</t>
  </si>
  <si>
    <t>FY2019 Direct Cost</t>
  </si>
  <si>
    <t>R4</t>
  </si>
  <si>
    <t>A site visit to a customer’s premises to disconnect the supply of electricity to a customer at the pole top or pillar box,
for breach by the customer of their customer retail contract, or for a breach of Essential Energy's customer
connection contract, or where a retailer supplier has requested that the supply to a customer be disconnected,
where the customer has denied access to the meter or had prior to the visit, reconnected supply without
authorisation by Essential Energy following a previous disconnection.
This charge includes the reconnection at the request of the retailer.
If following a request from a retailer the reconnection component of this service is provided outside the hours of 7.30am and 4.00pm on a working day, the additional ‘Reconnection - outside normal business hours’ charge, will also apply.
Disconnection may not occur due to a number of reasons such as but not limited to the following:
&gt; Customer has paid retail bill;
&gt; Breach of customer connection contract has been rectified;
&gt; Safety of Installation or Essential Energy's employee;
&gt; Late cancellation by retailer;
&gt; Change of customer or retailer for the NMI.
In the cases listed above a ‘Disconnection/Reconnection – Site Visit’ charge will be applied.</t>
  </si>
  <si>
    <t>Bottom Up Estimation</t>
  </si>
  <si>
    <t>Projected Volumes for FY2019-24 Regulatory Period</t>
  </si>
  <si>
    <t>Project Code</t>
  </si>
  <si>
    <t>ANS P&amp;L</t>
  </si>
  <si>
    <t>Field Officer</t>
  </si>
  <si>
    <t>Operating Costs (on IO's, work orders, cost objects, cost centres)</t>
  </si>
  <si>
    <t>FY22/23</t>
  </si>
  <si>
    <t xml:space="preserve">Operating Costs - </t>
  </si>
  <si>
    <t>ACSCW 30040 - Disconnect / Reconnect - at Pole Top / Pillar</t>
  </si>
  <si>
    <t>Historical Hrs for individual service not available. Hrs recorded across all non-routine meter reading tasks 102 Dept project numbers.</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</si>
  <si>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</si>
  <si>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</si>
  <si>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</si>
  <si>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</si>
  <si>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</si>
  <si>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</si>
  <si>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</si>
  <si>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 xml:space="preserve">Historical Operating Costs referenced from ANS P&amp;L Report. </t>
  </si>
  <si>
    <t>Service Order Report</t>
  </si>
  <si>
    <t xml:space="preserve">Historical revenue referenced from ANS P&amp;L Report. </t>
  </si>
  <si>
    <r>
      <t xml:space="preserve">
</t>
    </r>
    <r>
      <rPr>
        <b/>
        <sz val="10"/>
        <color theme="1"/>
        <rFont val="Arial"/>
        <family val="2"/>
      </rPr>
      <t>Disconnection / Reconnections - at Pole top / Pillar</t>
    </r>
    <r>
      <rPr>
        <sz val="10"/>
        <color theme="1"/>
        <rFont val="Arial"/>
        <family val="2"/>
      </rPr>
      <t xml:space="preserve">
A site visit to a customer’s premises to disconnect the supply of electricity to a customer at the pole top or pillar box,
for breach by the customer of their customer retail contract, or for a breach of Essential Energy's customer
connection contract, or where a retailer supplier has requested that the supply to a customer be disconnected,
where the customer has denied access to the meter or had prior to the visit, reconnected supply without
authorisation by Essential Energy following a previous disconnection.
This charge includes the reconnection at the request of the retailer.
If following a request from a retailer the reconnection component of this service is provided outside the hours of 7.30am and 4.00pm on a working day, the additional ‘Reconnection - outside normal business hours’ charge, will also apply.
Disconnection may not occur due to a number of reasons such as but not limited to the following:
&gt; Customer has paid retail bill;
&gt; Breach of customer connection contract has been rectified;
&gt; Safety of Installation or Essential Energy's employee;
&gt; Late cancellation by retailer;
&gt; Change of customer or retailer for the NMI.
In the cases listed above a ‘Disconnection/Reconnection – Site Visit’ charge will be applied.</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</si>
  <si>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</si>
  <si>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</si>
  <si>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</si>
  <si>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</si>
  <si>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</si>
  <si>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</si>
  <si>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</si>
  <si>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</si>
  <si>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</si>
  <si>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 Price</t>
  </si>
  <si>
    <t>Material Price Oncost %</t>
  </si>
  <si>
    <t>Total Material Cost</t>
  </si>
  <si>
    <t>Overheads</t>
  </si>
  <si>
    <t>Non-system charge</t>
  </si>
  <si>
    <t>Profit margin (WACC FY20) per service</t>
  </si>
  <si>
    <t>Labour</t>
  </si>
  <si>
    <t>All</t>
  </si>
  <si>
    <t>Fleet</t>
  </si>
  <si>
    <t>Materials</t>
  </si>
  <si>
    <t>Total costs before OHDs, non-system and margin</t>
  </si>
  <si>
    <t>Profit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</si>
  <si>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</si>
  <si>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</si>
  <si>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</si>
  <si>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</si>
  <si>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</si>
  <si>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</si>
  <si>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</si>
  <si>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</si>
  <si>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</si>
  <si>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</si>
  <si>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</si>
  <si>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</si>
  <si>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</si>
  <si>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Total before OHDs, non-system &amp; margin</t>
  </si>
  <si>
    <t>Fully Loaded Costs</t>
  </si>
  <si>
    <t>Forecast revenue (check)</t>
  </si>
  <si>
    <t>Materials (hire per week)</t>
  </si>
  <si>
    <t>Fully Loaded Cost per service</t>
  </si>
  <si>
    <t>Forecast revenue</t>
  </si>
  <si>
    <t>Reconnection - Poletop / Pillar</t>
  </si>
  <si>
    <t>Disconnect - Poletop / Pillar</t>
  </si>
  <si>
    <t>Dicsonnect - Poletop / Pillar</t>
  </si>
  <si>
    <t>Reconnect - Poletop / Pillar</t>
  </si>
  <si>
    <t>Disconnect - Pole Top / Pillar Box</t>
  </si>
  <si>
    <t>Reconnect - Pole Top / Pillar Box</t>
  </si>
  <si>
    <t>Forecast volumes</t>
  </si>
  <si>
    <t>Travel to site</t>
  </si>
  <si>
    <t>Complete Disconnect at Pole or Pillar</t>
  </si>
  <si>
    <t>Complete Reconnect at Pole or Pillar</t>
  </si>
  <si>
    <t>Disconnection + Reconnection Pole Top / Pillar Box</t>
  </si>
  <si>
    <t>Disconnection - Pole Top / Pillar Box</t>
  </si>
  <si>
    <t>Reconnection - Pole Top / Pillar Box</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</si>
  <si>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</si>
  <si>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5.3 Dics / Rec - Poletop / Pillar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</si>
</sst>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 numFmtId="174" formatCode="_-&quot;$&quot;* #,##0.0_-;\-&quot;$&quot;* #,##0.0_-;_-&quot;$&quot;* &quot;-&quot;?_-;_-@_-"/>
  </numFmts>
  <fonts count="35"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5" fillId="0" borderId="0"/>
  </cellStyleXfs>
  <cellXfs count="263">
    <xf numFmtId="0" fontId="0" fillId="0" borderId="0" xfId="0"/>
    <xf numFmtId="0" fontId="2" fillId="0" borderId="0" xfId="0" applyFont="1"/>
    <xf numFmtId="0" fontId="8" fillId="5" borderId="3" xfId="0" applyFont="1" applyFill="1" applyBorder="1"/>
    <xf numFmtId="0" fontId="8"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8" fillId="5" borderId="8" xfId="0" applyFont="1" applyFill="1" applyBorder="1"/>
    <xf numFmtId="0" fontId="8" fillId="5" borderId="0" xfId="0" applyFont="1" applyFill="1" applyBorder="1"/>
    <xf numFmtId="168" fontId="8" fillId="5" borderId="8" xfId="2" applyNumberFormat="1" applyFont="1" applyFill="1" applyBorder="1"/>
    <xf numFmtId="0" fontId="2" fillId="4" borderId="5" xfId="0" applyFont="1" applyFill="1" applyBorder="1"/>
    <xf numFmtId="3" fontId="2" fillId="4" borderId="4" xfId="0" applyNumberFormat="1" applyFont="1" applyFill="1" applyBorder="1"/>
    <xf numFmtId="3" fontId="8" fillId="5" borderId="8"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5" fillId="5" borderId="1" xfId="0" applyFont="1" applyFill="1" applyBorder="1"/>
    <xf numFmtId="168" fontId="8" fillId="5" borderId="9" xfId="2" applyNumberFormat="1" applyFont="1" applyFill="1" applyBorder="1"/>
    <xf numFmtId="168" fontId="8" fillId="5" borderId="10" xfId="2" applyNumberFormat="1" applyFont="1" applyFill="1" applyBorder="1"/>
    <xf numFmtId="0" fontId="6" fillId="8" borderId="0" xfId="0" applyFont="1" applyFill="1"/>
    <xf numFmtId="0" fontId="9"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9" fillId="8" borderId="12" xfId="0" applyFont="1" applyFill="1" applyBorder="1"/>
    <xf numFmtId="0" fontId="8" fillId="11" borderId="8" xfId="0" applyFont="1" applyFill="1" applyBorder="1"/>
    <xf numFmtId="0" fontId="10"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70" fontId="5" fillId="10" borderId="4" xfId="0" applyNumberFormat="1" applyFont="1" applyFill="1" applyBorder="1" applyAlignment="1">
      <alignment horizontal="center"/>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2" fillId="0" borderId="0" xfId="0" applyFont="1"/>
    <xf numFmtId="0" fontId="2" fillId="0" borderId="8" xfId="0" applyFont="1" applyBorder="1"/>
    <xf numFmtId="0" fontId="8" fillId="0" borderId="0" xfId="0" applyFont="1" applyFill="1" applyBorder="1"/>
    <xf numFmtId="0" fontId="5" fillId="0" borderId="0" xfId="0" applyFont="1" applyFill="1" applyBorder="1"/>
    <xf numFmtId="168" fontId="8" fillId="0" borderId="0" xfId="2" applyNumberFormat="1" applyFont="1" applyFill="1" applyBorder="1"/>
    <xf numFmtId="0" fontId="6" fillId="8" borderId="8" xfId="0" applyFont="1" applyFill="1" applyBorder="1"/>
    <xf numFmtId="0" fontId="8" fillId="5" borderId="10" xfId="0" applyFont="1" applyFill="1" applyBorder="1"/>
    <xf numFmtId="0" fontId="8" fillId="5" borderId="13" xfId="0" applyFont="1" applyFill="1" applyBorder="1" applyAlignment="1">
      <alignment horizontal="left"/>
    </xf>
    <xf numFmtId="0" fontId="12" fillId="0" borderId="6" xfId="0" applyFont="1" applyBorder="1"/>
    <xf numFmtId="0" fontId="8" fillId="11" borderId="10" xfId="0" applyFont="1" applyFill="1" applyBorder="1"/>
    <xf numFmtId="0" fontId="10" fillId="4" borderId="8" xfId="0" applyFont="1" applyFill="1" applyBorder="1" applyAlignment="1">
      <alignment horizontal="left" vertical="top" wrapText="1"/>
    </xf>
    <xf numFmtId="0" fontId="8"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0" fontId="5" fillId="10" borderId="4" xfId="0" applyFont="1" applyFill="1" applyBorder="1" applyAlignment="1">
      <alignment horizontal="center"/>
    </xf>
    <xf numFmtId="0" fontId="6" fillId="8" borderId="0" xfId="0" applyFont="1" applyFill="1" applyAlignment="1">
      <alignment horizontal="left"/>
    </xf>
    <xf numFmtId="0" fontId="5" fillId="10" borderId="4" xfId="0" applyFont="1" applyFill="1" applyBorder="1"/>
    <xf numFmtId="4" fontId="5" fillId="10" borderId="4" xfId="0" applyNumberFormat="1" applyFont="1" applyFill="1" applyBorder="1" applyAlignment="1">
      <alignment horizontal="center"/>
    </xf>
    <xf numFmtId="4" fontId="8" fillId="11" borderId="4" xfId="0" applyNumberFormat="1" applyFont="1" applyFill="1" applyBorder="1" applyAlignment="1">
      <alignment horizontal="center"/>
    </xf>
    <xf numFmtId="4" fontId="5" fillId="10" borderId="4" xfId="3"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2" fillId="10" borderId="4" xfId="0" applyFont="1" applyFill="1" applyBorder="1" applyAlignment="1">
      <alignment horizontal="left"/>
    </xf>
    <xf numFmtId="0" fontId="8" fillId="11" borderId="7" xfId="0" applyFont="1" applyFill="1" applyBorder="1" applyAlignment="1">
      <alignment horizontal="left"/>
    </xf>
    <xf numFmtId="0" fontId="8" fillId="11" borderId="7" xfId="0" applyFont="1" applyFill="1" applyBorder="1" applyAlignment="1">
      <alignment horizontal="center"/>
    </xf>
    <xf numFmtId="0" fontId="8" fillId="11" borderId="8" xfId="0" applyFont="1" applyFill="1" applyBorder="1" applyAlignment="1">
      <alignment horizontal="right"/>
    </xf>
    <xf numFmtId="0" fontId="14" fillId="8" borderId="11" xfId="0" applyFont="1" applyFill="1" applyBorder="1"/>
    <xf numFmtId="0" fontId="15" fillId="8" borderId="0" xfId="0" applyFont="1" applyFill="1"/>
    <xf numFmtId="0" fontId="16" fillId="0" borderId="0" xfId="0" applyFont="1"/>
    <xf numFmtId="0" fontId="16" fillId="0" borderId="0" xfId="0" applyFont="1" applyFill="1"/>
    <xf numFmtId="0" fontId="17" fillId="9" borderId="4" xfId="0" applyFont="1" applyFill="1" applyBorder="1"/>
    <xf numFmtId="0" fontId="16" fillId="6" borderId="0" xfId="0" applyFont="1" applyFill="1"/>
    <xf numFmtId="0" fontId="17" fillId="9" borderId="9" xfId="0" applyFont="1" applyFill="1" applyBorder="1"/>
    <xf numFmtId="0" fontId="19" fillId="7" borderId="0" xfId="0" applyFont="1" applyFill="1" applyBorder="1" applyAlignment="1">
      <alignment horizontal="center" vertical="center" wrapText="1"/>
    </xf>
    <xf numFmtId="0" fontId="16" fillId="2" borderId="1" xfId="0" applyFont="1" applyFill="1" applyBorder="1" applyAlignment="1">
      <alignment horizontal="center"/>
    </xf>
    <xf numFmtId="0" fontId="20" fillId="2" borderId="5" xfId="0" applyFont="1" applyFill="1" applyBorder="1" applyAlignment="1">
      <alignment horizontal="center" vertical="center"/>
    </xf>
    <xf numFmtId="0" fontId="20" fillId="7" borderId="0" xfId="0" applyFont="1" applyFill="1" applyBorder="1" applyAlignment="1">
      <alignment horizontal="center" vertical="center"/>
    </xf>
    <xf numFmtId="0" fontId="17" fillId="9" borderId="9" xfId="0" applyFont="1" applyFill="1" applyBorder="1" applyAlignment="1">
      <alignment vertical="center"/>
    </xf>
    <xf numFmtId="170" fontId="16" fillId="7" borderId="10" xfId="0" applyNumberFormat="1" applyFont="1" applyFill="1" applyBorder="1" applyAlignment="1">
      <alignment horizontal="center"/>
    </xf>
    <xf numFmtId="0" fontId="16" fillId="7" borderId="0" xfId="0" applyFont="1" applyFill="1" applyBorder="1" applyAlignment="1">
      <alignment horizontal="center" vertical="center"/>
    </xf>
    <xf numFmtId="170" fontId="16" fillId="3" borderId="2" xfId="0" applyNumberFormat="1" applyFont="1" applyFill="1" applyBorder="1" applyAlignment="1">
      <alignment horizontal="center"/>
    </xf>
    <xf numFmtId="0" fontId="17" fillId="9" borderId="8" xfId="0" applyFont="1" applyFill="1" applyBorder="1" applyAlignment="1">
      <alignment horizontal="left" vertical="center"/>
    </xf>
    <xf numFmtId="0" fontId="18" fillId="7" borderId="8" xfId="0" applyFont="1" applyFill="1" applyBorder="1" applyAlignment="1">
      <alignment horizontal="left"/>
    </xf>
    <xf numFmtId="0" fontId="18" fillId="7" borderId="0" xfId="0" applyFont="1" applyFill="1" applyBorder="1" applyAlignment="1">
      <alignment horizontal="left"/>
    </xf>
    <xf numFmtId="0" fontId="14" fillId="8" borderId="10" xfId="0" applyFont="1" applyFill="1" applyBorder="1"/>
    <xf numFmtId="0" fontId="15" fillId="8" borderId="0" xfId="0" applyFont="1" applyFill="1" applyBorder="1"/>
    <xf numFmtId="0" fontId="15" fillId="8" borderId="2" xfId="0" applyFont="1" applyFill="1" applyBorder="1"/>
    <xf numFmtId="0" fontId="16" fillId="7" borderId="0" xfId="0" applyFont="1" applyFill="1" applyBorder="1" applyAlignment="1">
      <alignment horizontal="left" vertical="top" wrapText="1"/>
    </xf>
    <xf numFmtId="0" fontId="14" fillId="8" borderId="0" xfId="0" applyFont="1" applyFill="1"/>
    <xf numFmtId="0" fontId="16" fillId="7" borderId="0" xfId="0" applyFont="1" applyFill="1" applyBorder="1" applyAlignment="1">
      <alignment horizontal="left" wrapText="1"/>
    </xf>
    <xf numFmtId="0" fontId="16" fillId="7" borderId="0" xfId="0" applyFont="1" applyFill="1" applyBorder="1" applyAlignment="1">
      <alignment horizontal="left"/>
    </xf>
    <xf numFmtId="0" fontId="16" fillId="0" borderId="0" xfId="0" applyFont="1" applyAlignment="1">
      <alignment horizontal="left"/>
    </xf>
    <xf numFmtId="0" fontId="16" fillId="0" borderId="0" xfId="0" applyFont="1" applyFill="1" applyBorder="1" applyAlignment="1">
      <alignment horizontal="left"/>
    </xf>
    <xf numFmtId="0" fontId="17" fillId="2" borderId="3" xfId="0" applyFont="1" applyFill="1" applyBorder="1"/>
    <xf numFmtId="0" fontId="16" fillId="7" borderId="0" xfId="0" applyFont="1" applyFill="1" applyAlignment="1">
      <alignment horizontal="left"/>
    </xf>
    <xf numFmtId="0" fontId="17" fillId="2" borderId="1" xfId="0" applyFont="1" applyFill="1" applyBorder="1"/>
    <xf numFmtId="0" fontId="17" fillId="9" borderId="6" xfId="0" applyFont="1" applyFill="1" applyBorder="1" applyAlignment="1">
      <alignment horizontal="left"/>
    </xf>
    <xf numFmtId="0" fontId="17" fillId="9" borderId="7" xfId="0" applyFont="1" applyFill="1" applyBorder="1" applyAlignment="1">
      <alignment horizontal="right"/>
    </xf>
    <xf numFmtId="0" fontId="17" fillId="9" borderId="8" xfId="0" applyFont="1" applyFill="1" applyBorder="1" applyAlignment="1">
      <alignment horizontal="right"/>
    </xf>
    <xf numFmtId="168" fontId="21" fillId="0" borderId="0" xfId="2" applyNumberFormat="1" applyFont="1"/>
    <xf numFmtId="168" fontId="17" fillId="2" borderId="7" xfId="2" applyNumberFormat="1" applyFont="1" applyFill="1" applyBorder="1"/>
    <xf numFmtId="10" fontId="16" fillId="0" borderId="0" xfId="1" applyNumberFormat="1" applyFont="1"/>
    <xf numFmtId="10" fontId="16" fillId="0" borderId="0" xfId="0" applyNumberFormat="1" applyFont="1"/>
    <xf numFmtId="171" fontId="16" fillId="0" borderId="0" xfId="1" applyNumberFormat="1" applyFont="1"/>
    <xf numFmtId="0" fontId="14" fillId="8" borderId="6" xfId="0" applyFont="1" applyFill="1" applyBorder="1" applyAlignment="1">
      <alignment horizontal="left"/>
    </xf>
    <xf numFmtId="0" fontId="18" fillId="0" borderId="0" xfId="0" applyFont="1"/>
    <xf numFmtId="0" fontId="17" fillId="2" borderId="6" xfId="0" applyFont="1" applyFill="1" applyBorder="1" applyAlignment="1">
      <alignment horizontal="left"/>
    </xf>
    <xf numFmtId="0" fontId="17" fillId="2" borderId="7" xfId="0" applyFont="1" applyFill="1" applyBorder="1" applyAlignment="1">
      <alignment horizontal="right"/>
    </xf>
    <xf numFmtId="0" fontId="17" fillId="2" borderId="8" xfId="0" applyFont="1" applyFill="1" applyBorder="1" applyAlignment="1">
      <alignment horizontal="right"/>
    </xf>
    <xf numFmtId="169" fontId="21" fillId="0" borderId="0" xfId="3" applyNumberFormat="1" applyFont="1" applyAlignment="1"/>
    <xf numFmtId="172" fontId="17" fillId="2" borderId="7" xfId="2" applyNumberFormat="1" applyFont="1" applyFill="1" applyBorder="1" applyAlignment="1"/>
    <xf numFmtId="169" fontId="22" fillId="0" borderId="0" xfId="3" applyNumberFormat="1" applyFont="1" applyAlignment="1">
      <alignment horizontal="right"/>
    </xf>
    <xf numFmtId="169" fontId="22" fillId="0" borderId="0" xfId="3" applyNumberFormat="1" applyFont="1" applyAlignment="1">
      <alignment horizontal="center" vertical="center"/>
    </xf>
    <xf numFmtId="3" fontId="2" fillId="4" borderId="4" xfId="0" applyNumberFormat="1" applyFont="1" applyFill="1" applyBorder="1" applyAlignment="1">
      <alignment horizontal="right"/>
    </xf>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8" fillId="5" borderId="8" xfId="0" applyFont="1" applyFill="1" applyBorder="1" applyAlignment="1">
      <alignment horizontal="center"/>
    </xf>
    <xf numFmtId="0" fontId="8" fillId="11" borderId="8" xfId="0" applyFont="1" applyFill="1" applyBorder="1" applyAlignment="1">
      <alignment horizontal="center"/>
    </xf>
    <xf numFmtId="0" fontId="10" fillId="4" borderId="1" xfId="0" applyFont="1" applyFill="1" applyBorder="1" applyAlignment="1">
      <alignment vertical="top" wrapText="1"/>
    </xf>
    <xf numFmtId="0" fontId="10" fillId="4" borderId="8" xfId="0" applyFont="1" applyFill="1" applyBorder="1" applyAlignment="1">
      <alignment vertical="top" wrapText="1"/>
    </xf>
    <xf numFmtId="0" fontId="10" fillId="4" borderId="0" xfId="0" applyFont="1" applyFill="1" applyBorder="1" applyAlignment="1">
      <alignment vertical="top" wrapText="1"/>
    </xf>
    <xf numFmtId="0" fontId="2" fillId="4" borderId="10" xfId="0" applyFont="1" applyFill="1" applyBorder="1"/>
    <xf numFmtId="0" fontId="8" fillId="5" borderId="8" xfId="0" applyFont="1" applyFill="1" applyBorder="1" applyAlignment="1">
      <alignment horizontal="left"/>
    </xf>
    <xf numFmtId="0" fontId="2" fillId="4" borderId="4" xfId="0" quotePrefix="1" applyFont="1" applyFill="1" applyBorder="1"/>
    <xf numFmtId="0" fontId="6" fillId="8" borderId="0" xfId="0" applyFont="1" applyFill="1" applyAlignment="1">
      <alignment horizontal="left"/>
    </xf>
    <xf numFmtId="0" fontId="23" fillId="8" borderId="0" xfId="0" applyFont="1" applyFill="1"/>
    <xf numFmtId="0" fontId="24" fillId="8" borderId="0" xfId="0" applyFont="1" applyFill="1"/>
    <xf numFmtId="0" fontId="25" fillId="0" borderId="0" xfId="0" applyFont="1"/>
    <xf numFmtId="0" fontId="26" fillId="0" borderId="0" xfId="0" applyFont="1"/>
    <xf numFmtId="0" fontId="26" fillId="10" borderId="4" xfId="0" applyFont="1" applyFill="1" applyBorder="1" applyAlignment="1">
      <alignment horizontal="left"/>
    </xf>
    <xf numFmtId="0" fontId="26" fillId="4" borderId="4" xfId="0" applyFont="1" applyFill="1" applyBorder="1"/>
    <xf numFmtId="168" fontId="26" fillId="10" borderId="4" xfId="2" applyNumberFormat="1" applyFont="1" applyFill="1" applyBorder="1"/>
    <xf numFmtId="0" fontId="28" fillId="0" borderId="0" xfId="0" applyFont="1"/>
    <xf numFmtId="0" fontId="27" fillId="5" borderId="6" xfId="0" applyFont="1" applyFill="1" applyBorder="1" applyAlignment="1">
      <alignment horizontal="left"/>
    </xf>
    <xf numFmtId="0" fontId="27" fillId="5" borderId="12" xfId="0" applyFont="1" applyFill="1" applyBorder="1"/>
    <xf numFmtId="0" fontId="29" fillId="5" borderId="12" xfId="0" applyFont="1" applyFill="1" applyBorder="1"/>
    <xf numFmtId="0" fontId="26" fillId="4" borderId="0" xfId="0" quotePrefix="1" applyFont="1" applyFill="1" applyBorder="1" applyAlignment="1">
      <alignment vertical="top"/>
    </xf>
    <xf numFmtId="0" fontId="26" fillId="4" borderId="0" xfId="0" applyFont="1" applyFill="1" applyBorder="1" applyAlignment="1">
      <alignment vertical="top"/>
    </xf>
    <xf numFmtId="0" fontId="8" fillId="2" borderId="6" xfId="0" applyFont="1" applyFill="1" applyBorder="1"/>
    <xf numFmtId="168" fontId="7" fillId="11" borderId="5" xfId="2" applyNumberFormat="1" applyFont="1" applyFill="1" applyBorder="1"/>
    <xf numFmtId="3" fontId="7" fillId="11" borderId="10" xfId="0" applyNumberFormat="1" applyFont="1" applyFill="1" applyBorder="1"/>
    <xf numFmtId="3" fontId="7" fillId="11" borderId="5" xfId="0" applyNumberFormat="1" applyFont="1" applyFill="1" applyBorder="1"/>
    <xf numFmtId="0" fontId="6" fillId="8" borderId="8" xfId="0" applyFont="1" applyFill="1" applyBorder="1" applyAlignment="1"/>
    <xf numFmtId="0" fontId="6" fillId="8" borderId="0" xfId="0" applyFont="1" applyFill="1" applyBorder="1" applyAlignment="1"/>
    <xf numFmtId="2" fontId="6" fillId="8" borderId="9" xfId="0" applyNumberFormat="1" applyFont="1" applyFill="1" applyBorder="1" applyAlignment="1">
      <alignment horizontal="center" vertical="center" wrapText="1"/>
    </xf>
    <xf numFmtId="0" fontId="6" fillId="8" borderId="9" xfId="0" applyFont="1" applyFill="1" applyBorder="1" applyAlignment="1">
      <alignment horizontal="center" vertical="center" wrapText="1"/>
    </xf>
    <xf numFmtId="2" fontId="5" fillId="10" borderId="4" xfId="3" applyNumberFormat="1" applyFont="1" applyFill="1" applyBorder="1" applyAlignment="1">
      <alignment horizontal="center"/>
    </xf>
    <xf numFmtId="170" fontId="6" fillId="8" borderId="9" xfId="0" applyNumberFormat="1" applyFont="1" applyFill="1" applyBorder="1" applyAlignment="1">
      <alignment horizontal="center" vertical="center" wrapText="1"/>
    </xf>
    <xf numFmtId="170" fontId="8" fillId="9" borderId="2" xfId="0" applyNumberFormat="1" applyFont="1" applyFill="1" applyBorder="1" applyAlignment="1"/>
    <xf numFmtId="170" fontId="8" fillId="9" borderId="2" xfId="0" applyNumberFormat="1" applyFont="1" applyFill="1" applyBorder="1" applyAlignment="1">
      <alignment horizontal="left"/>
    </xf>
    <xf numFmtId="170" fontId="8" fillId="9" borderId="3" xfId="0" applyNumberFormat="1" applyFont="1" applyFill="1" applyBorder="1" applyAlignment="1">
      <alignment horizontal="left"/>
    </xf>
    <xf numFmtId="0" fontId="5" fillId="10" borderId="13" xfId="0" applyFont="1" applyFill="1" applyBorder="1"/>
    <xf numFmtId="0" fontId="5" fillId="10" borderId="13" xfId="0" applyFont="1" applyFill="1" applyBorder="1" applyAlignment="1">
      <alignment horizontal="center"/>
    </xf>
    <xf numFmtId="4" fontId="5" fillId="10" borderId="13" xfId="0" applyNumberFormat="1" applyFont="1" applyFill="1" applyBorder="1" applyAlignment="1">
      <alignment horizontal="center"/>
    </xf>
    <xf numFmtId="4" fontId="5" fillId="10" borderId="13" xfId="3" applyNumberFormat="1" applyFont="1" applyFill="1" applyBorder="1" applyAlignment="1">
      <alignment horizontal="center" vertical="center"/>
    </xf>
    <xf numFmtId="2" fontId="5" fillId="10" borderId="13" xfId="3" applyNumberFormat="1" applyFont="1" applyFill="1" applyBorder="1" applyAlignment="1">
      <alignment horizontal="center"/>
    </xf>
    <xf numFmtId="170" fontId="5" fillId="10" borderId="13" xfId="0" applyNumberFormat="1" applyFont="1" applyFill="1" applyBorder="1" applyAlignment="1">
      <alignment horizontal="center"/>
    </xf>
    <xf numFmtId="170" fontId="8" fillId="9" borderId="5" xfId="0" applyNumberFormat="1" applyFont="1" applyFill="1" applyBorder="1" applyAlignment="1"/>
    <xf numFmtId="0" fontId="6" fillId="8" borderId="12" xfId="0" applyFont="1" applyFill="1" applyBorder="1"/>
    <xf numFmtId="0" fontId="2" fillId="4" borderId="3" xfId="0" applyFont="1" applyFill="1" applyBorder="1" applyAlignment="1">
      <alignment horizontal="left" indent="1"/>
    </xf>
    <xf numFmtId="0" fontId="30" fillId="0" borderId="0" xfId="0" applyFont="1"/>
    <xf numFmtId="0" fontId="7" fillId="4" borderId="3" xfId="0" applyFont="1" applyFill="1" applyBorder="1"/>
    <xf numFmtId="0" fontId="7" fillId="4" borderId="4" xfId="0" applyFont="1" applyFill="1" applyBorder="1"/>
    <xf numFmtId="168" fontId="7" fillId="10" borderId="5" xfId="2" applyNumberFormat="1" applyFont="1" applyFill="1" applyBorder="1" applyAlignment="1">
      <alignment horizontal="center"/>
    </xf>
    <xf numFmtId="0" fontId="2" fillId="4" borderId="1" xfId="0" applyFont="1" applyFill="1" applyBorder="1"/>
    <xf numFmtId="0" fontId="8" fillId="5" borderId="1" xfId="0" applyFont="1" applyFill="1" applyBorder="1"/>
    <xf numFmtId="0" fontId="3" fillId="0" borderId="0" xfId="0" applyFont="1"/>
    <xf numFmtId="10" fontId="3" fillId="0" borderId="0" xfId="1" applyNumberFormat="1" applyFont="1"/>
    <xf numFmtId="10" fontId="3" fillId="0" borderId="0" xfId="0" applyNumberFormat="1" applyFont="1"/>
    <xf numFmtId="0" fontId="31" fillId="0" borderId="0" xfId="0" applyFont="1"/>
    <xf numFmtId="167" fontId="6" fillId="15" borderId="4" xfId="3" applyFont="1" applyFill="1" applyBorder="1" applyAlignment="1">
      <alignment horizontal="left"/>
    </xf>
    <xf numFmtId="167" fontId="6"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7" fillId="5" borderId="4" xfId="3" applyFont="1" applyFill="1" applyBorder="1"/>
    <xf numFmtId="173" fontId="7" fillId="5" borderId="4" xfId="3" applyNumberFormat="1" applyFont="1" applyFill="1" applyBorder="1"/>
    <xf numFmtId="0" fontId="7" fillId="5" borderId="5" xfId="0" applyFont="1" applyFill="1" applyBorder="1"/>
    <xf numFmtId="0" fontId="7" fillId="5" borderId="0" xfId="0" applyFont="1" applyFill="1" applyBorder="1"/>
    <xf numFmtId="0" fontId="3" fillId="0" borderId="6" xfId="0" applyFont="1" applyFill="1" applyBorder="1" applyAlignment="1">
      <alignment textRotation="90"/>
    </xf>
    <xf numFmtId="0" fontId="8" fillId="0" borderId="8" xfId="0" applyFont="1" applyFill="1" applyBorder="1"/>
    <xf numFmtId="0" fontId="32" fillId="4" borderId="5" xfId="0" applyFont="1" applyFill="1" applyBorder="1"/>
    <xf numFmtId="0" fontId="7" fillId="4" borderId="5" xfId="0" applyFont="1" applyFill="1" applyBorder="1"/>
    <xf numFmtId="0" fontId="7" fillId="4" borderId="5" xfId="0" applyFont="1" applyFill="1" applyBorder="1" applyAlignment="1"/>
    <xf numFmtId="0" fontId="7" fillId="4" borderId="2" xfId="0" applyFont="1" applyFill="1" applyBorder="1" applyAlignment="1"/>
    <xf numFmtId="0" fontId="2" fillId="4" borderId="4" xfId="0" applyFont="1" applyFill="1" applyBorder="1" applyAlignment="1">
      <alignment horizontal="left"/>
    </xf>
    <xf numFmtId="167" fontId="33" fillId="10" borderId="4" xfId="3" applyFont="1" applyFill="1" applyBorder="1"/>
    <xf numFmtId="167" fontId="2" fillId="10" borderId="4" xfId="3" applyFont="1" applyFill="1" applyBorder="1"/>
    <xf numFmtId="167" fontId="7" fillId="5" borderId="4" xfId="3" applyFont="1" applyFill="1" applyBorder="1" applyAlignment="1">
      <alignment horizontal="left"/>
    </xf>
    <xf numFmtId="167" fontId="33" fillId="5" borderId="4" xfId="3" applyFont="1" applyFill="1" applyBorder="1"/>
    <xf numFmtId="0" fontId="7" fillId="4" borderId="4" xfId="0" applyFont="1" applyFill="1" applyBorder="1" applyAlignment="1">
      <alignment horizontal="left"/>
    </xf>
    <xf numFmtId="167" fontId="34" fillId="10" borderId="4" xfId="3" applyFont="1" applyFill="1" applyBorder="1"/>
    <xf numFmtId="167" fontId="7"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6" fillId="8" borderId="0" xfId="0" applyFont="1" applyFill="1" applyAlignment="1">
      <alignment horizontal="left"/>
    </xf>
    <xf numFmtId="0" fontId="8" fillId="11" borderId="4" xfId="0" applyFont="1" applyFill="1" applyBorder="1" applyAlignment="1">
      <alignment horizontal="left"/>
    </xf>
    <xf numFmtId="0" fontId="8" fillId="11" borderId="4" xfId="0" applyFont="1" applyFill="1" applyBorder="1" applyAlignment="1">
      <alignment horizontal="center"/>
    </xf>
    <xf numFmtId="0" fontId="8" fillId="11" borderId="4" xfId="0" applyFont="1" applyFill="1" applyBorder="1" applyAlignment="1">
      <alignment horizontal="right"/>
    </xf>
    <xf numFmtId="3" fontId="7" fillId="11" borderId="4" xfId="0" applyNumberFormat="1" applyFont="1" applyFill="1" applyBorder="1"/>
    <xf numFmtId="3" fontId="2" fillId="4" borderId="4" xfId="0" applyNumberFormat="1" applyFont="1" applyFill="1" applyBorder="1" applyAlignment="1">
      <alignment horizontal="center"/>
    </xf>
    <xf numFmtId="170" fontId="2" fillId="7" borderId="5" xfId="0" applyNumberFormat="1" applyFont="1" applyFill="1" applyBorder="1" applyAlignment="1">
      <alignment horizontal="left"/>
    </xf>
    <xf numFmtId="170" fontId="2" fillId="7" borderId="3" xfId="0" applyNumberFormat="1" applyFont="1" applyFill="1" applyBorder="1" applyAlignment="1">
      <alignment horizontal="left"/>
    </xf>
    <xf numFmtId="170" fontId="2" fillId="7" borderId="2" xfId="0" applyNumberFormat="1" applyFont="1" applyFill="1" applyBorder="1" applyAlignment="1">
      <alignment horizontal="left"/>
    </xf>
    <xf numFmtId="174" fontId="2" fillId="10" borderId="4" xfId="2" applyNumberFormat="1" applyFont="1" applyFill="1" applyBorder="1"/>
    <xf numFmtId="3" fontId="26" fillId="10" borderId="4" xfId="0" applyNumberFormat="1" applyFont="1" applyFill="1" applyBorder="1"/>
    <xf numFmtId="170" fontId="21" fillId="7" borderId="2" xfId="0" applyNumberFormat="1" applyFont="1" applyFill="1" applyBorder="1" applyAlignment="1">
      <alignment horizontal="left"/>
    </xf>
    <xf numFmtId="170" fontId="21" fillId="7" borderId="3" xfId="0" applyNumberFormat="1" applyFont="1" applyFill="1" applyBorder="1" applyAlignment="1">
      <alignment horizontal="left"/>
    </xf>
    <xf numFmtId="0" fontId="18" fillId="7" borderId="5" xfId="0" applyNumberFormat="1" applyFont="1" applyFill="1" applyBorder="1" applyAlignment="1">
      <alignment horizontal="left" wrapText="1"/>
    </xf>
    <xf numFmtId="0" fontId="18" fillId="7" borderId="2" xfId="0" applyNumberFormat="1" applyFont="1" applyFill="1" applyBorder="1" applyAlignment="1">
      <alignment horizontal="left" wrapText="1"/>
    </xf>
    <xf numFmtId="0" fontId="18" fillId="7" borderId="1" xfId="0" applyNumberFormat="1" applyFont="1" applyFill="1" applyBorder="1" applyAlignment="1">
      <alignment horizontal="left" wrapText="1"/>
    </xf>
    <xf numFmtId="0" fontId="16" fillId="7" borderId="0" xfId="0" applyFont="1" applyFill="1" applyBorder="1" applyAlignment="1">
      <alignment horizontal="left" wrapText="1"/>
    </xf>
    <xf numFmtId="0" fontId="2" fillId="7" borderId="1" xfId="0" applyFont="1" applyFill="1" applyBorder="1" applyAlignment="1">
      <alignment horizontal="left" vertical="top" wrapText="1"/>
    </xf>
    <xf numFmtId="0" fontId="16"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6" fillId="2" borderId="5" xfId="0" applyFont="1" applyFill="1" applyBorder="1" applyAlignment="1">
      <alignment horizontal="center"/>
    </xf>
    <xf numFmtId="0" fontId="16" fillId="2" borderId="2" xfId="0" applyFont="1" applyFill="1" applyBorder="1" applyAlignment="1">
      <alignment horizontal="center"/>
    </xf>
    <xf numFmtId="0" fontId="8" fillId="9" borderId="9" xfId="0" applyFont="1" applyFill="1" applyBorder="1" applyAlignment="1">
      <alignment horizontal="left" vertical="center"/>
    </xf>
    <xf numFmtId="0" fontId="8" fillId="9" borderId="13" xfId="0" applyFont="1" applyFill="1" applyBorder="1" applyAlignment="1">
      <alignment horizontal="left" vertical="center"/>
    </xf>
    <xf numFmtId="0" fontId="16" fillId="7" borderId="1" xfId="0" applyFont="1" applyFill="1" applyBorder="1" applyAlignment="1">
      <alignment horizontal="left" wrapText="1"/>
    </xf>
    <xf numFmtId="0" fontId="16" fillId="7" borderId="0" xfId="0" quotePrefix="1" applyFont="1" applyFill="1" applyBorder="1" applyAlignment="1">
      <alignment horizontal="left" vertical="top" wrapText="1"/>
    </xf>
    <xf numFmtId="0" fontId="16"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6" fillId="12" borderId="0" xfId="0" applyFont="1" applyFill="1" applyBorder="1" applyAlignment="1">
      <alignment horizontal="center"/>
    </xf>
    <xf numFmtId="2" fontId="6" fillId="13" borderId="0" xfId="0" applyNumberFormat="1" applyFont="1" applyFill="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4" fillId="0" borderId="6" xfId="0" applyFont="1" applyFill="1" applyBorder="1" applyAlignment="1">
      <alignment horizontal="center" textRotation="90"/>
    </xf>
    <xf numFmtId="10" fontId="31" fillId="14" borderId="12" xfId="0" applyNumberFormat="1" applyFont="1" applyFill="1" applyBorder="1" applyAlignment="1">
      <alignment horizontal="center"/>
    </xf>
    <xf numFmtId="10" fontId="31" fillId="14" borderId="0" xfId="0" applyNumberFormat="1" applyFont="1" applyFill="1" applyBorder="1" applyAlignment="1">
      <alignment horizontal="center"/>
    </xf>
    <xf numFmtId="0" fontId="29" fillId="4" borderId="1" xfId="0" applyFont="1" applyFill="1" applyBorder="1" applyAlignment="1">
      <alignment horizontal="left" vertical="top"/>
    </xf>
    <xf numFmtId="0" fontId="29" fillId="4" borderId="0" xfId="0" applyFont="1" applyFill="1" applyBorder="1" applyAlignment="1">
      <alignment horizontal="left" vertical="top"/>
    </xf>
    <xf numFmtId="0" fontId="26" fillId="4" borderId="1" xfId="0" quotePrefix="1" applyFont="1" applyFill="1" applyBorder="1" applyAlignment="1">
      <alignment horizontal="left" vertical="top" wrapText="1"/>
    </xf>
    <xf numFmtId="0" fontId="26" fillId="4" borderId="0" xfId="0" quotePrefix="1" applyFont="1" applyFill="1" applyBorder="1" applyAlignment="1">
      <alignment horizontal="left" vertical="top" wrapText="1"/>
    </xf>
    <xf numFmtId="0" fontId="27" fillId="5" borderId="4" xfId="0" applyFont="1" applyFill="1" applyBorder="1" applyAlignment="1">
      <alignment horizontal="left"/>
    </xf>
    <xf numFmtId="0" fontId="27" fillId="5" borderId="4" xfId="0" applyFont="1" applyFill="1" applyBorder="1" applyAlignment="1">
      <alignment horizontal="center"/>
    </xf>
    <xf numFmtId="0" fontId="27" fillId="5" borderId="4" xfId="0" applyFont="1" applyFill="1" applyBorder="1" applyAlignment="1">
      <alignment horizontal="right"/>
    </xf>
    <xf numFmtId="3" fontId="28" fillId="11" borderId="4" xfId="0" applyNumberFormat="1" applyFont="1" applyFill="1" applyBorder="1"/>
    <xf numFmtId="0" fontId="27" fillId="5" borderId="4" xfId="0" applyFont="1" applyFill="1" applyBorder="1"/>
    <xf numFmtId="3" fontId="27" fillId="5" borderId="4" xfId="0" applyNumberFormat="1" applyFont="1" applyFill="1" applyBorder="1"/>
    <xf numFmtId="168" fontId="28" fillId="11" borderId="4" xfId="2" applyNumberFormat="1" applyFont="1" applyFill="1" applyBorder="1"/>
    <xf numFmtId="168" fontId="27"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B11" sqref="B11:H11"/>
    </sheetView>
  </sheetViews>
  <sheetFormatPr defaultColWidth="9.140625" defaultRowHeight="12.75" x14ac:dyDescent="0.2"/>
  <cols>
    <col min="1" max="1" width="2.42578125" style="72" customWidth="1"/>
    <col min="2" max="2" width="41.85546875" style="72" customWidth="1"/>
    <col min="3" max="3" width="54.28515625" style="72" customWidth="1"/>
    <col min="4" max="4" width="16.7109375" style="72" customWidth="1"/>
    <col min="5" max="5" width="13.85546875" style="72" customWidth="1"/>
    <col min="6" max="6" width="14" style="72" customWidth="1"/>
    <col min="7" max="7" width="12.85546875" style="72" customWidth="1"/>
    <col min="8" max="8" width="13.28515625" style="72" customWidth="1"/>
    <col min="9" max="9" width="11.5703125" style="72" customWidth="1"/>
    <col min="10" max="16384" width="9.140625" style="72"/>
  </cols>
  <sheetData>
    <row r="2" spans="2:19" x14ac:dyDescent="0.2">
      <c r="B2" s="70" t="s">
        <v>7</v>
      </c>
      <c r="C2" s="71"/>
      <c r="D2" s="71"/>
      <c r="E2" s="71"/>
      <c r="F2" s="71"/>
      <c r="G2" s="71"/>
      <c r="H2" s="71"/>
      <c r="O2" s="73"/>
      <c r="P2" s="73"/>
      <c r="Q2" s="73"/>
      <c r="R2" s="73"/>
      <c r="S2" s="73"/>
    </row>
    <row r="3" spans="2:19" ht="75.75" customHeight="1" x14ac:dyDescent="0.2">
      <c r="B3" s="74" t="s">
        <v>52</v>
      </c>
      <c r="C3" s="213" t="s">
        <v>63</v>
      </c>
      <c r="D3" s="214"/>
      <c r="E3" s="215"/>
      <c r="F3" s="215"/>
      <c r="G3" s="215"/>
      <c r="H3" s="215"/>
      <c r="M3" s="75"/>
      <c r="N3" s="75"/>
      <c r="O3" s="73"/>
      <c r="P3" s="73"/>
      <c r="Q3" s="73"/>
      <c r="R3" s="73"/>
      <c r="S3" s="73"/>
    </row>
    <row r="4" spans="2:19" ht="55.5" customHeight="1" x14ac:dyDescent="0.2">
      <c r="B4" s="76"/>
      <c r="C4" s="220"/>
      <c r="D4" s="221"/>
      <c r="E4" s="77"/>
      <c r="F4" s="77"/>
      <c r="G4" s="77"/>
      <c r="H4" s="77"/>
      <c r="M4" s="75"/>
      <c r="N4" s="75"/>
      <c r="O4" s="73"/>
      <c r="P4" s="73"/>
      <c r="Q4" s="73"/>
      <c r="R4" s="73"/>
      <c r="S4" s="73"/>
    </row>
    <row r="5" spans="2:19" x14ac:dyDescent="0.2">
      <c r="B5" s="74" t="s">
        <v>13</v>
      </c>
      <c r="C5" s="78"/>
      <c r="D5" s="79" t="s">
        <v>45</v>
      </c>
      <c r="E5" s="80"/>
      <c r="F5" s="80"/>
      <c r="G5" s="80"/>
      <c r="H5" s="80"/>
      <c r="M5" s="75"/>
      <c r="N5" s="75"/>
      <c r="O5" s="73"/>
      <c r="P5" s="73"/>
      <c r="Q5" s="73"/>
      <c r="R5" s="73"/>
      <c r="S5" s="73"/>
    </row>
    <row r="6" spans="2:19" x14ac:dyDescent="0.2">
      <c r="B6" s="81" t="s">
        <v>39</v>
      </c>
      <c r="C6" s="206" t="s">
        <v>143</v>
      </c>
      <c r="D6" s="82">
        <v>473.34</v>
      </c>
      <c r="E6" s="83"/>
      <c r="F6" s="83"/>
      <c r="G6" s="83"/>
      <c r="H6" s="83"/>
      <c r="M6" s="75"/>
      <c r="N6" s="75"/>
      <c r="O6" s="73"/>
      <c r="P6" s="73"/>
      <c r="Q6" s="73"/>
      <c r="R6" s="73"/>
      <c r="S6" s="73"/>
    </row>
    <row r="7" spans="2:19" x14ac:dyDescent="0.2">
      <c r="B7" s="222" t="s">
        <v>93</v>
      </c>
      <c r="C7" s="207" t="s">
        <v>144</v>
      </c>
      <c r="D7" s="84">
        <f>'Proposed Fee'!Q9</f>
        <v>309.88527156154123</v>
      </c>
      <c r="E7" s="83"/>
      <c r="F7" s="83"/>
      <c r="G7" s="83"/>
      <c r="H7" s="83"/>
      <c r="O7" s="73"/>
      <c r="P7" s="73"/>
      <c r="Q7" s="73"/>
      <c r="R7" s="73"/>
      <c r="S7" s="73"/>
    </row>
    <row r="8" spans="2:19" x14ac:dyDescent="0.2">
      <c r="B8" s="223"/>
      <c r="C8" s="208" t="s">
        <v>145</v>
      </c>
      <c r="D8" s="84">
        <f>'Proposed Fee'!Q18</f>
        <v>309.88527156154123</v>
      </c>
      <c r="E8" s="83"/>
      <c r="F8" s="83"/>
      <c r="G8" s="83"/>
      <c r="H8" s="83"/>
      <c r="O8" s="73"/>
      <c r="P8" s="73"/>
      <c r="Q8" s="73"/>
      <c r="R8" s="73"/>
      <c r="S8" s="73"/>
    </row>
    <row r="9" spans="2:19" x14ac:dyDescent="0.2">
      <c r="B9" s="85" t="s">
        <v>46</v>
      </c>
      <c r="C9" s="211" t="s">
        <v>72</v>
      </c>
      <c r="D9" s="212"/>
      <c r="E9" s="86"/>
      <c r="F9" s="87"/>
      <c r="G9" s="87"/>
      <c r="H9" s="87"/>
      <c r="O9" s="73"/>
      <c r="P9" s="73"/>
      <c r="Q9" s="73"/>
      <c r="R9" s="73"/>
      <c r="S9" s="73"/>
    </row>
    <row r="10" spans="2:19" x14ac:dyDescent="0.2">
      <c r="B10" s="88" t="s">
        <v>5</v>
      </c>
      <c r="C10" s="89"/>
      <c r="D10" s="89"/>
      <c r="E10" s="90"/>
      <c r="F10" s="90"/>
      <c r="G10" s="90"/>
      <c r="H10" s="90"/>
      <c r="O10" s="73"/>
      <c r="P10" s="73"/>
      <c r="Q10" s="73"/>
      <c r="R10" s="73"/>
      <c r="S10" s="73"/>
    </row>
    <row r="11" spans="2:19" ht="286.5" customHeight="1" x14ac:dyDescent="0.2">
      <c r="B11" s="217" t="s">
        <v>92</v>
      </c>
      <c r="C11" s="218"/>
      <c r="D11" s="218"/>
      <c r="E11" s="218"/>
      <c r="F11" s="218"/>
      <c r="G11" s="218"/>
      <c r="H11" s="218"/>
      <c r="O11" s="73"/>
      <c r="P11" s="73"/>
      <c r="Q11" s="73"/>
      <c r="R11" s="73"/>
      <c r="S11" s="73"/>
    </row>
    <row r="12" spans="2:19" x14ac:dyDescent="0.2">
      <c r="B12" s="91"/>
      <c r="C12" s="91"/>
      <c r="D12" s="91"/>
      <c r="E12" s="91"/>
      <c r="F12" s="91"/>
      <c r="G12" s="91"/>
      <c r="H12" s="91"/>
      <c r="O12" s="73"/>
      <c r="P12" s="73"/>
      <c r="Q12" s="73"/>
      <c r="R12" s="73"/>
      <c r="S12" s="73"/>
    </row>
    <row r="13" spans="2:19" x14ac:dyDescent="0.2">
      <c r="O13" s="73"/>
      <c r="P13" s="73"/>
      <c r="Q13" s="73"/>
      <c r="R13" s="73"/>
      <c r="S13" s="73"/>
    </row>
    <row r="14" spans="2:19" x14ac:dyDescent="0.2">
      <c r="B14" s="92" t="s">
        <v>32</v>
      </c>
      <c r="C14" s="71"/>
      <c r="D14" s="71"/>
      <c r="E14" s="71"/>
      <c r="F14" s="71"/>
      <c r="G14" s="71"/>
      <c r="H14" s="71"/>
      <c r="O14" s="73"/>
      <c r="P14" s="73"/>
      <c r="Q14" s="73"/>
      <c r="R14" s="73"/>
      <c r="S14" s="73"/>
    </row>
    <row r="15" spans="2:19" x14ac:dyDescent="0.2">
      <c r="B15" s="216"/>
      <c r="C15" s="216"/>
      <c r="D15" s="216"/>
      <c r="E15" s="216"/>
      <c r="F15" s="216"/>
      <c r="G15" s="216"/>
      <c r="H15" s="216"/>
    </row>
    <row r="16" spans="2:19" ht="132" customHeight="1" x14ac:dyDescent="0.2">
      <c r="B16" s="219" t="s">
        <v>146</v>
      </c>
      <c r="C16" s="219"/>
      <c r="D16" s="219"/>
      <c r="E16" s="219"/>
      <c r="F16" s="219"/>
      <c r="G16" s="219"/>
      <c r="H16" s="219"/>
      <c r="I16" s="73"/>
    </row>
    <row r="17" spans="2:9" x14ac:dyDescent="0.2">
      <c r="B17" s="94"/>
      <c r="C17" s="94"/>
      <c r="D17" s="94"/>
      <c r="E17" s="94"/>
      <c r="F17" s="94"/>
      <c r="G17" s="94"/>
      <c r="H17" s="94"/>
    </row>
    <row r="18" spans="2:9" x14ac:dyDescent="0.2">
      <c r="B18" s="95"/>
      <c r="C18" s="95"/>
      <c r="D18" s="95"/>
      <c r="E18" s="95"/>
      <c r="F18" s="95"/>
      <c r="G18" s="95"/>
      <c r="H18" s="95"/>
    </row>
    <row r="19" spans="2:9" x14ac:dyDescent="0.2">
      <c r="B19" s="92" t="s">
        <v>40</v>
      </c>
      <c r="C19" s="71"/>
      <c r="D19" s="71"/>
      <c r="E19" s="71"/>
      <c r="F19" s="71"/>
      <c r="G19" s="71"/>
      <c r="H19" s="71"/>
    </row>
    <row r="20" spans="2:9" x14ac:dyDescent="0.2">
      <c r="B20" s="216"/>
      <c r="C20" s="216"/>
      <c r="D20" s="216"/>
      <c r="E20" s="216"/>
      <c r="F20" s="216"/>
      <c r="G20" s="216"/>
      <c r="H20" s="216"/>
    </row>
    <row r="21" spans="2:9" x14ac:dyDescent="0.2">
      <c r="B21" s="225"/>
      <c r="C21" s="225"/>
      <c r="D21" s="225"/>
      <c r="E21" s="225"/>
      <c r="F21" s="225"/>
      <c r="G21" s="225"/>
      <c r="H21" s="225"/>
    </row>
    <row r="22" spans="2:9" x14ac:dyDescent="0.2">
      <c r="B22" s="225"/>
      <c r="C22" s="225"/>
      <c r="D22" s="225"/>
      <c r="E22" s="225"/>
      <c r="F22" s="225"/>
      <c r="G22" s="225"/>
      <c r="H22" s="225"/>
    </row>
    <row r="23" spans="2:9" x14ac:dyDescent="0.2">
      <c r="B23" s="225"/>
      <c r="C23" s="226"/>
      <c r="D23" s="226"/>
      <c r="E23" s="226"/>
      <c r="F23" s="226"/>
      <c r="G23" s="226"/>
      <c r="H23" s="226"/>
    </row>
    <row r="24" spans="2:9" x14ac:dyDescent="0.2">
      <c r="B24" s="93"/>
      <c r="C24" s="93"/>
      <c r="D24" s="93"/>
      <c r="E24" s="93"/>
      <c r="F24" s="93"/>
      <c r="G24" s="93"/>
      <c r="H24" s="93"/>
    </row>
    <row r="25" spans="2:9" x14ac:dyDescent="0.2">
      <c r="B25" s="216"/>
      <c r="C25" s="216"/>
      <c r="D25" s="216"/>
      <c r="E25" s="216"/>
      <c r="F25" s="216"/>
      <c r="G25" s="216"/>
      <c r="H25" s="216"/>
    </row>
    <row r="26" spans="2:9" x14ac:dyDescent="0.2">
      <c r="B26" s="94"/>
      <c r="C26" s="94"/>
      <c r="D26" s="94"/>
      <c r="E26" s="94"/>
      <c r="F26" s="94"/>
      <c r="G26" s="94"/>
      <c r="H26" s="94"/>
    </row>
    <row r="27" spans="2:9" x14ac:dyDescent="0.2">
      <c r="B27" s="94"/>
      <c r="C27" s="94"/>
      <c r="D27" s="94"/>
      <c r="E27" s="94"/>
      <c r="F27" s="94"/>
      <c r="G27" s="94"/>
      <c r="H27" s="94"/>
    </row>
    <row r="28" spans="2:9" x14ac:dyDescent="0.2">
      <c r="B28" s="94"/>
      <c r="C28" s="94"/>
      <c r="D28" s="94"/>
      <c r="E28" s="94"/>
      <c r="F28" s="94"/>
      <c r="G28" s="94"/>
      <c r="H28" s="94"/>
    </row>
    <row r="29" spans="2:9" x14ac:dyDescent="0.2">
      <c r="B29" s="94"/>
      <c r="C29" s="94"/>
      <c r="D29" s="94"/>
      <c r="E29" s="94"/>
      <c r="F29" s="94"/>
      <c r="G29" s="94"/>
      <c r="H29" s="94"/>
    </row>
    <row r="30" spans="2:9" x14ac:dyDescent="0.2">
      <c r="B30" s="96"/>
      <c r="C30" s="96"/>
      <c r="D30" s="96"/>
      <c r="E30" s="96"/>
      <c r="F30" s="96"/>
      <c r="G30" s="96"/>
      <c r="H30" s="96"/>
      <c r="I30" s="73"/>
    </row>
    <row r="31" spans="2:9" x14ac:dyDescent="0.2">
      <c r="B31" s="92" t="s">
        <v>6</v>
      </c>
    </row>
    <row r="32" spans="2:9" x14ac:dyDescent="0.2">
      <c r="B32" s="97" t="s">
        <v>14</v>
      </c>
      <c r="C32" s="98" t="s">
        <v>30</v>
      </c>
      <c r="D32" s="98"/>
      <c r="E32" s="98"/>
      <c r="F32" s="98"/>
      <c r="G32" s="98"/>
      <c r="H32" s="98"/>
    </row>
    <row r="33" spans="2:8" x14ac:dyDescent="0.2">
      <c r="B33" s="99" t="s">
        <v>43</v>
      </c>
      <c r="C33" s="98" t="s">
        <v>49</v>
      </c>
      <c r="D33" s="98"/>
      <c r="E33" s="98"/>
      <c r="F33" s="98"/>
      <c r="G33" s="98"/>
      <c r="H33" s="98"/>
    </row>
    <row r="34" spans="2:8" x14ac:dyDescent="0.2">
      <c r="B34" s="99" t="s">
        <v>44</v>
      </c>
      <c r="C34" s="98" t="s">
        <v>50</v>
      </c>
      <c r="D34" s="98"/>
      <c r="E34" s="98"/>
      <c r="F34" s="98"/>
      <c r="G34" s="98"/>
      <c r="H34" s="98"/>
    </row>
    <row r="35" spans="2:8" x14ac:dyDescent="0.2">
      <c r="B35" s="99" t="s">
        <v>15</v>
      </c>
      <c r="C35" s="98" t="s">
        <v>31</v>
      </c>
      <c r="D35" s="98"/>
      <c r="E35" s="98"/>
      <c r="F35" s="98"/>
      <c r="G35" s="98"/>
      <c r="H35" s="98"/>
    </row>
    <row r="38" spans="2:8" x14ac:dyDescent="0.2">
      <c r="B38" s="92" t="s">
        <v>33</v>
      </c>
      <c r="C38" s="71"/>
      <c r="D38" s="71"/>
      <c r="E38" s="71"/>
      <c r="F38" s="71"/>
      <c r="G38" s="71"/>
      <c r="H38" s="71"/>
    </row>
    <row r="40" spans="2:8" x14ac:dyDescent="0.2">
      <c r="B40" s="100"/>
      <c r="C40" s="101" t="s">
        <v>34</v>
      </c>
      <c r="D40" s="101" t="s">
        <v>35</v>
      </c>
      <c r="E40" s="101" t="s">
        <v>36</v>
      </c>
      <c r="F40" s="101" t="s">
        <v>38</v>
      </c>
      <c r="G40" s="101" t="s">
        <v>37</v>
      </c>
      <c r="H40" s="102" t="s">
        <v>1</v>
      </c>
    </row>
    <row r="41" spans="2:8" x14ac:dyDescent="0.2">
      <c r="C41" s="103"/>
      <c r="D41" s="103"/>
      <c r="E41" s="103"/>
      <c r="F41" s="103"/>
      <c r="G41" s="103"/>
      <c r="H41" s="103"/>
    </row>
    <row r="42" spans="2:8" x14ac:dyDescent="0.2">
      <c r="B42" s="143" t="s">
        <v>94</v>
      </c>
      <c r="C42" s="104">
        <f>'Forecast Revenue - Costs'!D30</f>
        <v>26877.296834790963</v>
      </c>
      <c r="D42" s="104">
        <f>'Forecast Revenue - Costs'!E30</f>
        <v>26877.296834790963</v>
      </c>
      <c r="E42" s="104">
        <f>'Forecast Revenue - Costs'!F30</f>
        <v>27107.830060222121</v>
      </c>
      <c r="F42" s="104">
        <f>'Forecast Revenue - Costs'!G30</f>
        <v>27597.953170308567</v>
      </c>
      <c r="G42" s="104">
        <f>'Forecast Revenue - Costs'!H30</f>
        <v>28330.082510562941</v>
      </c>
      <c r="H42" s="104">
        <f>SUM(C42:G42)</f>
        <v>136790.45941067557</v>
      </c>
    </row>
    <row r="43" spans="2:8" x14ac:dyDescent="0.2">
      <c r="C43" s="105"/>
      <c r="D43" s="106"/>
      <c r="E43" s="105"/>
      <c r="F43" s="105"/>
      <c r="G43" s="105"/>
    </row>
    <row r="44" spans="2:8" x14ac:dyDescent="0.2">
      <c r="B44" s="143" t="s">
        <v>95</v>
      </c>
      <c r="C44" s="104">
        <f>SUM('Forecast Revenue - Costs'!D31:D33)</f>
        <v>19605.493899440229</v>
      </c>
      <c r="D44" s="104">
        <f>SUM('Forecast Revenue - Costs'!E31:E33)</f>
        <v>19605.493899440229</v>
      </c>
      <c r="E44" s="104">
        <f>SUM('Forecast Revenue - Costs'!F31:F33)</f>
        <v>19773.655071770561</v>
      </c>
      <c r="F44" s="104">
        <f>SUM('Forecast Revenue - Costs'!G31:G33)</f>
        <v>20131.172634040297</v>
      </c>
      <c r="G44" s="104">
        <f>SUM('Forecast Revenue - Costs'!H31:H33)</f>
        <v>20665.22028779758</v>
      </c>
      <c r="H44" s="104">
        <f>SUM(C44:G44)</f>
        <v>99781.035792488896</v>
      </c>
    </row>
    <row r="45" spans="2:8" x14ac:dyDescent="0.2">
      <c r="C45" s="105"/>
      <c r="D45" s="106"/>
      <c r="E45" s="105"/>
      <c r="F45" s="105"/>
      <c r="G45" s="105"/>
    </row>
    <row r="46" spans="2:8" x14ac:dyDescent="0.2">
      <c r="B46" s="143" t="s">
        <v>96</v>
      </c>
      <c r="C46" s="104">
        <f t="shared" ref="C46:H46" si="0">+C42+C44</f>
        <v>46482.790734231196</v>
      </c>
      <c r="D46" s="104">
        <f t="shared" si="0"/>
        <v>46482.790734231196</v>
      </c>
      <c r="E46" s="104">
        <f t="shared" si="0"/>
        <v>46881.485131992682</v>
      </c>
      <c r="F46" s="104">
        <f t="shared" si="0"/>
        <v>47729.125804348863</v>
      </c>
      <c r="G46" s="104">
        <f t="shared" si="0"/>
        <v>48995.302798360521</v>
      </c>
      <c r="H46" s="104">
        <f t="shared" si="0"/>
        <v>236571.49520316446</v>
      </c>
    </row>
    <row r="47" spans="2:8" x14ac:dyDescent="0.2">
      <c r="C47" s="107"/>
      <c r="D47" s="107"/>
      <c r="E47" s="107"/>
      <c r="F47" s="107"/>
      <c r="G47" s="107"/>
    </row>
    <row r="48" spans="2:8" x14ac:dyDescent="0.2">
      <c r="B48" s="108" t="s">
        <v>6</v>
      </c>
    </row>
    <row r="49" spans="2:9" ht="14.25" customHeight="1" x14ac:dyDescent="0.2">
      <c r="B49" s="224"/>
      <c r="C49" s="224"/>
      <c r="D49" s="224"/>
      <c r="E49" s="224"/>
      <c r="F49" s="224"/>
      <c r="G49" s="224"/>
      <c r="H49" s="224"/>
    </row>
    <row r="50" spans="2:9" x14ac:dyDescent="0.2">
      <c r="B50" s="216"/>
      <c r="C50" s="216"/>
      <c r="D50" s="216"/>
      <c r="E50" s="216"/>
      <c r="F50" s="216"/>
      <c r="G50" s="216"/>
      <c r="H50" s="216"/>
      <c r="I50" s="73"/>
    </row>
    <row r="51" spans="2:9" ht="27.75" customHeight="1" x14ac:dyDescent="0.2">
      <c r="B51" s="216"/>
      <c r="C51" s="216"/>
      <c r="D51" s="216"/>
      <c r="E51" s="216"/>
      <c r="F51" s="216"/>
      <c r="G51" s="216"/>
      <c r="H51" s="216"/>
    </row>
    <row r="54" spans="2:9" x14ac:dyDescent="0.2">
      <c r="B54" s="92" t="s">
        <v>73</v>
      </c>
      <c r="C54" s="71"/>
      <c r="D54" s="71"/>
      <c r="E54" s="71"/>
      <c r="F54" s="71"/>
      <c r="G54" s="71"/>
      <c r="H54" s="71"/>
    </row>
    <row r="55" spans="2:9" x14ac:dyDescent="0.2">
      <c r="B55" s="109"/>
    </row>
    <row r="56" spans="2:9" x14ac:dyDescent="0.2">
      <c r="B56" s="110"/>
      <c r="C56" s="111" t="s">
        <v>34</v>
      </c>
      <c r="D56" s="111" t="s">
        <v>35</v>
      </c>
      <c r="E56" s="111" t="s">
        <v>36</v>
      </c>
      <c r="F56" s="111" t="s">
        <v>38</v>
      </c>
      <c r="G56" s="111" t="s">
        <v>37</v>
      </c>
      <c r="H56" s="112" t="s">
        <v>1</v>
      </c>
    </row>
    <row r="57" spans="2:9" x14ac:dyDescent="0.2">
      <c r="C57" s="113"/>
      <c r="D57" s="113"/>
      <c r="E57" s="113"/>
      <c r="F57" s="113"/>
      <c r="G57" s="113"/>
      <c r="H57" s="113"/>
    </row>
    <row r="58" spans="2:9" x14ac:dyDescent="0.2">
      <c r="B58" s="110" t="s">
        <v>12</v>
      </c>
      <c r="C58" s="114">
        <f>'Forecast Revenue - Costs'!D13</f>
        <v>150</v>
      </c>
      <c r="D58" s="114">
        <f>'Forecast Revenue - Costs'!E13</f>
        <v>150</v>
      </c>
      <c r="E58" s="114">
        <f>'Forecast Revenue - Costs'!F13</f>
        <v>150</v>
      </c>
      <c r="F58" s="114">
        <f>'Forecast Revenue - Costs'!G13</f>
        <v>150</v>
      </c>
      <c r="G58" s="114">
        <f>'Forecast Revenue - Costs'!H13</f>
        <v>150</v>
      </c>
      <c r="H58" s="114">
        <f>SUM(C58:G58)</f>
        <v>750</v>
      </c>
    </row>
    <row r="59" spans="2:9" x14ac:dyDescent="0.2">
      <c r="C59" s="115"/>
      <c r="D59" s="115"/>
      <c r="E59" s="115"/>
      <c r="F59" s="115"/>
      <c r="G59" s="115"/>
      <c r="H59" s="116"/>
    </row>
  </sheetData>
  <mergeCells count="13">
    <mergeCell ref="B49:H51"/>
    <mergeCell ref="B20:H20"/>
    <mergeCell ref="B21:H21"/>
    <mergeCell ref="B22:H22"/>
    <mergeCell ref="B23:H23"/>
    <mergeCell ref="B25:H25"/>
    <mergeCell ref="C9:D9"/>
    <mergeCell ref="C3:H3"/>
    <mergeCell ref="B15:H15"/>
    <mergeCell ref="B11:H11"/>
    <mergeCell ref="B16:H16"/>
    <mergeCell ref="C4:D4"/>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Normal="100" workbookViewId="0">
      <selection activeCell="B21" sqref="B21:K21"/>
    </sheetView>
  </sheetViews>
  <sheetFormatPr defaultColWidth="9.140625" defaultRowHeight="12.75" x14ac:dyDescent="0.2"/>
  <cols>
    <col min="1" max="1" width="2.28515625" style="1" customWidth="1"/>
    <col min="2" max="2" width="2.42578125" style="40" customWidth="1"/>
    <col min="3" max="3" width="10.140625" style="40" customWidth="1"/>
    <col min="4" max="9" width="13.140625" style="40" customWidth="1"/>
    <col min="10" max="11" width="9.140625" style="40"/>
    <col min="12" max="12" width="5.28515625" style="40" customWidth="1"/>
    <col min="13" max="13" width="2.42578125" style="1" customWidth="1"/>
    <col min="14" max="16384" width="9.140625" style="1"/>
  </cols>
  <sheetData>
    <row r="1" spans="2:14" ht="9" customHeight="1" x14ac:dyDescent="0.2"/>
    <row r="2" spans="2:14" ht="18" customHeight="1" x14ac:dyDescent="0.2">
      <c r="B2" s="37" t="s">
        <v>16</v>
      </c>
      <c r="C2" s="37"/>
      <c r="D2" s="37"/>
      <c r="E2" s="37"/>
      <c r="F2" s="37"/>
      <c r="G2" s="37"/>
      <c r="H2" s="37"/>
      <c r="I2" s="37"/>
      <c r="J2" s="37"/>
      <c r="K2" s="37"/>
    </row>
    <row r="3" spans="2:14" x14ac:dyDescent="0.2">
      <c r="B3" s="33" t="s">
        <v>0</v>
      </c>
      <c r="C3" s="38"/>
      <c r="D3" s="229" t="str">
        <f>'AER Summary'!C3</f>
        <v>Disconnection / Reconnections - at Pole Top / Pillar</v>
      </c>
      <c r="E3" s="230"/>
      <c r="F3" s="230"/>
      <c r="G3" s="230"/>
      <c r="H3" s="230"/>
      <c r="I3" s="230"/>
      <c r="J3" s="230"/>
      <c r="K3" s="230"/>
      <c r="N3" s="31"/>
    </row>
    <row r="4" spans="2:14" x14ac:dyDescent="0.2">
      <c r="N4" s="31"/>
    </row>
    <row r="5" spans="2:14" x14ac:dyDescent="0.2">
      <c r="B5" s="231" t="s">
        <v>60</v>
      </c>
      <c r="C5" s="231"/>
      <c r="D5" s="231"/>
      <c r="E5" s="231"/>
      <c r="F5" s="231"/>
      <c r="G5" s="231"/>
      <c r="H5" s="231"/>
      <c r="I5" s="231"/>
      <c r="J5" s="231"/>
      <c r="K5" s="231"/>
      <c r="N5" s="31"/>
    </row>
    <row r="6" spans="2:14" ht="240.75" customHeight="1" x14ac:dyDescent="0.2">
      <c r="B6" s="232" t="s">
        <v>71</v>
      </c>
      <c r="C6" s="233"/>
      <c r="D6" s="233"/>
      <c r="E6" s="233"/>
      <c r="F6" s="233"/>
      <c r="G6" s="233"/>
      <c r="H6" s="233"/>
      <c r="I6" s="233"/>
      <c r="J6" s="233"/>
      <c r="K6" s="233"/>
      <c r="N6" s="31"/>
    </row>
    <row r="9" spans="2:14" x14ac:dyDescent="0.2">
      <c r="B9" s="231" t="s">
        <v>41</v>
      </c>
      <c r="C9" s="231"/>
      <c r="D9" s="231"/>
      <c r="E9" s="231"/>
      <c r="F9" s="231"/>
      <c r="G9" s="231"/>
      <c r="H9" s="231"/>
      <c r="I9" s="231"/>
      <c r="J9" s="231"/>
      <c r="K9" s="231"/>
    </row>
    <row r="10" spans="2:14" ht="15" customHeight="1" x14ac:dyDescent="0.2">
      <c r="B10" s="228" t="s">
        <v>61</v>
      </c>
      <c r="C10" s="228"/>
      <c r="D10" s="228"/>
      <c r="E10" s="228"/>
      <c r="F10" s="228"/>
      <c r="G10" s="228"/>
      <c r="H10" s="228"/>
      <c r="I10" s="228"/>
      <c r="J10" s="228"/>
      <c r="K10" s="228"/>
    </row>
    <row r="11" spans="2:14" ht="24.75" customHeight="1" x14ac:dyDescent="0.2">
      <c r="B11" s="234"/>
      <c r="C11" s="234"/>
      <c r="D11" s="234"/>
      <c r="E11" s="234"/>
      <c r="F11" s="234"/>
      <c r="G11" s="234"/>
      <c r="H11" s="234"/>
      <c r="I11" s="234"/>
      <c r="J11" s="234"/>
      <c r="K11" s="234"/>
      <c r="L11" s="41"/>
      <c r="M11" s="32"/>
      <c r="N11" s="32"/>
    </row>
    <row r="12" spans="2:14" x14ac:dyDescent="0.2">
      <c r="B12" s="234"/>
      <c r="C12" s="234"/>
      <c r="D12" s="234"/>
      <c r="E12" s="234"/>
      <c r="F12" s="234"/>
      <c r="G12" s="234"/>
      <c r="H12" s="234"/>
      <c r="I12" s="234"/>
      <c r="J12" s="234"/>
      <c r="K12" s="234"/>
      <c r="L12" s="41"/>
      <c r="M12" s="32"/>
      <c r="N12" s="32"/>
    </row>
    <row r="13" spans="2:14" x14ac:dyDescent="0.2">
      <c r="B13" s="234"/>
      <c r="C13" s="234"/>
      <c r="D13" s="234"/>
      <c r="E13" s="234"/>
      <c r="F13" s="234"/>
      <c r="G13" s="234"/>
      <c r="H13" s="234"/>
      <c r="I13" s="234"/>
      <c r="J13" s="234"/>
      <c r="K13" s="234"/>
      <c r="L13" s="41"/>
      <c r="M13" s="32"/>
      <c r="N13" s="32"/>
    </row>
    <row r="14" spans="2:14" ht="48" customHeight="1" x14ac:dyDescent="0.2">
      <c r="B14" s="234"/>
      <c r="C14" s="234"/>
      <c r="D14" s="234"/>
      <c r="E14" s="234"/>
      <c r="F14" s="234"/>
      <c r="G14" s="234"/>
      <c r="H14" s="234"/>
      <c r="I14" s="234"/>
      <c r="J14" s="234"/>
      <c r="K14" s="234"/>
      <c r="L14" s="41"/>
      <c r="M14" s="32"/>
      <c r="N14" s="32"/>
    </row>
    <row r="15" spans="2:14" x14ac:dyDescent="0.2">
      <c r="B15" s="234"/>
      <c r="C15" s="234"/>
      <c r="D15" s="234"/>
      <c r="E15" s="234"/>
      <c r="F15" s="234"/>
      <c r="G15" s="234"/>
      <c r="H15" s="234"/>
      <c r="I15" s="234"/>
      <c r="J15" s="234"/>
      <c r="K15" s="234"/>
      <c r="L15" s="41"/>
      <c r="M15" s="32"/>
      <c r="N15" s="32"/>
    </row>
    <row r="16" spans="2:14" ht="78.75" customHeight="1" x14ac:dyDescent="0.2">
      <c r="B16" s="234"/>
      <c r="C16" s="234"/>
      <c r="D16" s="234"/>
      <c r="E16" s="234"/>
      <c r="F16" s="234"/>
      <c r="G16" s="234"/>
      <c r="H16" s="234"/>
      <c r="I16" s="234"/>
      <c r="J16" s="234"/>
      <c r="K16" s="234"/>
      <c r="L16" s="41"/>
      <c r="M16" s="32"/>
      <c r="N16" s="32"/>
    </row>
    <row r="17" spans="2:14" x14ac:dyDescent="0.2">
      <c r="L17" s="41"/>
      <c r="M17" s="32"/>
      <c r="N17" s="32"/>
    </row>
    <row r="18" spans="2:14" x14ac:dyDescent="0.2">
      <c r="L18" s="41"/>
      <c r="M18" s="32"/>
      <c r="N18" s="32"/>
    </row>
    <row r="19" spans="2:14" x14ac:dyDescent="0.2">
      <c r="B19" s="231" t="s">
        <v>42</v>
      </c>
      <c r="C19" s="231"/>
      <c r="D19" s="231"/>
      <c r="E19" s="231"/>
      <c r="F19" s="231"/>
      <c r="G19" s="231"/>
      <c r="H19" s="231"/>
      <c r="I19" s="231"/>
      <c r="J19" s="231"/>
      <c r="K19" s="231"/>
      <c r="L19" s="41"/>
      <c r="M19" s="32"/>
      <c r="N19" s="32"/>
    </row>
    <row r="20" spans="2:14" ht="282" customHeight="1" x14ac:dyDescent="0.2">
      <c r="B20" s="228" t="str">
        <f>'AER Summary'!B11:H11</f>
        <v xml:space="preserve">
Disconnection / Reconnections - at Pole top / Pillar
A site visit to a customer’s premises to disconnect the supply of electricity to a customer at the pole top or pillar box,
for breach by the customer of their customer retail contract, or for a breach of Essential Energy's customer
connection contract, or where a retailer supplier has requested that the supply to a customer be disconnected,
where the customer has denied access to the meter or had prior to the visit, reconnected supply without
authorisation by Essential Energy following a previous disconnection.
This charge includes the reconnection at the request of the retailer.
If following a request from a retailer the reconnection component of this service is provided outside the hours of 7.30am and 4.00pm on a working day, the additional ‘Reconnection - outside normal business hours’ charge, will also apply.
Disconnection may not occur due to a number of reasons such as but not limited to the following:
&gt; Customer has paid retail bill;
&gt; Breach of customer connection contract has been rectified;
&gt; Safety of Installation or Essential Energy's employee;
&gt; Late cancellation by retailer;
&gt; Change of customer or retailer for the NMI.
In the cases listed above a ‘Disconnection/Reconnection – Site Visit’ charge will be applied.</v>
      </c>
      <c r="C20" s="228"/>
      <c r="D20" s="228"/>
      <c r="E20" s="228"/>
      <c r="F20" s="228"/>
      <c r="G20" s="228"/>
      <c r="H20" s="228"/>
      <c r="I20" s="228"/>
      <c r="J20" s="228"/>
      <c r="K20" s="228"/>
    </row>
    <row r="21" spans="2:14" x14ac:dyDescent="0.2">
      <c r="B21" s="227"/>
      <c r="C21" s="227"/>
      <c r="D21" s="227"/>
      <c r="E21" s="227"/>
      <c r="F21" s="227"/>
      <c r="G21" s="227"/>
      <c r="H21" s="227"/>
      <c r="I21" s="227"/>
      <c r="J21" s="227"/>
      <c r="K21" s="22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H9" sqref="H9"/>
    </sheetView>
  </sheetViews>
  <sheetFormatPr defaultColWidth="9.140625" defaultRowHeight="12.75" x14ac:dyDescent="0.2"/>
  <cols>
    <col min="1" max="1" width="3.5703125" style="42" customWidth="1"/>
    <col min="2" max="2" width="58.7109375" style="42" customWidth="1"/>
    <col min="3" max="3" width="65.140625" style="42" customWidth="1"/>
    <col min="4" max="4" width="12.85546875" style="42" customWidth="1"/>
    <col min="5" max="5" width="12.28515625" style="42" customWidth="1"/>
    <col min="6" max="8" width="11.7109375" style="42" customWidth="1"/>
    <col min="9" max="9" width="12.7109375" style="42" customWidth="1"/>
    <col min="10" max="16384" width="9.140625" style="42"/>
  </cols>
  <sheetData>
    <row r="2" spans="1:9" x14ac:dyDescent="0.2">
      <c r="B2" s="39" t="s">
        <v>77</v>
      </c>
      <c r="C2" s="28"/>
      <c r="D2" s="28"/>
      <c r="E2" s="28"/>
      <c r="F2" s="28"/>
      <c r="G2" s="28"/>
      <c r="H2" s="28"/>
      <c r="I2" s="28"/>
    </row>
    <row r="3" spans="1:9" x14ac:dyDescent="0.2">
      <c r="B3" s="18" t="s">
        <v>20</v>
      </c>
      <c r="C3" s="18" t="s">
        <v>3</v>
      </c>
      <c r="D3" s="56" t="s">
        <v>55</v>
      </c>
      <c r="E3" s="56" t="s">
        <v>54</v>
      </c>
      <c r="F3" s="56" t="s">
        <v>53</v>
      </c>
      <c r="G3" s="120" t="s">
        <v>82</v>
      </c>
      <c r="H3" s="120" t="s">
        <v>83</v>
      </c>
      <c r="I3" s="19" t="s">
        <v>1</v>
      </c>
    </row>
    <row r="4" spans="1:9" x14ac:dyDescent="0.2">
      <c r="B4" s="4" t="s">
        <v>21</v>
      </c>
      <c r="C4" s="4" t="s">
        <v>76</v>
      </c>
      <c r="D4" s="64"/>
      <c r="E4" s="64">
        <v>54781.18</v>
      </c>
      <c r="F4" s="64">
        <v>60719.61</v>
      </c>
      <c r="G4" s="64">
        <v>106294.62</v>
      </c>
      <c r="H4" s="64">
        <f>G4+G4*2.5%</f>
        <v>108951.9855</v>
      </c>
      <c r="I4" s="144">
        <f>SUM(D4:H4)</f>
        <v>330747.39549999998</v>
      </c>
    </row>
    <row r="5" spans="1:9" x14ac:dyDescent="0.2">
      <c r="B5" s="4" t="s">
        <v>23</v>
      </c>
      <c r="C5" s="9"/>
      <c r="D5" s="64"/>
      <c r="E5" s="64">
        <v>0</v>
      </c>
      <c r="F5" s="64">
        <v>0</v>
      </c>
      <c r="G5" s="64">
        <v>18.3</v>
      </c>
      <c r="H5" s="64">
        <f t="shared" ref="H5:H8" si="0">G5+G5*2.5%</f>
        <v>18.7575</v>
      </c>
      <c r="I5" s="144">
        <f t="shared" ref="I5:I8" si="1">SUM(D5:H5)</f>
        <v>37.057500000000005</v>
      </c>
    </row>
    <row r="6" spans="1:9" x14ac:dyDescent="0.2">
      <c r="B6" s="4" t="s">
        <v>24</v>
      </c>
      <c r="C6" s="4"/>
      <c r="D6" s="64">
        <v>0</v>
      </c>
      <c r="E6" s="64">
        <v>12712.78</v>
      </c>
      <c r="F6" s="64">
        <v>18175.8</v>
      </c>
      <c r="G6" s="64">
        <v>28212.1</v>
      </c>
      <c r="H6" s="64">
        <f t="shared" si="0"/>
        <v>28917.4025</v>
      </c>
      <c r="I6" s="144">
        <f t="shared" si="1"/>
        <v>88018.082500000004</v>
      </c>
    </row>
    <row r="7" spans="1:9" x14ac:dyDescent="0.2">
      <c r="B7" s="4" t="s">
        <v>25</v>
      </c>
      <c r="C7" s="4"/>
      <c r="D7" s="64"/>
      <c r="E7" s="64">
        <v>0</v>
      </c>
      <c r="F7" s="64">
        <v>0</v>
      </c>
      <c r="G7" s="64">
        <v>937205.26</v>
      </c>
      <c r="H7" s="64">
        <f t="shared" si="0"/>
        <v>960635.39150000003</v>
      </c>
      <c r="I7" s="144">
        <f t="shared" si="1"/>
        <v>1897840.6515000002</v>
      </c>
    </row>
    <row r="8" spans="1:9" x14ac:dyDescent="0.2">
      <c r="B8" s="4" t="s">
        <v>22</v>
      </c>
      <c r="C8" s="4"/>
      <c r="D8" s="64"/>
      <c r="E8" s="64">
        <v>13158.57</v>
      </c>
      <c r="F8" s="64">
        <v>68747.210000000006</v>
      </c>
      <c r="G8" s="64">
        <v>600506.16</v>
      </c>
      <c r="H8" s="64">
        <f t="shared" si="0"/>
        <v>615518.81400000001</v>
      </c>
      <c r="I8" s="144">
        <f t="shared" si="1"/>
        <v>1297930.7540000002</v>
      </c>
    </row>
    <row r="9" spans="1:9" x14ac:dyDescent="0.2">
      <c r="B9" s="48" t="s">
        <v>1</v>
      </c>
      <c r="C9" s="20"/>
      <c r="D9" s="21">
        <f t="shared" ref="D9:I9" si="2">SUM(D4:D8)</f>
        <v>0</v>
      </c>
      <c r="E9" s="21">
        <f t="shared" si="2"/>
        <v>80652.53</v>
      </c>
      <c r="F9" s="21">
        <f t="shared" si="2"/>
        <v>147642.62</v>
      </c>
      <c r="G9" s="21">
        <f t="shared" ref="G9:H9" si="3">SUM(G4:G8)</f>
        <v>1672236.44</v>
      </c>
      <c r="H9" s="21">
        <f t="shared" si="3"/>
        <v>1714042.351</v>
      </c>
      <c r="I9" s="22">
        <f t="shared" si="2"/>
        <v>3614573.9410000001</v>
      </c>
    </row>
    <row r="10" spans="1:9" x14ac:dyDescent="0.2">
      <c r="B10" s="44"/>
      <c r="C10" s="45"/>
      <c r="D10" s="46"/>
      <c r="E10" s="46"/>
      <c r="F10" s="46"/>
      <c r="G10" s="46"/>
      <c r="H10" s="46"/>
      <c r="I10" s="46"/>
    </row>
    <row r="11" spans="1:9" x14ac:dyDescent="0.2">
      <c r="B11" s="47" t="s">
        <v>10</v>
      </c>
      <c r="C11" s="24"/>
      <c r="D11" s="24"/>
      <c r="E11" s="24"/>
      <c r="F11" s="24"/>
      <c r="G11" s="24"/>
      <c r="H11" s="24"/>
      <c r="I11" s="24"/>
    </row>
    <row r="12" spans="1:9" x14ac:dyDescent="0.2">
      <c r="B12" s="49" t="s">
        <v>4</v>
      </c>
      <c r="C12" s="127" t="s">
        <v>9</v>
      </c>
      <c r="D12" s="57" t="s">
        <v>55</v>
      </c>
      <c r="E12" s="57" t="s">
        <v>54</v>
      </c>
      <c r="F12" s="57" t="s">
        <v>53</v>
      </c>
      <c r="G12" s="121" t="s">
        <v>82</v>
      </c>
      <c r="H12" s="121" t="s">
        <v>83</v>
      </c>
      <c r="I12" s="3" t="s">
        <v>1</v>
      </c>
    </row>
    <row r="13" spans="1:9" x14ac:dyDescent="0.2">
      <c r="B13" s="9" t="s">
        <v>19</v>
      </c>
      <c r="C13" s="128" t="s">
        <v>90</v>
      </c>
      <c r="D13" s="10"/>
      <c r="E13" s="10">
        <v>189</v>
      </c>
      <c r="F13" s="117">
        <v>162</v>
      </c>
      <c r="G13" s="117">
        <v>150</v>
      </c>
      <c r="H13" s="117">
        <v>150</v>
      </c>
      <c r="I13" s="145">
        <f>SUM(D13:H13)</f>
        <v>651</v>
      </c>
    </row>
    <row r="14" spans="1:9" x14ac:dyDescent="0.2">
      <c r="B14" s="126"/>
      <c r="C14" s="128"/>
      <c r="D14" s="10"/>
      <c r="E14" s="10"/>
      <c r="F14" s="117"/>
      <c r="G14" s="117"/>
      <c r="H14" s="117"/>
      <c r="I14" s="146">
        <f>SUM(D14:H14)</f>
        <v>0</v>
      </c>
    </row>
    <row r="15" spans="1:9" x14ac:dyDescent="0.2">
      <c r="A15" s="50"/>
      <c r="B15" s="51" t="s">
        <v>51</v>
      </c>
      <c r="C15" s="7"/>
      <c r="D15" s="11">
        <f>SUM(D13:D13)</f>
        <v>0</v>
      </c>
      <c r="E15" s="11">
        <f>SUM(E13:E13)</f>
        <v>189</v>
      </c>
      <c r="F15" s="11">
        <f>SUM(F13:F13)</f>
        <v>162</v>
      </c>
      <c r="G15" s="11">
        <f t="shared" ref="G15:H15" si="4">SUM(G13:G13)</f>
        <v>150</v>
      </c>
      <c r="H15" s="11">
        <f t="shared" si="4"/>
        <v>150</v>
      </c>
      <c r="I15" s="11">
        <f>SUM(I13:I13)</f>
        <v>651</v>
      </c>
    </row>
    <row r="17" spans="1:9" x14ac:dyDescent="0.2">
      <c r="A17" s="50"/>
      <c r="B17" s="13" t="s">
        <v>6</v>
      </c>
      <c r="C17" s="1"/>
      <c r="D17" s="12"/>
      <c r="E17" s="12"/>
      <c r="F17" s="12"/>
      <c r="G17" s="12"/>
      <c r="H17" s="12"/>
      <c r="I17" s="12"/>
    </row>
    <row r="18" spans="1:9" ht="12.75" customHeight="1" x14ac:dyDescent="0.2">
      <c r="B18" s="239" t="s">
        <v>81</v>
      </c>
      <c r="C18" s="240"/>
      <c r="D18" s="240"/>
      <c r="E18" s="240"/>
      <c r="F18" s="240"/>
      <c r="G18" s="240"/>
      <c r="H18" s="123"/>
      <c r="I18" s="123"/>
    </row>
    <row r="19" spans="1:9" x14ac:dyDescent="0.2">
      <c r="B19" s="124" t="s">
        <v>84</v>
      </c>
      <c r="C19" s="125"/>
      <c r="D19" s="125"/>
      <c r="E19" s="125"/>
      <c r="F19" s="125"/>
      <c r="G19" s="125"/>
      <c r="H19" s="125"/>
      <c r="I19" s="125"/>
    </row>
    <row r="20" spans="1:9" x14ac:dyDescent="0.2">
      <c r="B20" s="118" t="s">
        <v>85</v>
      </c>
      <c r="C20" s="119"/>
      <c r="D20" s="119"/>
      <c r="E20" s="119"/>
      <c r="F20" s="119"/>
      <c r="G20" s="119"/>
      <c r="H20" s="119"/>
      <c r="I20" s="119"/>
    </row>
    <row r="21" spans="1:9" x14ac:dyDescent="0.2">
      <c r="B21" s="118" t="s">
        <v>86</v>
      </c>
      <c r="C21" s="119"/>
      <c r="D21" s="119"/>
      <c r="E21" s="119"/>
      <c r="F21" s="119"/>
      <c r="G21" s="119"/>
      <c r="H21" s="119"/>
      <c r="I21" s="119"/>
    </row>
    <row r="22" spans="1:9" x14ac:dyDescent="0.2">
      <c r="B22" s="118" t="s">
        <v>87</v>
      </c>
      <c r="C22" s="119"/>
      <c r="D22" s="119"/>
      <c r="E22" s="119"/>
      <c r="F22" s="119"/>
      <c r="G22" s="119"/>
      <c r="H22" s="119"/>
      <c r="I22" s="119"/>
    </row>
    <row r="23" spans="1:9" x14ac:dyDescent="0.2">
      <c r="B23" s="52" t="s">
        <v>88</v>
      </c>
      <c r="C23" s="30"/>
      <c r="D23" s="30"/>
      <c r="E23" s="30"/>
      <c r="F23" s="30"/>
      <c r="G23" s="119"/>
      <c r="H23" s="119"/>
      <c r="I23" s="30"/>
    </row>
    <row r="24" spans="1:9" x14ac:dyDescent="0.2">
      <c r="B24" s="1"/>
      <c r="C24" s="1"/>
      <c r="D24" s="12"/>
      <c r="E24" s="12"/>
      <c r="F24" s="12"/>
      <c r="G24" s="12"/>
      <c r="H24" s="12"/>
      <c r="I24" s="12"/>
    </row>
    <row r="25" spans="1:9" x14ac:dyDescent="0.2">
      <c r="B25" s="47" t="s">
        <v>79</v>
      </c>
      <c r="C25" s="24"/>
      <c r="D25" s="24"/>
      <c r="E25" s="24"/>
      <c r="F25" s="24"/>
      <c r="G25" s="24"/>
      <c r="H25" s="24"/>
      <c r="I25" s="24"/>
    </row>
    <row r="26" spans="1:9" x14ac:dyDescent="0.2">
      <c r="B26" s="1"/>
      <c r="C26" s="1"/>
      <c r="D26" s="1"/>
      <c r="E26" s="1"/>
      <c r="F26" s="1"/>
      <c r="G26" s="1"/>
      <c r="H26" s="1"/>
      <c r="I26" s="1"/>
    </row>
    <row r="27" spans="1:9" x14ac:dyDescent="0.2">
      <c r="B27" s="53" t="s">
        <v>11</v>
      </c>
      <c r="C27" s="15"/>
      <c r="D27" s="15"/>
      <c r="E27" s="15"/>
      <c r="F27" s="15"/>
      <c r="G27" s="15"/>
      <c r="H27" s="15"/>
      <c r="I27" s="15"/>
    </row>
    <row r="28" spans="1:9" x14ac:dyDescent="0.2">
      <c r="B28" s="235" t="s">
        <v>89</v>
      </c>
      <c r="C28" s="236"/>
      <c r="D28" s="236"/>
      <c r="E28" s="236"/>
      <c r="F28" s="236"/>
      <c r="G28" s="236"/>
      <c r="H28" s="236"/>
      <c r="I28" s="236"/>
    </row>
    <row r="29" spans="1:9" x14ac:dyDescent="0.2">
      <c r="B29" s="237"/>
      <c r="C29" s="238"/>
      <c r="D29" s="238"/>
      <c r="E29" s="238"/>
      <c r="F29" s="238"/>
      <c r="G29" s="238"/>
      <c r="H29" s="238"/>
      <c r="I29" s="238"/>
    </row>
    <row r="30" spans="1:9" x14ac:dyDescent="0.2">
      <c r="B30" s="54"/>
      <c r="C30" s="17"/>
      <c r="D30" s="17"/>
      <c r="E30" s="17"/>
      <c r="F30" s="17"/>
      <c r="G30" s="17"/>
      <c r="H30" s="17"/>
      <c r="I30" s="17"/>
    </row>
  </sheetData>
  <mergeCells count="2">
    <mergeCell ref="B28:I29"/>
    <mergeCell ref="B18:G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42" sqref="C42"/>
    </sheetView>
  </sheetViews>
  <sheetFormatPr defaultColWidth="9.140625" defaultRowHeight="12.75" x14ac:dyDescent="0.2"/>
  <cols>
    <col min="1" max="1" width="3.140625" style="42" customWidth="1"/>
    <col min="2" max="2" width="69.85546875" style="42" customWidth="1"/>
    <col min="3" max="3" width="65.140625" style="42" customWidth="1"/>
    <col min="4" max="4" width="12.85546875" style="42" customWidth="1"/>
    <col min="5" max="8" width="11.28515625" style="42" customWidth="1"/>
    <col min="9" max="9" width="12.7109375" style="42" customWidth="1"/>
    <col min="10" max="16384" width="9.140625" style="42"/>
  </cols>
  <sheetData>
    <row r="2" spans="2:9" x14ac:dyDescent="0.2">
      <c r="B2" s="23" t="s">
        <v>8</v>
      </c>
      <c r="C2" s="24"/>
      <c r="D2" s="24"/>
      <c r="E2" s="24"/>
      <c r="F2" s="24"/>
      <c r="G2" s="24"/>
      <c r="H2" s="24"/>
      <c r="I2" s="24"/>
    </row>
    <row r="3" spans="2:9" x14ac:dyDescent="0.2">
      <c r="B3" s="1"/>
      <c r="C3" s="1"/>
      <c r="D3" s="1"/>
      <c r="E3" s="1"/>
      <c r="F3" s="1"/>
      <c r="G3" s="1"/>
      <c r="H3" s="1"/>
      <c r="I3" s="1"/>
    </row>
    <row r="4" spans="2:9" x14ac:dyDescent="0.2">
      <c r="B4" s="23" t="s">
        <v>2</v>
      </c>
      <c r="C4" s="24"/>
      <c r="D4" s="24"/>
      <c r="E4" s="24"/>
      <c r="F4" s="24"/>
      <c r="G4" s="24"/>
      <c r="H4" s="24"/>
      <c r="I4" s="24"/>
    </row>
    <row r="5" spans="2:9" x14ac:dyDescent="0.2">
      <c r="B5" s="67" t="s">
        <v>74</v>
      </c>
      <c r="C5" s="67" t="s">
        <v>9</v>
      </c>
      <c r="D5" s="68" t="s">
        <v>55</v>
      </c>
      <c r="E5" s="68" t="s">
        <v>54</v>
      </c>
      <c r="F5" s="68" t="s">
        <v>53</v>
      </c>
      <c r="G5" s="122" t="s">
        <v>82</v>
      </c>
      <c r="H5" s="122" t="s">
        <v>83</v>
      </c>
      <c r="I5" s="69" t="s">
        <v>1</v>
      </c>
    </row>
    <row r="6" spans="2:9" ht="15" customHeight="1" x14ac:dyDescent="0.2">
      <c r="B6" s="66" t="s">
        <v>80</v>
      </c>
      <c r="C6" s="27" t="s">
        <v>75</v>
      </c>
      <c r="D6" s="26">
        <v>0</v>
      </c>
      <c r="E6" s="26">
        <v>85006.8</v>
      </c>
      <c r="F6" s="26">
        <v>78580.800000000003</v>
      </c>
      <c r="G6" s="26">
        <v>153384.35999999999</v>
      </c>
      <c r="H6" s="209">
        <f>G6+(G6*2.5%)</f>
        <v>157218.96899999998</v>
      </c>
      <c r="I6" s="144">
        <f>SUM(D6:H6)</f>
        <v>474190.92899999995</v>
      </c>
    </row>
    <row r="7" spans="2:9" x14ac:dyDescent="0.2">
      <c r="B7" s="5"/>
      <c r="C7" s="25"/>
      <c r="D7" s="26"/>
      <c r="E7" s="26"/>
      <c r="F7" s="26"/>
      <c r="G7" s="26"/>
      <c r="H7" s="26"/>
      <c r="I7" s="144">
        <f>SUM(D7:F7)</f>
        <v>0</v>
      </c>
    </row>
    <row r="8" spans="2:9" x14ac:dyDescent="0.2">
      <c r="B8" s="5"/>
      <c r="C8" s="25"/>
      <c r="D8" s="26"/>
      <c r="E8" s="26"/>
      <c r="F8" s="26"/>
      <c r="G8" s="26"/>
      <c r="H8" s="26"/>
      <c r="I8" s="144">
        <f>SUM(D8:F8)</f>
        <v>0</v>
      </c>
    </row>
    <row r="9" spans="2:9" x14ac:dyDescent="0.2">
      <c r="B9" s="5"/>
      <c r="C9" s="25"/>
      <c r="D9" s="26"/>
      <c r="E9" s="26"/>
      <c r="F9" s="26"/>
      <c r="G9" s="26"/>
      <c r="H9" s="26"/>
      <c r="I9" s="144">
        <f>SUM(D9:F9)</f>
        <v>0</v>
      </c>
    </row>
    <row r="10" spans="2:9" x14ac:dyDescent="0.2">
      <c r="B10" s="6" t="s">
        <v>1</v>
      </c>
      <c r="C10" s="7"/>
      <c r="D10" s="8">
        <f t="shared" ref="D10:I10" si="0">SUM(D6:D9)</f>
        <v>0</v>
      </c>
      <c r="E10" s="8">
        <f t="shared" si="0"/>
        <v>85006.8</v>
      </c>
      <c r="F10" s="8">
        <f t="shared" si="0"/>
        <v>78580.800000000003</v>
      </c>
      <c r="G10" s="8">
        <f>SUM(G6:G9)</f>
        <v>153384.35999999999</v>
      </c>
      <c r="H10" s="8">
        <f t="shared" si="0"/>
        <v>157218.96899999998</v>
      </c>
      <c r="I10" s="8">
        <f t="shared" si="0"/>
        <v>474190.92899999995</v>
      </c>
    </row>
    <row r="11" spans="2:9" x14ac:dyDescent="0.2">
      <c r="B11" s="1"/>
      <c r="C11" s="1"/>
      <c r="D11" s="1"/>
      <c r="E11" s="1"/>
      <c r="F11" s="1"/>
      <c r="G11" s="1"/>
      <c r="H11" s="1"/>
      <c r="I11" s="1"/>
    </row>
    <row r="12" spans="2:9" x14ac:dyDescent="0.2">
      <c r="B12" s="23" t="s">
        <v>10</v>
      </c>
      <c r="C12" s="24"/>
      <c r="D12" s="24"/>
      <c r="E12" s="24"/>
      <c r="F12" s="24"/>
      <c r="G12" s="24"/>
      <c r="H12" s="24"/>
      <c r="I12" s="24"/>
    </row>
    <row r="13" spans="2:9" x14ac:dyDescent="0.2">
      <c r="B13" s="201" t="s">
        <v>4</v>
      </c>
      <c r="C13" s="201" t="s">
        <v>9</v>
      </c>
      <c r="D13" s="202" t="s">
        <v>55</v>
      </c>
      <c r="E13" s="202" t="s">
        <v>54</v>
      </c>
      <c r="F13" s="202" t="s">
        <v>53</v>
      </c>
      <c r="G13" s="202" t="s">
        <v>82</v>
      </c>
      <c r="H13" s="202" t="s">
        <v>83</v>
      </c>
      <c r="I13" s="203" t="s">
        <v>1</v>
      </c>
    </row>
    <row r="14" spans="2:9" x14ac:dyDescent="0.2">
      <c r="B14" s="4" t="s">
        <v>19</v>
      </c>
      <c r="C14" s="4" t="s">
        <v>90</v>
      </c>
      <c r="D14" s="65"/>
      <c r="E14" s="65">
        <v>189</v>
      </c>
      <c r="F14" s="65">
        <v>162</v>
      </c>
      <c r="G14" s="65">
        <v>150</v>
      </c>
      <c r="H14" s="65">
        <v>150</v>
      </c>
      <c r="I14" s="204">
        <f>SUM(D14:H14)</f>
        <v>651</v>
      </c>
    </row>
    <row r="15" spans="2:9" x14ac:dyDescent="0.2">
      <c r="B15" s="4"/>
      <c r="C15" s="128"/>
      <c r="D15" s="10"/>
      <c r="E15" s="10"/>
      <c r="F15" s="117"/>
      <c r="G15" s="205"/>
      <c r="H15" s="205"/>
      <c r="I15" s="204">
        <f t="shared" ref="I15:I16" si="1">SUM(D15:H15)</f>
        <v>0</v>
      </c>
    </row>
    <row r="16" spans="2:9" x14ac:dyDescent="0.2">
      <c r="B16" s="4"/>
      <c r="C16" s="4"/>
      <c r="D16" s="10"/>
      <c r="E16" s="10"/>
      <c r="F16" s="10"/>
      <c r="G16" s="10"/>
      <c r="H16" s="10"/>
      <c r="I16" s="204">
        <f t="shared" si="1"/>
        <v>0</v>
      </c>
    </row>
    <row r="17" spans="2:9" x14ac:dyDescent="0.2">
      <c r="B17" s="29" t="s">
        <v>17</v>
      </c>
      <c r="C17" s="7"/>
      <c r="D17" s="11">
        <f t="shared" ref="D17:H17" si="2">SUM(D14:D16)</f>
        <v>0</v>
      </c>
      <c r="E17" s="11">
        <f t="shared" si="2"/>
        <v>189</v>
      </c>
      <c r="F17" s="11">
        <f t="shared" si="2"/>
        <v>162</v>
      </c>
      <c r="G17" s="11">
        <f t="shared" si="2"/>
        <v>150</v>
      </c>
      <c r="H17" s="11">
        <f t="shared" si="2"/>
        <v>150</v>
      </c>
      <c r="I17" s="11">
        <f>SUM(I14:I16)</f>
        <v>651</v>
      </c>
    </row>
    <row r="18" spans="2:9" x14ac:dyDescent="0.2">
      <c r="B18" s="1"/>
      <c r="C18" s="1"/>
      <c r="D18" s="12"/>
      <c r="E18" s="12"/>
      <c r="F18" s="12"/>
      <c r="G18" s="12"/>
      <c r="H18" s="12"/>
      <c r="I18" s="12"/>
    </row>
    <row r="19" spans="2:9" x14ac:dyDescent="0.2">
      <c r="B19" s="13" t="s">
        <v>6</v>
      </c>
      <c r="C19" s="1"/>
      <c r="D19" s="12"/>
      <c r="E19" s="12"/>
      <c r="F19" s="12"/>
      <c r="G19" s="12"/>
      <c r="H19" s="12"/>
      <c r="I19" s="12"/>
    </row>
    <row r="20" spans="2:9" x14ac:dyDescent="0.2">
      <c r="B20" s="123" t="s">
        <v>84</v>
      </c>
      <c r="C20" s="123"/>
      <c r="D20" s="123"/>
      <c r="E20" s="123"/>
      <c r="F20" s="123"/>
      <c r="G20" s="123"/>
      <c r="H20" s="123"/>
      <c r="I20" s="123"/>
    </row>
    <row r="21" spans="2:9" x14ac:dyDescent="0.2">
      <c r="B21" s="125" t="s">
        <v>85</v>
      </c>
      <c r="C21" s="125"/>
      <c r="D21" s="125"/>
      <c r="E21" s="125"/>
      <c r="F21" s="125"/>
      <c r="G21" s="125"/>
      <c r="H21" s="125"/>
      <c r="I21" s="125"/>
    </row>
    <row r="22" spans="2:9" x14ac:dyDescent="0.2">
      <c r="B22" s="125" t="s">
        <v>86</v>
      </c>
      <c r="C22" s="125"/>
      <c r="D22" s="125"/>
      <c r="E22" s="125"/>
      <c r="F22" s="125"/>
      <c r="G22" s="125"/>
      <c r="H22" s="125"/>
      <c r="I22" s="125"/>
    </row>
    <row r="23" spans="2:9" x14ac:dyDescent="0.2">
      <c r="B23" s="125" t="s">
        <v>87</v>
      </c>
      <c r="C23" s="125"/>
      <c r="D23" s="125"/>
      <c r="E23" s="125"/>
      <c r="F23" s="125"/>
      <c r="G23" s="125"/>
      <c r="H23" s="125"/>
      <c r="I23" s="125"/>
    </row>
    <row r="24" spans="2:9" x14ac:dyDescent="0.2">
      <c r="B24" s="125" t="s">
        <v>88</v>
      </c>
      <c r="C24" s="125"/>
      <c r="D24" s="125"/>
      <c r="E24" s="125"/>
      <c r="F24" s="125"/>
      <c r="G24" s="125"/>
      <c r="H24" s="125"/>
      <c r="I24" s="125"/>
    </row>
    <row r="25" spans="2:9" x14ac:dyDescent="0.2">
      <c r="B25" s="1"/>
      <c r="C25" s="1"/>
      <c r="D25" s="12"/>
      <c r="E25" s="12"/>
      <c r="F25" s="12"/>
      <c r="G25" s="12"/>
      <c r="H25" s="12"/>
      <c r="I25" s="12"/>
    </row>
    <row r="26" spans="2:9" x14ac:dyDescent="0.2">
      <c r="B26" s="23" t="s">
        <v>2</v>
      </c>
      <c r="C26" s="24"/>
      <c r="D26" s="24"/>
      <c r="E26" s="24"/>
      <c r="F26" s="24"/>
      <c r="G26" s="24"/>
      <c r="H26" s="24"/>
      <c r="I26" s="24"/>
    </row>
    <row r="27" spans="2:9" x14ac:dyDescent="0.2">
      <c r="B27" s="14" t="s">
        <v>11</v>
      </c>
      <c r="C27" s="15"/>
      <c r="D27" s="15"/>
      <c r="E27" s="15"/>
      <c r="F27" s="15"/>
      <c r="G27" s="15"/>
      <c r="H27" s="15"/>
      <c r="I27" s="15"/>
    </row>
    <row r="28" spans="2:9" x14ac:dyDescent="0.2">
      <c r="B28" s="236" t="s">
        <v>91</v>
      </c>
      <c r="C28" s="236"/>
      <c r="D28" s="236"/>
      <c r="E28" s="236"/>
      <c r="F28" s="236"/>
      <c r="G28" s="236"/>
      <c r="H28" s="236"/>
      <c r="I28" s="236"/>
    </row>
    <row r="29" spans="2:9" x14ac:dyDescent="0.2">
      <c r="B29" s="238"/>
      <c r="C29" s="238"/>
      <c r="D29" s="238"/>
      <c r="E29" s="238"/>
      <c r="F29" s="238"/>
      <c r="G29" s="238"/>
      <c r="H29" s="238"/>
      <c r="I29" s="238"/>
    </row>
    <row r="30" spans="2:9" x14ac:dyDescent="0.2">
      <c r="B30" s="16"/>
      <c r="C30" s="17"/>
      <c r="D30" s="17"/>
      <c r="E30" s="17"/>
      <c r="F30" s="17"/>
      <c r="G30" s="17"/>
      <c r="H30" s="17"/>
      <c r="I30" s="17"/>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1"/>
  <sheetViews>
    <sheetView showGridLines="0" workbookViewId="0">
      <selection activeCell="D31" sqref="D31"/>
    </sheetView>
  </sheetViews>
  <sheetFormatPr defaultColWidth="9.140625" defaultRowHeight="12.75" x14ac:dyDescent="0.2"/>
  <cols>
    <col min="1" max="1" width="2.85546875" style="1" customWidth="1"/>
    <col min="2" max="2" width="53.7109375" style="1" customWidth="1"/>
    <col min="3" max="3" width="15.7109375" style="1" customWidth="1"/>
    <col min="4" max="14" width="9.140625" style="1"/>
    <col min="15" max="15" width="9.7109375" style="1" customWidth="1"/>
    <col min="16" max="16384" width="9.140625" style="1"/>
  </cols>
  <sheetData>
    <row r="2" spans="1:17" x14ac:dyDescent="0.2">
      <c r="B2" s="147" t="s">
        <v>64</v>
      </c>
      <c r="C2" s="148"/>
      <c r="D2" s="148"/>
      <c r="E2" s="148"/>
      <c r="F2" s="148"/>
      <c r="G2" s="148"/>
      <c r="H2" s="148"/>
      <c r="I2" s="244" t="s">
        <v>97</v>
      </c>
      <c r="J2" s="244"/>
      <c r="K2" s="244"/>
      <c r="L2" s="244"/>
      <c r="M2" s="244"/>
      <c r="N2" s="244"/>
      <c r="O2" s="244"/>
      <c r="P2" s="244"/>
      <c r="Q2" s="244"/>
    </row>
    <row r="3" spans="1:17" ht="15.75" x14ac:dyDescent="0.25">
      <c r="B3" s="55" t="s">
        <v>134</v>
      </c>
      <c r="C3" s="59"/>
      <c r="D3" s="59"/>
      <c r="E3" s="59"/>
      <c r="F3" s="59"/>
      <c r="G3" s="129"/>
      <c r="H3" s="129"/>
      <c r="I3" s="245" t="s">
        <v>98</v>
      </c>
      <c r="J3" s="245"/>
      <c r="K3" s="245"/>
      <c r="L3" s="245"/>
      <c r="M3" s="245"/>
      <c r="N3" s="245"/>
      <c r="O3" s="245"/>
      <c r="P3" s="245"/>
      <c r="Q3" s="245"/>
    </row>
    <row r="4" spans="1:17" s="32" customFormat="1" ht="3" customHeight="1" x14ac:dyDescent="0.2">
      <c r="B4" s="34"/>
      <c r="C4" s="34"/>
      <c r="D4" s="34"/>
      <c r="E4" s="34"/>
      <c r="F4" s="34"/>
      <c r="G4" s="34"/>
      <c r="H4" s="34"/>
      <c r="I4" s="34"/>
      <c r="J4" s="34"/>
      <c r="K4" s="34"/>
      <c r="L4" s="34"/>
      <c r="M4" s="34"/>
      <c r="N4" s="34"/>
      <c r="O4" s="34"/>
      <c r="P4" s="34"/>
      <c r="Q4" s="34"/>
    </row>
    <row r="5" spans="1:17" ht="76.5" x14ac:dyDescent="0.2">
      <c r="A5" s="43"/>
      <c r="B5" s="35" t="s">
        <v>18</v>
      </c>
      <c r="C5" s="35" t="s">
        <v>65</v>
      </c>
      <c r="D5" s="150" t="s">
        <v>66</v>
      </c>
      <c r="E5" s="150" t="s">
        <v>67</v>
      </c>
      <c r="F5" s="150" t="s">
        <v>68</v>
      </c>
      <c r="G5" s="149" t="s">
        <v>99</v>
      </c>
      <c r="H5" s="149" t="s">
        <v>100</v>
      </c>
      <c r="I5" s="149" t="s">
        <v>101</v>
      </c>
      <c r="J5" s="150" t="s">
        <v>102</v>
      </c>
      <c r="K5" s="150" t="s">
        <v>103</v>
      </c>
      <c r="L5" s="150" t="s">
        <v>104</v>
      </c>
      <c r="M5" s="152" t="s">
        <v>69</v>
      </c>
      <c r="N5" s="149" t="s">
        <v>105</v>
      </c>
      <c r="O5" s="149" t="s">
        <v>106</v>
      </c>
      <c r="P5" s="149" t="s">
        <v>107</v>
      </c>
      <c r="Q5" s="152" t="s">
        <v>62</v>
      </c>
    </row>
    <row r="6" spans="1:17" x14ac:dyDescent="0.2">
      <c r="A6" s="43"/>
      <c r="B6" s="162" t="s">
        <v>134</v>
      </c>
      <c r="C6" s="153"/>
      <c r="D6" s="153"/>
      <c r="E6" s="153"/>
      <c r="F6" s="153"/>
      <c r="G6" s="153"/>
      <c r="H6" s="153"/>
      <c r="I6" s="153"/>
      <c r="J6" s="153"/>
      <c r="K6" s="153"/>
      <c r="L6" s="153"/>
      <c r="M6" s="153"/>
      <c r="N6" s="153"/>
      <c r="O6" s="153"/>
      <c r="P6" s="154"/>
      <c r="Q6" s="155"/>
    </row>
    <row r="7" spans="1:17" x14ac:dyDescent="0.2">
      <c r="B7" s="156" t="s">
        <v>140</v>
      </c>
      <c r="C7" s="157" t="s">
        <v>70</v>
      </c>
      <c r="D7" s="158">
        <v>1</v>
      </c>
      <c r="E7" s="158">
        <v>2</v>
      </c>
      <c r="F7" s="159">
        <v>1</v>
      </c>
      <c r="G7" s="157">
        <v>0</v>
      </c>
      <c r="H7" s="160">
        <f>VLOOKUP(C:C,[1]Inputs!$B$20:$H$25,7,FALSE)*F7</f>
        <v>79.838346469665012</v>
      </c>
      <c r="I7" s="160">
        <f>VLOOKUP(C:C,[1]Inputs!$C$54:$G$59,5,FALSE)</f>
        <v>19.732436288346317</v>
      </c>
      <c r="J7" s="161"/>
      <c r="K7" s="157"/>
      <c r="L7" s="157"/>
      <c r="M7" s="160">
        <f>SUM(H7:K7)</f>
        <v>99.570782758011333</v>
      </c>
      <c r="N7" s="160">
        <f>[1]Inputs!$M$43*M7</f>
        <v>46.392677416511667</v>
      </c>
      <c r="O7" s="160">
        <f>[1]Inputs!$M$48*M7</f>
        <v>15.968921687171692</v>
      </c>
      <c r="P7" s="160">
        <f>[1]Inputs!$H$13*SUM(M7:O7)</f>
        <v>10.269751657668678</v>
      </c>
      <c r="Q7" s="160">
        <f t="shared" ref="Q7" si="0">SUM(M7:P7)</f>
        <v>172.20213351936337</v>
      </c>
    </row>
    <row r="8" spans="1:17" x14ac:dyDescent="0.2">
      <c r="A8" s="43"/>
      <c r="B8" s="60" t="s">
        <v>141</v>
      </c>
      <c r="C8" s="58" t="s">
        <v>70</v>
      </c>
      <c r="D8" s="61">
        <v>0.75</v>
      </c>
      <c r="E8" s="61">
        <v>2</v>
      </c>
      <c r="F8" s="63">
        <v>0.75</v>
      </c>
      <c r="G8" s="58">
        <v>0</v>
      </c>
      <c r="H8" s="151">
        <f>VLOOKUP(C:C,[1]Inputs!$B$20:$H$25,7,FALSE)*F8</f>
        <v>59.878759852248763</v>
      </c>
      <c r="I8" s="151">
        <f>VLOOKUP(C:C,[1]Inputs!$C$54:$G$59,5,FALSE)</f>
        <v>19.732436288346317</v>
      </c>
      <c r="J8" s="36"/>
      <c r="K8" s="58"/>
      <c r="L8" s="58"/>
      <c r="M8" s="151">
        <f>SUM(H8:K8)</f>
        <v>79.611196140595084</v>
      </c>
      <c r="N8" s="151">
        <f>[1]Inputs!$M$43*M8</f>
        <v>37.092974856583645</v>
      </c>
      <c r="O8" s="151">
        <f>[1]Inputs!$M$48*M8</f>
        <v>12.767851385490294</v>
      </c>
      <c r="P8" s="151">
        <f>[1]Inputs!$H$13*SUM(M8:O8)</f>
        <v>8.2111156595088701</v>
      </c>
      <c r="Q8" s="151">
        <f t="shared" ref="Q8" si="1">SUM(M8:P8)</f>
        <v>137.68313804217789</v>
      </c>
    </row>
    <row r="9" spans="1:17" x14ac:dyDescent="0.2">
      <c r="A9" s="43"/>
      <c r="B9" s="241" t="s">
        <v>1</v>
      </c>
      <c r="C9" s="242"/>
      <c r="D9" s="242"/>
      <c r="E9" s="243"/>
      <c r="F9" s="62">
        <f>SUM(F7:F8)</f>
        <v>1.75</v>
      </c>
      <c r="G9" s="62">
        <f t="shared" ref="G9:Q9" si="2">SUM(G7:G8)</f>
        <v>0</v>
      </c>
      <c r="H9" s="62">
        <f t="shared" si="2"/>
        <v>139.71710632191377</v>
      </c>
      <c r="I9" s="62">
        <f t="shared" si="2"/>
        <v>39.464872576692635</v>
      </c>
      <c r="J9" s="62">
        <f t="shared" si="2"/>
        <v>0</v>
      </c>
      <c r="K9" s="62">
        <f t="shared" si="2"/>
        <v>0</v>
      </c>
      <c r="L9" s="62">
        <f t="shared" si="2"/>
        <v>0</v>
      </c>
      <c r="M9" s="62">
        <f t="shared" si="2"/>
        <v>179.18197889860642</v>
      </c>
      <c r="N9" s="62">
        <f t="shared" si="2"/>
        <v>83.485652273095312</v>
      </c>
      <c r="O9" s="62">
        <f t="shared" si="2"/>
        <v>28.736773072661986</v>
      </c>
      <c r="P9" s="62">
        <f t="shared" si="2"/>
        <v>18.480867317177548</v>
      </c>
      <c r="Q9" s="62">
        <f t="shared" si="2"/>
        <v>309.88527156154123</v>
      </c>
    </row>
    <row r="10" spans="1:17" x14ac:dyDescent="0.2">
      <c r="A10" s="43"/>
    </row>
    <row r="11" spans="1:17" x14ac:dyDescent="0.2">
      <c r="B11" s="147" t="s">
        <v>64</v>
      </c>
      <c r="C11" s="148"/>
      <c r="D11" s="148"/>
      <c r="E11" s="148"/>
      <c r="F11" s="148"/>
      <c r="G11" s="148"/>
      <c r="H11" s="148"/>
      <c r="I11" s="244" t="s">
        <v>97</v>
      </c>
      <c r="J11" s="244"/>
      <c r="K11" s="244"/>
      <c r="L11" s="244"/>
      <c r="M11" s="244"/>
      <c r="N11" s="244"/>
      <c r="O11" s="244"/>
      <c r="P11" s="244"/>
      <c r="Q11" s="244"/>
    </row>
    <row r="12" spans="1:17" ht="15.75" x14ac:dyDescent="0.25">
      <c r="B12" s="55" t="s">
        <v>133</v>
      </c>
      <c r="C12" s="200"/>
      <c r="D12" s="200"/>
      <c r="E12" s="200"/>
      <c r="F12" s="200"/>
      <c r="G12" s="200"/>
      <c r="H12" s="200"/>
      <c r="I12" s="245" t="s">
        <v>98</v>
      </c>
      <c r="J12" s="245"/>
      <c r="K12" s="245"/>
      <c r="L12" s="245"/>
      <c r="M12" s="245"/>
      <c r="N12" s="245"/>
      <c r="O12" s="245"/>
      <c r="P12" s="245"/>
      <c r="Q12" s="245"/>
    </row>
    <row r="13" spans="1:17" x14ac:dyDescent="0.2">
      <c r="B13" s="34"/>
      <c r="C13" s="34"/>
      <c r="D13" s="34"/>
      <c r="E13" s="34"/>
      <c r="F13" s="34"/>
      <c r="G13" s="34"/>
      <c r="H13" s="34"/>
      <c r="I13" s="34"/>
      <c r="J13" s="34"/>
      <c r="K13" s="34"/>
      <c r="L13" s="34"/>
      <c r="M13" s="34"/>
      <c r="N13" s="34"/>
      <c r="O13" s="34"/>
      <c r="P13" s="34"/>
      <c r="Q13" s="34"/>
    </row>
    <row r="14" spans="1:17" ht="76.5" x14ac:dyDescent="0.2">
      <c r="B14" s="35" t="s">
        <v>18</v>
      </c>
      <c r="C14" s="35" t="s">
        <v>65</v>
      </c>
      <c r="D14" s="150" t="s">
        <v>66</v>
      </c>
      <c r="E14" s="150" t="s">
        <v>67</v>
      </c>
      <c r="F14" s="150" t="s">
        <v>68</v>
      </c>
      <c r="G14" s="149" t="s">
        <v>99</v>
      </c>
      <c r="H14" s="149" t="s">
        <v>100</v>
      </c>
      <c r="I14" s="149" t="s">
        <v>101</v>
      </c>
      <c r="J14" s="150" t="s">
        <v>102</v>
      </c>
      <c r="K14" s="150" t="s">
        <v>103</v>
      </c>
      <c r="L14" s="150" t="s">
        <v>104</v>
      </c>
      <c r="M14" s="152" t="s">
        <v>69</v>
      </c>
      <c r="N14" s="149" t="s">
        <v>105</v>
      </c>
      <c r="O14" s="149" t="s">
        <v>106</v>
      </c>
      <c r="P14" s="149" t="s">
        <v>107</v>
      </c>
      <c r="Q14" s="152" t="s">
        <v>62</v>
      </c>
    </row>
    <row r="15" spans="1:17" x14ac:dyDescent="0.2">
      <c r="A15" s="43"/>
      <c r="B15" s="162" t="s">
        <v>133</v>
      </c>
      <c r="C15" s="153"/>
      <c r="D15" s="153"/>
      <c r="E15" s="153"/>
      <c r="F15" s="153"/>
      <c r="G15" s="153"/>
      <c r="H15" s="153"/>
      <c r="I15" s="153"/>
      <c r="J15" s="153"/>
      <c r="K15" s="153"/>
      <c r="L15" s="153"/>
      <c r="M15" s="153"/>
      <c r="N15" s="153"/>
      <c r="O15" s="153"/>
      <c r="P15" s="154"/>
      <c r="Q15" s="155"/>
    </row>
    <row r="16" spans="1:17" x14ac:dyDescent="0.2">
      <c r="B16" s="156" t="s">
        <v>140</v>
      </c>
      <c r="C16" s="157" t="s">
        <v>70</v>
      </c>
      <c r="D16" s="158">
        <v>1</v>
      </c>
      <c r="E16" s="158">
        <v>2</v>
      </c>
      <c r="F16" s="159">
        <v>1</v>
      </c>
      <c r="G16" s="157">
        <v>0</v>
      </c>
      <c r="H16" s="160">
        <f>VLOOKUP(C:C,[1]Inputs!$B$20:$H$25,7,FALSE)*F16</f>
        <v>79.838346469665012</v>
      </c>
      <c r="I16" s="160">
        <f>VLOOKUP(C:C,[1]Inputs!$C$54:$G$59,5,FALSE)</f>
        <v>19.732436288346317</v>
      </c>
      <c r="J16" s="161"/>
      <c r="K16" s="157"/>
      <c r="L16" s="157"/>
      <c r="M16" s="160">
        <f>SUM(H16:K16)</f>
        <v>99.570782758011333</v>
      </c>
      <c r="N16" s="160">
        <f>[1]Inputs!$M$43*M16</f>
        <v>46.392677416511667</v>
      </c>
      <c r="O16" s="160">
        <f>[1]Inputs!$M$48*M16</f>
        <v>15.968921687171692</v>
      </c>
      <c r="P16" s="160">
        <f>[1]Inputs!$H$13*SUM(M16:O16)</f>
        <v>10.269751657668678</v>
      </c>
      <c r="Q16" s="160">
        <f t="shared" ref="Q16:Q17" si="3">SUM(M16:P16)</f>
        <v>172.20213351936337</v>
      </c>
    </row>
    <row r="17" spans="1:17" x14ac:dyDescent="0.2">
      <c r="B17" s="60" t="s">
        <v>142</v>
      </c>
      <c r="C17" s="58" t="s">
        <v>70</v>
      </c>
      <c r="D17" s="61">
        <v>0.75</v>
      </c>
      <c r="E17" s="61">
        <v>2</v>
      </c>
      <c r="F17" s="63">
        <v>0.75</v>
      </c>
      <c r="G17" s="58">
        <v>0</v>
      </c>
      <c r="H17" s="151">
        <f>VLOOKUP(C:C,[1]Inputs!$B$20:$H$25,7,FALSE)*F17</f>
        <v>59.878759852248763</v>
      </c>
      <c r="I17" s="151">
        <f>VLOOKUP(C:C,[1]Inputs!$C$54:$G$59,5,FALSE)</f>
        <v>19.732436288346317</v>
      </c>
      <c r="J17" s="36"/>
      <c r="K17" s="58"/>
      <c r="L17" s="58"/>
      <c r="M17" s="151">
        <f>SUM(H17:K17)</f>
        <v>79.611196140595084</v>
      </c>
      <c r="N17" s="151">
        <f>[1]Inputs!$M$43*M17</f>
        <v>37.092974856583645</v>
      </c>
      <c r="O17" s="151">
        <f>[1]Inputs!$M$48*M17</f>
        <v>12.767851385490294</v>
      </c>
      <c r="P17" s="151">
        <f>[1]Inputs!$H$13*SUM(M17:O17)</f>
        <v>8.2111156595088701</v>
      </c>
      <c r="Q17" s="151">
        <f t="shared" si="3"/>
        <v>137.68313804217789</v>
      </c>
    </row>
    <row r="18" spans="1:17" x14ac:dyDescent="0.2">
      <c r="B18" s="241" t="s">
        <v>1</v>
      </c>
      <c r="C18" s="242"/>
      <c r="D18" s="242"/>
      <c r="E18" s="243"/>
      <c r="F18" s="62">
        <f>SUM(F16:F17)</f>
        <v>1.75</v>
      </c>
      <c r="G18" s="62">
        <f t="shared" ref="G18:Q18" si="4">SUM(G16:G17)</f>
        <v>0</v>
      </c>
      <c r="H18" s="62">
        <f t="shared" si="4"/>
        <v>139.71710632191377</v>
      </c>
      <c r="I18" s="62">
        <f t="shared" si="4"/>
        <v>39.464872576692635</v>
      </c>
      <c r="J18" s="62">
        <f t="shared" si="4"/>
        <v>0</v>
      </c>
      <c r="K18" s="62">
        <f t="shared" si="4"/>
        <v>0</v>
      </c>
      <c r="L18" s="62">
        <f t="shared" si="4"/>
        <v>0</v>
      </c>
      <c r="M18" s="62">
        <f t="shared" si="4"/>
        <v>179.18197889860642</v>
      </c>
      <c r="N18" s="62">
        <f t="shared" si="4"/>
        <v>83.485652273095312</v>
      </c>
      <c r="O18" s="62">
        <f t="shared" si="4"/>
        <v>28.736773072661986</v>
      </c>
      <c r="P18" s="62">
        <f t="shared" si="4"/>
        <v>18.480867317177548</v>
      </c>
      <c r="Q18" s="62">
        <f t="shared" si="4"/>
        <v>309.88527156154123</v>
      </c>
    </row>
    <row r="28" spans="1:17" x14ac:dyDescent="0.2">
      <c r="A28" s="43"/>
    </row>
    <row r="41" spans="1:1" x14ac:dyDescent="0.2">
      <c r="A41" s="43"/>
    </row>
  </sheetData>
  <mergeCells count="6">
    <mergeCell ref="B18:E18"/>
    <mergeCell ref="B9:E9"/>
    <mergeCell ref="I2:Q2"/>
    <mergeCell ref="I3:Q3"/>
    <mergeCell ref="I11:Q11"/>
    <mergeCell ref="I12:Q1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B85A0-F615-4306-B418-3599A8B962EE}">
  <dimension ref="A1:O41"/>
  <sheetViews>
    <sheetView topLeftCell="A7" workbookViewId="0">
      <selection activeCell="B9" sqref="B9"/>
    </sheetView>
  </sheetViews>
  <sheetFormatPr defaultColWidth="9.140625" defaultRowHeight="15" x14ac:dyDescent="0.25"/>
  <cols>
    <col min="1" max="1" width="4.42578125" style="171" customWidth="1"/>
    <col min="2" max="2" width="49.28515625" style="171" bestFit="1" customWidth="1"/>
    <col min="3" max="3" width="13.28515625" style="171" customWidth="1"/>
    <col min="4" max="8" width="12.7109375" style="171" bestFit="1" customWidth="1"/>
    <col min="9" max="9" width="9.140625" style="171"/>
    <col min="10" max="15" width="10" style="171" bestFit="1" customWidth="1"/>
    <col min="16" max="16384" width="9.140625" style="171"/>
  </cols>
  <sheetData>
    <row r="1" spans="1:15" x14ac:dyDescent="0.25">
      <c r="B1" s="171" t="s">
        <v>114</v>
      </c>
      <c r="D1" s="172">
        <f>[1]Inputs!H16</f>
        <v>1</v>
      </c>
      <c r="E1" s="172">
        <f>[1]Inputs!I16</f>
        <v>1</v>
      </c>
      <c r="F1" s="172">
        <f>[1]Inputs!J16</f>
        <v>1.0109999999999999</v>
      </c>
      <c r="G1" s="172">
        <f>[1]Inputs!K16</f>
        <v>1.0231319999999999</v>
      </c>
      <c r="H1" s="172">
        <f>[1]Inputs!L16</f>
        <v>1.0337725727999998</v>
      </c>
      <c r="K1" s="173">
        <f>D1</f>
        <v>1</v>
      </c>
      <c r="L1" s="173">
        <f t="shared" ref="L1:O5" si="0">E1</f>
        <v>1</v>
      </c>
      <c r="M1" s="173">
        <f t="shared" si="0"/>
        <v>1.0109999999999999</v>
      </c>
      <c r="N1" s="173">
        <f t="shared" si="0"/>
        <v>1.0231319999999999</v>
      </c>
      <c r="O1" s="173">
        <f t="shared" si="0"/>
        <v>1.0337725727999998</v>
      </c>
    </row>
    <row r="2" spans="1:15" x14ac:dyDescent="0.25">
      <c r="B2" s="171" t="s">
        <v>115</v>
      </c>
      <c r="D2" s="172">
        <f>[1]Inputs!H61</f>
        <v>0.04</v>
      </c>
      <c r="E2" s="172">
        <f>[1]Inputs!I61</f>
        <v>0.04</v>
      </c>
      <c r="F2" s="172">
        <f>[1]Inputs!J61</f>
        <v>0.04</v>
      </c>
      <c r="G2" s="172">
        <f>[1]Inputs!K61</f>
        <v>0.04</v>
      </c>
      <c r="H2" s="172">
        <f>[1]Inputs!L61</f>
        <v>0.04</v>
      </c>
      <c r="K2" s="173"/>
      <c r="L2" s="173"/>
      <c r="M2" s="173"/>
      <c r="N2" s="173"/>
      <c r="O2" s="173"/>
    </row>
    <row r="3" spans="1:15" x14ac:dyDescent="0.25">
      <c r="B3" s="171" t="s">
        <v>116</v>
      </c>
      <c r="D3" s="173">
        <f>[1]Inputs!$M$43</f>
        <v>0.46592661151676018</v>
      </c>
      <c r="E3" s="173">
        <f>[1]Inputs!$M$43</f>
        <v>0.46592661151676018</v>
      </c>
      <c r="F3" s="173">
        <f>[1]Inputs!$M$43</f>
        <v>0.46592661151676018</v>
      </c>
      <c r="G3" s="173">
        <f>[1]Inputs!$M$43</f>
        <v>0.46592661151676018</v>
      </c>
      <c r="H3" s="173">
        <f>[1]Inputs!$M$43</f>
        <v>0.46592661151676018</v>
      </c>
      <c r="K3" s="173">
        <f t="shared" ref="K3:K5" si="1">D3</f>
        <v>0.46592661151676018</v>
      </c>
      <c r="L3" s="173">
        <f t="shared" si="0"/>
        <v>0.46592661151676018</v>
      </c>
      <c r="M3" s="173">
        <f t="shared" si="0"/>
        <v>0.46592661151676018</v>
      </c>
      <c r="N3" s="173">
        <f t="shared" si="0"/>
        <v>0.46592661151676018</v>
      </c>
      <c r="O3" s="173">
        <f t="shared" si="0"/>
        <v>0.46592661151676018</v>
      </c>
    </row>
    <row r="4" spans="1:15" x14ac:dyDescent="0.25">
      <c r="B4" s="171" t="s">
        <v>117</v>
      </c>
      <c r="D4" s="173">
        <f>[1]Inputs!$M$48</f>
        <v>0.16037758511933414</v>
      </c>
      <c r="E4" s="173">
        <f>[1]Inputs!$M$48</f>
        <v>0.16037758511933414</v>
      </c>
      <c r="F4" s="173">
        <f>[1]Inputs!$M$48</f>
        <v>0.16037758511933414</v>
      </c>
      <c r="G4" s="173">
        <f>[1]Inputs!$M$48</f>
        <v>0.16037758511933414</v>
      </c>
      <c r="H4" s="173">
        <f>[1]Inputs!$M$48</f>
        <v>0.16037758511933414</v>
      </c>
      <c r="K4" s="173">
        <f t="shared" si="1"/>
        <v>0.16037758511933414</v>
      </c>
      <c r="L4" s="173">
        <f t="shared" si="0"/>
        <v>0.16037758511933414</v>
      </c>
      <c r="M4" s="173">
        <f t="shared" si="0"/>
        <v>0.16037758511933414</v>
      </c>
      <c r="N4" s="173">
        <f t="shared" si="0"/>
        <v>0.16037758511933414</v>
      </c>
      <c r="O4" s="173">
        <f t="shared" si="0"/>
        <v>0.16037758511933414</v>
      </c>
    </row>
    <row r="5" spans="1:15" x14ac:dyDescent="0.25">
      <c r="B5" s="171" t="s">
        <v>118</v>
      </c>
      <c r="D5" s="173">
        <f>[1]Inputs!$H$13</f>
        <v>6.3420000000000004E-2</v>
      </c>
      <c r="E5" s="173">
        <f>[1]Inputs!$H$13</f>
        <v>6.3420000000000004E-2</v>
      </c>
      <c r="F5" s="173">
        <f>[1]Inputs!$H$13</f>
        <v>6.3420000000000004E-2</v>
      </c>
      <c r="G5" s="173">
        <f>[1]Inputs!$H$13</f>
        <v>6.3420000000000004E-2</v>
      </c>
      <c r="H5" s="173">
        <f>[1]Inputs!$H$13</f>
        <v>6.3420000000000004E-2</v>
      </c>
      <c r="K5" s="173">
        <f t="shared" si="1"/>
        <v>6.3420000000000004E-2</v>
      </c>
      <c r="L5" s="173">
        <f t="shared" si="0"/>
        <v>6.3420000000000004E-2</v>
      </c>
      <c r="M5" s="173">
        <f t="shared" si="0"/>
        <v>6.3420000000000004E-2</v>
      </c>
      <c r="N5" s="173">
        <f t="shared" si="0"/>
        <v>6.3420000000000004E-2</v>
      </c>
      <c r="O5" s="173">
        <f t="shared" si="0"/>
        <v>6.3420000000000004E-2</v>
      </c>
    </row>
    <row r="6" spans="1:15" s="174" customFormat="1" ht="15.75" x14ac:dyDescent="0.25">
      <c r="D6" s="249" t="s">
        <v>119</v>
      </c>
      <c r="E6" s="249"/>
      <c r="F6" s="249"/>
      <c r="G6" s="249"/>
      <c r="H6" s="249"/>
      <c r="J6" s="250" t="s">
        <v>120</v>
      </c>
      <c r="K6" s="250"/>
      <c r="L6" s="250"/>
      <c r="M6" s="250"/>
      <c r="N6" s="250"/>
      <c r="O6" s="250"/>
    </row>
    <row r="7" spans="1:15" s="174" customFormat="1" ht="15.75" x14ac:dyDescent="0.25">
      <c r="D7" s="246" t="s">
        <v>121</v>
      </c>
      <c r="E7" s="247"/>
      <c r="F7" s="247"/>
      <c r="G7" s="247"/>
      <c r="H7" s="247"/>
      <c r="J7" s="246" t="s">
        <v>121</v>
      </c>
      <c r="K7" s="247"/>
      <c r="L7" s="247"/>
      <c r="M7" s="247"/>
      <c r="N7" s="247"/>
      <c r="O7" s="247"/>
    </row>
    <row r="8" spans="1:15" x14ac:dyDescent="0.25">
      <c r="B8" s="175" t="s">
        <v>147</v>
      </c>
      <c r="C8" s="176"/>
      <c r="D8" s="176" t="s">
        <v>122</v>
      </c>
      <c r="E8" s="176" t="s">
        <v>123</v>
      </c>
      <c r="F8" s="176" t="s">
        <v>124</v>
      </c>
      <c r="G8" s="176" t="s">
        <v>125</v>
      </c>
      <c r="H8" s="176" t="s">
        <v>126</v>
      </c>
    </row>
    <row r="9" spans="1:15" ht="15" customHeight="1" x14ac:dyDescent="0.25">
      <c r="A9" s="248"/>
      <c r="B9" s="177" t="s">
        <v>100</v>
      </c>
      <c r="C9" s="178"/>
      <c r="D9" s="179">
        <f>(D20*D$28)+(D32*D40)</f>
        <v>20957.565948287065</v>
      </c>
      <c r="E9" s="179">
        <f t="shared" ref="E9:H9" si="2">E20*E$28</f>
        <v>10478.782974143533</v>
      </c>
      <c r="F9" s="179">
        <f t="shared" si="2"/>
        <v>10594.049586859112</v>
      </c>
      <c r="G9" s="179">
        <f t="shared" si="2"/>
        <v>10839.111141902336</v>
      </c>
      <c r="H9" s="179">
        <f t="shared" si="2"/>
        <v>11205.175812029522</v>
      </c>
    </row>
    <row r="10" spans="1:15" x14ac:dyDescent="0.25">
      <c r="A10" s="248"/>
      <c r="B10" s="177" t="s">
        <v>101</v>
      </c>
      <c r="C10" s="178"/>
      <c r="D10" s="179">
        <f>(D21*D$28)+(D33*D$40)</f>
        <v>5919.7308865038949</v>
      </c>
      <c r="E10" s="179">
        <f t="shared" ref="E10:H10" si="3">(E21*E$28)+(E33*E$40)</f>
        <v>5919.7308865038949</v>
      </c>
      <c r="F10" s="179">
        <f t="shared" si="3"/>
        <v>5919.7308865038949</v>
      </c>
      <c r="G10" s="179">
        <f t="shared" si="3"/>
        <v>5919.7308865038949</v>
      </c>
      <c r="H10" s="179">
        <f t="shared" si="3"/>
        <v>5919.7308865038949</v>
      </c>
    </row>
    <row r="11" spans="1:15" x14ac:dyDescent="0.25">
      <c r="A11" s="248"/>
      <c r="B11" s="177" t="s">
        <v>111</v>
      </c>
      <c r="C11" s="178"/>
      <c r="D11" s="179">
        <f>(D22*D$28)+(D34*D$40)</f>
        <v>0</v>
      </c>
      <c r="E11" s="179">
        <f t="shared" ref="E11:H11" si="4">(E22*E$28)+(E34*E$40)</f>
        <v>0</v>
      </c>
      <c r="F11" s="179">
        <f t="shared" si="4"/>
        <v>0</v>
      </c>
      <c r="G11" s="179">
        <f t="shared" si="4"/>
        <v>0</v>
      </c>
      <c r="H11" s="179">
        <f t="shared" si="4"/>
        <v>0</v>
      </c>
    </row>
    <row r="12" spans="1:15" x14ac:dyDescent="0.25">
      <c r="A12" s="248"/>
      <c r="B12" s="180" t="s">
        <v>127</v>
      </c>
      <c r="C12" s="180"/>
      <c r="D12" s="179">
        <f>(D23*D$28)+(D35*D$40)</f>
        <v>26877.296834790963</v>
      </c>
      <c r="E12" s="179">
        <f t="shared" ref="E12:H12" si="5">(E23*E$28)+(E35*E$40)</f>
        <v>26877.296834790963</v>
      </c>
      <c r="F12" s="179">
        <f t="shared" si="5"/>
        <v>27107.830060222121</v>
      </c>
      <c r="G12" s="179">
        <f t="shared" si="5"/>
        <v>27597.953170308567</v>
      </c>
      <c r="H12" s="179">
        <f t="shared" si="5"/>
        <v>28330.082510562941</v>
      </c>
    </row>
    <row r="13" spans="1:15" x14ac:dyDescent="0.25">
      <c r="A13" s="248"/>
      <c r="B13" s="178" t="s">
        <v>105</v>
      </c>
      <c r="C13" s="178"/>
      <c r="D13" s="179">
        <f>(D24*D$28)+(D36*D$40)</f>
        <v>12522.847840964298</v>
      </c>
      <c r="E13" s="179">
        <f t="shared" ref="E13:H13" si="6">(E24*E$28)+(E36*E$40)</f>
        <v>12522.847840964298</v>
      </c>
      <c r="F13" s="179">
        <f t="shared" si="6"/>
        <v>12630.259405531464</v>
      </c>
      <c r="G13" s="179">
        <f t="shared" si="6"/>
        <v>12858.6208054401</v>
      </c>
      <c r="H13" s="179">
        <f t="shared" si="6"/>
        <v>13199.73934813682</v>
      </c>
    </row>
    <row r="14" spans="1:15" x14ac:dyDescent="0.25">
      <c r="A14" s="248"/>
      <c r="B14" s="178" t="s">
        <v>106</v>
      </c>
      <c r="C14" s="178"/>
      <c r="D14" s="179">
        <f t="shared" ref="D14:H16" si="7">(D25*D$28)+(D37*D$40)</f>
        <v>4310.5159608992981</v>
      </c>
      <c r="E14" s="179">
        <f t="shared" si="7"/>
        <v>4310.5159608992981</v>
      </c>
      <c r="F14" s="179">
        <f t="shared" si="7"/>
        <v>4347.488322883718</v>
      </c>
      <c r="G14" s="179">
        <f t="shared" si="7"/>
        <v>4426.09308369056</v>
      </c>
      <c r="H14" s="179">
        <f t="shared" si="7"/>
        <v>4543.5102192755676</v>
      </c>
    </row>
    <row r="15" spans="1:15" x14ac:dyDescent="0.25">
      <c r="A15" s="248"/>
      <c r="B15" s="178" t="s">
        <v>113</v>
      </c>
      <c r="C15" s="178"/>
      <c r="D15" s="179">
        <f t="shared" si="7"/>
        <v>2772.1300975766321</v>
      </c>
      <c r="E15" s="179">
        <f t="shared" si="7"/>
        <v>2772.1300975766321</v>
      </c>
      <c r="F15" s="179">
        <f t="shared" si="7"/>
        <v>2795.9073433553776</v>
      </c>
      <c r="G15" s="179">
        <f t="shared" si="7"/>
        <v>2846.4587449096357</v>
      </c>
      <c r="H15" s="179">
        <f t="shared" si="7"/>
        <v>2921.9707203851954</v>
      </c>
    </row>
    <row r="16" spans="1:15" x14ac:dyDescent="0.25">
      <c r="A16" s="248"/>
      <c r="B16" s="182" t="s">
        <v>128</v>
      </c>
      <c r="C16" s="178"/>
      <c r="D16" s="179">
        <f t="shared" si="7"/>
        <v>46482.790734231196</v>
      </c>
      <c r="E16" s="179">
        <f t="shared" si="7"/>
        <v>46482.790734231196</v>
      </c>
      <c r="F16" s="179">
        <f t="shared" si="7"/>
        <v>46881.485131992675</v>
      </c>
      <c r="G16" s="179">
        <f t="shared" si="7"/>
        <v>47729.125804348863</v>
      </c>
      <c r="H16" s="179">
        <f t="shared" si="7"/>
        <v>48995.302798360521</v>
      </c>
    </row>
    <row r="17" spans="1:15" s="165" customFormat="1" x14ac:dyDescent="0.25">
      <c r="A17" s="248"/>
      <c r="B17" s="183" t="s">
        <v>129</v>
      </c>
      <c r="C17" s="180"/>
      <c r="D17" s="181">
        <f>D29+D41-D16</f>
        <v>0</v>
      </c>
      <c r="E17" s="181">
        <f t="shared" ref="E17:H17" si="8">E29+E41-E16</f>
        <v>0</v>
      </c>
      <c r="F17" s="181">
        <f t="shared" si="8"/>
        <v>0</v>
      </c>
      <c r="G17" s="181">
        <f t="shared" si="8"/>
        <v>0</v>
      </c>
      <c r="H17" s="181">
        <f t="shared" si="8"/>
        <v>0</v>
      </c>
    </row>
    <row r="18" spans="1:15" s="165" customFormat="1" x14ac:dyDescent="0.25">
      <c r="A18" s="184"/>
      <c r="C18" s="185"/>
    </row>
    <row r="19" spans="1:15" x14ac:dyDescent="0.25">
      <c r="B19" s="186" t="s">
        <v>135</v>
      </c>
      <c r="C19" s="187"/>
      <c r="D19" s="188"/>
      <c r="E19" s="189"/>
      <c r="F19" s="189"/>
      <c r="G19" s="189"/>
      <c r="H19" s="189"/>
      <c r="J19" s="187"/>
      <c r="K19" s="246"/>
      <c r="L19" s="247"/>
      <c r="M19" s="247"/>
      <c r="N19" s="247"/>
      <c r="O19" s="247"/>
    </row>
    <row r="20" spans="1:15" x14ac:dyDescent="0.25">
      <c r="B20" s="190" t="s">
        <v>100</v>
      </c>
      <c r="C20" s="191">
        <f>'Proposed Fee'!H9</f>
        <v>139.71710632191377</v>
      </c>
      <c r="D20" s="192">
        <f>C20*D$1</f>
        <v>139.71710632191377</v>
      </c>
      <c r="E20" s="192">
        <f>D20*E1</f>
        <v>139.71710632191377</v>
      </c>
      <c r="F20" s="192">
        <f>E20*F1</f>
        <v>141.25399449145482</v>
      </c>
      <c r="G20" s="192">
        <f>F20*G1</f>
        <v>144.52148189203115</v>
      </c>
      <c r="H20" s="192">
        <f>G20*H1</f>
        <v>149.40234416039362</v>
      </c>
      <c r="J20" s="191"/>
      <c r="K20" s="192">
        <f>J20*K$1</f>
        <v>0</v>
      </c>
      <c r="L20" s="192">
        <f>K20*L1</f>
        <v>0</v>
      </c>
      <c r="M20" s="192">
        <f>L20*M1</f>
        <v>0</v>
      </c>
      <c r="N20" s="192">
        <f>M20*N1</f>
        <v>0</v>
      </c>
      <c r="O20" s="192">
        <f>N20*O1</f>
        <v>0</v>
      </c>
    </row>
    <row r="21" spans="1:15" x14ac:dyDescent="0.25">
      <c r="B21" s="190" t="s">
        <v>101</v>
      </c>
      <c r="C21" s="191">
        <f>'Proposed Fee'!I9</f>
        <v>39.464872576692635</v>
      </c>
      <c r="D21" s="192">
        <f>C21</f>
        <v>39.464872576692635</v>
      </c>
      <c r="E21" s="192">
        <f t="shared" ref="E21:H22" si="9">D21</f>
        <v>39.464872576692635</v>
      </c>
      <c r="F21" s="192">
        <f t="shared" si="9"/>
        <v>39.464872576692635</v>
      </c>
      <c r="G21" s="192">
        <f t="shared" si="9"/>
        <v>39.464872576692635</v>
      </c>
      <c r="H21" s="192">
        <f t="shared" si="9"/>
        <v>39.464872576692635</v>
      </c>
      <c r="J21" s="191"/>
      <c r="K21" s="192">
        <f>J21</f>
        <v>0</v>
      </c>
      <c r="L21" s="192">
        <f t="shared" ref="L21:O22" si="10">K21</f>
        <v>0</v>
      </c>
      <c r="M21" s="192">
        <f t="shared" si="10"/>
        <v>0</v>
      </c>
      <c r="N21" s="192">
        <f t="shared" si="10"/>
        <v>0</v>
      </c>
      <c r="O21" s="192">
        <f t="shared" si="10"/>
        <v>0</v>
      </c>
    </row>
    <row r="22" spans="1:15" x14ac:dyDescent="0.25">
      <c r="B22" s="190" t="s">
        <v>130</v>
      </c>
      <c r="C22" s="191">
        <f>'Proposed Fee'!J9</f>
        <v>0</v>
      </c>
      <c r="D22" s="192">
        <f>C22</f>
        <v>0</v>
      </c>
      <c r="E22" s="192">
        <f t="shared" si="9"/>
        <v>0</v>
      </c>
      <c r="F22" s="192">
        <f t="shared" si="9"/>
        <v>0</v>
      </c>
      <c r="G22" s="192">
        <f t="shared" si="9"/>
        <v>0</v>
      </c>
      <c r="H22" s="192">
        <f t="shared" si="9"/>
        <v>0</v>
      </c>
      <c r="J22" s="191"/>
      <c r="K22" s="192">
        <f>J22</f>
        <v>0</v>
      </c>
      <c r="L22" s="192">
        <f t="shared" si="10"/>
        <v>0</v>
      </c>
      <c r="M22" s="192">
        <f t="shared" si="10"/>
        <v>0</v>
      </c>
      <c r="N22" s="192">
        <f t="shared" si="10"/>
        <v>0</v>
      </c>
      <c r="O22" s="192">
        <f t="shared" si="10"/>
        <v>0</v>
      </c>
    </row>
    <row r="23" spans="1:15" s="165" customFormat="1" x14ac:dyDescent="0.25">
      <c r="B23" s="193" t="s">
        <v>127</v>
      </c>
      <c r="C23" s="194">
        <f>'Proposed Fee'!M9</f>
        <v>179.18197889860642</v>
      </c>
      <c r="D23" s="178">
        <f>SUM(D20:D22)</f>
        <v>179.18197889860642</v>
      </c>
      <c r="E23" s="178">
        <f t="shared" ref="E23:H23" si="11">SUM(E20:E22)</f>
        <v>179.18197889860642</v>
      </c>
      <c r="F23" s="178">
        <f t="shared" si="11"/>
        <v>180.71886706814746</v>
      </c>
      <c r="G23" s="178">
        <f t="shared" si="11"/>
        <v>183.98635446872379</v>
      </c>
      <c r="H23" s="178">
        <f t="shared" si="11"/>
        <v>188.86721673708627</v>
      </c>
      <c r="J23" s="194"/>
      <c r="K23" s="178">
        <f>SUM(K20:K22)</f>
        <v>0</v>
      </c>
      <c r="L23" s="178">
        <f t="shared" ref="L23:O23" si="12">SUM(L20:L22)</f>
        <v>0</v>
      </c>
      <c r="M23" s="178">
        <f t="shared" si="12"/>
        <v>0</v>
      </c>
      <c r="N23" s="178">
        <f t="shared" si="12"/>
        <v>0</v>
      </c>
      <c r="O23" s="178">
        <f t="shared" si="12"/>
        <v>0</v>
      </c>
    </row>
    <row r="24" spans="1:15" x14ac:dyDescent="0.25">
      <c r="B24" s="190" t="s">
        <v>105</v>
      </c>
      <c r="C24" s="191">
        <f>'Proposed Fee'!N9</f>
        <v>83.485652273095312</v>
      </c>
      <c r="D24" s="192">
        <f>D23*D$3</f>
        <v>83.485652273095312</v>
      </c>
      <c r="E24" s="192">
        <f t="shared" ref="E24:H24" si="13">E23*E$3</f>
        <v>83.485652273095312</v>
      </c>
      <c r="F24" s="192">
        <f t="shared" si="13"/>
        <v>84.201729370209762</v>
      </c>
      <c r="G24" s="192">
        <f t="shared" si="13"/>
        <v>85.724138702933999</v>
      </c>
      <c r="H24" s="192">
        <f t="shared" si="13"/>
        <v>87.998262320912133</v>
      </c>
      <c r="J24" s="191"/>
      <c r="K24" s="192">
        <f>K23*K$3</f>
        <v>0</v>
      </c>
      <c r="L24" s="192">
        <f t="shared" ref="L24:O24" si="14">L23*L$3</f>
        <v>0</v>
      </c>
      <c r="M24" s="192">
        <f t="shared" si="14"/>
        <v>0</v>
      </c>
      <c r="N24" s="192">
        <f t="shared" si="14"/>
        <v>0</v>
      </c>
      <c r="O24" s="192">
        <f t="shared" si="14"/>
        <v>0</v>
      </c>
    </row>
    <row r="25" spans="1:15" x14ac:dyDescent="0.25">
      <c r="B25" s="190" t="s">
        <v>106</v>
      </c>
      <c r="C25" s="191">
        <f>'Proposed Fee'!O9</f>
        <v>28.736773072661986</v>
      </c>
      <c r="D25" s="192">
        <f>D23*D$4</f>
        <v>28.736773072661986</v>
      </c>
      <c r="E25" s="192">
        <f t="shared" ref="E25:H25" si="15">E23*E$4</f>
        <v>28.736773072661986</v>
      </c>
      <c r="F25" s="192">
        <f t="shared" si="15"/>
        <v>28.983255485891451</v>
      </c>
      <c r="G25" s="192">
        <f t="shared" si="15"/>
        <v>29.507287224603733</v>
      </c>
      <c r="H25" s="192">
        <f t="shared" si="15"/>
        <v>30.290068128503783</v>
      </c>
      <c r="J25" s="191"/>
      <c r="K25" s="192">
        <f>K23*K$4</f>
        <v>0</v>
      </c>
      <c r="L25" s="192">
        <f t="shared" ref="L25:O25" si="16">L23*L$4</f>
        <v>0</v>
      </c>
      <c r="M25" s="192">
        <f t="shared" si="16"/>
        <v>0</v>
      </c>
      <c r="N25" s="192">
        <f t="shared" si="16"/>
        <v>0</v>
      </c>
      <c r="O25" s="192">
        <f t="shared" si="16"/>
        <v>0</v>
      </c>
    </row>
    <row r="26" spans="1:15" x14ac:dyDescent="0.25">
      <c r="B26" s="190" t="s">
        <v>107</v>
      </c>
      <c r="C26" s="191">
        <f>'Proposed Fee'!P9</f>
        <v>18.480867317177548</v>
      </c>
      <c r="D26" s="192">
        <f>SUM(D23:D25)*D$5</f>
        <v>18.480867317177548</v>
      </c>
      <c r="E26" s="192">
        <f t="shared" ref="E26:H26" si="17">SUM(E23:E25)*E$5</f>
        <v>18.480867317177548</v>
      </c>
      <c r="F26" s="192">
        <f t="shared" si="17"/>
        <v>18.639382289035851</v>
      </c>
      <c r="G26" s="192">
        <f t="shared" si="17"/>
        <v>18.976391632730905</v>
      </c>
      <c r="H26" s="192">
        <f t="shared" si="17"/>
        <v>19.479804802567969</v>
      </c>
      <c r="J26" s="191"/>
      <c r="K26" s="192">
        <f>SUM(K23:K25)*K$5</f>
        <v>0</v>
      </c>
      <c r="L26" s="192">
        <f t="shared" ref="L26:O26" si="18">SUM(L23:L25)*L$5</f>
        <v>0</v>
      </c>
      <c r="M26" s="192">
        <f t="shared" si="18"/>
        <v>0</v>
      </c>
      <c r="N26" s="192">
        <f t="shared" si="18"/>
        <v>0</v>
      </c>
      <c r="O26" s="192">
        <f t="shared" si="18"/>
        <v>0</v>
      </c>
    </row>
    <row r="27" spans="1:15" s="165" customFormat="1" x14ac:dyDescent="0.25">
      <c r="B27" s="195" t="s">
        <v>131</v>
      </c>
      <c r="C27" s="196">
        <f>'Proposed Fee'!Q9</f>
        <v>309.88527156154123</v>
      </c>
      <c r="D27" s="197">
        <f>SUM(D23:D26)</f>
        <v>309.88527156154129</v>
      </c>
      <c r="E27" s="197">
        <f t="shared" ref="E27:H27" si="19">SUM(E23:E26)</f>
        <v>309.88527156154129</v>
      </c>
      <c r="F27" s="197">
        <f t="shared" si="19"/>
        <v>312.54323421328451</v>
      </c>
      <c r="G27" s="197">
        <f t="shared" si="19"/>
        <v>318.1941720289924</v>
      </c>
      <c r="H27" s="197">
        <f t="shared" si="19"/>
        <v>326.63535198907016</v>
      </c>
      <c r="J27" s="196"/>
      <c r="K27" s="197">
        <f>SUM(K23:K26)</f>
        <v>0</v>
      </c>
      <c r="L27" s="197">
        <f t="shared" ref="L27:O27" si="20">SUM(L23:L26)</f>
        <v>0</v>
      </c>
      <c r="M27" s="197">
        <f t="shared" si="20"/>
        <v>0</v>
      </c>
      <c r="N27" s="197">
        <f t="shared" si="20"/>
        <v>0</v>
      </c>
      <c r="O27" s="197">
        <f t="shared" si="20"/>
        <v>0</v>
      </c>
    </row>
    <row r="28" spans="1:15" x14ac:dyDescent="0.25">
      <c r="B28" s="198" t="s">
        <v>139</v>
      </c>
      <c r="C28" s="192"/>
      <c r="D28" s="199">
        <f>'Forecast Revenue - Costs'!D11</f>
        <v>75</v>
      </c>
      <c r="E28" s="199">
        <f>'Forecast Revenue - Costs'!E11</f>
        <v>75</v>
      </c>
      <c r="F28" s="199">
        <f>'Forecast Revenue - Costs'!F11</f>
        <v>75</v>
      </c>
      <c r="G28" s="199">
        <f>'Forecast Revenue - Costs'!G11</f>
        <v>75</v>
      </c>
      <c r="H28" s="199">
        <f>'Forecast Revenue - Costs'!H11</f>
        <v>75</v>
      </c>
      <c r="J28" s="192"/>
      <c r="K28" s="199"/>
      <c r="L28" s="199"/>
      <c r="M28" s="199"/>
      <c r="N28" s="199"/>
      <c r="O28" s="199"/>
    </row>
    <row r="29" spans="1:15" s="165" customFormat="1" x14ac:dyDescent="0.25">
      <c r="B29" s="182" t="s">
        <v>132</v>
      </c>
      <c r="C29" s="180"/>
      <c r="D29" s="181">
        <f>D27*D28</f>
        <v>23241.395367115598</v>
      </c>
      <c r="E29" s="181">
        <f t="shared" ref="E29:H29" si="21">E27*E28</f>
        <v>23241.395367115598</v>
      </c>
      <c r="F29" s="181">
        <f t="shared" si="21"/>
        <v>23440.742565996337</v>
      </c>
      <c r="G29" s="181">
        <f t="shared" si="21"/>
        <v>23864.562902174432</v>
      </c>
      <c r="H29" s="181">
        <f t="shared" si="21"/>
        <v>24497.65139918026</v>
      </c>
      <c r="J29" s="180"/>
      <c r="K29" s="181"/>
      <c r="L29" s="181"/>
      <c r="M29" s="181"/>
      <c r="N29" s="181"/>
      <c r="O29" s="181"/>
    </row>
    <row r="31" spans="1:15" x14ac:dyDescent="0.25">
      <c r="B31" s="186" t="s">
        <v>136</v>
      </c>
      <c r="C31" s="187"/>
      <c r="D31" s="188"/>
      <c r="E31" s="189"/>
      <c r="F31" s="189"/>
      <c r="G31" s="189"/>
      <c r="H31" s="189"/>
      <c r="J31" s="187"/>
      <c r="K31" s="246"/>
      <c r="L31" s="247"/>
      <c r="M31" s="247"/>
      <c r="N31" s="247"/>
      <c r="O31" s="247"/>
    </row>
    <row r="32" spans="1:15" x14ac:dyDescent="0.25">
      <c r="B32" s="190" t="s">
        <v>100</v>
      </c>
      <c r="C32" s="191">
        <f>'Proposed Fee'!H18</f>
        <v>139.71710632191377</v>
      </c>
      <c r="D32" s="192">
        <f>C32*D$1</f>
        <v>139.71710632191377</v>
      </c>
      <c r="E32" s="192">
        <f t="shared" ref="E32:H32" si="22">D32*E$1</f>
        <v>139.71710632191377</v>
      </c>
      <c r="F32" s="192">
        <f t="shared" si="22"/>
        <v>141.25399449145482</v>
      </c>
      <c r="G32" s="192">
        <f t="shared" si="22"/>
        <v>144.52148189203115</v>
      </c>
      <c r="H32" s="192">
        <f t="shared" si="22"/>
        <v>149.40234416039362</v>
      </c>
      <c r="J32" s="191"/>
      <c r="K32" s="192">
        <f>J32*K$1</f>
        <v>0</v>
      </c>
      <c r="L32" s="192">
        <f>K32*L13</f>
        <v>0</v>
      </c>
      <c r="M32" s="192">
        <f>L32*M13</f>
        <v>0</v>
      </c>
      <c r="N32" s="192">
        <f>M32*N13</f>
        <v>0</v>
      </c>
      <c r="O32" s="192">
        <f>N32*O13</f>
        <v>0</v>
      </c>
    </row>
    <row r="33" spans="2:15" x14ac:dyDescent="0.25">
      <c r="B33" s="190" t="s">
        <v>101</v>
      </c>
      <c r="C33" s="191">
        <f>'Proposed Fee'!I18</f>
        <v>39.464872576692635</v>
      </c>
      <c r="D33" s="192">
        <f>C33</f>
        <v>39.464872576692635</v>
      </c>
      <c r="E33" s="192">
        <f t="shared" ref="E33:E34" si="23">D33</f>
        <v>39.464872576692635</v>
      </c>
      <c r="F33" s="192">
        <f t="shared" ref="F33:F34" si="24">E33</f>
        <v>39.464872576692635</v>
      </c>
      <c r="G33" s="192">
        <f t="shared" ref="G33:G34" si="25">F33</f>
        <v>39.464872576692635</v>
      </c>
      <c r="H33" s="192">
        <f t="shared" ref="H33:H34" si="26">G33</f>
        <v>39.464872576692635</v>
      </c>
      <c r="J33" s="191"/>
      <c r="K33" s="192">
        <f>J33</f>
        <v>0</v>
      </c>
      <c r="L33" s="192">
        <f t="shared" ref="L33:L34" si="27">K33</f>
        <v>0</v>
      </c>
      <c r="M33" s="192">
        <f t="shared" ref="M33:M34" si="28">L33</f>
        <v>0</v>
      </c>
      <c r="N33" s="192">
        <f t="shared" ref="N33:N34" si="29">M33</f>
        <v>0</v>
      </c>
      <c r="O33" s="192">
        <f t="shared" ref="O33:O34" si="30">N33</f>
        <v>0</v>
      </c>
    </row>
    <row r="34" spans="2:15" x14ac:dyDescent="0.25">
      <c r="B34" s="190" t="s">
        <v>130</v>
      </c>
      <c r="C34" s="191">
        <f>'Proposed Fee'!J18</f>
        <v>0</v>
      </c>
      <c r="D34" s="192">
        <f>C34</f>
        <v>0</v>
      </c>
      <c r="E34" s="192">
        <f t="shared" si="23"/>
        <v>0</v>
      </c>
      <c r="F34" s="192">
        <f t="shared" si="24"/>
        <v>0</v>
      </c>
      <c r="G34" s="192">
        <f t="shared" si="25"/>
        <v>0</v>
      </c>
      <c r="H34" s="192">
        <f t="shared" si="26"/>
        <v>0</v>
      </c>
      <c r="J34" s="191"/>
      <c r="K34" s="192">
        <f>J34</f>
        <v>0</v>
      </c>
      <c r="L34" s="192">
        <f t="shared" si="27"/>
        <v>0</v>
      </c>
      <c r="M34" s="192">
        <f t="shared" si="28"/>
        <v>0</v>
      </c>
      <c r="N34" s="192">
        <f t="shared" si="29"/>
        <v>0</v>
      </c>
      <c r="O34" s="192">
        <f t="shared" si="30"/>
        <v>0</v>
      </c>
    </row>
    <row r="35" spans="2:15" x14ac:dyDescent="0.25">
      <c r="B35" s="193" t="s">
        <v>127</v>
      </c>
      <c r="C35" s="194">
        <f>'Proposed Fee'!M18</f>
        <v>179.18197889860642</v>
      </c>
      <c r="D35" s="178">
        <f>SUM(D32:D34)</f>
        <v>179.18197889860642</v>
      </c>
      <c r="E35" s="178">
        <f t="shared" ref="E35:H35" si="31">SUM(E32:E34)</f>
        <v>179.18197889860642</v>
      </c>
      <c r="F35" s="178">
        <f t="shared" si="31"/>
        <v>180.71886706814746</v>
      </c>
      <c r="G35" s="178">
        <f t="shared" si="31"/>
        <v>183.98635446872379</v>
      </c>
      <c r="H35" s="178">
        <f t="shared" si="31"/>
        <v>188.86721673708627</v>
      </c>
      <c r="I35" s="165"/>
      <c r="J35" s="194"/>
      <c r="K35" s="178">
        <f>SUM(K32:K34)</f>
        <v>0</v>
      </c>
      <c r="L35" s="178">
        <f t="shared" ref="L35:O35" si="32">SUM(L32:L34)</f>
        <v>0</v>
      </c>
      <c r="M35" s="178">
        <f t="shared" si="32"/>
        <v>0</v>
      </c>
      <c r="N35" s="178">
        <f t="shared" si="32"/>
        <v>0</v>
      </c>
      <c r="O35" s="178">
        <f t="shared" si="32"/>
        <v>0</v>
      </c>
    </row>
    <row r="36" spans="2:15" x14ac:dyDescent="0.25">
      <c r="B36" s="190" t="s">
        <v>105</v>
      </c>
      <c r="C36" s="191">
        <f>'Proposed Fee'!N18</f>
        <v>83.485652273095312</v>
      </c>
      <c r="D36" s="192">
        <f>D35*D$3</f>
        <v>83.485652273095312</v>
      </c>
      <c r="E36" s="192">
        <f t="shared" ref="E36:H36" si="33">E35*E$3</f>
        <v>83.485652273095312</v>
      </c>
      <c r="F36" s="192">
        <f t="shared" si="33"/>
        <v>84.201729370209762</v>
      </c>
      <c r="G36" s="192">
        <f t="shared" si="33"/>
        <v>85.724138702933999</v>
      </c>
      <c r="H36" s="192">
        <f t="shared" si="33"/>
        <v>87.998262320912133</v>
      </c>
      <c r="J36" s="191"/>
      <c r="K36" s="192">
        <f>K35*K$3</f>
        <v>0</v>
      </c>
      <c r="L36" s="192">
        <f t="shared" ref="L36:O36" si="34">L35*L$3</f>
        <v>0</v>
      </c>
      <c r="M36" s="192">
        <f t="shared" si="34"/>
        <v>0</v>
      </c>
      <c r="N36" s="192">
        <f t="shared" si="34"/>
        <v>0</v>
      </c>
      <c r="O36" s="192">
        <f t="shared" si="34"/>
        <v>0</v>
      </c>
    </row>
    <row r="37" spans="2:15" x14ac:dyDescent="0.25">
      <c r="B37" s="190" t="s">
        <v>106</v>
      </c>
      <c r="C37" s="191">
        <f>'Proposed Fee'!O18</f>
        <v>28.736773072661986</v>
      </c>
      <c r="D37" s="192">
        <f>D35*D$4</f>
        <v>28.736773072661986</v>
      </c>
      <c r="E37" s="192">
        <f t="shared" ref="E37:H37" si="35">E35*E$4</f>
        <v>28.736773072661986</v>
      </c>
      <c r="F37" s="192">
        <f t="shared" si="35"/>
        <v>28.983255485891451</v>
      </c>
      <c r="G37" s="192">
        <f t="shared" si="35"/>
        <v>29.507287224603733</v>
      </c>
      <c r="H37" s="192">
        <f t="shared" si="35"/>
        <v>30.290068128503783</v>
      </c>
      <c r="J37" s="191"/>
      <c r="K37" s="192">
        <f>K35*K$4</f>
        <v>0</v>
      </c>
      <c r="L37" s="192">
        <f t="shared" ref="L37:O37" si="36">L35*L$4</f>
        <v>0</v>
      </c>
      <c r="M37" s="192">
        <f t="shared" si="36"/>
        <v>0</v>
      </c>
      <c r="N37" s="192">
        <f t="shared" si="36"/>
        <v>0</v>
      </c>
      <c r="O37" s="192">
        <f t="shared" si="36"/>
        <v>0</v>
      </c>
    </row>
    <row r="38" spans="2:15" x14ac:dyDescent="0.25">
      <c r="B38" s="190" t="s">
        <v>107</v>
      </c>
      <c r="C38" s="191">
        <f>'Proposed Fee'!P18</f>
        <v>18.480867317177548</v>
      </c>
      <c r="D38" s="192">
        <f>SUM(D35:D37)*D$5</f>
        <v>18.480867317177548</v>
      </c>
      <c r="E38" s="192">
        <f t="shared" ref="E38:H38" si="37">SUM(E35:E37)*E$5</f>
        <v>18.480867317177548</v>
      </c>
      <c r="F38" s="192">
        <f t="shared" si="37"/>
        <v>18.639382289035851</v>
      </c>
      <c r="G38" s="192">
        <f t="shared" si="37"/>
        <v>18.976391632730905</v>
      </c>
      <c r="H38" s="192">
        <f t="shared" si="37"/>
        <v>19.479804802567969</v>
      </c>
      <c r="J38" s="191"/>
      <c r="K38" s="192">
        <f>SUM(K35:K37)*K$5</f>
        <v>0</v>
      </c>
      <c r="L38" s="192">
        <f t="shared" ref="L38:O38" si="38">SUM(L35:L37)*L$5</f>
        <v>0</v>
      </c>
      <c r="M38" s="192">
        <f t="shared" si="38"/>
        <v>0</v>
      </c>
      <c r="N38" s="192">
        <f t="shared" si="38"/>
        <v>0</v>
      </c>
      <c r="O38" s="192">
        <f t="shared" si="38"/>
        <v>0</v>
      </c>
    </row>
    <row r="39" spans="2:15" x14ac:dyDescent="0.25">
      <c r="B39" s="195" t="s">
        <v>131</v>
      </c>
      <c r="C39" s="196">
        <f>'Proposed Fee'!Q18</f>
        <v>309.88527156154123</v>
      </c>
      <c r="D39" s="197">
        <f>SUM(D35:D38)</f>
        <v>309.88527156154129</v>
      </c>
      <c r="E39" s="197">
        <f t="shared" ref="E39:H39" si="39">SUM(E35:E38)</f>
        <v>309.88527156154129</v>
      </c>
      <c r="F39" s="197">
        <f t="shared" si="39"/>
        <v>312.54323421328451</v>
      </c>
      <c r="G39" s="197">
        <f t="shared" si="39"/>
        <v>318.1941720289924</v>
      </c>
      <c r="H39" s="197">
        <f t="shared" si="39"/>
        <v>326.63535198907016</v>
      </c>
      <c r="I39" s="165"/>
      <c r="J39" s="196"/>
      <c r="K39" s="197">
        <f>SUM(K35:K38)</f>
        <v>0</v>
      </c>
      <c r="L39" s="197">
        <f t="shared" ref="L39:O39" si="40">SUM(L35:L38)</f>
        <v>0</v>
      </c>
      <c r="M39" s="197">
        <f t="shared" si="40"/>
        <v>0</v>
      </c>
      <c r="N39" s="197">
        <f t="shared" si="40"/>
        <v>0</v>
      </c>
      <c r="O39" s="197">
        <f t="shared" si="40"/>
        <v>0</v>
      </c>
    </row>
    <row r="40" spans="2:15" x14ac:dyDescent="0.25">
      <c r="B40" s="198" t="s">
        <v>139</v>
      </c>
      <c r="C40" s="192"/>
      <c r="D40" s="199">
        <f>'Forecast Revenue - Costs'!D12</f>
        <v>75</v>
      </c>
      <c r="E40" s="199">
        <f>'Forecast Revenue - Costs'!E12</f>
        <v>75</v>
      </c>
      <c r="F40" s="199">
        <f>'Forecast Revenue - Costs'!F12</f>
        <v>75</v>
      </c>
      <c r="G40" s="199">
        <f>'Forecast Revenue - Costs'!G12</f>
        <v>75</v>
      </c>
      <c r="H40" s="199">
        <f>'Forecast Revenue - Costs'!H12</f>
        <v>75</v>
      </c>
      <c r="J40" s="192"/>
      <c r="K40" s="199"/>
      <c r="L40" s="199"/>
      <c r="M40" s="199"/>
      <c r="N40" s="199"/>
      <c r="O40" s="199"/>
    </row>
    <row r="41" spans="2:15" x14ac:dyDescent="0.25">
      <c r="B41" s="182" t="s">
        <v>132</v>
      </c>
      <c r="C41" s="180"/>
      <c r="D41" s="181">
        <f>D39*D40</f>
        <v>23241.395367115598</v>
      </c>
      <c r="E41" s="181">
        <f t="shared" ref="E41:H41" si="41">E39*E40</f>
        <v>23241.395367115598</v>
      </c>
      <c r="F41" s="181">
        <f t="shared" si="41"/>
        <v>23440.742565996337</v>
      </c>
      <c r="G41" s="181">
        <f t="shared" si="41"/>
        <v>23864.562902174432</v>
      </c>
      <c r="H41" s="181">
        <f t="shared" si="41"/>
        <v>24497.65139918026</v>
      </c>
      <c r="I41" s="165"/>
      <c r="J41" s="180"/>
      <c r="K41" s="181"/>
      <c r="L41" s="181"/>
      <c r="M41" s="181"/>
      <c r="N41" s="181"/>
      <c r="O41" s="181"/>
    </row>
  </sheetData>
  <mergeCells count="7">
    <mergeCell ref="K31:O31"/>
    <mergeCell ref="A9:A17"/>
    <mergeCell ref="K19:O19"/>
    <mergeCell ref="D6:H6"/>
    <mergeCell ref="J6:O6"/>
    <mergeCell ref="D7:H7"/>
    <mergeCell ref="J7:O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M16" sqref="M16"/>
    </sheetView>
  </sheetViews>
  <sheetFormatPr defaultColWidth="9.140625" defaultRowHeight="15" x14ac:dyDescent="0.25"/>
  <cols>
    <col min="1" max="1" width="3.28515625" style="132" customWidth="1"/>
    <col min="2" max="2" width="66.42578125" style="132" customWidth="1"/>
    <col min="3" max="3" width="65.140625" style="132" customWidth="1"/>
    <col min="4" max="4" width="11.85546875" style="132" customWidth="1"/>
    <col min="5" max="8" width="11.28515625" style="132" customWidth="1"/>
    <col min="9" max="9" width="12.7109375" style="132" customWidth="1"/>
    <col min="10" max="16384" width="9.140625" style="132"/>
  </cols>
  <sheetData>
    <row r="2" spans="2:9" x14ac:dyDescent="0.25">
      <c r="B2" s="130" t="s">
        <v>48</v>
      </c>
      <c r="C2" s="131"/>
      <c r="D2" s="131"/>
      <c r="E2" s="131"/>
      <c r="F2" s="131"/>
      <c r="G2" s="131"/>
      <c r="H2" s="131"/>
      <c r="I2" s="131"/>
    </row>
    <row r="3" spans="2:9" x14ac:dyDescent="0.25">
      <c r="B3" s="133"/>
      <c r="C3" s="133"/>
      <c r="D3" s="133"/>
      <c r="E3" s="133"/>
      <c r="F3" s="133"/>
      <c r="G3" s="133"/>
      <c r="H3" s="133"/>
      <c r="I3" s="133"/>
    </row>
    <row r="4" spans="2:9" x14ac:dyDescent="0.25">
      <c r="B4" s="255" t="s">
        <v>74</v>
      </c>
      <c r="C4" s="255" t="s">
        <v>3</v>
      </c>
      <c r="D4" s="256" t="s">
        <v>56</v>
      </c>
      <c r="E4" s="256" t="s">
        <v>57</v>
      </c>
      <c r="F4" s="256" t="s">
        <v>58</v>
      </c>
      <c r="G4" s="256" t="s">
        <v>78</v>
      </c>
      <c r="H4" s="256" t="s">
        <v>59</v>
      </c>
      <c r="I4" s="257" t="s">
        <v>1</v>
      </c>
    </row>
    <row r="5" spans="2:9" x14ac:dyDescent="0.25">
      <c r="B5" s="134" t="s">
        <v>80</v>
      </c>
      <c r="C5" s="4" t="s">
        <v>137</v>
      </c>
      <c r="D5" s="136">
        <f>'Forecast by year'!D29</f>
        <v>23241.395367115598</v>
      </c>
      <c r="E5" s="136">
        <f>'Forecast by year'!E29</f>
        <v>23241.395367115598</v>
      </c>
      <c r="F5" s="136">
        <f>'Forecast by year'!F29</f>
        <v>23440.742565996337</v>
      </c>
      <c r="G5" s="136">
        <f>'Forecast by year'!G29</f>
        <v>23864.562902174432</v>
      </c>
      <c r="H5" s="136">
        <f>'Forecast by year'!H29</f>
        <v>24497.65139918026</v>
      </c>
      <c r="I5" s="261">
        <f>SUM(D5:H5)</f>
        <v>118285.74760158223</v>
      </c>
    </row>
    <row r="6" spans="2:9" x14ac:dyDescent="0.25">
      <c r="B6" s="135"/>
      <c r="C6" s="4" t="s">
        <v>138</v>
      </c>
      <c r="D6" s="136">
        <f>'Forecast by year'!D41</f>
        <v>23241.395367115598</v>
      </c>
      <c r="E6" s="136">
        <f>'Forecast by year'!E41</f>
        <v>23241.395367115598</v>
      </c>
      <c r="F6" s="136">
        <f>'Forecast by year'!F41</f>
        <v>23440.742565996337</v>
      </c>
      <c r="G6" s="136">
        <f>'Forecast by year'!G41</f>
        <v>23864.562902174432</v>
      </c>
      <c r="H6" s="136">
        <f>'Forecast by year'!H41</f>
        <v>24497.65139918026</v>
      </c>
      <c r="I6" s="261">
        <f t="shared" ref="I6" si="0">SUM(D6:H6)</f>
        <v>118285.74760158223</v>
      </c>
    </row>
    <row r="7" spans="2:9" x14ac:dyDescent="0.25">
      <c r="B7" s="259" t="s">
        <v>1</v>
      </c>
      <c r="C7" s="259"/>
      <c r="D7" s="262">
        <f>SUM(D5:D6)</f>
        <v>46482.790734231196</v>
      </c>
      <c r="E7" s="262">
        <f>SUM(E5:E6)</f>
        <v>46482.790734231196</v>
      </c>
      <c r="F7" s="262">
        <f>SUM(F5:F6)</f>
        <v>46881.485131992675</v>
      </c>
      <c r="G7" s="262">
        <f>SUM(G5:G6)</f>
        <v>47729.125804348863</v>
      </c>
      <c r="H7" s="262">
        <f>SUM(H5:H6)</f>
        <v>48995.302798360521</v>
      </c>
      <c r="I7" s="262">
        <f>SUM(I5:I6)</f>
        <v>236571.49520316446</v>
      </c>
    </row>
    <row r="8" spans="2:9" x14ac:dyDescent="0.25">
      <c r="B8" s="133"/>
      <c r="C8" s="133"/>
      <c r="D8" s="133"/>
      <c r="E8" s="133"/>
      <c r="F8" s="133"/>
      <c r="G8" s="133"/>
      <c r="H8" s="133"/>
      <c r="I8" s="133"/>
    </row>
    <row r="9" spans="2:9" x14ac:dyDescent="0.25">
      <c r="B9" s="130" t="s">
        <v>27</v>
      </c>
      <c r="C9" s="131"/>
      <c r="D9" s="131"/>
      <c r="E9" s="131"/>
      <c r="F9" s="131"/>
      <c r="G9" s="131"/>
      <c r="H9" s="131"/>
      <c r="I9" s="131"/>
    </row>
    <row r="10" spans="2:9" x14ac:dyDescent="0.25">
      <c r="B10" s="255" t="s">
        <v>74</v>
      </c>
      <c r="C10" s="255" t="s">
        <v>3</v>
      </c>
      <c r="D10" s="256" t="s">
        <v>56</v>
      </c>
      <c r="E10" s="256" t="s">
        <v>57</v>
      </c>
      <c r="F10" s="256" t="s">
        <v>58</v>
      </c>
      <c r="G10" s="256" t="s">
        <v>78</v>
      </c>
      <c r="H10" s="256" t="s">
        <v>59</v>
      </c>
      <c r="I10" s="257" t="s">
        <v>1</v>
      </c>
    </row>
    <row r="11" spans="2:9" x14ac:dyDescent="0.25">
      <c r="B11" s="134" t="s">
        <v>80</v>
      </c>
      <c r="C11" s="4" t="s">
        <v>137</v>
      </c>
      <c r="D11" s="210">
        <v>75</v>
      </c>
      <c r="E11" s="210">
        <v>75</v>
      </c>
      <c r="F11" s="210">
        <v>75</v>
      </c>
      <c r="G11" s="210">
        <v>75</v>
      </c>
      <c r="H11" s="210">
        <v>75</v>
      </c>
      <c r="I11" s="258">
        <f>SUM(D11:H11)</f>
        <v>375</v>
      </c>
    </row>
    <row r="12" spans="2:9" x14ac:dyDescent="0.25">
      <c r="B12" s="135"/>
      <c r="C12" s="4" t="s">
        <v>138</v>
      </c>
      <c r="D12" s="210">
        <v>75</v>
      </c>
      <c r="E12" s="210">
        <v>75</v>
      </c>
      <c r="F12" s="210">
        <v>75</v>
      </c>
      <c r="G12" s="210">
        <v>75</v>
      </c>
      <c r="H12" s="210">
        <v>75</v>
      </c>
      <c r="I12" s="258">
        <f t="shared" ref="I12" si="1">SUM(D12:H12)</f>
        <v>375</v>
      </c>
    </row>
    <row r="13" spans="2:9" x14ac:dyDescent="0.25">
      <c r="B13" s="259" t="s">
        <v>17</v>
      </c>
      <c r="C13" s="259"/>
      <c r="D13" s="260">
        <f>SUM(D11:D12)</f>
        <v>150</v>
      </c>
      <c r="E13" s="260">
        <f>SUM(E11:E12)</f>
        <v>150</v>
      </c>
      <c r="F13" s="260">
        <f>SUM(F11:F12)</f>
        <v>150</v>
      </c>
      <c r="G13" s="260">
        <f>SUM(G11:G12)</f>
        <v>150</v>
      </c>
      <c r="H13" s="260">
        <f>SUM(H11:H12)</f>
        <v>150</v>
      </c>
      <c r="I13" s="260">
        <f>SUM(I11:I12)</f>
        <v>750</v>
      </c>
    </row>
    <row r="14" spans="2:9" x14ac:dyDescent="0.25">
      <c r="B14" s="133"/>
      <c r="C14" s="133"/>
      <c r="D14" s="137"/>
      <c r="E14" s="137"/>
      <c r="F14" s="137"/>
      <c r="G14" s="137"/>
      <c r="H14" s="137"/>
      <c r="I14" s="137"/>
    </row>
    <row r="15" spans="2:9" x14ac:dyDescent="0.25">
      <c r="B15" s="138" t="s">
        <v>6</v>
      </c>
      <c r="C15" s="133"/>
      <c r="D15" s="137"/>
      <c r="E15" s="137"/>
      <c r="F15" s="137"/>
      <c r="G15" s="137"/>
      <c r="H15" s="137"/>
      <c r="I15" s="137"/>
    </row>
    <row r="16" spans="2:9" x14ac:dyDescent="0.25">
      <c r="B16" s="251"/>
      <c r="C16" s="251"/>
      <c r="D16" s="251"/>
      <c r="E16" s="251"/>
      <c r="F16" s="251"/>
      <c r="G16" s="251"/>
      <c r="H16" s="251"/>
      <c r="I16" s="251"/>
    </row>
    <row r="17" spans="2:9" x14ac:dyDescent="0.25">
      <c r="B17" s="252"/>
      <c r="C17" s="252"/>
      <c r="D17" s="252"/>
      <c r="E17" s="252"/>
      <c r="F17" s="252"/>
      <c r="G17" s="252"/>
      <c r="H17" s="252"/>
      <c r="I17" s="252"/>
    </row>
    <row r="18" spans="2:9" x14ac:dyDescent="0.25">
      <c r="B18" s="133"/>
      <c r="C18" s="133"/>
      <c r="D18" s="137"/>
      <c r="E18" s="137"/>
      <c r="F18" s="137"/>
      <c r="G18" s="137"/>
      <c r="H18" s="137"/>
      <c r="I18" s="137"/>
    </row>
    <row r="19" spans="2:9" x14ac:dyDescent="0.25">
      <c r="B19" s="130" t="s">
        <v>28</v>
      </c>
      <c r="C19" s="131"/>
      <c r="D19" s="131"/>
      <c r="E19" s="131"/>
      <c r="F19" s="131"/>
      <c r="G19" s="131"/>
      <c r="H19" s="131"/>
      <c r="I19" s="131"/>
    </row>
    <row r="20" spans="2:9" x14ac:dyDescent="0.25">
      <c r="B20" s="139" t="s">
        <v>26</v>
      </c>
      <c r="C20" s="140"/>
      <c r="D20" s="140"/>
      <c r="E20" s="140"/>
      <c r="F20" s="140"/>
      <c r="G20" s="140"/>
      <c r="H20" s="140"/>
      <c r="I20" s="140"/>
    </row>
    <row r="21" spans="2:9" x14ac:dyDescent="0.25">
      <c r="B21" s="253" t="s">
        <v>29</v>
      </c>
      <c r="C21" s="253"/>
      <c r="D21" s="253"/>
      <c r="E21" s="253"/>
      <c r="F21" s="253"/>
      <c r="G21" s="253"/>
      <c r="H21" s="253"/>
      <c r="I21" s="253"/>
    </row>
    <row r="22" spans="2:9" x14ac:dyDescent="0.25">
      <c r="B22" s="254"/>
      <c r="C22" s="254"/>
      <c r="D22" s="254"/>
      <c r="E22" s="254"/>
      <c r="F22" s="254"/>
      <c r="G22" s="254"/>
      <c r="H22" s="254"/>
      <c r="I22" s="254"/>
    </row>
    <row r="23" spans="2:9" x14ac:dyDescent="0.25">
      <c r="B23" s="141"/>
      <c r="C23" s="142"/>
      <c r="D23" s="142"/>
      <c r="E23" s="142"/>
      <c r="F23" s="142"/>
      <c r="G23" s="142"/>
      <c r="H23" s="142"/>
      <c r="I23" s="142"/>
    </row>
    <row r="24" spans="2:9" x14ac:dyDescent="0.25">
      <c r="B24" s="133"/>
      <c r="C24" s="133"/>
      <c r="D24" s="133"/>
      <c r="E24" s="133"/>
      <c r="F24" s="133"/>
      <c r="G24" s="133"/>
      <c r="H24" s="133"/>
      <c r="I24" s="133"/>
    </row>
    <row r="25" spans="2:9" customFormat="1" x14ac:dyDescent="0.25">
      <c r="B25" s="163" t="s">
        <v>47</v>
      </c>
      <c r="C25" s="28"/>
      <c r="D25" s="28"/>
      <c r="E25" s="28"/>
      <c r="F25" s="28"/>
      <c r="G25" s="28"/>
      <c r="H25" s="28"/>
      <c r="I25" s="28"/>
    </row>
    <row r="26" spans="2:9" customFormat="1" x14ac:dyDescent="0.25">
      <c r="B26" s="2" t="s">
        <v>20</v>
      </c>
      <c r="C26" s="18" t="s">
        <v>3</v>
      </c>
      <c r="D26" s="57" t="s">
        <v>56</v>
      </c>
      <c r="E26" s="57" t="s">
        <v>57</v>
      </c>
      <c r="F26" s="57" t="s">
        <v>58</v>
      </c>
      <c r="G26" s="57" t="s">
        <v>78</v>
      </c>
      <c r="H26" s="57" t="s">
        <v>59</v>
      </c>
      <c r="I26" s="19" t="s">
        <v>1</v>
      </c>
    </row>
    <row r="27" spans="2:9" customFormat="1" x14ac:dyDescent="0.25">
      <c r="B27" s="164" t="s">
        <v>108</v>
      </c>
      <c r="C27" s="4" t="s">
        <v>109</v>
      </c>
      <c r="D27" s="64">
        <f>'Forecast by year'!D9</f>
        <v>20957.565948287065</v>
      </c>
      <c r="E27" s="64">
        <f>'Forecast by year'!E9</f>
        <v>10478.782974143533</v>
      </c>
      <c r="F27" s="64">
        <f>'Forecast by year'!F9</f>
        <v>10594.049586859112</v>
      </c>
      <c r="G27" s="64">
        <f>'Forecast by year'!G9</f>
        <v>10839.111141902336</v>
      </c>
      <c r="H27" s="64">
        <f>'Forecast by year'!H9</f>
        <v>11205.175812029522</v>
      </c>
      <c r="I27" s="144">
        <f>SUM(D27:H27)</f>
        <v>64074.685463221562</v>
      </c>
    </row>
    <row r="28" spans="2:9" customFormat="1" x14ac:dyDescent="0.25">
      <c r="B28" s="164" t="s">
        <v>110</v>
      </c>
      <c r="C28" s="9"/>
      <c r="D28" s="64">
        <f>'Forecast by year'!D10</f>
        <v>5919.7308865038949</v>
      </c>
      <c r="E28" s="64">
        <f>'Forecast by year'!E10</f>
        <v>5919.7308865038949</v>
      </c>
      <c r="F28" s="64">
        <f>'Forecast by year'!F10</f>
        <v>5919.7308865038949</v>
      </c>
      <c r="G28" s="64">
        <f>'Forecast by year'!G10</f>
        <v>5919.7308865038949</v>
      </c>
      <c r="H28" s="64">
        <f>'Forecast by year'!H10</f>
        <v>5919.7308865038949</v>
      </c>
      <c r="I28" s="144">
        <f t="shared" ref="I28:I33" si="2">SUM(D28:H28)</f>
        <v>29598.654432519474</v>
      </c>
    </row>
    <row r="29" spans="2:9" customFormat="1" x14ac:dyDescent="0.25">
      <c r="B29" s="164" t="s">
        <v>111</v>
      </c>
      <c r="C29" s="4"/>
      <c r="D29" s="64">
        <f>'Forecast by year'!D11</f>
        <v>0</v>
      </c>
      <c r="E29" s="64">
        <f>'Forecast by year'!E11</f>
        <v>0</v>
      </c>
      <c r="F29" s="64">
        <f>'Forecast by year'!F11</f>
        <v>0</v>
      </c>
      <c r="G29" s="64">
        <f>'Forecast by year'!G11</f>
        <v>0</v>
      </c>
      <c r="H29" s="64">
        <f>'Forecast by year'!H11</f>
        <v>0</v>
      </c>
      <c r="I29" s="144">
        <f t="shared" si="2"/>
        <v>0</v>
      </c>
    </row>
    <row r="30" spans="2:9" s="165" customFormat="1" x14ac:dyDescent="0.25">
      <c r="B30" s="166" t="s">
        <v>112</v>
      </c>
      <c r="C30" s="167"/>
      <c r="D30" s="168">
        <f>'Forecast by year'!D12</f>
        <v>26877.296834790963</v>
      </c>
      <c r="E30" s="168">
        <f>'Forecast by year'!E12</f>
        <v>26877.296834790963</v>
      </c>
      <c r="F30" s="168">
        <f>'Forecast by year'!F12</f>
        <v>27107.830060222121</v>
      </c>
      <c r="G30" s="168">
        <f>'Forecast by year'!G12</f>
        <v>27597.953170308567</v>
      </c>
      <c r="H30" s="168">
        <f>'Forecast by year'!H12</f>
        <v>28330.082510562941</v>
      </c>
      <c r="I30" s="144">
        <f t="shared" si="2"/>
        <v>136790.45941067557</v>
      </c>
    </row>
    <row r="31" spans="2:9" customFormat="1" x14ac:dyDescent="0.25">
      <c r="B31" s="5" t="s">
        <v>105</v>
      </c>
      <c r="C31" s="4"/>
      <c r="D31" s="64">
        <f>'Forecast by year'!D13</f>
        <v>12522.847840964298</v>
      </c>
      <c r="E31" s="64">
        <f>'Forecast by year'!E13</f>
        <v>12522.847840964298</v>
      </c>
      <c r="F31" s="64">
        <f>'Forecast by year'!F13</f>
        <v>12630.259405531464</v>
      </c>
      <c r="G31" s="64">
        <f>'Forecast by year'!G13</f>
        <v>12858.6208054401</v>
      </c>
      <c r="H31" s="64">
        <f>'Forecast by year'!H13</f>
        <v>13199.73934813682</v>
      </c>
      <c r="I31" s="144">
        <f t="shared" si="2"/>
        <v>63734.31524103698</v>
      </c>
    </row>
    <row r="32" spans="2:9" customFormat="1" x14ac:dyDescent="0.25">
      <c r="B32" s="5" t="s">
        <v>106</v>
      </c>
      <c r="C32" s="4"/>
      <c r="D32" s="64">
        <f>'Forecast by year'!D14</f>
        <v>4310.5159608992981</v>
      </c>
      <c r="E32" s="64">
        <f>'Forecast by year'!E14</f>
        <v>4310.5159608992981</v>
      </c>
      <c r="F32" s="64">
        <f>'Forecast by year'!F14</f>
        <v>4347.488322883718</v>
      </c>
      <c r="G32" s="64">
        <f>'Forecast by year'!G14</f>
        <v>4426.09308369056</v>
      </c>
      <c r="H32" s="64">
        <f>'Forecast by year'!H14</f>
        <v>4543.5102192755676</v>
      </c>
      <c r="I32" s="144">
        <f t="shared" si="2"/>
        <v>21938.123547648443</v>
      </c>
    </row>
    <row r="33" spans="2:9" customFormat="1" x14ac:dyDescent="0.25">
      <c r="B33" s="5" t="s">
        <v>113</v>
      </c>
      <c r="C33" s="169"/>
      <c r="D33" s="64">
        <f>'Forecast by year'!D15</f>
        <v>2772.1300975766321</v>
      </c>
      <c r="E33" s="64">
        <f>'Forecast by year'!E15</f>
        <v>2772.1300975766321</v>
      </c>
      <c r="F33" s="64">
        <f>'Forecast by year'!F15</f>
        <v>2795.9073433553776</v>
      </c>
      <c r="G33" s="64">
        <f>'Forecast by year'!G15</f>
        <v>2846.4587449096357</v>
      </c>
      <c r="H33" s="64">
        <f>'Forecast by year'!H15</f>
        <v>2921.9707203851954</v>
      </c>
      <c r="I33" s="144">
        <f t="shared" si="2"/>
        <v>14108.597003803474</v>
      </c>
    </row>
    <row r="34" spans="2:9" customFormat="1" x14ac:dyDescent="0.25">
      <c r="B34" s="170" t="s">
        <v>1</v>
      </c>
      <c r="C34" s="20"/>
      <c r="D34" s="21">
        <f>SUM(D30:D33)</f>
        <v>46482.790734231196</v>
      </c>
      <c r="E34" s="21">
        <f t="shared" ref="E34:I34" si="3">SUM(E30:E33)</f>
        <v>46482.790734231196</v>
      </c>
      <c r="F34" s="21">
        <f t="shared" si="3"/>
        <v>46881.485131992682</v>
      </c>
      <c r="G34" s="21">
        <f t="shared" si="3"/>
        <v>47729.125804348863</v>
      </c>
      <c r="H34" s="21">
        <f t="shared" si="3"/>
        <v>48995.302798360521</v>
      </c>
      <c r="I34" s="21">
        <f t="shared" si="3"/>
        <v>236571.49520316446</v>
      </c>
    </row>
  </sheetData>
  <mergeCells count="2">
    <mergeCell ref="B16:I17"/>
    <mergeCell ref="B21:I2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2018-04-18T01:48:43Z</dcterms:modified>
</cp:coreProperties>
</file>