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8_Network Safety Services\"/>
    </mc:Choice>
  </mc:AlternateContent>
  <xr:revisionPtr revIDLastSave="0" documentId="13_ncr:1_{D1B03A20-BFD6-4E31-9661-C25415850C20}"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Proposed price" sheetId="11" r:id="rId4"/>
    <sheet name="Historical Revenue" sheetId="13" r:id="rId5"/>
    <sheet name="Forecasts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I15" i="13" l="1"/>
  <c r="I16" i="13" s="1"/>
  <c r="E16" i="13"/>
  <c r="F16" i="13"/>
  <c r="G16" i="13"/>
  <c r="H16" i="13"/>
  <c r="D16" i="13"/>
  <c r="I14" i="15"/>
  <c r="H5" i="17" l="1"/>
  <c r="G5" i="17"/>
  <c r="F5" i="17"/>
  <c r="E5" i="17"/>
  <c r="D5" i="17"/>
  <c r="H2" i="17"/>
  <c r="G2" i="17"/>
  <c r="F2" i="17"/>
  <c r="E2" i="17"/>
  <c r="D2" i="17"/>
  <c r="H1" i="17"/>
  <c r="G1" i="17"/>
  <c r="F1" i="17"/>
  <c r="E1" i="17"/>
  <c r="D1" i="17"/>
  <c r="I7" i="11"/>
  <c r="H7" i="11"/>
  <c r="D56" i="8" l="1"/>
  <c r="E56" i="8"/>
  <c r="F56" i="8"/>
  <c r="G56" i="8"/>
  <c r="C56" i="8"/>
  <c r="I13" i="16"/>
  <c r="E27" i="17" l="1"/>
  <c r="F27" i="17"/>
  <c r="G27" i="17"/>
  <c r="H27" i="17"/>
  <c r="D27" i="17"/>
  <c r="K21" i="17"/>
  <c r="L21" i="17" s="1"/>
  <c r="M21" i="17" s="1"/>
  <c r="N21" i="17" s="1"/>
  <c r="O21" i="17" s="1"/>
  <c r="K20" i="17"/>
  <c r="L20" i="17" s="1"/>
  <c r="M20" i="17" s="1"/>
  <c r="N20" i="17" s="1"/>
  <c r="O20" i="17" s="1"/>
  <c r="N5" i="17"/>
  <c r="M1" i="17"/>
  <c r="O1" i="17"/>
  <c r="N1" i="17"/>
  <c r="L1" i="17"/>
  <c r="K1" i="17"/>
  <c r="G8" i="11"/>
  <c r="H8" i="11"/>
  <c r="C19" i="17" s="1"/>
  <c r="D19" i="17" s="1"/>
  <c r="I8" i="11"/>
  <c r="C20" i="17" s="1"/>
  <c r="D20" i="17" s="1"/>
  <c r="E20" i="17" s="1"/>
  <c r="J8" i="11"/>
  <c r="C21" i="17" s="1"/>
  <c r="D21" i="17" s="1"/>
  <c r="E21" i="17" s="1"/>
  <c r="E10" i="17" s="1"/>
  <c r="E30" i="16" s="1"/>
  <c r="K8" i="11"/>
  <c r="L8" i="11"/>
  <c r="F8" i="11"/>
  <c r="M7" i="11"/>
  <c r="E9" i="17" l="1"/>
  <c r="E29" i="16" s="1"/>
  <c r="M8" i="11"/>
  <c r="C22" i="17" s="1"/>
  <c r="D10" i="17"/>
  <c r="D30" i="16" s="1"/>
  <c r="D9" i="17"/>
  <c r="D29" i="16" s="1"/>
  <c r="D22" i="17"/>
  <c r="D11" i="17" s="1"/>
  <c r="D31" i="16" s="1"/>
  <c r="C40" i="8" s="1"/>
  <c r="D8" i="17"/>
  <c r="D28" i="16" s="1"/>
  <c r="K19" i="17"/>
  <c r="F20" i="17"/>
  <c r="F9" i="17" s="1"/>
  <c r="F29" i="16" s="1"/>
  <c r="F21" i="17"/>
  <c r="F10" i="17" s="1"/>
  <c r="F30" i="16" s="1"/>
  <c r="O5" i="17"/>
  <c r="K5" i="17"/>
  <c r="E19" i="17"/>
  <c r="E8" i="17" s="1"/>
  <c r="E28" i="16" s="1"/>
  <c r="M5" i="17"/>
  <c r="L5" i="17"/>
  <c r="H5" i="15"/>
  <c r="I5" i="15" s="1"/>
  <c r="H6" i="15"/>
  <c r="I6" i="15" s="1"/>
  <c r="H7" i="15"/>
  <c r="I7" i="15" s="1"/>
  <c r="H8" i="15"/>
  <c r="I8" i="15" s="1"/>
  <c r="H4" i="15"/>
  <c r="I4" i="15" s="1"/>
  <c r="H6" i="13"/>
  <c r="H10" i="13" s="1"/>
  <c r="G10" i="13"/>
  <c r="I13" i="15"/>
  <c r="G15" i="15"/>
  <c r="H15" i="15"/>
  <c r="G9" i="15"/>
  <c r="I6" i="13" l="1"/>
  <c r="H9" i="15"/>
  <c r="L19" i="17"/>
  <c r="K22" i="17"/>
  <c r="G20" i="17"/>
  <c r="G9" i="17" s="1"/>
  <c r="G29" i="16" s="1"/>
  <c r="F19" i="17"/>
  <c r="F8" i="17" s="1"/>
  <c r="F28" i="16" s="1"/>
  <c r="E22" i="17"/>
  <c r="E11" i="17" s="1"/>
  <c r="E31" i="16" s="1"/>
  <c r="D40" i="8" s="1"/>
  <c r="G21" i="17"/>
  <c r="G10" i="17" s="1"/>
  <c r="G30" i="16" s="1"/>
  <c r="F14" i="13"/>
  <c r="L22" i="17" l="1"/>
  <c r="M19" i="17"/>
  <c r="H21" i="17"/>
  <c r="H10" i="17" s="1"/>
  <c r="H30" i="16" s="1"/>
  <c r="I30" i="16" s="1"/>
  <c r="H20" i="17"/>
  <c r="H9" i="17" s="1"/>
  <c r="H29" i="16" s="1"/>
  <c r="I29" i="16" s="1"/>
  <c r="G19" i="17"/>
  <c r="G8" i="17" s="1"/>
  <c r="G28" i="16" s="1"/>
  <c r="F22" i="17"/>
  <c r="F11" i="17" s="1"/>
  <c r="F31" i="16" s="1"/>
  <c r="E40" i="8" s="1"/>
  <c r="I11" i="16"/>
  <c r="G12" i="16"/>
  <c r="E9" i="15"/>
  <c r="F9" i="15"/>
  <c r="D9" i="15"/>
  <c r="M22" i="17" l="1"/>
  <c r="N19" i="17"/>
  <c r="G22" i="17"/>
  <c r="G11" i="17" s="1"/>
  <c r="G31" i="16" s="1"/>
  <c r="F40" i="8" s="1"/>
  <c r="H19" i="17"/>
  <c r="H8" i="17" s="1"/>
  <c r="H28" i="16" s="1"/>
  <c r="I28" i="16" s="1"/>
  <c r="N22" i="17" l="1"/>
  <c r="O19" i="17"/>
  <c r="O22" i="17" s="1"/>
  <c r="H22" i="17"/>
  <c r="H11" i="17" s="1"/>
  <c r="H31" i="16" s="1"/>
  <c r="G40" i="8" s="1"/>
  <c r="D14" i="13"/>
  <c r="E14" i="13"/>
  <c r="I14" i="13" l="1"/>
  <c r="I31" i="16"/>
  <c r="H12" i="16"/>
  <c r="F15" i="15" l="1"/>
  <c r="E15" i="15"/>
  <c r="D15" i="15"/>
  <c r="I15" i="15" l="1"/>
  <c r="F12" i="16"/>
  <c r="E12" i="16"/>
  <c r="D12" i="16"/>
  <c r="C5" i="16"/>
  <c r="F10" i="13"/>
  <c r="I9" i="13"/>
  <c r="I8" i="13"/>
  <c r="I7" i="13"/>
  <c r="E10" i="13"/>
  <c r="D10" i="13"/>
  <c r="H56" i="8" l="1"/>
  <c r="I12" i="16"/>
  <c r="I10" i="13"/>
  <c r="I9" i="15" l="1"/>
  <c r="D3" i="9" l="1"/>
  <c r="H40" i="8" l="1"/>
  <c r="H4" i="17" l="1"/>
  <c r="D4" i="17"/>
  <c r="G4" i="17"/>
  <c r="O7" i="11"/>
  <c r="O8" i="11" s="1"/>
  <c r="C24" i="17" s="1"/>
  <c r="F4" i="17"/>
  <c r="E4" i="17"/>
  <c r="M4" i="17" l="1"/>
  <c r="M24" i="17" s="1"/>
  <c r="F24" i="17"/>
  <c r="F13" i="17" s="1"/>
  <c r="F33" i="16" s="1"/>
  <c r="N4" i="17"/>
  <c r="N24" i="17" s="1"/>
  <c r="G24" i="17"/>
  <c r="G13" i="17" s="1"/>
  <c r="G33" i="16" s="1"/>
  <c r="O4" i="17"/>
  <c r="O24" i="17" s="1"/>
  <c r="H24" i="17"/>
  <c r="H13" i="17" s="1"/>
  <c r="H33" i="16" s="1"/>
  <c r="L4" i="17"/>
  <c r="L24" i="17" s="1"/>
  <c r="E24" i="17"/>
  <c r="E13" i="17" s="1"/>
  <c r="E33" i="16" s="1"/>
  <c r="K4" i="17"/>
  <c r="K24" i="17" s="1"/>
  <c r="D24" i="17"/>
  <c r="D13" i="17" s="1"/>
  <c r="D33" i="16" s="1"/>
  <c r="I33" i="16" l="1"/>
  <c r="E3" i="17" l="1"/>
  <c r="H3" i="17"/>
  <c r="D3" i="17"/>
  <c r="G3" i="17"/>
  <c r="N7" i="11"/>
  <c r="F3" i="17"/>
  <c r="N3" i="17" l="1"/>
  <c r="N23" i="17" s="1"/>
  <c r="N25" i="17" s="1"/>
  <c r="N26" i="17" s="1"/>
  <c r="G23" i="17"/>
  <c r="K3" i="17"/>
  <c r="K23" i="17" s="1"/>
  <c r="K25" i="17" s="1"/>
  <c r="K26" i="17" s="1"/>
  <c r="D23" i="17"/>
  <c r="F23" i="17"/>
  <c r="M3" i="17"/>
  <c r="M23" i="17" s="1"/>
  <c r="M25" i="17" s="1"/>
  <c r="M26" i="17" s="1"/>
  <c r="O3" i="17"/>
  <c r="O23" i="17" s="1"/>
  <c r="O25" i="17" s="1"/>
  <c r="O26" i="17" s="1"/>
  <c r="H23" i="17"/>
  <c r="P7" i="11"/>
  <c r="P8" i="11" s="1"/>
  <c r="C25" i="17" s="1"/>
  <c r="N8" i="11"/>
  <c r="C23" i="17" s="1"/>
  <c r="Q7" i="11"/>
  <c r="Q8" i="11" s="1"/>
  <c r="L3" i="17"/>
  <c r="L23" i="17" s="1"/>
  <c r="L25" i="17" s="1"/>
  <c r="L26" i="17" s="1"/>
  <c r="E23" i="17"/>
  <c r="H25" i="17" l="1"/>
  <c r="H14" i="17" s="1"/>
  <c r="H34" i="16" s="1"/>
  <c r="H12" i="17"/>
  <c r="H32" i="16" s="1"/>
  <c r="H26" i="17"/>
  <c r="D25" i="17"/>
  <c r="D14" i="17" s="1"/>
  <c r="D34" i="16" s="1"/>
  <c r="D12" i="17"/>
  <c r="D32" i="16" s="1"/>
  <c r="C26" i="17"/>
  <c r="D7" i="8"/>
  <c r="G12" i="17"/>
  <c r="G32" i="16" s="1"/>
  <c r="G25" i="17"/>
  <c r="G14" i="17" s="1"/>
  <c r="G34" i="16" s="1"/>
  <c r="E25" i="17"/>
  <c r="E14" i="17" s="1"/>
  <c r="E34" i="16" s="1"/>
  <c r="E12" i="17"/>
  <c r="E32" i="16" s="1"/>
  <c r="F25" i="17"/>
  <c r="F14" i="17" s="1"/>
  <c r="F34" i="16" s="1"/>
  <c r="F12" i="17"/>
  <c r="F32" i="16" s="1"/>
  <c r="G35" i="16" l="1"/>
  <c r="D26" i="17"/>
  <c r="F35" i="16"/>
  <c r="G26" i="17"/>
  <c r="G28" i="17" s="1"/>
  <c r="F42" i="8"/>
  <c r="F44" i="8" s="1"/>
  <c r="E42" i="8"/>
  <c r="E44" i="8" s="1"/>
  <c r="D35" i="16"/>
  <c r="I34" i="16"/>
  <c r="H28" i="17"/>
  <c r="H15" i="17"/>
  <c r="E26" i="17"/>
  <c r="D15" i="17"/>
  <c r="D28" i="17"/>
  <c r="H35" i="16"/>
  <c r="G42" i="8"/>
  <c r="G44" i="8" s="1"/>
  <c r="F26" i="17"/>
  <c r="E35" i="16"/>
  <c r="D42" i="8"/>
  <c r="D44" i="8" s="1"/>
  <c r="I32" i="16"/>
  <c r="C42" i="8"/>
  <c r="G15" i="17" l="1"/>
  <c r="I35" i="16"/>
  <c r="C44" i="8"/>
  <c r="H42" i="8"/>
  <c r="H44" i="8" s="1"/>
  <c r="F15" i="17"/>
  <c r="F28" i="17"/>
  <c r="E15" i="17"/>
  <c r="E28" i="17"/>
  <c r="G16" i="17"/>
  <c r="G5" i="16"/>
  <c r="G6" i="16" s="1"/>
  <c r="D16" i="17"/>
  <c r="D5" i="16"/>
  <c r="H5" i="16"/>
  <c r="H6" i="16" s="1"/>
  <c r="H16" i="17"/>
  <c r="F16" i="17" l="1"/>
  <c r="F5" i="16"/>
  <c r="F6" i="16" s="1"/>
  <c r="D6" i="16"/>
  <c r="E5" i="16"/>
  <c r="E6" i="16" s="1"/>
  <c r="E16" i="17"/>
  <c r="I5" i="16" l="1"/>
  <c r="I6" i="16" s="1"/>
</calcChain>
</file>

<file path=xl/sharedStrings.xml><?xml version="1.0" encoding="utf-8"?>
<sst xmlns="http://schemas.openxmlformats.org/spreadsheetml/2006/main" count="226" uniqueCount="146">
  <si>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</si>
  <si>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</si>
  <si>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</si>
  <si>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</si>
  <si>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</si>
  <si>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</si>
  <si>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</si>
  <si>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</si>
  <si>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</si>
  <si>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</si>
  <si>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</si>
  <si>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</si>
  <si>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</si>
  <si>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</si>
  <si>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</si>
  <si>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</si>
  <si>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</si>
  <si>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</si>
  <si>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</si>
  <si>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</si>
  <si>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</si>
  <si>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</si>
  <si>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</si>
  <si>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</si>
  <si>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</si>
  <si>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</si>
  <si>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</si>
  <si>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</si>
  <si>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</si>
  <si>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</si>
  <si>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</si>
  <si>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</si>
  <si>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</si>
  <si>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</si>
  <si>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</si>
  <si>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</si>
  <si>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</si>
  <si>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</si>
  <si>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</si>
  <si>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</si>
  <si>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</si>
  <si>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</si>
  <si>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</si>
  <si>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</si>
  <si>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</si>
  <si>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</si>
  <si>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</si>
  <si>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</si>
  <si>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</si>
  <si>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Alternative Control Service - Botom Up Estimation</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</si>
  <si>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</si>
  <si>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</si>
  <si>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</si>
  <si>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</si>
  <si>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Network Service:</t>
  </si>
  <si>
    <t>FY16/17</t>
  </si>
  <si>
    <t>FY15/16</t>
  </si>
  <si>
    <t>FY14/15</t>
  </si>
  <si>
    <t>FY19/20</t>
  </si>
  <si>
    <t>FY20/21</t>
  </si>
  <si>
    <t>FY21/22</t>
  </si>
  <si>
    <t>FY23/24</t>
  </si>
  <si>
    <t>Time on Task (Hours)</t>
  </si>
  <si>
    <t>High Load Escorts</t>
  </si>
  <si>
    <t xml:space="preserve">High Load Escorts </t>
  </si>
  <si>
    <t xml:space="preserve">
Temporary relocation, or other manners of making safe, of overhead mains for high vehicle loads and high load escorts.</t>
  </si>
  <si>
    <t>Network safety services
Examples include:
· provision of traffic control services by the distributor where required
· fitting of tiger tails, high load escort 
· de-energising wires for safe approach (e.g. for tree pruning)
· work undertaken to determine the cause of a customer fault where there may be a safety impact on the network or related component
· Neutral integrity test – where customers request the distributor to investigate the occurrence of mild electric shocks within a customer’s premises to determine whether the fault exists within the customer’s installation or on the network. A fee would be levied where the fault is within the customer’s installation.</t>
  </si>
  <si>
    <t xml:space="preserve">Existing Service Description (2014 - 19) </t>
  </si>
  <si>
    <t>Field Officer</t>
  </si>
  <si>
    <t>Bottom Up Estimation</t>
  </si>
  <si>
    <t xml:space="preserve">High Load Escort </t>
  </si>
  <si>
    <t>Projected Volumes for FY2019-24 Regulatory Period</t>
  </si>
  <si>
    <t>Hourly Rate</t>
  </si>
  <si>
    <t>High Load Escorts (hourly rate)</t>
  </si>
  <si>
    <t>Operating Costs (on IO's, work orders, cost objects, cost centres)</t>
  </si>
  <si>
    <t>Project Code</t>
  </si>
  <si>
    <t>ACSCW 31000</t>
  </si>
  <si>
    <t>FY22/23</t>
  </si>
  <si>
    <t>Derived - RIN</t>
  </si>
  <si>
    <t xml:space="preserve">Operating Costs - </t>
  </si>
  <si>
    <t>Changed from quoted  to hourl rate service.</t>
  </si>
  <si>
    <t>ACSCW 31000 - High Load Escorts</t>
  </si>
  <si>
    <t>High Load Escorts (Hrs)</t>
  </si>
  <si>
    <t>FY17/18</t>
  </si>
  <si>
    <t>FY18/19</t>
  </si>
  <si>
    <t>FY14/15 operating costs  - N/A</t>
  </si>
  <si>
    <t>FY15/16 operating costs  - Actuals</t>
  </si>
  <si>
    <t>FY16/17 operating costs  - Actuals</t>
  </si>
  <si>
    <t>FY17/18 operating costs  - Pro rata based on YTD Dec17 values</t>
  </si>
  <si>
    <t xml:space="preserve">FY18/19 operating costs  - Estimated </t>
  </si>
  <si>
    <t>FY14/15 revenue  - N/A</t>
  </si>
  <si>
    <t>FY15/16 revenue  - Actuals</t>
  </si>
  <si>
    <t>FY16/17 revenue  - Actuals</t>
  </si>
  <si>
    <t>FY17/18 revenue  - Pro rata based on YTD Dec17 values</t>
  </si>
  <si>
    <t xml:space="preserve">FY18/19 revenue  - Estimated </t>
  </si>
  <si>
    <t>ANS P&amp;L</t>
  </si>
  <si>
    <r>
      <rPr>
        <b/>
        <sz val="11"/>
        <color theme="1"/>
        <rFont val="Calibri"/>
        <family val="2"/>
        <scheme val="minor"/>
      </rPr>
      <t xml:space="preserve">
High Load Escorts</t>
    </r>
    <r>
      <rPr>
        <sz val="11"/>
        <color theme="1"/>
        <rFont val="Calibri"/>
        <family val="2"/>
        <scheme val="minor"/>
      </rPr>
      <t xml:space="preserve">
Temporary relocation, or other manners of making safe, of overhead mains for high vehicle loads and high load escorts.</t>
    </r>
  </si>
  <si>
    <t>Proposed Fee ($2018/19 - Excl GST)</t>
  </si>
  <si>
    <t>Total Direct Costs $2018/19</t>
  </si>
  <si>
    <t>Total Indirect Costs $2018/19</t>
  </si>
  <si>
    <t>TOTAL COSTS $2018/19</t>
  </si>
  <si>
    <t>Real $2018-19</t>
  </si>
  <si>
    <t>Per service</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</si>
  <si>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</si>
  <si>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</si>
  <si>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</si>
  <si>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</si>
  <si>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</si>
  <si>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</si>
  <si>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</si>
  <si>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</si>
  <si>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</si>
  <si>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</si>
  <si>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</si>
  <si>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R2b</t>
  </si>
  <si>
    <t>Real 2018-19 (including labour escalation)</t>
  </si>
  <si>
    <t>Labour</t>
  </si>
  <si>
    <t>Fleet</t>
  </si>
  <si>
    <t>Total costs before OHDs, non-system and margin</t>
  </si>
  <si>
    <t>Profit margin</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</si>
  <si>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</si>
  <si>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</si>
  <si>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</si>
  <si>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</si>
  <si>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</si>
  <si>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</si>
  <si>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</si>
  <si>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</si>
  <si>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</si>
  <si>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</si>
  <si>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</si>
  <si>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</si>
  <si>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</si>
  <si>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</si>
  <si>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</si>
  <si>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</si>
  <si>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</si>
  <si>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volumes</t>
  </si>
  <si>
    <t>Forecast revenue</t>
  </si>
  <si>
    <t>8.7 High Load Escorts</t>
  </si>
  <si>
    <t>RIN</t>
  </si>
  <si>
    <t xml:space="preserve">Estimated have been provided on the work effort that will be required to complete each service. </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</si>
  <si>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</si>
  <si>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Historical revenue referenced from ANS P&amp;L Report.</t>
  </si>
  <si>
    <t>Historical operating costs refrenced from ANS P&amp;L Report</t>
  </si>
  <si>
    <t>Jobs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</si>
</sst>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5" formatCode="_(&quot;$&quot;* #,##0.00_);_(&quot;$&quot;* \(#,##0.00\);_(&quot;$&quot;* &quot;-&quot;??_);_(@_)"/>
    <numFmt numFmtId="166" formatCode="_(* #,##0.00_);_(* \(#,##0.00\);_(* &quot;-&quot;??_);_(@_)"/>
    <numFmt numFmtId="167" formatCode="_-&quot;$&quot;* #,##0_-;\-&quot;$&quot;* #,##0_-;_-&quot;$&quot;* &quot;-&quot;??_-;_-@_-"/>
    <numFmt numFmtId="168" formatCode="_-* #,##0_-;\-* #,##0_-;_-* &quot;-&quot;??_-;_-@_-"/>
    <numFmt numFmtId="169" formatCode="&quot;$&quot;#,##0.00"/>
    <numFmt numFmtId="170" formatCode="#,##0.00\ ;\(#,##0.00\);\-\ "/>
    <numFmt numFmtId="171" formatCode="#,##0\ ;\(#,##0\);\-\ "/>
    <numFmt numFmtId="173" formatCode="_(* #,##0_);_(* \(#,##0\);_(* &quot;-&quot;??_);_(@_)"/>
  </numFmts>
  <fonts count="36"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b/>
      <sz val="10"/>
      <color theme="1"/>
      <name val="Arial"/>
      <family val="2"/>
    </font>
    <font>
      <sz val="10"/>
      <color rgb="FFFF0000"/>
      <name val="Arial"/>
      <family val="2"/>
    </font>
    <font>
      <sz val="10"/>
      <name val="Arial"/>
      <family val="2"/>
    </font>
    <font>
      <b/>
      <sz val="11"/>
      <color theme="1"/>
      <name val="Calibri"/>
      <family val="2"/>
      <scheme val="minor"/>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0065A6"/>
      <name val="Arial"/>
      <family val="2"/>
    </font>
    <font>
      <b/>
      <sz val="8"/>
      <color theme="1"/>
      <name val="Arial"/>
      <family val="2"/>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0" fontId="4" fillId="0" borderId="0"/>
  </cellStyleXfs>
  <cellXfs count="240">
    <xf numFmtId="0" fontId="0" fillId="0" borderId="0" xfId="0"/>
    <xf numFmtId="0" fontId="2" fillId="0" borderId="0" xfId="0" applyFont="1"/>
    <xf numFmtId="0" fontId="7" fillId="5" borderId="3" xfId="0" applyFont="1" applyFill="1" applyBorder="1"/>
    <xf numFmtId="0" fontId="7" fillId="5" borderId="7" xfId="0" applyFont="1" applyFill="1" applyBorder="1" applyAlignment="1">
      <alignment horizontal="left"/>
    </xf>
    <xf numFmtId="0" fontId="7" fillId="5" borderId="8" xfId="0" applyFont="1" applyFill="1" applyBorder="1" applyAlignment="1">
      <alignment horizontal="right"/>
    </xf>
    <xf numFmtId="0" fontId="2" fillId="4" borderId="4" xfId="0" applyFont="1" applyFill="1" applyBorder="1"/>
    <xf numFmtId="0" fontId="2" fillId="4" borderId="3" xfId="0" applyFont="1" applyFill="1" applyBorder="1"/>
    <xf numFmtId="0" fontId="7" fillId="5" borderId="8" xfId="0" applyFont="1" applyFill="1" applyBorder="1"/>
    <xf numFmtId="0" fontId="7" fillId="5" borderId="0" xfId="0" applyFont="1" applyFill="1" applyBorder="1"/>
    <xf numFmtId="167" fontId="7" fillId="5" borderId="8" xfId="2" applyNumberFormat="1" applyFont="1" applyFill="1" applyBorder="1"/>
    <xf numFmtId="0" fontId="2" fillId="4" borderId="5" xfId="0" applyFont="1" applyFill="1" applyBorder="1"/>
    <xf numFmtId="3" fontId="2" fillId="4" borderId="4"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167" fontId="2" fillId="4" borderId="5" xfId="2" applyNumberFormat="1" applyFont="1" applyFill="1" applyBorder="1" applyAlignment="1">
      <alignment horizontal="center"/>
    </xf>
    <xf numFmtId="0" fontId="7" fillId="5" borderId="1" xfId="0" applyFont="1" applyFill="1" applyBorder="1"/>
    <xf numFmtId="0" fontId="4" fillId="5" borderId="1" xfId="0" applyFont="1" applyFill="1" applyBorder="1"/>
    <xf numFmtId="167" fontId="7" fillId="5" borderId="9" xfId="2" applyNumberFormat="1" applyFont="1" applyFill="1" applyBorder="1"/>
    <xf numFmtId="167" fontId="7" fillId="5" borderId="10" xfId="2" applyNumberFormat="1" applyFont="1" applyFill="1" applyBorder="1"/>
    <xf numFmtId="0" fontId="5" fillId="8" borderId="0" xfId="0" applyFont="1" applyFill="1"/>
    <xf numFmtId="0" fontId="8" fillId="8" borderId="0" xfId="0" applyFont="1" applyFill="1"/>
    <xf numFmtId="167" fontId="2" fillId="10" borderId="4" xfId="2" applyNumberFormat="1" applyFont="1" applyFill="1" applyBorder="1"/>
    <xf numFmtId="0" fontId="5" fillId="8" borderId="12" xfId="0" applyFont="1" applyFill="1" applyBorder="1"/>
    <xf numFmtId="0" fontId="8" fillId="8" borderId="12" xfId="0" applyFont="1" applyFill="1" applyBorder="1"/>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0" fontId="8" fillId="0" borderId="0" xfId="0" applyFont="1"/>
    <xf numFmtId="0" fontId="8" fillId="0" borderId="0" xfId="0" applyFont="1" applyBorder="1"/>
    <xf numFmtId="0" fontId="8" fillId="0" borderId="2" xfId="0" applyFont="1" applyBorder="1"/>
    <xf numFmtId="169" fontId="8" fillId="0" borderId="1" xfId="0" applyNumberFormat="1" applyFont="1" applyBorder="1" applyAlignment="1">
      <alignment horizontal="center"/>
    </xf>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2" fillId="0" borderId="0" xfId="0" applyFont="1" applyAlignment="1">
      <alignment horizontal="left"/>
    </xf>
    <xf numFmtId="0" fontId="2" fillId="0" borderId="0" xfId="0" applyFont="1" applyFill="1" applyAlignment="1">
      <alignment horizontal="left"/>
    </xf>
    <xf numFmtId="0" fontId="11" fillId="0" borderId="0" xfId="0" applyFont="1"/>
    <xf numFmtId="0" fontId="2" fillId="0" borderId="6" xfId="0" applyFont="1" applyBorder="1"/>
    <xf numFmtId="0" fontId="7" fillId="0" borderId="0" xfId="0" applyFont="1" applyFill="1" applyBorder="1"/>
    <xf numFmtId="167" fontId="7" fillId="0" borderId="0" xfId="2" applyNumberFormat="1" applyFont="1" applyFill="1" applyBorder="1"/>
    <xf numFmtId="0" fontId="5" fillId="8" borderId="8" xfId="0" applyFont="1" applyFill="1" applyBorder="1"/>
    <xf numFmtId="0" fontId="7" fillId="5" borderId="10" xfId="0" applyFont="1" applyFill="1" applyBorder="1"/>
    <xf numFmtId="0" fontId="11" fillId="0" borderId="6" xfId="0" applyFont="1" applyBorder="1"/>
    <xf numFmtId="0" fontId="7" fillId="5" borderId="11" xfId="0" applyFont="1" applyFill="1" applyBorder="1"/>
    <xf numFmtId="0" fontId="2" fillId="4" borderId="8" xfId="0" quotePrefix="1" applyFont="1" applyFill="1" applyBorder="1" applyAlignment="1">
      <alignment vertical="top"/>
    </xf>
    <xf numFmtId="0" fontId="12" fillId="8" borderId="8" xfId="0" applyNumberFormat="1" applyFont="1" applyFill="1" applyBorder="1" applyAlignment="1">
      <alignment horizontal="left"/>
    </xf>
    <xf numFmtId="0" fontId="7" fillId="5" borderId="4" xfId="0" applyFont="1" applyFill="1" applyBorder="1" applyAlignment="1">
      <alignment horizontal="center"/>
    </xf>
    <xf numFmtId="0" fontId="7" fillId="5" borderId="7" xfId="0" applyFont="1" applyFill="1" applyBorder="1" applyAlignment="1">
      <alignment horizontal="center"/>
    </xf>
    <xf numFmtId="167" fontId="2" fillId="10" borderId="5" xfId="2" applyNumberFormat="1" applyFont="1" applyFill="1" applyBorder="1" applyAlignment="1">
      <alignment horizontal="center"/>
    </xf>
    <xf numFmtId="3" fontId="2" fillId="10" borderId="4" xfId="0" applyNumberFormat="1" applyFont="1" applyFill="1" applyBorder="1"/>
    <xf numFmtId="0" fontId="5" fillId="8" borderId="0" xfId="0" applyFont="1" applyFill="1" applyAlignment="1">
      <alignment horizontal="left"/>
    </xf>
    <xf numFmtId="0" fontId="5" fillId="8" borderId="9" xfId="0" applyFont="1" applyFill="1" applyBorder="1" applyAlignment="1">
      <alignment horizontal="center" vertical="center" wrapText="1"/>
    </xf>
    <xf numFmtId="0" fontId="4" fillId="10" borderId="13" xfId="0" applyFont="1" applyFill="1" applyBorder="1"/>
    <xf numFmtId="169" fontId="4" fillId="10" borderId="6" xfId="0" applyNumberFormat="1" applyFont="1" applyFill="1" applyBorder="1" applyAlignment="1">
      <alignment horizontal="center"/>
    </xf>
    <xf numFmtId="169" fontId="4" fillId="10" borderId="8" xfId="0" applyNumberFormat="1" applyFont="1" applyFill="1" applyBorder="1" applyAlignment="1">
      <alignment horizontal="center"/>
    </xf>
    <xf numFmtId="4" fontId="4" fillId="10" borderId="8" xfId="3" applyNumberFormat="1" applyFont="1" applyFill="1" applyBorder="1" applyAlignment="1">
      <alignment horizontal="center"/>
    </xf>
    <xf numFmtId="169" fontId="4" fillId="10" borderId="13" xfId="0" applyNumberFormat="1" applyFont="1" applyFill="1" applyBorder="1" applyAlignment="1">
      <alignment horizontal="center"/>
    </xf>
    <xf numFmtId="169" fontId="7" fillId="9" borderId="5" xfId="0" applyNumberFormat="1" applyFont="1" applyFill="1" applyBorder="1" applyAlignment="1"/>
    <xf numFmtId="169" fontId="7" fillId="9" borderId="2" xfId="0" applyNumberFormat="1" applyFont="1" applyFill="1" applyBorder="1" applyAlignment="1"/>
    <xf numFmtId="0" fontId="5" fillId="8" borderId="8" xfId="0" applyFont="1" applyFill="1" applyBorder="1" applyAlignment="1"/>
    <xf numFmtId="0" fontId="5" fillId="8" borderId="0" xfId="0" applyFont="1" applyFill="1" applyBorder="1" applyAlignment="1"/>
    <xf numFmtId="0" fontId="7" fillId="11" borderId="5" xfId="0" applyFont="1" applyFill="1" applyBorder="1" applyAlignment="1">
      <alignment vertical="center"/>
    </xf>
    <xf numFmtId="0" fontId="7" fillId="11" borderId="2" xfId="0" applyFont="1" applyFill="1" applyBorder="1" applyAlignment="1">
      <alignment vertical="center"/>
    </xf>
    <xf numFmtId="0" fontId="7" fillId="11" borderId="3" xfId="0" applyFont="1" applyFill="1" applyBorder="1" applyAlignment="1">
      <alignment vertical="center"/>
    </xf>
    <xf numFmtId="0" fontId="4" fillId="10" borderId="13" xfId="0" applyNumberFormat="1" applyFont="1" applyFill="1" applyBorder="1" applyAlignment="1">
      <alignment horizontal="center"/>
    </xf>
    <xf numFmtId="0" fontId="7" fillId="0" borderId="0" xfId="0" applyFont="1" applyFill="1" applyBorder="1" applyAlignment="1">
      <alignment horizontal="right"/>
    </xf>
    <xf numFmtId="0" fontId="2" fillId="10" borderId="4" xfId="0" applyFont="1" applyFill="1" applyBorder="1" applyAlignment="1">
      <alignment horizontal="left"/>
    </xf>
    <xf numFmtId="0" fontId="7" fillId="5" borderId="5" xfId="0" applyFont="1" applyFill="1" applyBorder="1" applyAlignment="1">
      <alignment horizontal="center"/>
    </xf>
    <xf numFmtId="0" fontId="9" fillId="4" borderId="10" xfId="0" applyFont="1" applyFill="1" applyBorder="1" applyAlignment="1">
      <alignment vertical="top" wrapText="1"/>
    </xf>
    <xf numFmtId="0" fontId="9" fillId="4" borderId="1" xfId="0" applyFont="1" applyFill="1" applyBorder="1" applyAlignment="1">
      <alignment vertical="top" wrapText="1"/>
    </xf>
    <xf numFmtId="0" fontId="9" fillId="4" borderId="8" xfId="0" applyFont="1" applyFill="1" applyBorder="1" applyAlignment="1">
      <alignment vertical="top" wrapText="1"/>
    </xf>
    <xf numFmtId="0" fontId="9" fillId="4" borderId="0" xfId="0" applyFont="1" applyFill="1" applyBorder="1" applyAlignment="1">
      <alignment vertical="top" wrapText="1"/>
    </xf>
    <xf numFmtId="0" fontId="13" fillId="8" borderId="0" xfId="0" applyFont="1" applyFill="1"/>
    <xf numFmtId="0" fontId="14" fillId="8" borderId="0" xfId="0" applyFont="1" applyFill="1"/>
    <xf numFmtId="0" fontId="15" fillId="0" borderId="0" xfId="0" applyFont="1"/>
    <xf numFmtId="0" fontId="16" fillId="0" borderId="0" xfId="0" applyFont="1"/>
    <xf numFmtId="0" fontId="16" fillId="10" borderId="4" xfId="0" applyFont="1" applyFill="1" applyBorder="1" applyAlignment="1">
      <alignment horizontal="left"/>
    </xf>
    <xf numFmtId="0" fontId="16" fillId="10" borderId="4" xfId="0" applyFont="1" applyFill="1" applyBorder="1" applyAlignment="1">
      <alignment wrapText="1"/>
    </xf>
    <xf numFmtId="167" fontId="16" fillId="4" borderId="4" xfId="2" applyNumberFormat="1" applyFont="1" applyFill="1" applyBorder="1"/>
    <xf numFmtId="167" fontId="16" fillId="10" borderId="4" xfId="2" applyNumberFormat="1" applyFont="1" applyFill="1" applyBorder="1"/>
    <xf numFmtId="0" fontId="16" fillId="10" borderId="4" xfId="0" applyFont="1" applyFill="1" applyBorder="1"/>
    <xf numFmtId="3" fontId="16" fillId="10" borderId="4" xfId="0" applyNumberFormat="1" applyFont="1" applyFill="1" applyBorder="1"/>
    <xf numFmtId="3" fontId="16" fillId="4" borderId="4" xfId="0" applyNumberFormat="1" applyFont="1" applyFill="1" applyBorder="1"/>
    <xf numFmtId="0" fontId="18" fillId="0" borderId="0" xfId="0" applyFont="1"/>
    <xf numFmtId="0" fontId="17" fillId="5" borderId="6" xfId="0" applyFont="1" applyFill="1" applyBorder="1" applyAlignment="1">
      <alignment horizontal="left"/>
    </xf>
    <xf numFmtId="0" fontId="19" fillId="4" borderId="1" xfId="0" applyFont="1" applyFill="1" applyBorder="1" applyAlignment="1">
      <alignment vertical="top" wrapText="1"/>
    </xf>
    <xf numFmtId="0" fontId="19" fillId="4" borderId="0" xfId="0" applyFont="1" applyFill="1" applyBorder="1" applyAlignment="1">
      <alignment vertical="top" wrapText="1"/>
    </xf>
    <xf numFmtId="0" fontId="17" fillId="5" borderId="12" xfId="0" applyFont="1" applyFill="1" applyBorder="1"/>
    <xf numFmtId="0" fontId="20" fillId="5" borderId="12" xfId="0" applyFont="1" applyFill="1" applyBorder="1"/>
    <xf numFmtId="0" fontId="16" fillId="4" borderId="0" xfId="0" quotePrefix="1" applyFont="1" applyFill="1" applyBorder="1" applyAlignment="1">
      <alignment vertical="top"/>
    </xf>
    <xf numFmtId="0" fontId="16" fillId="4" borderId="0" xfId="0" applyFont="1" applyFill="1" applyBorder="1" applyAlignment="1">
      <alignment vertical="top"/>
    </xf>
    <xf numFmtId="0" fontId="17" fillId="11" borderId="4" xfId="0" applyFont="1" applyFill="1" applyBorder="1" applyAlignment="1">
      <alignment horizontal="left"/>
    </xf>
    <xf numFmtId="0" fontId="17" fillId="11" borderId="4" xfId="0" applyFont="1" applyFill="1" applyBorder="1" applyAlignment="1">
      <alignment horizontal="center"/>
    </xf>
    <xf numFmtId="0" fontId="17" fillId="11" borderId="4" xfId="0" applyFont="1" applyFill="1" applyBorder="1" applyAlignment="1">
      <alignment horizontal="right"/>
    </xf>
    <xf numFmtId="0" fontId="16" fillId="4" borderId="4" xfId="0" applyFont="1" applyFill="1" applyBorder="1"/>
    <xf numFmtId="0" fontId="17" fillId="11" borderId="4" xfId="0" applyFont="1" applyFill="1" applyBorder="1"/>
    <xf numFmtId="0" fontId="17" fillId="5" borderId="4" xfId="0" applyFont="1" applyFill="1" applyBorder="1"/>
    <xf numFmtId="3" fontId="17" fillId="5" borderId="4" xfId="0" applyNumberFormat="1" applyFont="1" applyFill="1" applyBorder="1"/>
    <xf numFmtId="167" fontId="17" fillId="5" borderId="4" xfId="2" applyNumberFormat="1" applyFont="1" applyFill="1" applyBorder="1"/>
    <xf numFmtId="0" fontId="7" fillId="5" borderId="4" xfId="0" applyFont="1" applyFill="1" applyBorder="1" applyAlignment="1">
      <alignment horizontal="left"/>
    </xf>
    <xf numFmtId="0" fontId="7" fillId="5" borderId="4" xfId="0" applyFont="1" applyFill="1" applyBorder="1" applyAlignment="1">
      <alignment horizontal="right"/>
    </xf>
    <xf numFmtId="0" fontId="2" fillId="4" borderId="4" xfId="0" quotePrefix="1" applyFont="1" applyFill="1" applyBorder="1"/>
    <xf numFmtId="0" fontId="7" fillId="11" borderId="4" xfId="0" applyFont="1" applyFill="1" applyBorder="1"/>
    <xf numFmtId="3" fontId="7" fillId="5" borderId="4" xfId="0" applyNumberFormat="1" applyFont="1" applyFill="1" applyBorder="1"/>
    <xf numFmtId="0" fontId="5" fillId="8" borderId="0" xfId="0" applyFont="1" applyFill="1" applyAlignment="1">
      <alignment horizontal="left"/>
    </xf>
    <xf numFmtId="0" fontId="22" fillId="8" borderId="11" xfId="0" applyFont="1" applyFill="1" applyBorder="1"/>
    <xf numFmtId="0" fontId="23" fillId="8" borderId="0" xfId="0" applyFont="1" applyFill="1"/>
    <xf numFmtId="0" fontId="24" fillId="0" borderId="0" xfId="0" applyFont="1"/>
    <xf numFmtId="0" fontId="24" fillId="0" borderId="0" xfId="0" applyFont="1" applyFill="1"/>
    <xf numFmtId="0" fontId="25" fillId="9" borderId="4" xfId="0" applyFont="1" applyFill="1" applyBorder="1"/>
    <xf numFmtId="0" fontId="24" fillId="6" borderId="0" xfId="0" applyFont="1" applyFill="1"/>
    <xf numFmtId="0" fontId="25" fillId="9" borderId="9" xfId="0" applyFont="1" applyFill="1" applyBorder="1"/>
    <xf numFmtId="0" fontId="27" fillId="7" borderId="0" xfId="0" applyFont="1" applyFill="1" applyBorder="1" applyAlignment="1">
      <alignment horizontal="center" vertical="center" wrapText="1"/>
    </xf>
    <xf numFmtId="0" fontId="27" fillId="2" borderId="4" xfId="0" applyFont="1" applyFill="1" applyBorder="1" applyAlignment="1">
      <alignment vertical="center"/>
    </xf>
    <xf numFmtId="0" fontId="28" fillId="7" borderId="0" xfId="0" applyFont="1" applyFill="1" applyBorder="1" applyAlignment="1">
      <alignment horizontal="center" vertical="center"/>
    </xf>
    <xf numFmtId="0" fontId="25" fillId="9" borderId="10" xfId="0" applyFont="1" applyFill="1" applyBorder="1" applyAlignment="1">
      <alignment vertical="center"/>
    </xf>
    <xf numFmtId="169" fontId="24" fillId="7" borderId="4" xfId="0" applyNumberFormat="1" applyFont="1" applyFill="1" applyBorder="1" applyAlignment="1">
      <alignment horizontal="center"/>
    </xf>
    <xf numFmtId="0" fontId="24" fillId="7" borderId="0" xfId="0" applyFont="1" applyFill="1" applyBorder="1" applyAlignment="1">
      <alignment horizontal="center" vertical="center"/>
    </xf>
    <xf numFmtId="169" fontId="24" fillId="3" borderId="4" xfId="0" applyNumberFormat="1" applyFont="1" applyFill="1" applyBorder="1" applyAlignment="1">
      <alignment horizontal="center"/>
    </xf>
    <xf numFmtId="0" fontId="25" fillId="9" borderId="8" xfId="0" applyFont="1" applyFill="1" applyBorder="1" applyAlignment="1">
      <alignment horizontal="left" vertical="center"/>
    </xf>
    <xf numFmtId="0" fontId="26" fillId="7" borderId="0" xfId="0" applyFont="1" applyFill="1" applyBorder="1" applyAlignment="1">
      <alignment horizontal="left"/>
    </xf>
    <xf numFmtId="0" fontId="22" fillId="8" borderId="5" xfId="0" applyFont="1" applyFill="1" applyBorder="1"/>
    <xf numFmtId="0" fontId="23" fillId="8" borderId="2" xfId="0" applyFont="1" applyFill="1" applyBorder="1"/>
    <xf numFmtId="0" fontId="23" fillId="8" borderId="3" xfId="0" applyFont="1" applyFill="1" applyBorder="1"/>
    <xf numFmtId="0" fontId="24" fillId="7" borderId="0" xfId="0" applyFont="1" applyFill="1" applyBorder="1" applyAlignment="1">
      <alignment horizontal="left" vertical="top" wrapText="1"/>
    </xf>
    <xf numFmtId="0" fontId="22" fillId="8" borderId="0" xfId="0" applyFont="1" applyFill="1"/>
    <xf numFmtId="0" fontId="24" fillId="0" borderId="0" xfId="0" applyFont="1" applyAlignment="1">
      <alignment horizontal="left"/>
    </xf>
    <xf numFmtId="0" fontId="24" fillId="7" borderId="0" xfId="0" applyFont="1" applyFill="1" applyBorder="1" applyAlignment="1">
      <alignment horizontal="left" wrapText="1"/>
    </xf>
    <xf numFmtId="0" fontId="24" fillId="7" borderId="0" xfId="0" applyFont="1" applyFill="1" applyBorder="1" applyAlignment="1">
      <alignment horizontal="left"/>
    </xf>
    <xf numFmtId="0" fontId="24" fillId="0" borderId="0" xfId="0" applyFont="1" applyFill="1" applyBorder="1" applyAlignment="1">
      <alignment horizontal="left"/>
    </xf>
    <xf numFmtId="0" fontId="25" fillId="2" borderId="3" xfId="0" applyFont="1" applyFill="1" applyBorder="1"/>
    <xf numFmtId="0" fontId="24" fillId="7" borderId="0" xfId="0" applyFont="1" applyFill="1" applyAlignment="1">
      <alignment horizontal="left"/>
    </xf>
    <xf numFmtId="0" fontId="25" fillId="2" borderId="1" xfId="0" applyFont="1" applyFill="1" applyBorder="1"/>
    <xf numFmtId="0" fontId="25" fillId="9" borderId="6" xfId="0" applyFont="1" applyFill="1" applyBorder="1" applyAlignment="1">
      <alignment horizontal="left"/>
    </xf>
    <xf numFmtId="0" fontId="25" fillId="9" borderId="7" xfId="0" applyFont="1" applyFill="1" applyBorder="1" applyAlignment="1">
      <alignment horizontal="right"/>
    </xf>
    <xf numFmtId="0" fontId="25" fillId="9" borderId="8" xfId="0" applyFont="1" applyFill="1" applyBorder="1" applyAlignment="1">
      <alignment horizontal="right"/>
    </xf>
    <xf numFmtId="167" fontId="29" fillId="0" borderId="0" xfId="2" applyNumberFormat="1" applyFont="1"/>
    <xf numFmtId="167" fontId="25" fillId="2" borderId="7" xfId="2" applyNumberFormat="1" applyFont="1" applyFill="1" applyBorder="1"/>
    <xf numFmtId="10" fontId="24" fillId="0" borderId="0" xfId="1" applyNumberFormat="1" applyFont="1"/>
    <xf numFmtId="10" fontId="24" fillId="0" borderId="0" xfId="0" applyNumberFormat="1" applyFont="1"/>
    <xf numFmtId="170" fontId="24" fillId="0" borderId="0" xfId="1" applyNumberFormat="1" applyFont="1"/>
    <xf numFmtId="0" fontId="22" fillId="8" borderId="6" xfId="0" applyFont="1" applyFill="1" applyBorder="1" applyAlignment="1">
      <alignment horizontal="left"/>
    </xf>
    <xf numFmtId="0" fontId="26" fillId="0" borderId="0" xfId="0" applyFont="1"/>
    <xf numFmtId="0" fontId="25" fillId="2" borderId="6" xfId="0" applyFont="1" applyFill="1" applyBorder="1" applyAlignment="1">
      <alignment horizontal="left"/>
    </xf>
    <xf numFmtId="0" fontId="25" fillId="2" borderId="7" xfId="0" applyFont="1" applyFill="1" applyBorder="1" applyAlignment="1">
      <alignment horizontal="right"/>
    </xf>
    <xf numFmtId="0" fontId="25" fillId="2" borderId="8" xfId="0" applyFont="1" applyFill="1" applyBorder="1" applyAlignment="1">
      <alignment horizontal="right"/>
    </xf>
    <xf numFmtId="168" fontId="29" fillId="0" borderId="0" xfId="3" applyNumberFormat="1" applyFont="1" applyAlignment="1"/>
    <xf numFmtId="171" fontId="25" fillId="2" borderId="7" xfId="2" applyNumberFormat="1" applyFont="1" applyFill="1" applyBorder="1" applyAlignment="1"/>
    <xf numFmtId="168" fontId="30" fillId="0" borderId="0" xfId="3" applyNumberFormat="1" applyFont="1" applyAlignment="1">
      <alignment horizontal="right"/>
    </xf>
    <xf numFmtId="168" fontId="30" fillId="0" borderId="0" xfId="3" applyNumberFormat="1" applyFont="1" applyAlignment="1">
      <alignment horizontal="center" vertical="center"/>
    </xf>
    <xf numFmtId="0" fontId="31" fillId="2" borderId="4" xfId="0" applyFont="1" applyFill="1" applyBorder="1" applyAlignment="1">
      <alignment horizontal="center" vertical="center"/>
    </xf>
    <xf numFmtId="0" fontId="7" fillId="9" borderId="4" xfId="0" applyFont="1" applyFill="1" applyBorder="1" applyAlignment="1">
      <alignment vertical="center"/>
    </xf>
    <xf numFmtId="0" fontId="7" fillId="2" borderId="6" xfId="0" applyFont="1" applyFill="1" applyBorder="1"/>
    <xf numFmtId="167" fontId="6" fillId="11" borderId="5" xfId="2" applyNumberFormat="1" applyFont="1" applyFill="1" applyBorder="1"/>
    <xf numFmtId="3" fontId="6" fillId="11" borderId="4" xfId="0" applyNumberFormat="1" applyFont="1" applyFill="1" applyBorder="1"/>
    <xf numFmtId="2" fontId="5" fillId="8" borderId="9" xfId="0" applyNumberFormat="1" applyFont="1" applyFill="1" applyBorder="1" applyAlignment="1">
      <alignment horizontal="center" vertical="center" wrapText="1"/>
    </xf>
    <xf numFmtId="4" fontId="7" fillId="11" borderId="4" xfId="0" applyNumberFormat="1" applyFont="1" applyFill="1" applyBorder="1" applyAlignment="1">
      <alignment horizontal="center"/>
    </xf>
    <xf numFmtId="167" fontId="18" fillId="11" borderId="4" xfId="2" applyNumberFormat="1" applyFont="1" applyFill="1" applyBorder="1"/>
    <xf numFmtId="3" fontId="18" fillId="11" borderId="4" xfId="0" applyNumberFormat="1" applyFont="1" applyFill="1" applyBorder="1"/>
    <xf numFmtId="3" fontId="6" fillId="11" borderId="10" xfId="0" applyNumberFormat="1" applyFont="1" applyFill="1" applyBorder="1"/>
    <xf numFmtId="0" fontId="7" fillId="5" borderId="8" xfId="0" applyFont="1" applyFill="1" applyBorder="1" applyAlignment="1">
      <alignment horizontal="center"/>
    </xf>
    <xf numFmtId="0" fontId="2" fillId="4" borderId="3" xfId="0" applyFont="1" applyFill="1" applyBorder="1" applyAlignment="1">
      <alignment horizontal="left" indent="1"/>
    </xf>
    <xf numFmtId="0" fontId="6" fillId="4" borderId="4" xfId="0" applyFont="1" applyFill="1" applyBorder="1"/>
    <xf numFmtId="167" fontId="6" fillId="5" borderId="5" xfId="2" applyNumberFormat="1" applyFont="1" applyFill="1" applyBorder="1" applyAlignment="1">
      <alignment horizontal="center"/>
    </xf>
    <xf numFmtId="0" fontId="21" fillId="0" borderId="0" xfId="0" applyFont="1"/>
    <xf numFmtId="0" fontId="6" fillId="4" borderId="5" xfId="0" applyFont="1" applyFill="1" applyBorder="1"/>
    <xf numFmtId="0" fontId="6" fillId="4" borderId="3" xfId="0" applyFont="1" applyFill="1" applyBorder="1"/>
    <xf numFmtId="167" fontId="6" fillId="10" borderId="5" xfId="2" applyNumberFormat="1" applyFont="1" applyFill="1" applyBorder="1" applyAlignment="1">
      <alignment horizontal="center"/>
    </xf>
    <xf numFmtId="10" fontId="0" fillId="0" borderId="0" xfId="1" applyNumberFormat="1" applyFont="1"/>
    <xf numFmtId="10" fontId="0" fillId="0" borderId="0" xfId="0" applyNumberFormat="1"/>
    <xf numFmtId="0" fontId="32" fillId="0" borderId="0" xfId="0" applyFont="1"/>
    <xf numFmtId="166" fontId="5" fillId="15" borderId="4" xfId="3" applyFont="1" applyFill="1" applyBorder="1" applyAlignment="1">
      <alignment horizontal="left"/>
    </xf>
    <xf numFmtId="166" fontId="5" fillId="15" borderId="4" xfId="3" applyFont="1" applyFill="1" applyBorder="1" applyAlignment="1">
      <alignment horizontal="center"/>
    </xf>
    <xf numFmtId="166" fontId="2" fillId="5" borderId="4" xfId="3" applyFont="1" applyFill="1" applyBorder="1" applyAlignment="1">
      <alignment horizontal="left" indent="2"/>
    </xf>
    <xf numFmtId="166" fontId="2" fillId="5" borderId="4" xfId="3" applyFont="1" applyFill="1" applyBorder="1"/>
    <xf numFmtId="173" fontId="2" fillId="5" borderId="4" xfId="3" applyNumberFormat="1" applyFont="1" applyFill="1" applyBorder="1"/>
    <xf numFmtId="166" fontId="6" fillId="5" borderId="4" xfId="3" applyFont="1" applyFill="1" applyBorder="1"/>
    <xf numFmtId="173"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7" fillId="0" borderId="8" xfId="0" applyFont="1" applyFill="1" applyBorder="1"/>
    <xf numFmtId="0" fontId="33" fillId="4" borderId="5" xfId="0" applyFont="1" applyFill="1" applyBorder="1"/>
    <xf numFmtId="0" fontId="2" fillId="4" borderId="4" xfId="0" applyFont="1" applyFill="1" applyBorder="1" applyAlignment="1">
      <alignment horizontal="left"/>
    </xf>
    <xf numFmtId="166" fontId="34" fillId="10" borderId="4" xfId="3" applyFont="1" applyFill="1" applyBorder="1"/>
    <xf numFmtId="166" fontId="2" fillId="10" borderId="4" xfId="3" applyFont="1" applyFill="1" applyBorder="1"/>
    <xf numFmtId="166" fontId="6" fillId="5" borderId="4" xfId="3" applyFont="1" applyFill="1" applyBorder="1" applyAlignment="1">
      <alignment horizontal="left"/>
    </xf>
    <xf numFmtId="166" fontId="34" fillId="5" borderId="4" xfId="3" applyFont="1" applyFill="1" applyBorder="1"/>
    <xf numFmtId="0" fontId="6" fillId="4" borderId="4" xfId="0" applyFont="1" applyFill="1" applyBorder="1" applyAlignment="1">
      <alignment horizontal="left"/>
    </xf>
    <xf numFmtId="166" fontId="35" fillId="10" borderId="4" xfId="3" applyFont="1" applyFill="1" applyBorder="1"/>
    <xf numFmtId="166" fontId="6" fillId="10" borderId="4" xfId="3" applyFont="1" applyFill="1" applyBorder="1"/>
    <xf numFmtId="0" fontId="2" fillId="4" borderId="7" xfId="0" applyFont="1" applyFill="1" applyBorder="1" applyAlignment="1">
      <alignment horizontal="left"/>
    </xf>
    <xf numFmtId="173" fontId="2" fillId="10" borderId="4" xfId="3" applyNumberFormat="1" applyFont="1" applyFill="1" applyBorder="1"/>
    <xf numFmtId="0" fontId="7" fillId="5" borderId="5" xfId="0" applyFont="1" applyFill="1" applyBorder="1"/>
    <xf numFmtId="0" fontId="7" fillId="5" borderId="2" xfId="0" applyFont="1" applyFill="1" applyBorder="1"/>
    <xf numFmtId="0" fontId="24" fillId="7" borderId="1" xfId="0" applyFont="1" applyFill="1" applyBorder="1" applyAlignment="1">
      <alignment horizontal="left" wrapText="1"/>
    </xf>
    <xf numFmtId="0" fontId="24" fillId="7" borderId="0" xfId="0" applyFont="1" applyFill="1" applyBorder="1" applyAlignment="1">
      <alignment horizontal="left" wrapText="1"/>
    </xf>
    <xf numFmtId="0" fontId="24" fillId="7" borderId="0" xfId="0" quotePrefix="1" applyFont="1" applyFill="1" applyBorder="1" applyAlignment="1">
      <alignment horizontal="left" vertical="top" wrapText="1"/>
    </xf>
    <xf numFmtId="0" fontId="24" fillId="7" borderId="0" xfId="0" applyFont="1" applyFill="1" applyBorder="1" applyAlignment="1">
      <alignment horizontal="left" vertical="top" wrapText="1"/>
    </xf>
    <xf numFmtId="0" fontId="26" fillId="7" borderId="10" xfId="0" applyNumberFormat="1" applyFont="1" applyFill="1" applyBorder="1" applyAlignment="1">
      <alignment horizontal="left" wrapText="1"/>
    </xf>
    <xf numFmtId="0" fontId="26" fillId="7" borderId="1" xfId="0" applyNumberFormat="1" applyFont="1" applyFill="1" applyBorder="1" applyAlignment="1">
      <alignment horizontal="left" wrapText="1"/>
    </xf>
    <xf numFmtId="0" fontId="24" fillId="7" borderId="1" xfId="0"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24" fillId="2" borderId="4" xfId="0" applyFont="1" applyFill="1" applyBorder="1" applyAlignment="1">
      <alignment horizontal="center"/>
    </xf>
    <xf numFmtId="169" fontId="29" fillId="7" borderId="5" xfId="0" applyNumberFormat="1" applyFont="1" applyFill="1" applyBorder="1" applyAlignment="1">
      <alignment horizontal="left"/>
    </xf>
    <xf numFmtId="169" fontId="29" fillId="7" borderId="3" xfId="0" applyNumberFormat="1" applyFont="1" applyFill="1" applyBorder="1" applyAlignment="1">
      <alignment horizontal="left"/>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5" fillId="12" borderId="0" xfId="0" applyFont="1" applyFill="1" applyBorder="1" applyAlignment="1">
      <alignment horizontal="center"/>
    </xf>
    <xf numFmtId="2" fontId="5" fillId="13" borderId="0" xfId="0" applyNumberFormat="1" applyFont="1" applyFill="1" applyAlignment="1">
      <alignment horizontal="center"/>
    </xf>
    <xf numFmtId="0" fontId="16" fillId="4" borderId="1" xfId="0" quotePrefix="1" applyFont="1" applyFill="1" applyBorder="1" applyAlignment="1">
      <alignment horizontal="left" vertical="top" wrapText="1"/>
    </xf>
    <xf numFmtId="0" fontId="16" fillId="4" borderId="0" xfId="0" quotePrefix="1" applyFont="1" applyFill="1" applyBorder="1" applyAlignment="1">
      <alignment horizontal="left" vertical="top" wrapText="1"/>
    </xf>
    <xf numFmtId="10" fontId="32" fillId="14" borderId="12" xfId="0" applyNumberFormat="1" applyFont="1" applyFill="1" applyBorder="1" applyAlignment="1">
      <alignment horizontal="center"/>
    </xf>
    <xf numFmtId="10" fontId="32" fillId="14"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4" fillId="4" borderId="1" xfId="0" applyFont="1" applyFill="1" applyBorder="1" applyAlignment="1">
      <alignment horizontal="left" vertical="top"/>
    </xf>
    <xf numFmtId="0" fontId="4" fillId="4" borderId="0" xfId="0" applyFont="1" applyFill="1" applyBorder="1" applyAlignment="1">
      <alignment horizontal="left" vertical="top"/>
    </xf>
    <xf numFmtId="0" fontId="5" fillId="8" borderId="12" xfId="0" applyFont="1" applyFill="1" applyBorder="1" applyAlignment="1">
      <alignment horizontal="center"/>
    </xf>
    <xf numFmtId="0" fontId="1" fillId="4" borderId="10" xfId="0" quotePrefix="1" applyFont="1" applyFill="1" applyBorder="1" applyAlignment="1">
      <alignment horizontal="left" vertical="top" wrapText="1"/>
    </xf>
    <xf numFmtId="0" fontId="1" fillId="4" borderId="1" xfId="0" quotePrefix="1" applyFont="1" applyFill="1" applyBorder="1" applyAlignment="1">
      <alignment horizontal="left" vertical="top" wrapText="1"/>
    </xf>
    <xf numFmtId="166" fontId="35" fillId="5" borderId="4" xfId="3" applyFont="1" applyFill="1" applyBorder="1"/>
    <xf numFmtId="0" fontId="1" fillId="4" borderId="4" xfId="0" applyFont="1" applyFill="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A6A6A6"/>
      <color rgb="FFD9D9D9"/>
      <color rgb="FFBFBFBF"/>
      <color rgb="FFEAEAEA"/>
      <color rgb="FF5E6A71"/>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57"/>
  <sheetViews>
    <sheetView showGridLines="0" tabSelected="1" zoomScale="90" zoomScaleNormal="90" workbookViewId="0">
      <selection activeCell="H56" sqref="H56"/>
    </sheetView>
  </sheetViews>
  <sheetFormatPr defaultRowHeight="12.75" x14ac:dyDescent="0.2"/>
  <cols>
    <col min="1" max="1" width="2.42578125" style="115" customWidth="1"/>
    <col min="2" max="2" width="41.85546875" style="115" customWidth="1"/>
    <col min="3" max="3" width="19.28515625" style="115" customWidth="1"/>
    <col min="4" max="4" width="14.28515625" style="115" customWidth="1"/>
    <col min="5" max="5" width="13.85546875" style="115" customWidth="1"/>
    <col min="6" max="6" width="14" style="115" customWidth="1"/>
    <col min="7" max="7" width="12.85546875" style="115" customWidth="1"/>
    <col min="8" max="8" width="13.28515625" style="115" customWidth="1"/>
    <col min="9" max="9" width="11.5703125" style="115" customWidth="1"/>
    <col min="10" max="16384" width="9.140625" style="115"/>
  </cols>
  <sheetData>
    <row r="2" spans="2:19" x14ac:dyDescent="0.2">
      <c r="B2" s="113" t="s">
        <v>7</v>
      </c>
      <c r="C2" s="114"/>
      <c r="D2" s="114"/>
      <c r="E2" s="114"/>
      <c r="F2" s="114"/>
      <c r="G2" s="114"/>
      <c r="H2" s="114"/>
      <c r="O2" s="116"/>
      <c r="P2" s="116"/>
      <c r="Q2" s="116"/>
      <c r="R2" s="116"/>
      <c r="S2" s="116"/>
    </row>
    <row r="3" spans="2:19" ht="75.75" customHeight="1" x14ac:dyDescent="0.2">
      <c r="B3" s="117" t="s">
        <v>54</v>
      </c>
      <c r="C3" s="207" t="s">
        <v>64</v>
      </c>
      <c r="D3" s="208"/>
      <c r="E3" s="208"/>
      <c r="F3" s="208"/>
      <c r="G3" s="208"/>
      <c r="H3" s="208"/>
      <c r="M3" s="118"/>
      <c r="N3" s="118"/>
      <c r="O3" s="116"/>
      <c r="P3" s="116"/>
      <c r="Q3" s="116"/>
      <c r="R3" s="116"/>
      <c r="S3" s="116"/>
    </row>
    <row r="4" spans="2:19" ht="55.5" customHeight="1" x14ac:dyDescent="0.2">
      <c r="B4" s="119"/>
      <c r="C4" s="211"/>
      <c r="D4" s="211"/>
      <c r="E4" s="120"/>
      <c r="F4" s="120"/>
      <c r="G4" s="120"/>
      <c r="H4" s="120"/>
      <c r="M4" s="118"/>
      <c r="N4" s="118"/>
      <c r="O4" s="116"/>
      <c r="P4" s="116"/>
      <c r="Q4" s="116"/>
      <c r="R4" s="116"/>
      <c r="S4" s="116"/>
    </row>
    <row r="5" spans="2:19" x14ac:dyDescent="0.2">
      <c r="B5" s="117" t="s">
        <v>13</v>
      </c>
      <c r="C5" s="121"/>
      <c r="D5" s="158" t="s">
        <v>72</v>
      </c>
      <c r="E5" s="122"/>
      <c r="F5" s="122"/>
      <c r="G5" s="122"/>
      <c r="H5" s="122"/>
      <c r="M5" s="118"/>
      <c r="N5" s="118"/>
      <c r="O5" s="116"/>
      <c r="P5" s="116"/>
      <c r="Q5" s="116"/>
      <c r="R5" s="116"/>
      <c r="S5" s="116"/>
    </row>
    <row r="6" spans="2:19" x14ac:dyDescent="0.2">
      <c r="B6" s="123" t="s">
        <v>41</v>
      </c>
      <c r="C6" s="124"/>
      <c r="D6" s="124">
        <v>180.41</v>
      </c>
      <c r="E6" s="125"/>
      <c r="F6" s="125"/>
      <c r="G6" s="125"/>
      <c r="H6" s="125"/>
      <c r="M6" s="118"/>
      <c r="N6" s="118"/>
      <c r="O6" s="116"/>
      <c r="P6" s="116"/>
      <c r="Q6" s="116"/>
      <c r="R6" s="116"/>
      <c r="S6" s="116"/>
    </row>
    <row r="7" spans="2:19" x14ac:dyDescent="0.2">
      <c r="B7" s="159" t="s">
        <v>97</v>
      </c>
      <c r="C7" s="124"/>
      <c r="D7" s="126">
        <f>'Proposed price'!Q8</f>
        <v>212.70961481276012</v>
      </c>
      <c r="E7" s="125"/>
      <c r="F7" s="125"/>
      <c r="G7" s="125"/>
      <c r="H7" s="125"/>
      <c r="O7" s="116"/>
      <c r="P7" s="116"/>
      <c r="Q7" s="116"/>
      <c r="R7" s="116"/>
      <c r="S7" s="116"/>
    </row>
    <row r="8" spans="2:19" x14ac:dyDescent="0.2">
      <c r="B8" s="127" t="s">
        <v>47</v>
      </c>
      <c r="C8" s="212" t="s">
        <v>69</v>
      </c>
      <c r="D8" s="213"/>
      <c r="E8" s="128"/>
      <c r="F8" s="128"/>
      <c r="G8" s="128"/>
      <c r="H8" s="128"/>
      <c r="O8" s="116"/>
      <c r="P8" s="116"/>
      <c r="Q8" s="116"/>
      <c r="R8" s="116"/>
      <c r="S8" s="116"/>
    </row>
    <row r="9" spans="2:19" x14ac:dyDescent="0.2">
      <c r="B9" s="129" t="s">
        <v>5</v>
      </c>
      <c r="C9" s="130"/>
      <c r="D9" s="130"/>
      <c r="E9" s="130"/>
      <c r="F9" s="130"/>
      <c r="G9" s="130"/>
      <c r="H9" s="131"/>
      <c r="O9" s="116"/>
      <c r="P9" s="116"/>
      <c r="Q9" s="116"/>
      <c r="R9" s="116"/>
      <c r="S9" s="116"/>
    </row>
    <row r="10" spans="2:19" ht="85.5" customHeight="1" x14ac:dyDescent="0.2">
      <c r="B10" s="209" t="s">
        <v>96</v>
      </c>
      <c r="C10" s="209"/>
      <c r="D10" s="209"/>
      <c r="E10" s="209"/>
      <c r="F10" s="209"/>
      <c r="G10" s="209"/>
      <c r="H10" s="209"/>
      <c r="O10" s="116"/>
      <c r="P10" s="116"/>
      <c r="Q10" s="116"/>
      <c r="R10" s="116"/>
      <c r="S10" s="116"/>
    </row>
    <row r="11" spans="2:19" x14ac:dyDescent="0.2">
      <c r="B11" s="132"/>
      <c r="C11" s="132"/>
      <c r="D11" s="132"/>
      <c r="E11" s="132"/>
      <c r="F11" s="132"/>
      <c r="G11" s="132"/>
      <c r="H11" s="132"/>
      <c r="O11" s="116"/>
      <c r="P11" s="116"/>
      <c r="Q11" s="116"/>
      <c r="R11" s="116"/>
      <c r="S11" s="116"/>
    </row>
    <row r="12" spans="2:19" x14ac:dyDescent="0.2">
      <c r="O12" s="116"/>
      <c r="P12" s="116"/>
      <c r="Q12" s="116"/>
      <c r="R12" s="116"/>
      <c r="S12" s="116"/>
    </row>
    <row r="13" spans="2:19" x14ac:dyDescent="0.2">
      <c r="B13" s="133" t="s">
        <v>34</v>
      </c>
      <c r="C13" s="114"/>
      <c r="D13" s="114"/>
      <c r="E13" s="114"/>
      <c r="F13" s="114"/>
      <c r="G13" s="114"/>
      <c r="H13" s="114"/>
      <c r="O13" s="116"/>
      <c r="P13" s="116"/>
      <c r="Q13" s="116"/>
      <c r="R13" s="116"/>
      <c r="S13" s="116"/>
    </row>
    <row r="14" spans="2:19" x14ac:dyDescent="0.2">
      <c r="B14" s="204"/>
      <c r="C14" s="204"/>
      <c r="D14" s="204"/>
      <c r="E14" s="204"/>
      <c r="F14" s="204"/>
      <c r="G14" s="204"/>
      <c r="H14" s="204"/>
    </row>
    <row r="15" spans="2:19" ht="141.75" customHeight="1" x14ac:dyDescent="0.2">
      <c r="B15" s="210" t="s">
        <v>142</v>
      </c>
      <c r="C15" s="210"/>
      <c r="D15" s="210"/>
      <c r="E15" s="210"/>
      <c r="F15" s="210"/>
      <c r="G15" s="210"/>
      <c r="H15" s="210"/>
      <c r="I15" s="116"/>
    </row>
    <row r="16" spans="2:19" x14ac:dyDescent="0.2">
      <c r="B16" s="134"/>
      <c r="C16" s="134"/>
      <c r="D16" s="134"/>
      <c r="E16" s="134"/>
      <c r="F16" s="134"/>
      <c r="G16" s="134"/>
      <c r="H16" s="134"/>
    </row>
    <row r="17" spans="2:9" x14ac:dyDescent="0.2">
      <c r="B17" s="133" t="s">
        <v>42</v>
      </c>
      <c r="C17" s="114"/>
      <c r="D17" s="114"/>
      <c r="E17" s="114"/>
      <c r="F17" s="114"/>
      <c r="G17" s="114"/>
      <c r="H17" s="114"/>
    </row>
    <row r="18" spans="2:9" x14ac:dyDescent="0.2">
      <c r="B18" s="204" t="s">
        <v>80</v>
      </c>
      <c r="C18" s="204"/>
      <c r="D18" s="204"/>
      <c r="E18" s="204"/>
      <c r="F18" s="204"/>
      <c r="G18" s="204"/>
      <c r="H18" s="204"/>
    </row>
    <row r="19" spans="2:9" x14ac:dyDescent="0.2">
      <c r="B19" s="205"/>
      <c r="C19" s="205"/>
      <c r="D19" s="205"/>
      <c r="E19" s="205"/>
      <c r="F19" s="205"/>
      <c r="G19" s="205"/>
      <c r="H19" s="205"/>
    </row>
    <row r="20" spans="2:9" x14ac:dyDescent="0.2">
      <c r="B20" s="205"/>
      <c r="C20" s="205"/>
      <c r="D20" s="205"/>
      <c r="E20" s="205"/>
      <c r="F20" s="205"/>
      <c r="G20" s="205"/>
      <c r="H20" s="205"/>
    </row>
    <row r="21" spans="2:9" x14ac:dyDescent="0.2">
      <c r="B21" s="205"/>
      <c r="C21" s="206"/>
      <c r="D21" s="206"/>
      <c r="E21" s="206"/>
      <c r="F21" s="206"/>
      <c r="G21" s="206"/>
      <c r="H21" s="206"/>
    </row>
    <row r="22" spans="2:9" x14ac:dyDescent="0.2">
      <c r="B22" s="135"/>
      <c r="C22" s="135"/>
      <c r="D22" s="135"/>
      <c r="E22" s="135"/>
      <c r="F22" s="135"/>
      <c r="G22" s="135"/>
      <c r="H22" s="135"/>
    </row>
    <row r="23" spans="2:9" x14ac:dyDescent="0.2">
      <c r="B23" s="204"/>
      <c r="C23" s="204"/>
      <c r="D23" s="204"/>
      <c r="E23" s="204"/>
      <c r="F23" s="204"/>
      <c r="G23" s="204"/>
      <c r="H23" s="204"/>
    </row>
    <row r="24" spans="2:9" x14ac:dyDescent="0.2">
      <c r="B24" s="136"/>
      <c r="C24" s="136"/>
      <c r="D24" s="136"/>
      <c r="E24" s="136"/>
      <c r="F24" s="136"/>
      <c r="G24" s="136"/>
      <c r="H24" s="136"/>
    </row>
    <row r="25" spans="2:9" x14ac:dyDescent="0.2">
      <c r="B25" s="136"/>
      <c r="C25" s="136"/>
      <c r="D25" s="136"/>
      <c r="E25" s="136"/>
      <c r="F25" s="136"/>
      <c r="G25" s="136"/>
      <c r="H25" s="136"/>
    </row>
    <row r="26" spans="2:9" x14ac:dyDescent="0.2">
      <c r="B26" s="136"/>
      <c r="C26" s="136"/>
      <c r="D26" s="136"/>
      <c r="E26" s="136"/>
      <c r="F26" s="136"/>
      <c r="G26" s="136"/>
      <c r="H26" s="136"/>
    </row>
    <row r="27" spans="2:9" x14ac:dyDescent="0.2">
      <c r="B27" s="136"/>
      <c r="C27" s="136"/>
      <c r="D27" s="136"/>
      <c r="E27" s="136"/>
      <c r="F27" s="136"/>
      <c r="G27" s="136"/>
      <c r="H27" s="136"/>
    </row>
    <row r="28" spans="2:9" x14ac:dyDescent="0.2">
      <c r="B28" s="137"/>
      <c r="C28" s="137"/>
      <c r="D28" s="137"/>
      <c r="E28" s="137"/>
      <c r="F28" s="137"/>
      <c r="G28" s="137"/>
      <c r="H28" s="137"/>
      <c r="I28" s="116"/>
    </row>
    <row r="29" spans="2:9" x14ac:dyDescent="0.2">
      <c r="B29" s="133" t="s">
        <v>6</v>
      </c>
    </row>
    <row r="30" spans="2:9" x14ac:dyDescent="0.2">
      <c r="B30" s="138" t="s">
        <v>14</v>
      </c>
      <c r="C30" s="139" t="s">
        <v>29</v>
      </c>
      <c r="D30" s="139"/>
      <c r="E30" s="139"/>
      <c r="F30" s="139"/>
      <c r="G30" s="139"/>
      <c r="H30" s="139"/>
    </row>
    <row r="31" spans="2:9" x14ac:dyDescent="0.2">
      <c r="B31" s="140" t="s">
        <v>45</v>
      </c>
      <c r="C31" s="139" t="s">
        <v>51</v>
      </c>
      <c r="D31" s="139"/>
      <c r="E31" s="139"/>
      <c r="F31" s="139"/>
      <c r="G31" s="139"/>
      <c r="H31" s="139"/>
    </row>
    <row r="32" spans="2:9" x14ac:dyDescent="0.2">
      <c r="B32" s="140" t="s">
        <v>46</v>
      </c>
      <c r="C32" s="139" t="s">
        <v>52</v>
      </c>
      <c r="D32" s="139"/>
      <c r="E32" s="139"/>
      <c r="F32" s="139"/>
      <c r="G32" s="139"/>
      <c r="H32" s="139"/>
    </row>
    <row r="33" spans="2:9" x14ac:dyDescent="0.2">
      <c r="B33" s="140" t="s">
        <v>15</v>
      </c>
      <c r="C33" s="139" t="s">
        <v>30</v>
      </c>
      <c r="D33" s="139"/>
      <c r="E33" s="139"/>
      <c r="F33" s="139"/>
      <c r="G33" s="139"/>
      <c r="H33" s="139"/>
    </row>
    <row r="36" spans="2:9" x14ac:dyDescent="0.2">
      <c r="B36" s="133" t="s">
        <v>35</v>
      </c>
      <c r="C36" s="114"/>
      <c r="D36" s="114"/>
      <c r="E36" s="114"/>
      <c r="F36" s="114"/>
      <c r="G36" s="114"/>
      <c r="H36" s="114"/>
    </row>
    <row r="38" spans="2:9" x14ac:dyDescent="0.2">
      <c r="B38" s="141"/>
      <c r="C38" s="142" t="s">
        <v>36</v>
      </c>
      <c r="D38" s="142" t="s">
        <v>37</v>
      </c>
      <c r="E38" s="142" t="s">
        <v>38</v>
      </c>
      <c r="F38" s="142" t="s">
        <v>40</v>
      </c>
      <c r="G38" s="142" t="s">
        <v>39</v>
      </c>
      <c r="H38" s="143" t="s">
        <v>1</v>
      </c>
    </row>
    <row r="39" spans="2:9" x14ac:dyDescent="0.2">
      <c r="C39" s="144"/>
      <c r="D39" s="144"/>
      <c r="E39" s="144"/>
      <c r="F39" s="144"/>
      <c r="G39" s="144"/>
      <c r="H39" s="144"/>
    </row>
    <row r="40" spans="2:9" x14ac:dyDescent="0.2">
      <c r="B40" s="160" t="s">
        <v>98</v>
      </c>
      <c r="C40" s="145">
        <f>'Forecast Revenue - Costs'!D31</f>
        <v>6149.6516954245653</v>
      </c>
      <c r="D40" s="145">
        <f>'Forecast Revenue - Costs'!E31</f>
        <v>6149.6516954245653</v>
      </c>
      <c r="E40" s="145">
        <f>'Forecast Revenue - Costs'!F31</f>
        <v>6206.4450241156446</v>
      </c>
      <c r="F40" s="145">
        <f>'Forecast Revenue - Costs'!G31</f>
        <v>6327.1899746023864</v>
      </c>
      <c r="G40" s="145">
        <f>'Forecast Revenue - Costs'!H31</f>
        <v>6507.5547015855973</v>
      </c>
      <c r="H40" s="145">
        <f>SUM(C40:G40)</f>
        <v>31340.493091152763</v>
      </c>
    </row>
    <row r="41" spans="2:9" x14ac:dyDescent="0.2">
      <c r="C41" s="146"/>
      <c r="D41" s="147"/>
      <c r="E41" s="146"/>
      <c r="F41" s="146"/>
      <c r="G41" s="146"/>
    </row>
    <row r="42" spans="2:9" x14ac:dyDescent="0.2">
      <c r="B42" s="160" t="s">
        <v>99</v>
      </c>
      <c r="C42" s="145">
        <f>SUM('Forecast Revenue - Costs'!D32:D34)</f>
        <v>4485.8290452134406</v>
      </c>
      <c r="D42" s="145">
        <f>SUM('Forecast Revenue - Costs'!E32:E34)</f>
        <v>4485.8290452134406</v>
      </c>
      <c r="E42" s="145">
        <f>SUM('Forecast Revenue - Costs'!F32:F34)</f>
        <v>4527.2566212835372</v>
      </c>
      <c r="F42" s="145">
        <f>SUM('Forecast Revenue - Costs'!G32:G34)</f>
        <v>4615.3333503053236</v>
      </c>
      <c r="G42" s="145">
        <f>SUM('Forecast Revenue - Costs'!H32:H34)</f>
        <v>4746.899391945577</v>
      </c>
      <c r="H42" s="145">
        <f>SUM(C42:G42)</f>
        <v>22861.147453961319</v>
      </c>
    </row>
    <row r="43" spans="2:9" x14ac:dyDescent="0.2">
      <c r="C43" s="146"/>
      <c r="D43" s="147"/>
      <c r="E43" s="146"/>
      <c r="F43" s="146"/>
      <c r="G43" s="146"/>
    </row>
    <row r="44" spans="2:9" x14ac:dyDescent="0.2">
      <c r="B44" s="160" t="s">
        <v>100</v>
      </c>
      <c r="C44" s="145">
        <f t="shared" ref="C44:H44" si="0">+C40+C42</f>
        <v>10635.480740638006</v>
      </c>
      <c r="D44" s="145">
        <f t="shared" si="0"/>
        <v>10635.480740638006</v>
      </c>
      <c r="E44" s="145">
        <f t="shared" si="0"/>
        <v>10733.701645399182</v>
      </c>
      <c r="F44" s="145">
        <f t="shared" si="0"/>
        <v>10942.52332490771</v>
      </c>
      <c r="G44" s="145">
        <f t="shared" si="0"/>
        <v>11254.454093531174</v>
      </c>
      <c r="H44" s="145">
        <f t="shared" si="0"/>
        <v>54201.640545114082</v>
      </c>
    </row>
    <row r="45" spans="2:9" x14ac:dyDescent="0.2">
      <c r="C45" s="148"/>
      <c r="D45" s="148"/>
      <c r="E45" s="148"/>
      <c r="F45" s="148"/>
      <c r="G45" s="148"/>
    </row>
    <row r="46" spans="2:9" x14ac:dyDescent="0.2">
      <c r="B46" s="149" t="s">
        <v>6</v>
      </c>
    </row>
    <row r="47" spans="2:9" ht="14.25" customHeight="1" x14ac:dyDescent="0.2">
      <c r="B47" s="203"/>
      <c r="C47" s="203"/>
      <c r="D47" s="203"/>
      <c r="E47" s="203"/>
      <c r="F47" s="203"/>
      <c r="G47" s="203"/>
      <c r="H47" s="203"/>
    </row>
    <row r="48" spans="2:9" x14ac:dyDescent="0.2">
      <c r="B48" s="204"/>
      <c r="C48" s="204"/>
      <c r="D48" s="204"/>
      <c r="E48" s="204"/>
      <c r="F48" s="204"/>
      <c r="G48" s="204"/>
      <c r="H48" s="204"/>
      <c r="I48" s="116"/>
    </row>
    <row r="49" spans="2:8" ht="27.75" customHeight="1" x14ac:dyDescent="0.2">
      <c r="B49" s="204"/>
      <c r="C49" s="204"/>
      <c r="D49" s="204"/>
      <c r="E49" s="204"/>
      <c r="F49" s="204"/>
      <c r="G49" s="204"/>
      <c r="H49" s="204"/>
    </row>
    <row r="52" spans="2:8" x14ac:dyDescent="0.2">
      <c r="B52" s="133" t="s">
        <v>71</v>
      </c>
      <c r="C52" s="114"/>
      <c r="D52" s="114"/>
      <c r="E52" s="114"/>
      <c r="F52" s="114"/>
      <c r="G52" s="114"/>
      <c r="H52" s="114"/>
    </row>
    <row r="53" spans="2:8" x14ac:dyDescent="0.2">
      <c r="B53" s="150"/>
    </row>
    <row r="54" spans="2:8" x14ac:dyDescent="0.2">
      <c r="B54" s="151"/>
      <c r="C54" s="152" t="s">
        <v>36</v>
      </c>
      <c r="D54" s="152" t="s">
        <v>37</v>
      </c>
      <c r="E54" s="152" t="s">
        <v>38</v>
      </c>
      <c r="F54" s="152" t="s">
        <v>40</v>
      </c>
      <c r="G54" s="152" t="s">
        <v>39</v>
      </c>
      <c r="H54" s="153" t="s">
        <v>1</v>
      </c>
    </row>
    <row r="55" spans="2:8" x14ac:dyDescent="0.2">
      <c r="C55" s="154"/>
      <c r="D55" s="154"/>
      <c r="E55" s="154"/>
      <c r="F55" s="154"/>
      <c r="G55" s="154"/>
      <c r="H55" s="154"/>
    </row>
    <row r="56" spans="2:8" x14ac:dyDescent="0.2">
      <c r="B56" s="151" t="s">
        <v>12</v>
      </c>
      <c r="C56" s="155">
        <f>'Forecast Revenue - Costs'!D13</f>
        <v>5</v>
      </c>
      <c r="D56" s="155">
        <f>'Forecast Revenue - Costs'!E13</f>
        <v>5</v>
      </c>
      <c r="E56" s="155">
        <f>'Forecast Revenue - Costs'!F13</f>
        <v>5</v>
      </c>
      <c r="F56" s="155">
        <f>'Forecast Revenue - Costs'!G13</f>
        <v>5</v>
      </c>
      <c r="G56" s="155">
        <f>'Forecast Revenue - Costs'!H13</f>
        <v>5</v>
      </c>
      <c r="H56" s="155">
        <f>SUM(C56:G56)</f>
        <v>25</v>
      </c>
    </row>
    <row r="57" spans="2:8" x14ac:dyDescent="0.2">
      <c r="C57" s="156"/>
      <c r="D57" s="156"/>
      <c r="E57" s="156"/>
      <c r="F57" s="156"/>
      <c r="G57" s="156"/>
      <c r="H57" s="157"/>
    </row>
  </sheetData>
  <mergeCells count="12">
    <mergeCell ref="C3:H3"/>
    <mergeCell ref="B14:H14"/>
    <mergeCell ref="B10:H10"/>
    <mergeCell ref="B15:H15"/>
    <mergeCell ref="C4:D4"/>
    <mergeCell ref="C8:D8"/>
    <mergeCell ref="B47:H49"/>
    <mergeCell ref="B18:H18"/>
    <mergeCell ref="B19:H19"/>
    <mergeCell ref="B20:H20"/>
    <mergeCell ref="B21:H21"/>
    <mergeCell ref="B23:H23"/>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B20" sqref="B20:K20"/>
    </sheetView>
  </sheetViews>
  <sheetFormatPr defaultRowHeight="12.75" x14ac:dyDescent="0.2"/>
  <cols>
    <col min="1" max="1" width="2.28515625" style="1" customWidth="1"/>
    <col min="2" max="2" width="2.42578125" style="42" customWidth="1"/>
    <col min="3" max="3" width="10.140625" style="42" customWidth="1"/>
    <col min="4" max="9" width="13.140625" style="42" customWidth="1"/>
    <col min="10" max="11" width="9.140625" style="42"/>
    <col min="12" max="12" width="5.28515625" style="42" customWidth="1"/>
    <col min="13" max="13" width="2.42578125" style="1" customWidth="1"/>
    <col min="14" max="16384" width="9.140625" style="1"/>
  </cols>
  <sheetData>
    <row r="1" spans="2:14" ht="9" customHeight="1" x14ac:dyDescent="0.2"/>
    <row r="2" spans="2:14" ht="18" customHeight="1" x14ac:dyDescent="0.2">
      <c r="B2" s="39" t="s">
        <v>16</v>
      </c>
      <c r="C2" s="39"/>
      <c r="D2" s="39"/>
      <c r="E2" s="39"/>
      <c r="F2" s="39"/>
      <c r="G2" s="39"/>
      <c r="H2" s="39"/>
      <c r="I2" s="39"/>
      <c r="J2" s="39"/>
      <c r="K2" s="39"/>
    </row>
    <row r="3" spans="2:14" x14ac:dyDescent="0.2">
      <c r="B3" s="32" t="s">
        <v>0</v>
      </c>
      <c r="C3" s="40"/>
      <c r="D3" s="216" t="str">
        <f>'AER Summary'!C3</f>
        <v xml:space="preserve">High Load Escorts </v>
      </c>
      <c r="E3" s="217"/>
      <c r="F3" s="217"/>
      <c r="G3" s="217"/>
      <c r="H3" s="217"/>
      <c r="I3" s="217"/>
      <c r="J3" s="217"/>
      <c r="K3" s="217"/>
      <c r="N3" s="30"/>
    </row>
    <row r="4" spans="2:14" x14ac:dyDescent="0.2">
      <c r="N4" s="30"/>
    </row>
    <row r="5" spans="2:14" x14ac:dyDescent="0.2">
      <c r="B5" s="218" t="s">
        <v>67</v>
      </c>
      <c r="C5" s="218"/>
      <c r="D5" s="218"/>
      <c r="E5" s="218"/>
      <c r="F5" s="218"/>
      <c r="G5" s="218"/>
      <c r="H5" s="218"/>
      <c r="I5" s="218"/>
      <c r="J5" s="218"/>
      <c r="K5" s="218"/>
      <c r="N5" s="30"/>
    </row>
    <row r="6" spans="2:14" ht="70.5" customHeight="1" x14ac:dyDescent="0.2">
      <c r="B6" s="219" t="s">
        <v>65</v>
      </c>
      <c r="C6" s="220"/>
      <c r="D6" s="220"/>
      <c r="E6" s="220"/>
      <c r="F6" s="220"/>
      <c r="G6" s="220"/>
      <c r="H6" s="220"/>
      <c r="I6" s="220"/>
      <c r="J6" s="220"/>
      <c r="K6" s="220"/>
      <c r="N6" s="30"/>
    </row>
    <row r="9" spans="2:14" x14ac:dyDescent="0.2">
      <c r="B9" s="218" t="s">
        <v>43</v>
      </c>
      <c r="C9" s="218"/>
      <c r="D9" s="218"/>
      <c r="E9" s="218"/>
      <c r="F9" s="218"/>
      <c r="G9" s="218"/>
      <c r="H9" s="218"/>
      <c r="I9" s="218"/>
      <c r="J9" s="218"/>
      <c r="K9" s="218"/>
    </row>
    <row r="10" spans="2:14" ht="15" customHeight="1" x14ac:dyDescent="0.2">
      <c r="B10" s="215" t="s">
        <v>66</v>
      </c>
      <c r="C10" s="215"/>
      <c r="D10" s="215"/>
      <c r="E10" s="215"/>
      <c r="F10" s="215"/>
      <c r="G10" s="215"/>
      <c r="H10" s="215"/>
      <c r="I10" s="215"/>
      <c r="J10" s="215"/>
      <c r="K10" s="215"/>
    </row>
    <row r="11" spans="2:14" ht="24.75" customHeight="1" x14ac:dyDescent="0.2">
      <c r="B11" s="221"/>
      <c r="C11" s="221"/>
      <c r="D11" s="221"/>
      <c r="E11" s="221"/>
      <c r="F11" s="221"/>
      <c r="G11" s="221"/>
      <c r="H11" s="221"/>
      <c r="I11" s="221"/>
      <c r="J11" s="221"/>
      <c r="K11" s="221"/>
      <c r="L11" s="43"/>
      <c r="M11" s="31"/>
      <c r="N11" s="31"/>
    </row>
    <row r="12" spans="2:14" x14ac:dyDescent="0.2">
      <c r="B12" s="221"/>
      <c r="C12" s="221"/>
      <c r="D12" s="221"/>
      <c r="E12" s="221"/>
      <c r="F12" s="221"/>
      <c r="G12" s="221"/>
      <c r="H12" s="221"/>
      <c r="I12" s="221"/>
      <c r="J12" s="221"/>
      <c r="K12" s="221"/>
      <c r="L12" s="43"/>
      <c r="M12" s="31"/>
      <c r="N12" s="31"/>
    </row>
    <row r="13" spans="2:14" x14ac:dyDescent="0.2">
      <c r="B13" s="221"/>
      <c r="C13" s="221"/>
      <c r="D13" s="221"/>
      <c r="E13" s="221"/>
      <c r="F13" s="221"/>
      <c r="G13" s="221"/>
      <c r="H13" s="221"/>
      <c r="I13" s="221"/>
      <c r="J13" s="221"/>
      <c r="K13" s="221"/>
      <c r="L13" s="43"/>
      <c r="M13" s="31"/>
      <c r="N13" s="31"/>
    </row>
    <row r="14" spans="2:14" ht="48" customHeight="1" x14ac:dyDescent="0.2">
      <c r="B14" s="221"/>
      <c r="C14" s="221"/>
      <c r="D14" s="221"/>
      <c r="E14" s="221"/>
      <c r="F14" s="221"/>
      <c r="G14" s="221"/>
      <c r="H14" s="221"/>
      <c r="I14" s="221"/>
      <c r="J14" s="221"/>
      <c r="K14" s="221"/>
      <c r="L14" s="43"/>
      <c r="M14" s="31"/>
      <c r="N14" s="31"/>
    </row>
    <row r="15" spans="2:14" x14ac:dyDescent="0.2">
      <c r="B15" s="221"/>
      <c r="C15" s="221"/>
      <c r="D15" s="221"/>
      <c r="E15" s="221"/>
      <c r="F15" s="221"/>
      <c r="G15" s="221"/>
      <c r="H15" s="221"/>
      <c r="I15" s="221"/>
      <c r="J15" s="221"/>
      <c r="K15" s="221"/>
      <c r="L15" s="43"/>
      <c r="M15" s="31"/>
      <c r="N15" s="31"/>
    </row>
    <row r="16" spans="2:14" x14ac:dyDescent="0.2">
      <c r="B16" s="221"/>
      <c r="C16" s="221"/>
      <c r="D16" s="221"/>
      <c r="E16" s="221"/>
      <c r="F16" s="221"/>
      <c r="G16" s="221"/>
      <c r="H16" s="221"/>
      <c r="I16" s="221"/>
      <c r="J16" s="221"/>
      <c r="K16" s="221"/>
      <c r="L16" s="43"/>
      <c r="M16" s="31"/>
      <c r="N16" s="31"/>
    </row>
    <row r="17" spans="2:14" x14ac:dyDescent="0.2">
      <c r="L17" s="43"/>
      <c r="M17" s="31"/>
      <c r="N17" s="31"/>
    </row>
    <row r="18" spans="2:14" x14ac:dyDescent="0.2">
      <c r="L18" s="43"/>
      <c r="M18" s="31"/>
      <c r="N18" s="31"/>
    </row>
    <row r="19" spans="2:14" x14ac:dyDescent="0.2">
      <c r="B19" s="218" t="s">
        <v>44</v>
      </c>
      <c r="C19" s="218"/>
      <c r="D19" s="218"/>
      <c r="E19" s="218"/>
      <c r="F19" s="218"/>
      <c r="G19" s="218"/>
      <c r="H19" s="218"/>
      <c r="I19" s="218"/>
      <c r="J19" s="218"/>
      <c r="K19" s="218"/>
      <c r="L19" s="43"/>
      <c r="M19" s="31"/>
      <c r="N19" s="31"/>
    </row>
    <row r="20" spans="2:14" ht="53.25" customHeight="1" x14ac:dyDescent="0.2">
      <c r="B20" s="215" t="s">
        <v>65</v>
      </c>
      <c r="C20" s="215"/>
      <c r="D20" s="215"/>
      <c r="E20" s="215"/>
      <c r="F20" s="215"/>
      <c r="G20" s="215"/>
      <c r="H20" s="215"/>
      <c r="I20" s="215"/>
      <c r="J20" s="215"/>
      <c r="K20" s="215"/>
    </row>
    <row r="21" spans="2:14" x14ac:dyDescent="0.2">
      <c r="B21" s="214"/>
      <c r="C21" s="214"/>
      <c r="D21" s="214"/>
      <c r="E21" s="214"/>
      <c r="F21" s="214"/>
      <c r="G21" s="214"/>
      <c r="H21" s="214"/>
      <c r="I21" s="214"/>
      <c r="J21" s="214"/>
      <c r="K21" s="214"/>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9"/>
  <sheetViews>
    <sheetView showGridLines="0" workbookViewId="0">
      <selection activeCell="C46" sqref="C46"/>
    </sheetView>
  </sheetViews>
  <sheetFormatPr defaultRowHeight="12.75" x14ac:dyDescent="0.2"/>
  <cols>
    <col min="1" max="1" width="3.5703125" style="44" customWidth="1"/>
    <col min="2" max="2" width="58.7109375" style="44" customWidth="1"/>
    <col min="3" max="3" width="65.140625" style="44" customWidth="1"/>
    <col min="4" max="4" width="12.5703125" style="44" customWidth="1"/>
    <col min="5" max="8" width="11.28515625" style="44" customWidth="1"/>
    <col min="9" max="9" width="12.7109375" style="44" customWidth="1"/>
    <col min="10" max="16384" width="9.140625" style="44"/>
  </cols>
  <sheetData>
    <row r="2" spans="1:9" x14ac:dyDescent="0.2">
      <c r="B2" s="41" t="s">
        <v>74</v>
      </c>
      <c r="C2" s="29"/>
      <c r="D2" s="29"/>
      <c r="E2" s="29"/>
      <c r="F2" s="29"/>
      <c r="G2" s="29"/>
      <c r="H2" s="29"/>
      <c r="I2" s="29"/>
    </row>
    <row r="3" spans="1:9" x14ac:dyDescent="0.2">
      <c r="B3" s="18" t="s">
        <v>20</v>
      </c>
      <c r="C3" s="18" t="s">
        <v>3</v>
      </c>
      <c r="D3" s="54" t="s">
        <v>57</v>
      </c>
      <c r="E3" s="54" t="s">
        <v>56</v>
      </c>
      <c r="F3" s="54" t="s">
        <v>55</v>
      </c>
      <c r="G3" s="75" t="s">
        <v>83</v>
      </c>
      <c r="H3" s="75" t="s">
        <v>84</v>
      </c>
      <c r="I3" s="19" t="s">
        <v>1</v>
      </c>
    </row>
    <row r="4" spans="1:9" x14ac:dyDescent="0.2">
      <c r="B4" s="5" t="s">
        <v>21</v>
      </c>
      <c r="C4" s="5" t="s">
        <v>68</v>
      </c>
      <c r="D4" s="56">
        <v>0</v>
      </c>
      <c r="E4" s="56">
        <v>8464.09</v>
      </c>
      <c r="F4" s="56">
        <v>18204.400000000001</v>
      </c>
      <c r="G4" s="56">
        <v>1720.04</v>
      </c>
      <c r="H4" s="56">
        <f>G4*102.5%</f>
        <v>1763.0409999999997</v>
      </c>
      <c r="I4" s="161">
        <f>SUM(D4:H4)</f>
        <v>30151.571000000004</v>
      </c>
    </row>
    <row r="5" spans="1:9" x14ac:dyDescent="0.2">
      <c r="B5" s="5" t="s">
        <v>23</v>
      </c>
      <c r="C5" s="10"/>
      <c r="D5" s="56"/>
      <c r="E5" s="56">
        <v>0</v>
      </c>
      <c r="F5" s="56">
        <v>0</v>
      </c>
      <c r="G5" s="56">
        <v>0</v>
      </c>
      <c r="H5" s="56">
        <f t="shared" ref="H5:H8" si="0">G5*102.5%</f>
        <v>0</v>
      </c>
      <c r="I5" s="161">
        <f t="shared" ref="I5:I8" si="1">SUM(D5:H5)</f>
        <v>0</v>
      </c>
    </row>
    <row r="6" spans="1:9" x14ac:dyDescent="0.2">
      <c r="B6" s="5" t="s">
        <v>24</v>
      </c>
      <c r="C6" s="5"/>
      <c r="D6" s="56">
        <v>0</v>
      </c>
      <c r="E6" s="56">
        <v>1820.56</v>
      </c>
      <c r="F6" s="56">
        <v>5346.01</v>
      </c>
      <c r="G6" s="56">
        <v>424.58</v>
      </c>
      <c r="H6" s="56">
        <f t="shared" si="0"/>
        <v>435.19449999999995</v>
      </c>
      <c r="I6" s="161">
        <f t="shared" si="1"/>
        <v>8026.3444999999992</v>
      </c>
    </row>
    <row r="7" spans="1:9" x14ac:dyDescent="0.2">
      <c r="B7" s="5" t="s">
        <v>25</v>
      </c>
      <c r="C7" s="5"/>
      <c r="D7" s="56"/>
      <c r="E7" s="56">
        <v>0</v>
      </c>
      <c r="F7" s="56">
        <v>0</v>
      </c>
      <c r="G7" s="56">
        <v>0</v>
      </c>
      <c r="H7" s="56">
        <f t="shared" si="0"/>
        <v>0</v>
      </c>
      <c r="I7" s="161">
        <f t="shared" si="1"/>
        <v>0</v>
      </c>
    </row>
    <row r="8" spans="1:9" x14ac:dyDescent="0.2">
      <c r="B8" s="5" t="s">
        <v>22</v>
      </c>
      <c r="C8" s="5"/>
      <c r="D8" s="56"/>
      <c r="E8" s="20">
        <v>10554.82</v>
      </c>
      <c r="F8" s="20">
        <v>7724.02</v>
      </c>
      <c r="G8" s="20">
        <v>1312.98</v>
      </c>
      <c r="H8" s="56">
        <f t="shared" si="0"/>
        <v>1345.8045</v>
      </c>
      <c r="I8" s="161">
        <f t="shared" si="1"/>
        <v>20937.624499999998</v>
      </c>
    </row>
    <row r="9" spans="1:9" x14ac:dyDescent="0.2">
      <c r="B9" s="49" t="s">
        <v>1</v>
      </c>
      <c r="C9" s="22"/>
      <c r="D9" s="23">
        <f>SUM(D4:D8)</f>
        <v>0</v>
      </c>
      <c r="E9" s="23">
        <f t="shared" ref="E9:H9" si="2">SUM(E4:E8)</f>
        <v>20839.47</v>
      </c>
      <c r="F9" s="23">
        <f t="shared" si="2"/>
        <v>31274.430000000004</v>
      </c>
      <c r="G9" s="23">
        <f t="shared" si="2"/>
        <v>3457.6</v>
      </c>
      <c r="H9" s="23">
        <f t="shared" si="2"/>
        <v>3544.04</v>
      </c>
      <c r="I9" s="24">
        <f t="shared" ref="I9" si="3">SUM(I4:I8)</f>
        <v>59115.54</v>
      </c>
    </row>
    <row r="10" spans="1:9" x14ac:dyDescent="0.2">
      <c r="B10" s="46"/>
      <c r="C10" s="73"/>
      <c r="D10" s="47"/>
      <c r="E10" s="47"/>
      <c r="F10" s="47"/>
      <c r="G10" s="47"/>
      <c r="H10" s="47"/>
      <c r="I10" s="47"/>
    </row>
    <row r="11" spans="1:9" x14ac:dyDescent="0.2">
      <c r="B11" s="48" t="s">
        <v>10</v>
      </c>
      <c r="C11" s="26"/>
      <c r="D11" s="26"/>
      <c r="E11" s="26"/>
      <c r="F11" s="26"/>
      <c r="G11" s="26"/>
      <c r="H11" s="26"/>
      <c r="I11" s="26"/>
    </row>
    <row r="12" spans="1:9" x14ac:dyDescent="0.2">
      <c r="B12" s="107" t="s">
        <v>4</v>
      </c>
      <c r="C12" s="107" t="s">
        <v>9</v>
      </c>
      <c r="D12" s="54" t="s">
        <v>57</v>
      </c>
      <c r="E12" s="54" t="s">
        <v>56</v>
      </c>
      <c r="F12" s="54" t="s">
        <v>55</v>
      </c>
      <c r="G12" s="54" t="s">
        <v>83</v>
      </c>
      <c r="H12" s="54" t="s">
        <v>84</v>
      </c>
      <c r="I12" s="108" t="s">
        <v>1</v>
      </c>
    </row>
    <row r="13" spans="1:9" x14ac:dyDescent="0.2">
      <c r="B13" s="5" t="s">
        <v>19</v>
      </c>
      <c r="C13" s="5" t="s">
        <v>140</v>
      </c>
      <c r="D13" s="57">
        <v>42</v>
      </c>
      <c r="E13" s="57">
        <v>4</v>
      </c>
      <c r="F13" s="57">
        <v>11</v>
      </c>
      <c r="G13" s="57">
        <v>1</v>
      </c>
      <c r="H13" s="57">
        <v>1</v>
      </c>
      <c r="I13" s="162">
        <f>SUM(D13:H13)</f>
        <v>59</v>
      </c>
    </row>
    <row r="14" spans="1:9" x14ac:dyDescent="0.2">
      <c r="B14" s="5"/>
      <c r="C14" s="109"/>
      <c r="D14" s="11"/>
      <c r="E14" s="11"/>
      <c r="F14" s="11"/>
      <c r="G14" s="11"/>
      <c r="H14" s="11"/>
      <c r="I14" s="162">
        <f>SUM(D14:F14)</f>
        <v>0</v>
      </c>
    </row>
    <row r="15" spans="1:9" x14ac:dyDescent="0.2">
      <c r="A15" s="50"/>
      <c r="B15" s="110" t="s">
        <v>53</v>
      </c>
      <c r="C15" s="18"/>
      <c r="D15" s="111">
        <f t="shared" ref="D15:I15" si="4">SUM(D13:D14)</f>
        <v>42</v>
      </c>
      <c r="E15" s="111">
        <f t="shared" si="4"/>
        <v>4</v>
      </c>
      <c r="F15" s="111">
        <f t="shared" si="4"/>
        <v>11</v>
      </c>
      <c r="G15" s="111">
        <f t="shared" si="4"/>
        <v>1</v>
      </c>
      <c r="H15" s="111">
        <f t="shared" si="4"/>
        <v>1</v>
      </c>
      <c r="I15" s="111">
        <f t="shared" si="4"/>
        <v>59</v>
      </c>
    </row>
    <row r="17" spans="1:9" x14ac:dyDescent="0.2">
      <c r="A17" s="50"/>
      <c r="B17" s="13" t="s">
        <v>6</v>
      </c>
      <c r="C17" s="1"/>
      <c r="D17" s="12"/>
      <c r="E17" s="12"/>
      <c r="F17" s="12"/>
      <c r="G17" s="12"/>
      <c r="H17" s="12"/>
      <c r="I17" s="12"/>
    </row>
    <row r="18" spans="1:9" x14ac:dyDescent="0.2">
      <c r="B18" s="76" t="s">
        <v>85</v>
      </c>
      <c r="C18" s="77"/>
      <c r="D18" s="77"/>
      <c r="E18" s="77"/>
      <c r="F18" s="77"/>
      <c r="G18" s="77"/>
      <c r="H18" s="77"/>
      <c r="I18" s="77"/>
    </row>
    <row r="19" spans="1:9" x14ac:dyDescent="0.2">
      <c r="B19" s="78" t="s">
        <v>86</v>
      </c>
      <c r="C19" s="79"/>
      <c r="D19" s="79"/>
      <c r="E19" s="79"/>
      <c r="F19" s="79"/>
      <c r="G19" s="79"/>
      <c r="H19" s="79"/>
      <c r="I19" s="79"/>
    </row>
    <row r="20" spans="1:9" x14ac:dyDescent="0.2">
      <c r="B20" s="78" t="s">
        <v>87</v>
      </c>
      <c r="C20" s="79"/>
      <c r="D20" s="79"/>
      <c r="E20" s="79"/>
      <c r="F20" s="79"/>
      <c r="G20" s="79"/>
      <c r="H20" s="79"/>
      <c r="I20" s="79"/>
    </row>
    <row r="21" spans="1:9" x14ac:dyDescent="0.2">
      <c r="B21" s="78" t="s">
        <v>88</v>
      </c>
      <c r="C21" s="79"/>
      <c r="D21" s="79"/>
      <c r="E21" s="79"/>
      <c r="F21" s="79"/>
      <c r="G21" s="79"/>
      <c r="H21" s="79"/>
      <c r="I21" s="79"/>
    </row>
    <row r="22" spans="1:9" x14ac:dyDescent="0.2">
      <c r="B22" s="78" t="s">
        <v>89</v>
      </c>
      <c r="C22" s="79"/>
      <c r="D22" s="79"/>
      <c r="E22" s="79"/>
      <c r="F22" s="79"/>
      <c r="G22" s="79"/>
      <c r="H22" s="79"/>
      <c r="I22" s="79"/>
    </row>
    <row r="23" spans="1:9" x14ac:dyDescent="0.2">
      <c r="B23" s="1"/>
      <c r="C23" s="1"/>
      <c r="D23" s="12"/>
      <c r="E23" s="12"/>
      <c r="F23" s="12"/>
      <c r="G23" s="12"/>
      <c r="H23" s="12"/>
      <c r="I23" s="12"/>
    </row>
    <row r="24" spans="1:9" x14ac:dyDescent="0.2">
      <c r="B24" s="48" t="s">
        <v>79</v>
      </c>
      <c r="C24" s="26"/>
      <c r="D24" s="26"/>
      <c r="E24" s="26"/>
      <c r="F24" s="26"/>
      <c r="G24" s="26"/>
      <c r="H24" s="26"/>
      <c r="I24" s="26"/>
    </row>
    <row r="25" spans="1:9" x14ac:dyDescent="0.2">
      <c r="B25" s="1"/>
      <c r="C25" s="1"/>
      <c r="D25" s="1"/>
      <c r="E25" s="1"/>
      <c r="F25" s="1"/>
      <c r="G25" s="1"/>
      <c r="H25" s="1"/>
      <c r="I25" s="1"/>
    </row>
    <row r="26" spans="1:9" x14ac:dyDescent="0.2">
      <c r="B26" s="51" t="s">
        <v>11</v>
      </c>
      <c r="C26" s="15"/>
      <c r="D26" s="15"/>
      <c r="E26" s="15"/>
      <c r="F26" s="15"/>
      <c r="G26" s="15"/>
      <c r="H26" s="15"/>
      <c r="I26" s="15"/>
    </row>
    <row r="27" spans="1:9" x14ac:dyDescent="0.2">
      <c r="B27" s="236" t="s">
        <v>144</v>
      </c>
      <c r="C27" s="222"/>
      <c r="D27" s="222"/>
      <c r="E27" s="222"/>
      <c r="F27" s="222"/>
      <c r="G27" s="222"/>
      <c r="H27" s="222"/>
      <c r="I27" s="222"/>
    </row>
    <row r="28" spans="1:9" x14ac:dyDescent="0.2">
      <c r="B28" s="223"/>
      <c r="C28" s="224"/>
      <c r="D28" s="224"/>
      <c r="E28" s="224"/>
      <c r="F28" s="224"/>
      <c r="G28" s="224"/>
      <c r="H28" s="224"/>
      <c r="I28" s="224"/>
    </row>
    <row r="29" spans="1:9" x14ac:dyDescent="0.2">
      <c r="B29" s="52"/>
      <c r="C29" s="17"/>
      <c r="D29" s="17"/>
      <c r="E29" s="17"/>
      <c r="F29" s="17"/>
      <c r="G29" s="17"/>
      <c r="H29" s="17"/>
      <c r="I29" s="17"/>
    </row>
  </sheetData>
  <mergeCells count="1">
    <mergeCell ref="B27:I28"/>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Q9"/>
  <sheetViews>
    <sheetView showGridLines="0" workbookViewId="0">
      <selection activeCell="B36" sqref="B36"/>
    </sheetView>
  </sheetViews>
  <sheetFormatPr defaultRowHeight="12.75" x14ac:dyDescent="0.2"/>
  <cols>
    <col min="1" max="1" width="2.28515625" style="1" customWidth="1"/>
    <col min="2" max="2" width="53.7109375" style="1" customWidth="1"/>
    <col min="3" max="3" width="15.7109375" style="1" customWidth="1"/>
    <col min="4" max="17" width="9.140625" style="1"/>
    <col min="18" max="18" width="3.28515625" style="1" customWidth="1"/>
    <col min="19" max="19" width="53.7109375" style="1" customWidth="1"/>
    <col min="20" max="20" width="15.7109375" style="1" customWidth="1"/>
    <col min="21" max="25" width="9.140625" style="1"/>
    <col min="26" max="26" width="4" style="1" customWidth="1"/>
    <col min="27" max="27" width="53.7109375" style="1" customWidth="1"/>
    <col min="28" max="28" width="15.7109375" style="1" customWidth="1"/>
    <col min="29" max="33" width="9.140625" style="1"/>
    <col min="34" max="34" width="9.140625" style="1" customWidth="1"/>
    <col min="35" max="35" width="53.7109375" style="1" customWidth="1"/>
    <col min="36" max="36" width="15.7109375" style="1" customWidth="1"/>
    <col min="37" max="16384" width="9.140625" style="1"/>
  </cols>
  <sheetData>
    <row r="2" spans="1:17" x14ac:dyDescent="0.2">
      <c r="B2" s="67" t="s">
        <v>49</v>
      </c>
      <c r="C2" s="68"/>
      <c r="D2" s="68"/>
      <c r="E2" s="68"/>
      <c r="F2" s="68"/>
      <c r="G2" s="68"/>
      <c r="H2" s="225" t="s">
        <v>101</v>
      </c>
      <c r="I2" s="225"/>
      <c r="J2" s="225"/>
      <c r="K2" s="225"/>
      <c r="L2" s="225"/>
      <c r="M2" s="225"/>
      <c r="N2" s="225"/>
      <c r="O2" s="225"/>
      <c r="P2" s="225"/>
      <c r="Q2" s="225"/>
    </row>
    <row r="3" spans="1:17" ht="15.75" x14ac:dyDescent="0.25">
      <c r="B3" s="53" t="s">
        <v>63</v>
      </c>
      <c r="C3" s="58"/>
      <c r="D3" s="58"/>
      <c r="E3" s="58"/>
      <c r="F3" s="58"/>
      <c r="G3" s="112"/>
      <c r="H3" s="226" t="s">
        <v>102</v>
      </c>
      <c r="I3" s="226"/>
      <c r="J3" s="226"/>
      <c r="K3" s="226"/>
      <c r="L3" s="226"/>
      <c r="M3" s="226"/>
      <c r="N3" s="226"/>
      <c r="O3" s="226"/>
      <c r="P3" s="226"/>
      <c r="Q3" s="226"/>
    </row>
    <row r="4" spans="1:17" s="31" customFormat="1" ht="3" customHeight="1" x14ac:dyDescent="0.2">
      <c r="B4" s="33"/>
      <c r="C4" s="33"/>
      <c r="D4" s="33"/>
      <c r="E4" s="33"/>
      <c r="F4" s="33"/>
      <c r="G4" s="33"/>
      <c r="H4" s="33"/>
      <c r="I4" s="33"/>
      <c r="J4" s="33"/>
      <c r="K4" s="33"/>
      <c r="L4" s="33"/>
      <c r="M4" s="33"/>
      <c r="N4" s="33"/>
      <c r="O4" s="33"/>
      <c r="P4" s="33"/>
      <c r="Q4" s="33"/>
    </row>
    <row r="5" spans="1:17" ht="76.5" x14ac:dyDescent="0.2">
      <c r="B5" s="34" t="s">
        <v>18</v>
      </c>
      <c r="C5" s="34" t="s">
        <v>31</v>
      </c>
      <c r="D5" s="59" t="s">
        <v>62</v>
      </c>
      <c r="E5" s="59" t="s">
        <v>33</v>
      </c>
      <c r="F5" s="59" t="s">
        <v>32</v>
      </c>
      <c r="G5" s="163" t="s">
        <v>103</v>
      </c>
      <c r="H5" s="163" t="s">
        <v>104</v>
      </c>
      <c r="I5" s="163" t="s">
        <v>105</v>
      </c>
      <c r="J5" s="163" t="s">
        <v>106</v>
      </c>
      <c r="K5" s="59" t="s">
        <v>107</v>
      </c>
      <c r="L5" s="59" t="s">
        <v>108</v>
      </c>
      <c r="M5" s="163" t="s">
        <v>109</v>
      </c>
      <c r="N5" s="163" t="s">
        <v>110</v>
      </c>
      <c r="O5" s="163" t="s">
        <v>111</v>
      </c>
      <c r="P5" s="163" t="s">
        <v>112</v>
      </c>
      <c r="Q5" s="163" t="s">
        <v>113</v>
      </c>
    </row>
    <row r="6" spans="1:17" x14ac:dyDescent="0.2">
      <c r="B6" s="65" t="s">
        <v>73</v>
      </c>
      <c r="C6" s="66"/>
      <c r="D6" s="66"/>
      <c r="E6" s="66"/>
      <c r="F6" s="66"/>
      <c r="G6" s="66"/>
      <c r="H6" s="66"/>
      <c r="I6" s="66"/>
      <c r="J6" s="66"/>
      <c r="K6" s="66"/>
      <c r="L6" s="66"/>
      <c r="M6" s="66"/>
      <c r="N6" s="66"/>
      <c r="O6" s="66"/>
      <c r="P6" s="66"/>
      <c r="Q6" s="66"/>
    </row>
    <row r="7" spans="1:17" x14ac:dyDescent="0.2">
      <c r="B7" s="60" t="s">
        <v>70</v>
      </c>
      <c r="C7" s="72" t="s">
        <v>114</v>
      </c>
      <c r="D7" s="61"/>
      <c r="E7" s="62"/>
      <c r="F7" s="63">
        <v>1</v>
      </c>
      <c r="G7" s="63">
        <v>0</v>
      </c>
      <c r="H7" s="63">
        <f>IF(G7=0,VLOOKUP(C:C,[1]Inputs!$B$20:$H$25,7,FALSE)*F7,VLOOKUP(C:C,[1]Inputs!$B$20:$I$25,8,FALSE)*F7)</f>
        <v>103.26059762014499</v>
      </c>
      <c r="I7" s="63">
        <f>VLOOKUP(C:C,[1]Inputs!$C$54:$G$59,5,FALSE)*F7</f>
        <v>19.732436288346317</v>
      </c>
      <c r="J7" s="63"/>
      <c r="K7" s="63"/>
      <c r="L7" s="63"/>
      <c r="M7" s="63">
        <f>SUM(H7:J7)</f>
        <v>122.99303390849131</v>
      </c>
      <c r="N7" s="63">
        <f>[1]Inputs!$M$43*M7</f>
        <v>57.305727529149344</v>
      </c>
      <c r="O7" s="63">
        <f>[1]Inputs!$M$48*M7</f>
        <v>19.725325764744216</v>
      </c>
      <c r="P7" s="64">
        <f>[1]Inputs!$H$13*SUM(M7:O7)</f>
        <v>12.685527610375249</v>
      </c>
      <c r="Q7" s="64">
        <f t="shared" ref="Q7" si="0">SUM(M7:P7)</f>
        <v>212.70961481276012</v>
      </c>
    </row>
    <row r="8" spans="1:17" x14ac:dyDescent="0.2">
      <c r="B8" s="69" t="s">
        <v>1</v>
      </c>
      <c r="C8" s="70"/>
      <c r="D8" s="70"/>
      <c r="E8" s="71"/>
      <c r="F8" s="164">
        <f>F7</f>
        <v>1</v>
      </c>
      <c r="G8" s="164">
        <f t="shared" ref="G8:P8" si="1">G7</f>
        <v>0</v>
      </c>
      <c r="H8" s="164">
        <f t="shared" si="1"/>
        <v>103.26059762014499</v>
      </c>
      <c r="I8" s="164">
        <f t="shared" si="1"/>
        <v>19.732436288346317</v>
      </c>
      <c r="J8" s="164">
        <f t="shared" si="1"/>
        <v>0</v>
      </c>
      <c r="K8" s="164">
        <f t="shared" si="1"/>
        <v>0</v>
      </c>
      <c r="L8" s="164">
        <f t="shared" si="1"/>
        <v>0</v>
      </c>
      <c r="M8" s="164">
        <f t="shared" si="1"/>
        <v>122.99303390849131</v>
      </c>
      <c r="N8" s="164">
        <f t="shared" si="1"/>
        <v>57.305727529149344</v>
      </c>
      <c r="O8" s="164">
        <f t="shared" si="1"/>
        <v>19.725325764744216</v>
      </c>
      <c r="P8" s="164">
        <f t="shared" si="1"/>
        <v>12.685527610375249</v>
      </c>
      <c r="Q8" s="164">
        <f>Q7</f>
        <v>212.70961481276012</v>
      </c>
    </row>
    <row r="9" spans="1:17" x14ac:dyDescent="0.2">
      <c r="A9" s="45"/>
      <c r="B9" s="35"/>
      <c r="C9" s="35"/>
      <c r="D9" s="36"/>
      <c r="E9" s="35"/>
      <c r="F9" s="36"/>
      <c r="G9" s="36"/>
      <c r="H9" s="36"/>
      <c r="I9" s="36"/>
      <c r="J9" s="36"/>
      <c r="K9" s="36"/>
      <c r="L9" s="36"/>
      <c r="M9" s="36"/>
      <c r="N9" s="36"/>
      <c r="O9" s="36"/>
      <c r="P9" s="37"/>
      <c r="Q9" s="38"/>
    </row>
  </sheetData>
  <mergeCells count="2">
    <mergeCell ref="H2:Q2"/>
    <mergeCell ref="H3:Q3"/>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9"/>
  <sheetViews>
    <sheetView showGridLines="0" workbookViewId="0">
      <selection activeCell="K15" sqref="K15"/>
    </sheetView>
  </sheetViews>
  <sheetFormatPr defaultRowHeight="12.75" x14ac:dyDescent="0.2"/>
  <cols>
    <col min="1" max="1" width="3.140625" style="82" customWidth="1"/>
    <col min="2" max="2" width="80" style="82" bestFit="1" customWidth="1"/>
    <col min="3" max="3" width="65.140625" style="82" customWidth="1"/>
    <col min="4" max="4" width="11.85546875" style="82" customWidth="1"/>
    <col min="5" max="8" width="11.28515625" style="82" customWidth="1"/>
    <col min="9" max="9" width="12.7109375" style="82" customWidth="1"/>
    <col min="10" max="16384" width="9.140625" style="82"/>
  </cols>
  <sheetData>
    <row r="2" spans="2:9" x14ac:dyDescent="0.2">
      <c r="B2" s="80" t="s">
        <v>8</v>
      </c>
      <c r="C2" s="81"/>
      <c r="D2" s="81"/>
      <c r="E2" s="81"/>
      <c r="F2" s="81"/>
      <c r="G2" s="81"/>
      <c r="H2" s="81"/>
      <c r="I2" s="81"/>
    </row>
    <row r="3" spans="2:9" x14ac:dyDescent="0.2">
      <c r="B3" s="83"/>
      <c r="C3" s="83"/>
      <c r="D3" s="83"/>
      <c r="E3" s="83"/>
      <c r="F3" s="83"/>
      <c r="G3" s="83"/>
      <c r="H3" s="83"/>
      <c r="I3" s="83"/>
    </row>
    <row r="4" spans="2:9" x14ac:dyDescent="0.2">
      <c r="B4" s="80" t="s">
        <v>2</v>
      </c>
      <c r="C4" s="81"/>
      <c r="D4" s="81"/>
      <c r="E4" s="81"/>
      <c r="F4" s="81"/>
      <c r="G4" s="81"/>
      <c r="H4" s="81"/>
      <c r="I4" s="81"/>
    </row>
    <row r="5" spans="2:9" x14ac:dyDescent="0.2">
      <c r="B5" s="99" t="s">
        <v>75</v>
      </c>
      <c r="C5" s="99" t="s">
        <v>9</v>
      </c>
      <c r="D5" s="100" t="s">
        <v>57</v>
      </c>
      <c r="E5" s="100" t="s">
        <v>56</v>
      </c>
      <c r="F5" s="100" t="s">
        <v>55</v>
      </c>
      <c r="G5" s="100" t="s">
        <v>83</v>
      </c>
      <c r="H5" s="100" t="s">
        <v>84</v>
      </c>
      <c r="I5" s="101" t="s">
        <v>1</v>
      </c>
    </row>
    <row r="6" spans="2:9" ht="13.5" customHeight="1" x14ac:dyDescent="0.2">
      <c r="B6" s="84" t="s">
        <v>76</v>
      </c>
      <c r="C6" s="85" t="s">
        <v>95</v>
      </c>
      <c r="D6" s="86">
        <v>0</v>
      </c>
      <c r="E6" s="87">
        <v>27861.08</v>
      </c>
      <c r="F6" s="87">
        <v>48092.81</v>
      </c>
      <c r="G6" s="87">
        <v>2428.2399999999998</v>
      </c>
      <c r="H6" s="87">
        <f>G6*102.5%</f>
        <v>2488.9459999999995</v>
      </c>
      <c r="I6" s="165">
        <f>SUM(D6:H6)</f>
        <v>80871.076000000001</v>
      </c>
    </row>
    <row r="7" spans="2:9" x14ac:dyDescent="0.2">
      <c r="B7" s="102"/>
      <c r="C7" s="88"/>
      <c r="D7" s="87"/>
      <c r="E7" s="87"/>
      <c r="F7" s="87"/>
      <c r="G7" s="87"/>
      <c r="H7" s="87"/>
      <c r="I7" s="165">
        <f>SUM(D7:F7)</f>
        <v>0</v>
      </c>
    </row>
    <row r="8" spans="2:9" x14ac:dyDescent="0.2">
      <c r="B8" s="102"/>
      <c r="C8" s="88"/>
      <c r="D8" s="87"/>
      <c r="E8" s="87"/>
      <c r="F8" s="87"/>
      <c r="G8" s="87"/>
      <c r="H8" s="87"/>
      <c r="I8" s="165">
        <f>SUM(D8:F8)</f>
        <v>0</v>
      </c>
    </row>
    <row r="9" spans="2:9" x14ac:dyDescent="0.2">
      <c r="B9" s="102"/>
      <c r="C9" s="88"/>
      <c r="D9" s="87"/>
      <c r="E9" s="87"/>
      <c r="F9" s="87"/>
      <c r="G9" s="87"/>
      <c r="H9" s="87"/>
      <c r="I9" s="165">
        <f>SUM(D9:F9)</f>
        <v>0</v>
      </c>
    </row>
    <row r="10" spans="2:9" x14ac:dyDescent="0.2">
      <c r="B10" s="104" t="s">
        <v>1</v>
      </c>
      <c r="C10" s="104"/>
      <c r="D10" s="106">
        <f t="shared" ref="D10:I10" si="0">SUM(D6:D9)</f>
        <v>0</v>
      </c>
      <c r="E10" s="106">
        <f t="shared" si="0"/>
        <v>27861.08</v>
      </c>
      <c r="F10" s="106">
        <f t="shared" si="0"/>
        <v>48092.81</v>
      </c>
      <c r="G10" s="106">
        <f t="shared" si="0"/>
        <v>2428.2399999999998</v>
      </c>
      <c r="H10" s="106">
        <f t="shared" si="0"/>
        <v>2488.9459999999995</v>
      </c>
      <c r="I10" s="106">
        <f t="shared" si="0"/>
        <v>80871.076000000001</v>
      </c>
    </row>
    <row r="11" spans="2:9" x14ac:dyDescent="0.2">
      <c r="B11" s="83"/>
      <c r="C11" s="83"/>
      <c r="D11" s="83"/>
      <c r="E11" s="83"/>
      <c r="F11" s="83"/>
      <c r="G11" s="83"/>
      <c r="H11" s="83"/>
      <c r="I11" s="83"/>
    </row>
    <row r="12" spans="2:9" x14ac:dyDescent="0.2">
      <c r="B12" s="80" t="s">
        <v>10</v>
      </c>
      <c r="C12" s="81"/>
      <c r="D12" s="81"/>
      <c r="E12" s="81"/>
      <c r="F12" s="81"/>
      <c r="G12" s="81"/>
      <c r="H12" s="81"/>
      <c r="I12" s="81"/>
    </row>
    <row r="13" spans="2:9" x14ac:dyDescent="0.2">
      <c r="B13" s="99" t="s">
        <v>4</v>
      </c>
      <c r="C13" s="99"/>
      <c r="D13" s="100" t="s">
        <v>57</v>
      </c>
      <c r="E13" s="100" t="s">
        <v>56</v>
      </c>
      <c r="F13" s="100" t="s">
        <v>55</v>
      </c>
      <c r="G13" s="100" t="s">
        <v>83</v>
      </c>
      <c r="H13" s="100" t="s">
        <v>84</v>
      </c>
      <c r="I13" s="101" t="s">
        <v>1</v>
      </c>
    </row>
    <row r="14" spans="2:9" x14ac:dyDescent="0.2">
      <c r="B14" s="102" t="s">
        <v>78</v>
      </c>
      <c r="C14" s="239" t="s">
        <v>145</v>
      </c>
      <c r="D14" s="89">
        <f>'Operating Costs'!D13</f>
        <v>42</v>
      </c>
      <c r="E14" s="89">
        <f>'Operating Costs'!E13</f>
        <v>4</v>
      </c>
      <c r="F14" s="89">
        <f>'Operating Costs'!F13</f>
        <v>11</v>
      </c>
      <c r="G14" s="89">
        <v>1</v>
      </c>
      <c r="H14" s="89">
        <v>1</v>
      </c>
      <c r="I14" s="166">
        <f>SUM(D14:H14)</f>
        <v>59</v>
      </c>
    </row>
    <row r="15" spans="2:9" x14ac:dyDescent="0.2">
      <c r="B15" s="102"/>
      <c r="C15" s="102"/>
      <c r="D15" s="90"/>
      <c r="E15" s="90"/>
      <c r="F15" s="90"/>
      <c r="G15" s="90"/>
      <c r="H15" s="90"/>
      <c r="I15" s="166">
        <f>SUM(D15:H15)</f>
        <v>0</v>
      </c>
    </row>
    <row r="16" spans="2:9" x14ac:dyDescent="0.2">
      <c r="B16" s="103" t="s">
        <v>17</v>
      </c>
      <c r="C16" s="104"/>
      <c r="D16" s="105">
        <f>SUM(D14:D15)</f>
        <v>42</v>
      </c>
      <c r="E16" s="105">
        <f t="shared" ref="E16:I16" si="1">SUM(E14:E15)</f>
        <v>4</v>
      </c>
      <c r="F16" s="105">
        <f t="shared" si="1"/>
        <v>11</v>
      </c>
      <c r="G16" s="105">
        <f t="shared" si="1"/>
        <v>1</v>
      </c>
      <c r="H16" s="105">
        <f t="shared" si="1"/>
        <v>1</v>
      </c>
      <c r="I16" s="105">
        <f t="shared" si="1"/>
        <v>59</v>
      </c>
    </row>
    <row r="17" spans="2:9" x14ac:dyDescent="0.2">
      <c r="B17" s="83"/>
      <c r="C17" s="83"/>
      <c r="D17" s="91"/>
      <c r="E17" s="91"/>
      <c r="F17" s="91"/>
      <c r="G17" s="91"/>
      <c r="H17" s="91"/>
      <c r="I17" s="91"/>
    </row>
    <row r="18" spans="2:9" x14ac:dyDescent="0.2">
      <c r="B18" s="92" t="s">
        <v>6</v>
      </c>
      <c r="C18" s="83"/>
      <c r="D18" s="91"/>
      <c r="E18" s="91"/>
      <c r="F18" s="91"/>
      <c r="G18" s="91"/>
      <c r="H18" s="91"/>
      <c r="I18" s="91"/>
    </row>
    <row r="19" spans="2:9" x14ac:dyDescent="0.2">
      <c r="B19" s="93" t="s">
        <v>90</v>
      </c>
      <c r="C19" s="93"/>
      <c r="D19" s="93"/>
      <c r="E19" s="93"/>
      <c r="F19" s="93"/>
      <c r="G19" s="93"/>
      <c r="H19" s="93"/>
      <c r="I19" s="93"/>
    </row>
    <row r="20" spans="2:9" x14ac:dyDescent="0.2">
      <c r="B20" s="94" t="s">
        <v>91</v>
      </c>
      <c r="C20" s="94"/>
      <c r="D20" s="94"/>
      <c r="E20" s="94"/>
      <c r="F20" s="94"/>
      <c r="G20" s="94"/>
      <c r="H20" s="94"/>
      <c r="I20" s="94"/>
    </row>
    <row r="21" spans="2:9" x14ac:dyDescent="0.2">
      <c r="B21" s="94" t="s">
        <v>92</v>
      </c>
      <c r="C21" s="94"/>
      <c r="D21" s="94"/>
      <c r="E21" s="94"/>
      <c r="F21" s="94"/>
      <c r="G21" s="94"/>
      <c r="H21" s="94"/>
      <c r="I21" s="94"/>
    </row>
    <row r="22" spans="2:9" x14ac:dyDescent="0.2">
      <c r="B22" s="94" t="s">
        <v>93</v>
      </c>
      <c r="C22" s="94"/>
      <c r="D22" s="94"/>
      <c r="E22" s="94"/>
      <c r="F22" s="94"/>
      <c r="G22" s="94"/>
      <c r="H22" s="94"/>
      <c r="I22" s="94"/>
    </row>
    <row r="23" spans="2:9" x14ac:dyDescent="0.2">
      <c r="B23" s="94" t="s">
        <v>94</v>
      </c>
      <c r="C23" s="94"/>
      <c r="D23" s="94"/>
      <c r="E23" s="94"/>
      <c r="F23" s="94"/>
      <c r="G23" s="94"/>
      <c r="H23" s="94"/>
      <c r="I23" s="94"/>
    </row>
    <row r="24" spans="2:9" x14ac:dyDescent="0.2">
      <c r="B24" s="83"/>
      <c r="C24" s="83"/>
      <c r="D24" s="91"/>
      <c r="E24" s="91"/>
      <c r="F24" s="91"/>
      <c r="G24" s="91"/>
      <c r="H24" s="91"/>
      <c r="I24" s="91"/>
    </row>
    <row r="25" spans="2:9" x14ac:dyDescent="0.2">
      <c r="B25" s="80" t="s">
        <v>2</v>
      </c>
      <c r="C25" s="81"/>
      <c r="D25" s="81"/>
      <c r="E25" s="81"/>
      <c r="F25" s="81"/>
      <c r="G25" s="81"/>
      <c r="H25" s="81"/>
      <c r="I25" s="81"/>
    </row>
    <row r="26" spans="2:9" x14ac:dyDescent="0.2">
      <c r="B26" s="95" t="s">
        <v>11</v>
      </c>
      <c r="C26" s="96"/>
      <c r="D26" s="96"/>
      <c r="E26" s="96"/>
      <c r="F26" s="96"/>
      <c r="G26" s="96"/>
      <c r="H26" s="96"/>
      <c r="I26" s="96"/>
    </row>
    <row r="27" spans="2:9" x14ac:dyDescent="0.2">
      <c r="B27" s="237" t="s">
        <v>143</v>
      </c>
      <c r="C27" s="227"/>
      <c r="D27" s="227"/>
      <c r="E27" s="227"/>
      <c r="F27" s="227"/>
      <c r="G27" s="227"/>
      <c r="H27" s="227"/>
      <c r="I27" s="227"/>
    </row>
    <row r="28" spans="2:9" x14ac:dyDescent="0.2">
      <c r="B28" s="228"/>
      <c r="C28" s="228"/>
      <c r="D28" s="228"/>
      <c r="E28" s="228"/>
      <c r="F28" s="228"/>
      <c r="G28" s="228"/>
      <c r="H28" s="228"/>
      <c r="I28" s="228"/>
    </row>
    <row r="29" spans="2:9" x14ac:dyDescent="0.2">
      <c r="B29" s="97"/>
      <c r="C29" s="98"/>
      <c r="D29" s="98"/>
      <c r="E29" s="98"/>
      <c r="F29" s="98"/>
      <c r="G29" s="98"/>
      <c r="H29" s="98"/>
      <c r="I29" s="98"/>
    </row>
  </sheetData>
  <mergeCells count="1">
    <mergeCell ref="B27:I28"/>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AE29FE-72A3-4E16-8999-A320CA931FD1}">
  <dimension ref="B1:O28"/>
  <sheetViews>
    <sheetView workbookViewId="0">
      <selection activeCell="C35" sqref="C35"/>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120</v>
      </c>
      <c r="D1" s="176">
        <f>[1]Inputs!H16</f>
        <v>1</v>
      </c>
      <c r="E1" s="176">
        <f>[1]Inputs!I16</f>
        <v>1</v>
      </c>
      <c r="F1" s="176">
        <f>[1]Inputs!J16</f>
        <v>1.0109999999999999</v>
      </c>
      <c r="G1" s="176">
        <f>[1]Inputs!K16</f>
        <v>1.0231319999999999</v>
      </c>
      <c r="H1" s="176">
        <f>[1]Inputs!L16</f>
        <v>1.0337725727999998</v>
      </c>
      <c r="K1" s="177">
        <f>D1</f>
        <v>1</v>
      </c>
      <c r="L1" s="177">
        <f t="shared" ref="L1:O5" si="0">E1</f>
        <v>1</v>
      </c>
      <c r="M1" s="177">
        <f t="shared" si="0"/>
        <v>1.0109999999999999</v>
      </c>
      <c r="N1" s="177">
        <f t="shared" si="0"/>
        <v>1.0231319999999999</v>
      </c>
      <c r="O1" s="177">
        <f t="shared" si="0"/>
        <v>1.0337725727999998</v>
      </c>
    </row>
    <row r="2" spans="2:15" x14ac:dyDescent="0.25">
      <c r="B2" t="s">
        <v>121</v>
      </c>
      <c r="D2" s="176">
        <f>[1]Inputs!H61</f>
        <v>0.04</v>
      </c>
      <c r="E2" s="176">
        <f>[1]Inputs!I61</f>
        <v>0.04</v>
      </c>
      <c r="F2" s="176">
        <f>[1]Inputs!J61</f>
        <v>0.04</v>
      </c>
      <c r="G2" s="176">
        <f>[1]Inputs!K61</f>
        <v>0.04</v>
      </c>
      <c r="H2" s="176">
        <f>[1]Inputs!L61</f>
        <v>0.04</v>
      </c>
      <c r="K2" s="177"/>
      <c r="L2" s="177"/>
      <c r="M2" s="177"/>
      <c r="N2" s="177"/>
      <c r="O2" s="177"/>
    </row>
    <row r="3" spans="2:15" x14ac:dyDescent="0.25">
      <c r="B3" t="s">
        <v>122</v>
      </c>
      <c r="D3" s="177">
        <f>[1]Inputs!$M$43</f>
        <v>0.46592661151676018</v>
      </c>
      <c r="E3" s="177">
        <f>[1]Inputs!$M$43</f>
        <v>0.46592661151676018</v>
      </c>
      <c r="F3" s="177">
        <f>[1]Inputs!$M$43</f>
        <v>0.46592661151676018</v>
      </c>
      <c r="G3" s="177">
        <f>[1]Inputs!$M$43</f>
        <v>0.46592661151676018</v>
      </c>
      <c r="H3" s="177">
        <f>[1]Inputs!$M$43</f>
        <v>0.46592661151676018</v>
      </c>
      <c r="K3" s="177">
        <f t="shared" ref="K3:K5" si="1">D3</f>
        <v>0.46592661151676018</v>
      </c>
      <c r="L3" s="177">
        <f t="shared" si="0"/>
        <v>0.46592661151676018</v>
      </c>
      <c r="M3" s="177">
        <f t="shared" si="0"/>
        <v>0.46592661151676018</v>
      </c>
      <c r="N3" s="177">
        <f t="shared" si="0"/>
        <v>0.46592661151676018</v>
      </c>
      <c r="O3" s="177">
        <f t="shared" si="0"/>
        <v>0.46592661151676018</v>
      </c>
    </row>
    <row r="4" spans="2:15" x14ac:dyDescent="0.25">
      <c r="B4" t="s">
        <v>123</v>
      </c>
      <c r="D4" s="177">
        <f>[1]Inputs!$M$48</f>
        <v>0.16037758511933414</v>
      </c>
      <c r="E4" s="177">
        <f>[1]Inputs!$M$48</f>
        <v>0.16037758511933414</v>
      </c>
      <c r="F4" s="177">
        <f>[1]Inputs!$M$48</f>
        <v>0.16037758511933414</v>
      </c>
      <c r="G4" s="177">
        <f>[1]Inputs!$M$48</f>
        <v>0.16037758511933414</v>
      </c>
      <c r="H4" s="177">
        <f>[1]Inputs!$M$48</f>
        <v>0.16037758511933414</v>
      </c>
      <c r="K4" s="177">
        <f t="shared" si="1"/>
        <v>0.16037758511933414</v>
      </c>
      <c r="L4" s="177">
        <f t="shared" si="0"/>
        <v>0.16037758511933414</v>
      </c>
      <c r="M4" s="177">
        <f t="shared" si="0"/>
        <v>0.16037758511933414</v>
      </c>
      <c r="N4" s="177">
        <f t="shared" si="0"/>
        <v>0.16037758511933414</v>
      </c>
      <c r="O4" s="177">
        <f t="shared" si="0"/>
        <v>0.16037758511933414</v>
      </c>
    </row>
    <row r="5" spans="2:15" x14ac:dyDescent="0.25">
      <c r="B5" t="s">
        <v>124</v>
      </c>
      <c r="D5" s="177">
        <f>[1]Inputs!$H$13</f>
        <v>6.3420000000000004E-2</v>
      </c>
      <c r="E5" s="177">
        <f>[1]Inputs!$H$13</f>
        <v>6.3420000000000004E-2</v>
      </c>
      <c r="F5" s="177">
        <f>[1]Inputs!$H$13</f>
        <v>6.3420000000000004E-2</v>
      </c>
      <c r="G5" s="177">
        <f>[1]Inputs!$H$13</f>
        <v>6.3420000000000004E-2</v>
      </c>
      <c r="H5" s="177">
        <f>[1]Inputs!$H$13</f>
        <v>6.3420000000000004E-2</v>
      </c>
      <c r="K5" s="177">
        <f t="shared" si="1"/>
        <v>6.3420000000000004E-2</v>
      </c>
      <c r="L5" s="177">
        <f t="shared" si="0"/>
        <v>6.3420000000000004E-2</v>
      </c>
      <c r="M5" s="177">
        <f t="shared" si="0"/>
        <v>6.3420000000000004E-2</v>
      </c>
      <c r="N5" s="177">
        <f t="shared" si="0"/>
        <v>6.3420000000000004E-2</v>
      </c>
      <c r="O5" s="177">
        <f t="shared" si="0"/>
        <v>6.3420000000000004E-2</v>
      </c>
    </row>
    <row r="6" spans="2:15" s="178" customFormat="1" ht="15.75" x14ac:dyDescent="0.25">
      <c r="D6" s="229" t="s">
        <v>125</v>
      </c>
      <c r="E6" s="229"/>
      <c r="F6" s="229"/>
      <c r="G6" s="229"/>
      <c r="H6" s="229"/>
      <c r="J6" s="230" t="s">
        <v>126</v>
      </c>
      <c r="K6" s="230"/>
      <c r="L6" s="230"/>
      <c r="M6" s="230"/>
      <c r="N6" s="230"/>
      <c r="O6" s="230"/>
    </row>
    <row r="7" spans="2:15" x14ac:dyDescent="0.25">
      <c r="B7" s="179" t="s">
        <v>139</v>
      </c>
      <c r="C7" s="180"/>
      <c r="D7" s="180" t="s">
        <v>127</v>
      </c>
      <c r="E7" s="180" t="s">
        <v>128</v>
      </c>
      <c r="F7" s="180" t="s">
        <v>129</v>
      </c>
      <c r="G7" s="180" t="s">
        <v>130</v>
      </c>
      <c r="H7" s="180" t="s">
        <v>131</v>
      </c>
    </row>
    <row r="8" spans="2:15" x14ac:dyDescent="0.25">
      <c r="B8" s="181" t="s">
        <v>104</v>
      </c>
      <c r="C8" s="182"/>
      <c r="D8" s="183">
        <f>(D19*D$27)</f>
        <v>5163.02988100725</v>
      </c>
      <c r="E8" s="183">
        <f t="shared" ref="E8:H8" si="2">(E19*E$27)</f>
        <v>5163.02988100725</v>
      </c>
      <c r="F8" s="183">
        <f t="shared" si="2"/>
        <v>5219.8232096983293</v>
      </c>
      <c r="G8" s="183">
        <f t="shared" si="2"/>
        <v>5340.5681601850702</v>
      </c>
      <c r="H8" s="183">
        <f t="shared" si="2"/>
        <v>5520.932887168281</v>
      </c>
    </row>
    <row r="9" spans="2:15" x14ac:dyDescent="0.25">
      <c r="B9" s="181" t="s">
        <v>105</v>
      </c>
      <c r="C9" s="182"/>
      <c r="D9" s="183">
        <f t="shared" ref="D9:H15" si="3">(D20*D$27)</f>
        <v>986.62181441731582</v>
      </c>
      <c r="E9" s="183">
        <f t="shared" si="3"/>
        <v>986.62181441731582</v>
      </c>
      <c r="F9" s="183">
        <f t="shared" si="3"/>
        <v>986.62181441731582</v>
      </c>
      <c r="G9" s="183">
        <f t="shared" si="3"/>
        <v>986.62181441731582</v>
      </c>
      <c r="H9" s="183">
        <f t="shared" si="3"/>
        <v>986.62181441731582</v>
      </c>
    </row>
    <row r="10" spans="2:15" x14ac:dyDescent="0.25">
      <c r="B10" s="181" t="s">
        <v>106</v>
      </c>
      <c r="C10" s="182"/>
      <c r="D10" s="183">
        <f t="shared" si="3"/>
        <v>0</v>
      </c>
      <c r="E10" s="183">
        <f t="shared" si="3"/>
        <v>0</v>
      </c>
      <c r="F10" s="183">
        <f t="shared" si="3"/>
        <v>0</v>
      </c>
      <c r="G10" s="183">
        <f t="shared" si="3"/>
        <v>0</v>
      </c>
      <c r="H10" s="183">
        <f t="shared" si="3"/>
        <v>0</v>
      </c>
    </row>
    <row r="11" spans="2:15" x14ac:dyDescent="0.25">
      <c r="B11" s="184" t="s">
        <v>132</v>
      </c>
      <c r="C11" s="184"/>
      <c r="D11" s="185">
        <f t="shared" si="3"/>
        <v>6149.6516954245653</v>
      </c>
      <c r="E11" s="185">
        <f t="shared" si="3"/>
        <v>6149.6516954245653</v>
      </c>
      <c r="F11" s="185">
        <f t="shared" si="3"/>
        <v>6206.4450241156446</v>
      </c>
      <c r="G11" s="185">
        <f t="shared" si="3"/>
        <v>6327.1899746023864</v>
      </c>
      <c r="H11" s="185">
        <f t="shared" si="3"/>
        <v>6507.5547015855973</v>
      </c>
    </row>
    <row r="12" spans="2:15" x14ac:dyDescent="0.25">
      <c r="B12" s="182" t="s">
        <v>110</v>
      </c>
      <c r="C12" s="182"/>
      <c r="D12" s="183">
        <f t="shared" si="3"/>
        <v>2865.2863764574672</v>
      </c>
      <c r="E12" s="183">
        <f t="shared" si="3"/>
        <v>2865.2863764574672</v>
      </c>
      <c r="F12" s="183">
        <f t="shared" si="3"/>
        <v>2891.7478996512591</v>
      </c>
      <c r="G12" s="183">
        <f t="shared" si="3"/>
        <v>2948.0061852893059</v>
      </c>
      <c r="H12" s="183">
        <f t="shared" si="3"/>
        <v>3032.0429113697392</v>
      </c>
    </row>
    <row r="13" spans="2:15" x14ac:dyDescent="0.25">
      <c r="B13" s="182" t="s">
        <v>111</v>
      </c>
      <c r="C13" s="182"/>
      <c r="D13" s="183">
        <f t="shared" si="3"/>
        <v>986.2662882372108</v>
      </c>
      <c r="E13" s="183">
        <f t="shared" si="3"/>
        <v>986.2662882372108</v>
      </c>
      <c r="F13" s="183">
        <f t="shared" si="3"/>
        <v>995.3746651435747</v>
      </c>
      <c r="G13" s="183">
        <f t="shared" si="3"/>
        <v>1014.7394487179918</v>
      </c>
      <c r="H13" s="183">
        <f t="shared" si="3"/>
        <v>1043.6659080722673</v>
      </c>
    </row>
    <row r="14" spans="2:15" x14ac:dyDescent="0.25">
      <c r="B14" s="182" t="s">
        <v>119</v>
      </c>
      <c r="C14" s="182"/>
      <c r="D14" s="183">
        <f t="shared" si="3"/>
        <v>634.27638051876249</v>
      </c>
      <c r="E14" s="183">
        <f t="shared" si="3"/>
        <v>634.27638051876249</v>
      </c>
      <c r="F14" s="183">
        <f t="shared" si="3"/>
        <v>640.13405648870275</v>
      </c>
      <c r="G14" s="183">
        <f t="shared" si="3"/>
        <v>652.58771629802629</v>
      </c>
      <c r="H14" s="183">
        <f t="shared" si="3"/>
        <v>671.19057250357071</v>
      </c>
    </row>
    <row r="15" spans="2:15" s="187" customFormat="1" x14ac:dyDescent="0.25">
      <c r="B15" s="186" t="s">
        <v>133</v>
      </c>
      <c r="C15" s="182"/>
      <c r="D15" s="183">
        <f t="shared" si="3"/>
        <v>10635.480740638006</v>
      </c>
      <c r="E15" s="183">
        <f t="shared" si="3"/>
        <v>10635.480740638006</v>
      </c>
      <c r="F15" s="183">
        <f t="shared" si="3"/>
        <v>10733.701645399182</v>
      </c>
      <c r="G15" s="183">
        <f t="shared" si="3"/>
        <v>10942.52332490771</v>
      </c>
      <c r="H15" s="183">
        <f t="shared" si="3"/>
        <v>11254.454093531174</v>
      </c>
    </row>
    <row r="16" spans="2:15" s="172" customFormat="1" x14ac:dyDescent="0.25">
      <c r="B16" s="188" t="s">
        <v>134</v>
      </c>
      <c r="C16" s="184"/>
      <c r="D16" s="185">
        <f>D28-D15</f>
        <v>0</v>
      </c>
      <c r="E16" s="185">
        <f t="shared" ref="E16:H16" si="4">E28-E15</f>
        <v>0</v>
      </c>
      <c r="F16" s="185">
        <f t="shared" si="4"/>
        <v>0</v>
      </c>
      <c r="G16" s="185">
        <f t="shared" si="4"/>
        <v>0</v>
      </c>
      <c r="H16" s="185">
        <f t="shared" si="4"/>
        <v>0</v>
      </c>
    </row>
    <row r="17" spans="2:15" s="172" customFormat="1" x14ac:dyDescent="0.25">
      <c r="C17" s="189"/>
    </row>
    <row r="18" spans="2:15" x14ac:dyDescent="0.25">
      <c r="B18" s="190" t="s">
        <v>63</v>
      </c>
      <c r="C18" s="173"/>
      <c r="D18" s="231" t="s">
        <v>135</v>
      </c>
      <c r="E18" s="232"/>
      <c r="F18" s="232"/>
      <c r="G18" s="232"/>
      <c r="H18" s="232"/>
      <c r="J18" s="173"/>
      <c r="K18" s="231" t="s">
        <v>135</v>
      </c>
      <c r="L18" s="232"/>
      <c r="M18" s="232"/>
      <c r="N18" s="232"/>
      <c r="O18" s="232"/>
    </row>
    <row r="19" spans="2:15" x14ac:dyDescent="0.25">
      <c r="B19" s="191" t="s">
        <v>104</v>
      </c>
      <c r="C19" s="192">
        <f>'Proposed price'!H8</f>
        <v>103.26059762014499</v>
      </c>
      <c r="D19" s="193">
        <f>C19*D$1</f>
        <v>103.26059762014499</v>
      </c>
      <c r="E19" s="193">
        <f>D19*E1</f>
        <v>103.26059762014499</v>
      </c>
      <c r="F19" s="193">
        <f>E19*F1</f>
        <v>104.39646419396658</v>
      </c>
      <c r="G19" s="193">
        <f>F19*G1</f>
        <v>106.8113632037014</v>
      </c>
      <c r="H19" s="193">
        <f>G19*H1</f>
        <v>110.41865774336563</v>
      </c>
      <c r="J19" s="192"/>
      <c r="K19" s="193">
        <f>J19*K$1</f>
        <v>0</v>
      </c>
      <c r="L19" s="193">
        <f>K19*L1</f>
        <v>0</v>
      </c>
      <c r="M19" s="193">
        <f>L19*M1</f>
        <v>0</v>
      </c>
      <c r="N19" s="193">
        <f>M19*N1</f>
        <v>0</v>
      </c>
      <c r="O19" s="193">
        <f>N19*O1</f>
        <v>0</v>
      </c>
    </row>
    <row r="20" spans="2:15" x14ac:dyDescent="0.25">
      <c r="B20" s="191" t="s">
        <v>105</v>
      </c>
      <c r="C20" s="192">
        <f>'Proposed price'!I8</f>
        <v>19.732436288346317</v>
      </c>
      <c r="D20" s="193">
        <f>C20</f>
        <v>19.732436288346317</v>
      </c>
      <c r="E20" s="193">
        <f t="shared" ref="E20:H21" si="5">D20</f>
        <v>19.732436288346317</v>
      </c>
      <c r="F20" s="193">
        <f t="shared" si="5"/>
        <v>19.732436288346317</v>
      </c>
      <c r="G20" s="193">
        <f t="shared" si="5"/>
        <v>19.732436288346317</v>
      </c>
      <c r="H20" s="193">
        <f t="shared" si="5"/>
        <v>19.732436288346317</v>
      </c>
      <c r="J20" s="192"/>
      <c r="K20" s="193">
        <f>J20</f>
        <v>0</v>
      </c>
      <c r="L20" s="193">
        <f t="shared" ref="L20:O21" si="6">K20</f>
        <v>0</v>
      </c>
      <c r="M20" s="193">
        <f t="shared" si="6"/>
        <v>0</v>
      </c>
      <c r="N20" s="193">
        <f t="shared" si="6"/>
        <v>0</v>
      </c>
      <c r="O20" s="193">
        <f t="shared" si="6"/>
        <v>0</v>
      </c>
    </row>
    <row r="21" spans="2:15" x14ac:dyDescent="0.25">
      <c r="B21" s="191" t="s">
        <v>106</v>
      </c>
      <c r="C21" s="192">
        <f>'Proposed price'!J8</f>
        <v>0</v>
      </c>
      <c r="D21" s="193">
        <f>C21</f>
        <v>0</v>
      </c>
      <c r="E21" s="193">
        <f t="shared" si="5"/>
        <v>0</v>
      </c>
      <c r="F21" s="193">
        <f t="shared" si="5"/>
        <v>0</v>
      </c>
      <c r="G21" s="193">
        <f t="shared" si="5"/>
        <v>0</v>
      </c>
      <c r="H21" s="193">
        <f t="shared" si="5"/>
        <v>0</v>
      </c>
      <c r="J21" s="192"/>
      <c r="K21" s="193">
        <f>J21</f>
        <v>0</v>
      </c>
      <c r="L21" s="193">
        <f t="shared" si="6"/>
        <v>0</v>
      </c>
      <c r="M21" s="193">
        <f t="shared" si="6"/>
        <v>0</v>
      </c>
      <c r="N21" s="193">
        <f t="shared" si="6"/>
        <v>0</v>
      </c>
      <c r="O21" s="193">
        <f t="shared" si="6"/>
        <v>0</v>
      </c>
    </row>
    <row r="22" spans="2:15" s="172" customFormat="1" x14ac:dyDescent="0.25">
      <c r="B22" s="194" t="s">
        <v>132</v>
      </c>
      <c r="C22" s="238">
        <f>'Proposed price'!M8</f>
        <v>122.99303390849131</v>
      </c>
      <c r="D22" s="184">
        <f>SUM(D19:D21)</f>
        <v>122.99303390849131</v>
      </c>
      <c r="E22" s="184">
        <f t="shared" ref="E22:H22" si="7">SUM(E19:E21)</f>
        <v>122.99303390849131</v>
      </c>
      <c r="F22" s="184">
        <f t="shared" si="7"/>
        <v>124.1289004823129</v>
      </c>
      <c r="G22" s="184">
        <f t="shared" si="7"/>
        <v>126.54379949204773</v>
      </c>
      <c r="H22" s="184">
        <f t="shared" si="7"/>
        <v>130.15109403171195</v>
      </c>
      <c r="J22" s="195"/>
      <c r="K22" s="182">
        <f>SUM(K19:K21)</f>
        <v>0</v>
      </c>
      <c r="L22" s="182">
        <f t="shared" ref="L22:O22" si="8">SUM(L19:L21)</f>
        <v>0</v>
      </c>
      <c r="M22" s="182">
        <f t="shared" si="8"/>
        <v>0</v>
      </c>
      <c r="N22" s="182">
        <f t="shared" si="8"/>
        <v>0</v>
      </c>
      <c r="O22" s="182">
        <f t="shared" si="8"/>
        <v>0</v>
      </c>
    </row>
    <row r="23" spans="2:15" x14ac:dyDescent="0.25">
      <c r="B23" s="191" t="s">
        <v>110</v>
      </c>
      <c r="C23" s="192">
        <f>'Proposed price'!N8</f>
        <v>57.305727529149344</v>
      </c>
      <c r="D23" s="193">
        <f>D22*D$3</f>
        <v>57.305727529149344</v>
      </c>
      <c r="E23" s="193">
        <f t="shared" ref="E23:H23" si="9">E22*E$3</f>
        <v>57.305727529149344</v>
      </c>
      <c r="F23" s="193">
        <f t="shared" si="9"/>
        <v>57.834957993025185</v>
      </c>
      <c r="G23" s="193">
        <f t="shared" si="9"/>
        <v>58.960123705786117</v>
      </c>
      <c r="H23" s="193">
        <f t="shared" si="9"/>
        <v>60.64085822739478</v>
      </c>
      <c r="J23" s="192"/>
      <c r="K23" s="193">
        <f>K22*K$3</f>
        <v>0</v>
      </c>
      <c r="L23" s="193">
        <f t="shared" ref="L23:O23" si="10">L22*L$3</f>
        <v>0</v>
      </c>
      <c r="M23" s="193">
        <f t="shared" si="10"/>
        <v>0</v>
      </c>
      <c r="N23" s="193">
        <f t="shared" si="10"/>
        <v>0</v>
      </c>
      <c r="O23" s="193">
        <f t="shared" si="10"/>
        <v>0</v>
      </c>
    </row>
    <row r="24" spans="2:15" x14ac:dyDescent="0.25">
      <c r="B24" s="191" t="s">
        <v>111</v>
      </c>
      <c r="C24" s="192">
        <f>'Proposed price'!O8</f>
        <v>19.725325764744216</v>
      </c>
      <c r="D24" s="193">
        <f>D22*D$4</f>
        <v>19.725325764744216</v>
      </c>
      <c r="E24" s="193">
        <f t="shared" ref="E24:H24" si="11">E22*E$4</f>
        <v>19.725325764744216</v>
      </c>
      <c r="F24" s="193">
        <f t="shared" si="11"/>
        <v>19.907493302871494</v>
      </c>
      <c r="G24" s="193">
        <f t="shared" si="11"/>
        <v>20.294788974359836</v>
      </c>
      <c r="H24" s="193">
        <f t="shared" si="11"/>
        <v>20.873318161445344</v>
      </c>
      <c r="J24" s="192"/>
      <c r="K24" s="193">
        <f>K22*K$4</f>
        <v>0</v>
      </c>
      <c r="L24" s="193">
        <f t="shared" ref="L24:O24" si="12">L22*L$4</f>
        <v>0</v>
      </c>
      <c r="M24" s="193">
        <f t="shared" si="12"/>
        <v>0</v>
      </c>
      <c r="N24" s="193">
        <f t="shared" si="12"/>
        <v>0</v>
      </c>
      <c r="O24" s="193">
        <f t="shared" si="12"/>
        <v>0</v>
      </c>
    </row>
    <row r="25" spans="2:15" x14ac:dyDescent="0.25">
      <c r="B25" s="191" t="s">
        <v>112</v>
      </c>
      <c r="C25" s="192">
        <f>'Proposed price'!P8</f>
        <v>12.685527610375249</v>
      </c>
      <c r="D25" s="193">
        <f>SUM(D22:D24)*D$5</f>
        <v>12.685527610375249</v>
      </c>
      <c r="E25" s="193">
        <f t="shared" ref="E25:H25" si="13">SUM(E22:E24)*E$5</f>
        <v>12.685527610375249</v>
      </c>
      <c r="F25" s="193">
        <f t="shared" si="13"/>
        <v>12.802681129774054</v>
      </c>
      <c r="G25" s="193">
        <f t="shared" si="13"/>
        <v>13.051754325960525</v>
      </c>
      <c r="H25" s="193">
        <f t="shared" si="13"/>
        <v>13.423811450071414</v>
      </c>
      <c r="J25" s="192"/>
      <c r="K25" s="193">
        <f>SUM(K22:K24)*K$5</f>
        <v>0</v>
      </c>
      <c r="L25" s="193">
        <f t="shared" ref="L25:O25" si="14">SUM(L22:L24)*L$5</f>
        <v>0</v>
      </c>
      <c r="M25" s="193">
        <f t="shared" si="14"/>
        <v>0</v>
      </c>
      <c r="N25" s="193">
        <f t="shared" si="14"/>
        <v>0</v>
      </c>
      <c r="O25" s="193">
        <f t="shared" si="14"/>
        <v>0</v>
      </c>
    </row>
    <row r="26" spans="2:15" s="172" customFormat="1" x14ac:dyDescent="0.25">
      <c r="B26" s="196" t="s">
        <v>136</v>
      </c>
      <c r="C26" s="197">
        <f>'Proposed price'!Q8</f>
        <v>212.70961481276012</v>
      </c>
      <c r="D26" s="198">
        <f>SUM(D22:D25)</f>
        <v>212.70961481276012</v>
      </c>
      <c r="E26" s="198">
        <f t="shared" ref="E26:H26" si="15">SUM(E22:E25)</f>
        <v>212.70961481276012</v>
      </c>
      <c r="F26" s="198">
        <f t="shared" si="15"/>
        <v>214.67403290798364</v>
      </c>
      <c r="G26" s="198">
        <f t="shared" si="15"/>
        <v>218.85046649815422</v>
      </c>
      <c r="H26" s="198">
        <f t="shared" si="15"/>
        <v>225.08908187062349</v>
      </c>
      <c r="J26" s="197"/>
      <c r="K26" s="198">
        <f>SUM(K22:K25)</f>
        <v>0</v>
      </c>
      <c r="L26" s="198">
        <f t="shared" ref="L26:O26" si="16">SUM(L22:L25)</f>
        <v>0</v>
      </c>
      <c r="M26" s="198">
        <f t="shared" si="16"/>
        <v>0</v>
      </c>
      <c r="N26" s="198">
        <f t="shared" si="16"/>
        <v>0</v>
      </c>
      <c r="O26" s="198">
        <f t="shared" si="16"/>
        <v>0</v>
      </c>
    </row>
    <row r="27" spans="2:15" x14ac:dyDescent="0.25">
      <c r="B27" s="199" t="s">
        <v>137</v>
      </c>
      <c r="C27" s="193"/>
      <c r="D27" s="200">
        <f>'Forecast Revenue - Costs'!D11</f>
        <v>50</v>
      </c>
      <c r="E27" s="200">
        <f>'Forecast Revenue - Costs'!E11</f>
        <v>50</v>
      </c>
      <c r="F27" s="200">
        <f>'Forecast Revenue - Costs'!F11</f>
        <v>50</v>
      </c>
      <c r="G27" s="200">
        <f>'Forecast Revenue - Costs'!G11</f>
        <v>50</v>
      </c>
      <c r="H27" s="200">
        <f>'Forecast Revenue - Costs'!H11</f>
        <v>50</v>
      </c>
      <c r="J27" s="193"/>
      <c r="K27" s="200"/>
      <c r="L27" s="200"/>
      <c r="M27" s="200"/>
      <c r="N27" s="200"/>
      <c r="O27" s="200"/>
    </row>
    <row r="28" spans="2:15" s="172" customFormat="1" x14ac:dyDescent="0.25">
      <c r="B28" s="186" t="s">
        <v>138</v>
      </c>
      <c r="C28" s="184"/>
      <c r="D28" s="185">
        <f>D26*D27</f>
        <v>10635.480740638006</v>
      </c>
      <c r="E28" s="185">
        <f t="shared" ref="E28:H28" si="17">E26*E27</f>
        <v>10635.480740638006</v>
      </c>
      <c r="F28" s="185">
        <f t="shared" si="17"/>
        <v>10733.701645399182</v>
      </c>
      <c r="G28" s="185">
        <f t="shared" si="17"/>
        <v>10942.52332490771</v>
      </c>
      <c r="H28" s="185">
        <f t="shared" si="17"/>
        <v>11254.454093531174</v>
      </c>
      <c r="J28" s="184"/>
      <c r="K28" s="185"/>
      <c r="L28" s="185"/>
      <c r="M28" s="185"/>
      <c r="N28" s="185"/>
      <c r="O28" s="185"/>
    </row>
  </sheetData>
  <mergeCells count="4">
    <mergeCell ref="D6:H6"/>
    <mergeCell ref="J6:O6"/>
    <mergeCell ref="D18:H18"/>
    <mergeCell ref="K18:O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5"/>
  <sheetViews>
    <sheetView showGridLines="0" zoomScale="90" zoomScaleNormal="90" workbookViewId="0">
      <selection activeCell="B22" sqref="B22:I23"/>
    </sheetView>
  </sheetViews>
  <sheetFormatPr defaultRowHeight="15" x14ac:dyDescent="0.25"/>
  <cols>
    <col min="1" max="1" width="3.28515625" customWidth="1"/>
    <col min="2" max="2" width="66.42578125" customWidth="1"/>
    <col min="3" max="3" width="65.140625" customWidth="1"/>
    <col min="4" max="4" width="11.85546875" customWidth="1"/>
    <col min="5" max="8" width="11.28515625" customWidth="1"/>
    <col min="9" max="9" width="12.7109375" customWidth="1"/>
  </cols>
  <sheetData>
    <row r="2" spans="2:9" x14ac:dyDescent="0.25">
      <c r="B2" s="25" t="s">
        <v>50</v>
      </c>
      <c r="C2" s="26"/>
      <c r="D2" s="26"/>
      <c r="E2" s="26"/>
      <c r="F2" s="26"/>
      <c r="G2" s="26"/>
      <c r="H2" s="26"/>
      <c r="I2" s="26"/>
    </row>
    <row r="3" spans="2:9" x14ac:dyDescent="0.25">
      <c r="B3" s="1"/>
      <c r="C3" s="1"/>
      <c r="D3" s="1"/>
      <c r="E3" s="1"/>
      <c r="F3" s="1"/>
      <c r="G3" s="1"/>
      <c r="H3" s="1"/>
      <c r="I3" s="1"/>
    </row>
    <row r="4" spans="2:9" x14ac:dyDescent="0.25">
      <c r="B4" s="3" t="s">
        <v>75</v>
      </c>
      <c r="C4" s="3" t="s">
        <v>3</v>
      </c>
      <c r="D4" s="55" t="s">
        <v>58</v>
      </c>
      <c r="E4" s="55" t="s">
        <v>59</v>
      </c>
      <c r="F4" s="55" t="s">
        <v>60</v>
      </c>
      <c r="G4" s="55" t="s">
        <v>77</v>
      </c>
      <c r="H4" s="55" t="s">
        <v>61</v>
      </c>
      <c r="I4" s="4" t="s">
        <v>1</v>
      </c>
    </row>
    <row r="5" spans="2:9" x14ac:dyDescent="0.25">
      <c r="B5" s="74" t="s">
        <v>81</v>
      </c>
      <c r="C5" s="5" t="str">
        <f>'AER Summary'!$C$3</f>
        <v xml:space="preserve">High Load Escorts </v>
      </c>
      <c r="D5" s="27">
        <f>'Forecasts by year'!D28</f>
        <v>10635.480740638006</v>
      </c>
      <c r="E5" s="27">
        <f>'Forecasts by year'!E28</f>
        <v>10635.480740638006</v>
      </c>
      <c r="F5" s="27">
        <f>'Forecasts by year'!F28</f>
        <v>10733.701645399182</v>
      </c>
      <c r="G5" s="27">
        <f>'Forecasts by year'!G28</f>
        <v>10942.52332490771</v>
      </c>
      <c r="H5" s="27">
        <f>'Forecasts by year'!H28</f>
        <v>11254.454093531174</v>
      </c>
      <c r="I5" s="161">
        <f>SUM(D5:H5)</f>
        <v>54201.640545114082</v>
      </c>
    </row>
    <row r="6" spans="2:9" x14ac:dyDescent="0.25">
      <c r="B6" s="7" t="s">
        <v>1</v>
      </c>
      <c r="C6" s="8"/>
      <c r="D6" s="9">
        <f>SUM(D5:D5)</f>
        <v>10635.480740638006</v>
      </c>
      <c r="E6" s="9">
        <f>SUM(E5:E5)</f>
        <v>10635.480740638006</v>
      </c>
      <c r="F6" s="9">
        <f>SUM(F5:F5)</f>
        <v>10733.701645399182</v>
      </c>
      <c r="G6" s="9">
        <f>SUM(G5:G5)</f>
        <v>10942.52332490771</v>
      </c>
      <c r="H6" s="9">
        <f>SUM(H5:H5)</f>
        <v>11254.454093531174</v>
      </c>
      <c r="I6" s="9">
        <f>SUM(I5:I5)</f>
        <v>54201.640545114082</v>
      </c>
    </row>
    <row r="7" spans="2:9" x14ac:dyDescent="0.25">
      <c r="B7" s="1"/>
      <c r="C7" s="1"/>
      <c r="D7" s="1"/>
      <c r="E7" s="1"/>
      <c r="F7" s="1"/>
      <c r="G7" s="1"/>
      <c r="H7" s="1"/>
      <c r="I7" s="1"/>
    </row>
    <row r="8" spans="2:9" x14ac:dyDescent="0.25">
      <c r="B8" s="25" t="s">
        <v>27</v>
      </c>
      <c r="C8" s="26"/>
      <c r="D8" s="26"/>
      <c r="E8" s="26"/>
      <c r="F8" s="26"/>
      <c r="G8" s="26"/>
      <c r="H8" s="26"/>
      <c r="I8" s="26"/>
    </row>
    <row r="9" spans="2:9" x14ac:dyDescent="0.25">
      <c r="B9" s="1"/>
      <c r="C9" s="1"/>
      <c r="D9" s="1"/>
      <c r="E9" s="1"/>
      <c r="F9" s="1"/>
      <c r="G9" s="1"/>
      <c r="H9" s="1"/>
      <c r="I9" s="1"/>
    </row>
    <row r="10" spans="2:9" x14ac:dyDescent="0.25">
      <c r="B10" s="3" t="s">
        <v>75</v>
      </c>
      <c r="C10" s="3" t="s">
        <v>3</v>
      </c>
      <c r="D10" s="55" t="s">
        <v>58</v>
      </c>
      <c r="E10" s="55" t="s">
        <v>59</v>
      </c>
      <c r="F10" s="55" t="s">
        <v>60</v>
      </c>
      <c r="G10" s="55" t="s">
        <v>77</v>
      </c>
      <c r="H10" s="55" t="s">
        <v>61</v>
      </c>
      <c r="I10" s="4" t="s">
        <v>1</v>
      </c>
    </row>
    <row r="11" spans="2:9" x14ac:dyDescent="0.25">
      <c r="B11" s="74" t="s">
        <v>81</v>
      </c>
      <c r="C11" s="5" t="s">
        <v>82</v>
      </c>
      <c r="D11" s="57">
        <v>50</v>
      </c>
      <c r="E11" s="57">
        <v>50</v>
      </c>
      <c r="F11" s="57">
        <v>50</v>
      </c>
      <c r="G11" s="57">
        <v>50</v>
      </c>
      <c r="H11" s="57">
        <v>50</v>
      </c>
      <c r="I11" s="167">
        <f>SUM(D11:H11)</f>
        <v>250</v>
      </c>
    </row>
    <row r="12" spans="2:9" x14ac:dyDescent="0.25">
      <c r="B12" s="201" t="s">
        <v>53</v>
      </c>
      <c r="C12" s="202"/>
      <c r="D12" s="111">
        <f>SUM(D11:D11)</f>
        <v>50</v>
      </c>
      <c r="E12" s="111">
        <f>SUM(E11:E11)</f>
        <v>50</v>
      </c>
      <c r="F12" s="111">
        <f>SUM(F11:F11)</f>
        <v>50</v>
      </c>
      <c r="G12" s="111">
        <f>SUM(G11:G11)</f>
        <v>50</v>
      </c>
      <c r="H12" s="111">
        <f>SUM(H11:H11)</f>
        <v>50</v>
      </c>
      <c r="I12" s="111">
        <f>SUM(I11:I11)</f>
        <v>250</v>
      </c>
    </row>
    <row r="13" spans="2:9" x14ac:dyDescent="0.25">
      <c r="B13" s="201" t="s">
        <v>17</v>
      </c>
      <c r="C13" s="202"/>
      <c r="D13" s="111">
        <v>5</v>
      </c>
      <c r="E13" s="111">
        <v>5</v>
      </c>
      <c r="F13" s="111">
        <v>5</v>
      </c>
      <c r="G13" s="111">
        <v>5</v>
      </c>
      <c r="H13" s="111">
        <v>5</v>
      </c>
      <c r="I13" s="111">
        <f>SUM(D13:H13)</f>
        <v>25</v>
      </c>
    </row>
    <row r="14" spans="2:9" x14ac:dyDescent="0.25">
      <c r="B14" s="1"/>
      <c r="C14" s="1"/>
      <c r="D14" s="12"/>
      <c r="E14" s="12"/>
      <c r="F14" s="12"/>
      <c r="G14" s="12"/>
      <c r="H14" s="12"/>
      <c r="I14" s="12"/>
    </row>
    <row r="15" spans="2:9" x14ac:dyDescent="0.25">
      <c r="B15" s="13" t="s">
        <v>6</v>
      </c>
      <c r="C15" s="1"/>
      <c r="D15" s="12"/>
      <c r="E15" s="12"/>
      <c r="F15" s="12"/>
      <c r="G15" s="12"/>
      <c r="H15" s="12"/>
      <c r="I15" s="12"/>
    </row>
    <row r="16" spans="2:9" x14ac:dyDescent="0.25">
      <c r="B16" s="233"/>
      <c r="C16" s="233"/>
      <c r="D16" s="233"/>
      <c r="E16" s="233"/>
      <c r="F16" s="233"/>
      <c r="G16" s="233"/>
      <c r="H16" s="233"/>
      <c r="I16" s="233"/>
    </row>
    <row r="17" spans="2:9" x14ac:dyDescent="0.25">
      <c r="B17" s="234"/>
      <c r="C17" s="234"/>
      <c r="D17" s="234"/>
      <c r="E17" s="234"/>
      <c r="F17" s="234"/>
      <c r="G17" s="234"/>
      <c r="H17" s="234"/>
      <c r="I17" s="234"/>
    </row>
    <row r="18" spans="2:9" x14ac:dyDescent="0.25">
      <c r="B18" s="1"/>
      <c r="C18" s="1"/>
      <c r="D18" s="12"/>
      <c r="E18" s="12"/>
      <c r="F18" s="12"/>
      <c r="G18" s="12"/>
      <c r="H18" s="12"/>
      <c r="I18" s="12"/>
    </row>
    <row r="19" spans="2:9" x14ac:dyDescent="0.25">
      <c r="B19" s="25" t="s">
        <v>28</v>
      </c>
      <c r="C19" s="26"/>
      <c r="D19" s="26"/>
      <c r="E19" s="26"/>
      <c r="F19" s="26"/>
      <c r="G19" s="26"/>
      <c r="H19" s="26"/>
      <c r="I19" s="26"/>
    </row>
    <row r="20" spans="2:9" x14ac:dyDescent="0.25">
      <c r="B20" s="1"/>
      <c r="C20" s="1"/>
      <c r="D20" s="1"/>
      <c r="E20" s="1"/>
      <c r="F20" s="1"/>
      <c r="G20" s="1"/>
      <c r="H20" s="1"/>
      <c r="I20" s="1"/>
    </row>
    <row r="21" spans="2:9" x14ac:dyDescent="0.25">
      <c r="B21" s="14" t="s">
        <v>26</v>
      </c>
      <c r="C21" s="15"/>
      <c r="D21" s="15"/>
      <c r="E21" s="15"/>
      <c r="F21" s="15"/>
      <c r="G21" s="15"/>
      <c r="H21" s="15"/>
      <c r="I21" s="15"/>
    </row>
    <row r="22" spans="2:9" x14ac:dyDescent="0.25">
      <c r="B22" s="222" t="s">
        <v>141</v>
      </c>
      <c r="C22" s="222"/>
      <c r="D22" s="222"/>
      <c r="E22" s="222"/>
      <c r="F22" s="222"/>
      <c r="G22" s="222"/>
      <c r="H22" s="222"/>
      <c r="I22" s="222"/>
    </row>
    <row r="23" spans="2:9" x14ac:dyDescent="0.25">
      <c r="B23" s="224"/>
      <c r="C23" s="224"/>
      <c r="D23" s="224"/>
      <c r="E23" s="224"/>
      <c r="F23" s="224"/>
      <c r="G23" s="224"/>
      <c r="H23" s="224"/>
      <c r="I23" s="224"/>
    </row>
    <row r="24" spans="2:9" x14ac:dyDescent="0.25">
      <c r="B24" s="16"/>
      <c r="C24" s="17"/>
      <c r="D24" s="17"/>
      <c r="E24" s="17"/>
      <c r="F24" s="17"/>
      <c r="G24" s="17"/>
      <c r="H24" s="17"/>
      <c r="I24" s="17"/>
    </row>
    <row r="25" spans="2:9" x14ac:dyDescent="0.25">
      <c r="B25" s="1"/>
      <c r="C25" s="1"/>
      <c r="D25" s="1"/>
      <c r="E25" s="1"/>
      <c r="F25" s="1"/>
      <c r="G25" s="1"/>
      <c r="H25" s="1"/>
      <c r="I25" s="1"/>
    </row>
    <row r="26" spans="2:9" x14ac:dyDescent="0.25">
      <c r="B26" s="28" t="s">
        <v>48</v>
      </c>
      <c r="C26" s="29"/>
      <c r="D26" s="235" t="s">
        <v>115</v>
      </c>
      <c r="E26" s="235"/>
      <c r="F26" s="235"/>
      <c r="G26" s="235"/>
      <c r="H26" s="235"/>
      <c r="I26" s="29"/>
    </row>
    <row r="27" spans="2:9" ht="15.75" customHeight="1" x14ac:dyDescent="0.25">
      <c r="B27" s="2" t="s">
        <v>20</v>
      </c>
      <c r="C27" s="18" t="s">
        <v>3</v>
      </c>
      <c r="D27" s="55" t="s">
        <v>58</v>
      </c>
      <c r="E27" s="55" t="s">
        <v>59</v>
      </c>
      <c r="F27" s="55" t="s">
        <v>60</v>
      </c>
      <c r="G27" s="55" t="s">
        <v>77</v>
      </c>
      <c r="H27" s="168" t="s">
        <v>61</v>
      </c>
      <c r="I27" s="19" t="s">
        <v>1</v>
      </c>
    </row>
    <row r="28" spans="2:9" s="172" customFormat="1" x14ac:dyDescent="0.25">
      <c r="B28" s="169" t="s">
        <v>116</v>
      </c>
      <c r="C28" s="170"/>
      <c r="D28" s="56">
        <f>'Forecasts by year'!D8</f>
        <v>5163.02988100725</v>
      </c>
      <c r="E28" s="56">
        <f>'Forecasts by year'!E8</f>
        <v>5163.02988100725</v>
      </c>
      <c r="F28" s="56">
        <f>'Forecasts by year'!F8</f>
        <v>5219.8232096983293</v>
      </c>
      <c r="G28" s="56">
        <f>'Forecasts by year'!G8</f>
        <v>5340.5681601850702</v>
      </c>
      <c r="H28" s="56">
        <f>'Forecasts by year'!H8</f>
        <v>5520.932887168281</v>
      </c>
      <c r="I28" s="171">
        <f t="shared" ref="I28:I30" si="0">SUM(D28:H28)</f>
        <v>26407.384019066179</v>
      </c>
    </row>
    <row r="29" spans="2:9" s="172" customFormat="1" x14ac:dyDescent="0.25">
      <c r="B29" s="169" t="s">
        <v>117</v>
      </c>
      <c r="C29" s="173"/>
      <c r="D29" s="56">
        <f>'Forecasts by year'!D9</f>
        <v>986.62181441731582</v>
      </c>
      <c r="E29" s="56">
        <f>'Forecasts by year'!E9</f>
        <v>986.62181441731582</v>
      </c>
      <c r="F29" s="56">
        <f>'Forecasts by year'!F9</f>
        <v>986.62181441731582</v>
      </c>
      <c r="G29" s="56">
        <f>'Forecasts by year'!G9</f>
        <v>986.62181441731582</v>
      </c>
      <c r="H29" s="56">
        <f>'Forecasts by year'!H9</f>
        <v>986.62181441731582</v>
      </c>
      <c r="I29" s="171">
        <f t="shared" si="0"/>
        <v>4933.1090720865795</v>
      </c>
    </row>
    <row r="30" spans="2:9" s="172" customFormat="1" x14ac:dyDescent="0.25">
      <c r="B30" s="169" t="s">
        <v>106</v>
      </c>
      <c r="C30" s="173"/>
      <c r="D30" s="56">
        <f>'Forecasts by year'!D10</f>
        <v>0</v>
      </c>
      <c r="E30" s="56">
        <f>'Forecasts by year'!E10</f>
        <v>0</v>
      </c>
      <c r="F30" s="56">
        <f>'Forecasts by year'!F10</f>
        <v>0</v>
      </c>
      <c r="G30" s="56">
        <f>'Forecasts by year'!G10</f>
        <v>0</v>
      </c>
      <c r="H30" s="56">
        <f>'Forecasts by year'!H10</f>
        <v>0</v>
      </c>
      <c r="I30" s="171">
        <f t="shared" si="0"/>
        <v>0</v>
      </c>
    </row>
    <row r="31" spans="2:9" s="172" customFormat="1" x14ac:dyDescent="0.25">
      <c r="B31" s="174" t="s">
        <v>118</v>
      </c>
      <c r="C31" s="173"/>
      <c r="D31" s="175">
        <f>'Forecasts by year'!D11</f>
        <v>6149.6516954245653</v>
      </c>
      <c r="E31" s="175">
        <f>'Forecasts by year'!E11</f>
        <v>6149.6516954245653</v>
      </c>
      <c r="F31" s="175">
        <f>'Forecasts by year'!F11</f>
        <v>6206.4450241156446</v>
      </c>
      <c r="G31" s="175">
        <f>'Forecasts by year'!G11</f>
        <v>6327.1899746023864</v>
      </c>
      <c r="H31" s="175">
        <f>'Forecasts by year'!H11</f>
        <v>6507.5547015855973</v>
      </c>
      <c r="I31" s="171">
        <f>SUM(D31:H31)</f>
        <v>31340.493091152763</v>
      </c>
    </row>
    <row r="32" spans="2:9" x14ac:dyDescent="0.25">
      <c r="B32" s="6" t="s">
        <v>110</v>
      </c>
      <c r="C32" s="10"/>
      <c r="D32" s="56">
        <f>'Forecasts by year'!D12</f>
        <v>2865.2863764574672</v>
      </c>
      <c r="E32" s="56">
        <f>'Forecasts by year'!E12</f>
        <v>2865.2863764574672</v>
      </c>
      <c r="F32" s="56">
        <f>'Forecasts by year'!F12</f>
        <v>2891.7478996512591</v>
      </c>
      <c r="G32" s="56">
        <f>'Forecasts by year'!G12</f>
        <v>2948.0061852893059</v>
      </c>
      <c r="H32" s="56">
        <f>'Forecasts by year'!H12</f>
        <v>3032.0429113697392</v>
      </c>
      <c r="I32" s="171">
        <f>SUM(D32:H32)</f>
        <v>14602.36974922524</v>
      </c>
    </row>
    <row r="33" spans="2:9" x14ac:dyDescent="0.25">
      <c r="B33" s="6" t="s">
        <v>111</v>
      </c>
      <c r="C33" s="5"/>
      <c r="D33" s="56">
        <f>'Forecasts by year'!D13</f>
        <v>986.2662882372108</v>
      </c>
      <c r="E33" s="56">
        <f>'Forecasts by year'!E13</f>
        <v>986.2662882372108</v>
      </c>
      <c r="F33" s="56">
        <f>'Forecasts by year'!F13</f>
        <v>995.3746651435747</v>
      </c>
      <c r="G33" s="56">
        <f>'Forecasts by year'!G13</f>
        <v>1014.7394487179918</v>
      </c>
      <c r="H33" s="56">
        <f>'Forecasts by year'!H13</f>
        <v>1043.6659080722673</v>
      </c>
      <c r="I33" s="171">
        <f>SUM(D33:H33)</f>
        <v>5026.3125984082553</v>
      </c>
    </row>
    <row r="34" spans="2:9" x14ac:dyDescent="0.25">
      <c r="B34" s="6" t="s">
        <v>119</v>
      </c>
      <c r="C34" s="5"/>
      <c r="D34" s="56">
        <f>'Forecasts by year'!D14</f>
        <v>634.27638051876249</v>
      </c>
      <c r="E34" s="56">
        <f>'Forecasts by year'!E14</f>
        <v>634.27638051876249</v>
      </c>
      <c r="F34" s="56">
        <f>'Forecasts by year'!F14</f>
        <v>640.13405648870275</v>
      </c>
      <c r="G34" s="56">
        <f>'Forecasts by year'!G14</f>
        <v>652.58771629802629</v>
      </c>
      <c r="H34" s="56">
        <f>'Forecasts by year'!H14</f>
        <v>671.19057250357071</v>
      </c>
      <c r="I34" s="171">
        <f>SUM(D34:H34)</f>
        <v>3232.4651063278247</v>
      </c>
    </row>
    <row r="35" spans="2:9" x14ac:dyDescent="0.25">
      <c r="B35" s="21" t="s">
        <v>1</v>
      </c>
      <c r="C35" s="22"/>
      <c r="D35" s="23">
        <f>SUM(D31:D34)</f>
        <v>10635.480740638006</v>
      </c>
      <c r="E35" s="23">
        <f t="shared" ref="E35:H35" si="1">SUM(E31:E34)</f>
        <v>10635.480740638006</v>
      </c>
      <c r="F35" s="23">
        <f t="shared" si="1"/>
        <v>10733.70164539918</v>
      </c>
      <c r="G35" s="23">
        <f t="shared" si="1"/>
        <v>10942.523324907712</v>
      </c>
      <c r="H35" s="23">
        <f t="shared" si="1"/>
        <v>11254.454093531174</v>
      </c>
      <c r="I35" s="24">
        <f>SUM(I31:I34)</f>
        <v>54201.640545114082</v>
      </c>
    </row>
  </sheetData>
  <mergeCells count="3">
    <mergeCell ref="B16:I17"/>
    <mergeCell ref="B22:I23"/>
    <mergeCell ref="D26:H26"/>
  </mergeCells>
  <pageMargins left="0.7" right="0.7" top="0.75" bottom="0.75" header="0.3" footer="0.3"/>
  <ignoredErrors>
    <ignoredError sqref="I12"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Proposed price</vt:lpstr>
      <vt:lpstr>Historical Revenue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2018-04-17T05:00:27Z</dcterms:modified>
</cp:coreProperties>
</file>