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4_DSNP Arranged Outage (NEW)\"/>
    </mc:Choice>
  </mc:AlternateContent>
  <xr:revisionPtr revIDLastSave="0" documentId="13_ncr:1_{B0EEC284-528A-4315-A4B7-D3912C911A3F}"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E13" i="16" l="1"/>
  <c r="F13" i="16" s="1"/>
  <c r="G13" i="16" s="1"/>
  <c r="H13" i="16" s="1"/>
  <c r="E12" i="16"/>
  <c r="F12" i="16" s="1"/>
  <c r="G12" i="16" s="1"/>
  <c r="H12" i="16" s="1"/>
  <c r="I13" i="16" l="1"/>
  <c r="H5" i="17" l="1"/>
  <c r="G5" i="17"/>
  <c r="F5" i="17"/>
  <c r="E5" i="17"/>
  <c r="D5" i="17"/>
  <c r="H2" i="17"/>
  <c r="G2" i="17"/>
  <c r="F2" i="17"/>
  <c r="E2" i="17"/>
  <c r="D2" i="17"/>
  <c r="H1" i="17"/>
  <c r="G1" i="17"/>
  <c r="F1" i="17"/>
  <c r="E1" i="17"/>
  <c r="D1" i="17"/>
  <c r="I25" i="11"/>
  <c r="H25" i="11"/>
  <c r="I24" i="11"/>
  <c r="H24" i="11"/>
  <c r="I23" i="11"/>
  <c r="H23" i="11"/>
  <c r="I22" i="11"/>
  <c r="H22" i="11"/>
  <c r="I21" i="11"/>
  <c r="H21" i="11"/>
  <c r="I20" i="11"/>
  <c r="H20" i="11"/>
  <c r="I19" i="11"/>
  <c r="H19" i="11"/>
  <c r="I13" i="11"/>
  <c r="H13" i="11"/>
  <c r="I12" i="11"/>
  <c r="H12" i="11"/>
  <c r="I11" i="11"/>
  <c r="H11" i="11"/>
  <c r="I10" i="11"/>
  <c r="H10" i="11"/>
  <c r="I9" i="11"/>
  <c r="H9" i="11"/>
  <c r="I8" i="11"/>
  <c r="H8" i="11"/>
  <c r="I7" i="11"/>
  <c r="H7" i="11"/>
  <c r="K27" i="17" l="1"/>
  <c r="D27" i="17"/>
  <c r="O27" i="17"/>
  <c r="G27" i="17"/>
  <c r="J21" i="17"/>
  <c r="K21" i="17" s="1"/>
  <c r="C21" i="17"/>
  <c r="D21" i="17"/>
  <c r="N5" i="17"/>
  <c r="K5" i="17"/>
  <c r="M1" i="17"/>
  <c r="O1" i="17"/>
  <c r="N1" i="17"/>
  <c r="L1" i="17"/>
  <c r="K1" i="17"/>
  <c r="G27" i="11"/>
  <c r="H27" i="11"/>
  <c r="J19" i="17" s="1"/>
  <c r="I27" i="11"/>
  <c r="J20" i="17" s="1"/>
  <c r="K20" i="17" s="1"/>
  <c r="L20" i="17" s="1"/>
  <c r="J27" i="11"/>
  <c r="K27" i="11"/>
  <c r="L27" i="11"/>
  <c r="M21" i="11"/>
  <c r="M22" i="11"/>
  <c r="M23" i="11"/>
  <c r="M24" i="11"/>
  <c r="M25" i="11"/>
  <c r="M20" i="11"/>
  <c r="M19" i="11"/>
  <c r="G15" i="11"/>
  <c r="H15" i="11"/>
  <c r="C19" i="17" s="1"/>
  <c r="D19" i="17" s="1"/>
  <c r="I15" i="11"/>
  <c r="C20" i="17" s="1"/>
  <c r="D20" i="17" s="1"/>
  <c r="J15" i="11"/>
  <c r="K15" i="11"/>
  <c r="L15" i="11"/>
  <c r="M8" i="11"/>
  <c r="M9" i="11"/>
  <c r="M10" i="11"/>
  <c r="M11" i="11"/>
  <c r="M12" i="11"/>
  <c r="M13" i="11"/>
  <c r="M7" i="11"/>
  <c r="E27" i="17" l="1"/>
  <c r="M27" i="11"/>
  <c r="J22" i="17" s="1"/>
  <c r="M15" i="11"/>
  <c r="C22" i="17" s="1"/>
  <c r="L27" i="17"/>
  <c r="L9" i="17" s="1"/>
  <c r="N27" i="17"/>
  <c r="M27" i="17"/>
  <c r="F27" i="17"/>
  <c r="K10" i="17"/>
  <c r="H27" i="17"/>
  <c r="K9" i="17"/>
  <c r="E20" i="17"/>
  <c r="D9" i="17"/>
  <c r="M20" i="17"/>
  <c r="E19" i="17"/>
  <c r="D8" i="17"/>
  <c r="D22" i="17"/>
  <c r="E21" i="17"/>
  <c r="D10" i="17"/>
  <c r="O5" i="17"/>
  <c r="L21" i="17"/>
  <c r="K19" i="17"/>
  <c r="M5" i="17"/>
  <c r="L5" i="17"/>
  <c r="I15" i="13"/>
  <c r="I16" i="13"/>
  <c r="I14" i="13"/>
  <c r="G17" i="13"/>
  <c r="H17" i="13"/>
  <c r="I7" i="13"/>
  <c r="I8" i="13"/>
  <c r="I9" i="13"/>
  <c r="I6" i="13"/>
  <c r="G10" i="13"/>
  <c r="H10" i="13"/>
  <c r="I14" i="15"/>
  <c r="I13" i="15"/>
  <c r="G15" i="15"/>
  <c r="H15" i="15"/>
  <c r="I5" i="15"/>
  <c r="I6" i="15"/>
  <c r="I7" i="15"/>
  <c r="I8" i="15"/>
  <c r="I4" i="15"/>
  <c r="G9" i="15"/>
  <c r="H9" i="15"/>
  <c r="D31" i="16" l="1"/>
  <c r="D30" i="16"/>
  <c r="F21" i="17"/>
  <c r="E10" i="17"/>
  <c r="D11" i="17"/>
  <c r="M9" i="17"/>
  <c r="N20" i="17"/>
  <c r="M21" i="17"/>
  <c r="L10" i="17"/>
  <c r="K22" i="17"/>
  <c r="K8" i="17"/>
  <c r="D29" i="16" s="1"/>
  <c r="L19" i="17"/>
  <c r="F19" i="17"/>
  <c r="E8" i="17"/>
  <c r="E22" i="17"/>
  <c r="F20" i="17"/>
  <c r="E9" i="17"/>
  <c r="E30" i="16" s="1"/>
  <c r="E31" i="16" l="1"/>
  <c r="G20" i="17"/>
  <c r="F9" i="17"/>
  <c r="F30" i="16" s="1"/>
  <c r="E11" i="17"/>
  <c r="L8" i="17"/>
  <c r="E29" i="16" s="1"/>
  <c r="L22" i="17"/>
  <c r="M19" i="17"/>
  <c r="N21" i="17"/>
  <c r="M10" i="17"/>
  <c r="G21" i="17"/>
  <c r="F10" i="17"/>
  <c r="F22" i="17"/>
  <c r="F8" i="17"/>
  <c r="G19" i="17"/>
  <c r="K11" i="17"/>
  <c r="D32" i="16" s="1"/>
  <c r="C48" i="8" s="1"/>
  <c r="O20" i="17"/>
  <c r="O9" i="17" s="1"/>
  <c r="N9" i="17"/>
  <c r="F31" i="16" l="1"/>
  <c r="G22" i="17"/>
  <c r="H19" i="17"/>
  <c r="G8" i="17"/>
  <c r="H21" i="17"/>
  <c r="H10" i="17" s="1"/>
  <c r="G10" i="17"/>
  <c r="N19" i="17"/>
  <c r="M8" i="17"/>
  <c r="F29" i="16" s="1"/>
  <c r="M22" i="17"/>
  <c r="L11" i="17"/>
  <c r="E32" i="16" s="1"/>
  <c r="D48" i="8" s="1"/>
  <c r="F11" i="17"/>
  <c r="O21" i="17"/>
  <c r="O10" i="17" s="1"/>
  <c r="N10" i="17"/>
  <c r="G9" i="17"/>
  <c r="G30" i="16" s="1"/>
  <c r="H20" i="17"/>
  <c r="H9" i="17" s="1"/>
  <c r="H30" i="16" s="1"/>
  <c r="F25" i="11"/>
  <c r="F24" i="11"/>
  <c r="F23" i="11"/>
  <c r="F22" i="11"/>
  <c r="F21" i="11"/>
  <c r="F20" i="11"/>
  <c r="F19" i="11"/>
  <c r="F13" i="11"/>
  <c r="F12" i="11"/>
  <c r="F11" i="11"/>
  <c r="F10" i="11"/>
  <c r="F9" i="11"/>
  <c r="F8" i="11"/>
  <c r="F7" i="11"/>
  <c r="G31" i="16" l="1"/>
  <c r="I30" i="16"/>
  <c r="H31" i="16"/>
  <c r="M11" i="17"/>
  <c r="F32" i="16" s="1"/>
  <c r="E48" i="8" s="1"/>
  <c r="O19" i="17"/>
  <c r="N22" i="17"/>
  <c r="N8" i="17"/>
  <c r="G29" i="16" s="1"/>
  <c r="H22" i="17"/>
  <c r="H8" i="17"/>
  <c r="G11" i="17"/>
  <c r="F27" i="11"/>
  <c r="F15" i="11"/>
  <c r="I31" i="16" l="1"/>
  <c r="H11" i="17"/>
  <c r="N11" i="17"/>
  <c r="G32" i="16" s="1"/>
  <c r="F48" i="8" s="1"/>
  <c r="O22" i="17"/>
  <c r="O8" i="17"/>
  <c r="H29" i="16" s="1"/>
  <c r="I29" i="16" s="1"/>
  <c r="H14" i="16"/>
  <c r="O11" i="17" l="1"/>
  <c r="H32" i="16" s="1"/>
  <c r="I32" i="16" l="1"/>
  <c r="G48" i="8"/>
  <c r="F15" i="15"/>
  <c r="E15" i="15"/>
  <c r="D15" i="15"/>
  <c r="I15" i="15" l="1"/>
  <c r="E9" i="15"/>
  <c r="D9" i="15"/>
  <c r="F14" i="16"/>
  <c r="E14" i="16"/>
  <c r="D14" i="16"/>
  <c r="C64" i="8" s="1"/>
  <c r="F17" i="13"/>
  <c r="E17" i="13"/>
  <c r="D17" i="13"/>
  <c r="F10" i="13"/>
  <c r="E10" i="13"/>
  <c r="D10" i="13"/>
  <c r="E64" i="8" l="1"/>
  <c r="D64" i="8"/>
  <c r="I10" i="13"/>
  <c r="I17" i="13"/>
  <c r="F9" i="15"/>
  <c r="I9" i="15" l="1"/>
  <c r="D3" i="9" l="1"/>
  <c r="I12" i="16" l="1"/>
  <c r="I14" i="16" s="1"/>
  <c r="G14" i="16"/>
  <c r="F64" i="8" s="1"/>
  <c r="G64" i="8" l="1"/>
  <c r="H64" i="8" s="1"/>
  <c r="H48" i="8" l="1"/>
  <c r="H4" i="17" l="1"/>
  <c r="D4" i="17"/>
  <c r="O24" i="11"/>
  <c r="O20" i="11"/>
  <c r="O13" i="11"/>
  <c r="O9" i="11"/>
  <c r="G4" i="17"/>
  <c r="O25" i="11"/>
  <c r="O21" i="11"/>
  <c r="O10" i="11"/>
  <c r="F4" i="17"/>
  <c r="O22" i="11"/>
  <c r="O11" i="11"/>
  <c r="O7" i="11"/>
  <c r="E4" i="17"/>
  <c r="O23" i="11"/>
  <c r="O19" i="11"/>
  <c r="O12" i="11"/>
  <c r="O8" i="11"/>
  <c r="L4" i="17" l="1"/>
  <c r="L24" i="17" s="1"/>
  <c r="L13" i="17" s="1"/>
  <c r="E24" i="17"/>
  <c r="E13" i="17" s="1"/>
  <c r="O15" i="11"/>
  <c r="C24" i="17" s="1"/>
  <c r="K4" i="17"/>
  <c r="K24" i="17" s="1"/>
  <c r="K13" i="17" s="1"/>
  <c r="D24" i="17"/>
  <c r="D13" i="17" s="1"/>
  <c r="M4" i="17"/>
  <c r="M24" i="17" s="1"/>
  <c r="M13" i="17" s="1"/>
  <c r="F24" i="17"/>
  <c r="F13" i="17" s="1"/>
  <c r="N4" i="17"/>
  <c r="N24" i="17" s="1"/>
  <c r="N13" i="17" s="1"/>
  <c r="G24" i="17"/>
  <c r="G13" i="17" s="1"/>
  <c r="O27" i="11"/>
  <c r="J24" i="17" s="1"/>
  <c r="O4" i="17"/>
  <c r="O24" i="17" s="1"/>
  <c r="O13" i="17" s="1"/>
  <c r="H24" i="17"/>
  <c r="H13" i="17" s="1"/>
  <c r="G34" i="16" l="1"/>
  <c r="D34" i="16"/>
  <c r="E34" i="16"/>
  <c r="F34" i="16"/>
  <c r="H34" i="16"/>
  <c r="I34" i="16" l="1"/>
  <c r="E3" i="17"/>
  <c r="N23" i="11"/>
  <c r="N19" i="11"/>
  <c r="N12" i="11"/>
  <c r="N8" i="11"/>
  <c r="H3" i="17"/>
  <c r="D3" i="17"/>
  <c r="N24" i="11"/>
  <c r="N20" i="11"/>
  <c r="N13" i="11"/>
  <c r="N9" i="11"/>
  <c r="G3" i="17"/>
  <c r="N25" i="11"/>
  <c r="N21" i="11"/>
  <c r="N10" i="11"/>
  <c r="F3" i="17"/>
  <c r="N22" i="11"/>
  <c r="N11" i="11"/>
  <c r="N7" i="11"/>
  <c r="N3" i="17" l="1"/>
  <c r="N23" i="17" s="1"/>
  <c r="G23" i="17"/>
  <c r="P12" i="11"/>
  <c r="Q12" i="11"/>
  <c r="P7" i="11"/>
  <c r="Q7" i="11" s="1"/>
  <c r="N15" i="11"/>
  <c r="C23" i="17" s="1"/>
  <c r="P10" i="11"/>
  <c r="Q10" i="11" s="1"/>
  <c r="P9" i="11"/>
  <c r="Q9" i="11" s="1"/>
  <c r="P19" i="11"/>
  <c r="N27" i="11"/>
  <c r="J23" i="17" s="1"/>
  <c r="P11" i="11"/>
  <c r="Q11" i="11" s="1"/>
  <c r="P21" i="11"/>
  <c r="Q21" i="11" s="1"/>
  <c r="P13" i="11"/>
  <c r="Q13" i="11" s="1"/>
  <c r="H23" i="17"/>
  <c r="O3" i="17"/>
  <c r="O23" i="17" s="1"/>
  <c r="P23" i="11"/>
  <c r="Q23" i="11" s="1"/>
  <c r="M3" i="17"/>
  <c r="M23" i="17" s="1"/>
  <c r="F23" i="17"/>
  <c r="P24" i="11"/>
  <c r="Q24" i="11" s="1"/>
  <c r="D23" i="17"/>
  <c r="K3" i="17"/>
  <c r="K23" i="17" s="1"/>
  <c r="P22" i="11"/>
  <c r="Q22" i="11" s="1"/>
  <c r="P25" i="11"/>
  <c r="Q25" i="11" s="1"/>
  <c r="P20" i="11"/>
  <c r="Q20" i="11" s="1"/>
  <c r="P8" i="11"/>
  <c r="Q8" i="11" s="1"/>
  <c r="E23" i="17"/>
  <c r="L3" i="17"/>
  <c r="L23" i="17" s="1"/>
  <c r="P27" i="11" l="1"/>
  <c r="J25" i="17" s="1"/>
  <c r="L25" i="17"/>
  <c r="L14" i="17" s="1"/>
  <c r="L12" i="17"/>
  <c r="Q15" i="11"/>
  <c r="K25" i="17"/>
  <c r="K14" i="17" s="1"/>
  <c r="K12" i="17"/>
  <c r="F12" i="17"/>
  <c r="F25" i="17"/>
  <c r="F14" i="17" s="1"/>
  <c r="O12" i="17"/>
  <c r="O25" i="17"/>
  <c r="O14" i="17" s="1"/>
  <c r="G25" i="17"/>
  <c r="G14" i="17" s="1"/>
  <c r="G12" i="17"/>
  <c r="E25" i="17"/>
  <c r="E14" i="17" s="1"/>
  <c r="E12" i="17"/>
  <c r="D12" i="17"/>
  <c r="D25" i="17"/>
  <c r="D14" i="17" s="1"/>
  <c r="M12" i="17"/>
  <c r="M25" i="17"/>
  <c r="M14" i="17" s="1"/>
  <c r="H12" i="17"/>
  <c r="H25" i="17"/>
  <c r="H14" i="17" s="1"/>
  <c r="Q19" i="11"/>
  <c r="Q27" i="11" s="1"/>
  <c r="P15" i="11"/>
  <c r="C25" i="17" s="1"/>
  <c r="N25" i="17"/>
  <c r="N14" i="17" s="1"/>
  <c r="N12" i="17"/>
  <c r="D33" i="16" l="1"/>
  <c r="E26" i="17"/>
  <c r="E15" i="17" s="1"/>
  <c r="G35" i="16"/>
  <c r="H26" i="17"/>
  <c r="H15" i="17" s="1"/>
  <c r="E33" i="16"/>
  <c r="E35" i="16"/>
  <c r="K26" i="17"/>
  <c r="K28" i="17" s="1"/>
  <c r="L26" i="17"/>
  <c r="L28" i="17" s="1"/>
  <c r="G26" i="17"/>
  <c r="G15" i="17" s="1"/>
  <c r="F33" i="16"/>
  <c r="H35" i="16"/>
  <c r="L15" i="17"/>
  <c r="H33" i="16"/>
  <c r="D26" i="17"/>
  <c r="F26" i="17"/>
  <c r="H28" i="17"/>
  <c r="C26" i="17"/>
  <c r="D7" i="8"/>
  <c r="G33" i="16"/>
  <c r="N26" i="17"/>
  <c r="D8" i="8"/>
  <c r="J26" i="17"/>
  <c r="M26" i="17"/>
  <c r="O26" i="17"/>
  <c r="F35" i="16"/>
  <c r="D35" i="16"/>
  <c r="E28" i="17" l="1"/>
  <c r="E16" i="17" s="1"/>
  <c r="G28" i="17"/>
  <c r="G16" i="17" s="1"/>
  <c r="F36" i="16"/>
  <c r="D50" i="8"/>
  <c r="D52" i="8" s="1"/>
  <c r="E36" i="16"/>
  <c r="I35" i="16"/>
  <c r="E50" i="8"/>
  <c r="E52" i="8" s="1"/>
  <c r="K15" i="17"/>
  <c r="K16" i="17" s="1"/>
  <c r="D6" i="16"/>
  <c r="E5" i="16"/>
  <c r="C50" i="8"/>
  <c r="F50" i="8"/>
  <c r="F52" i="8" s="1"/>
  <c r="G36" i="16"/>
  <c r="L16" i="17"/>
  <c r="E6" i="16"/>
  <c r="I33" i="16"/>
  <c r="M28" i="17"/>
  <c r="F6" i="16" s="1"/>
  <c r="M15" i="17"/>
  <c r="D15" i="17"/>
  <c r="D28" i="17"/>
  <c r="F15" i="17"/>
  <c r="F28" i="17"/>
  <c r="H36" i="16"/>
  <c r="G50" i="8"/>
  <c r="G52" i="8" s="1"/>
  <c r="O15" i="17"/>
  <c r="O28" i="17"/>
  <c r="N28" i="17"/>
  <c r="G6" i="16" s="1"/>
  <c r="N15" i="17"/>
  <c r="H5" i="16"/>
  <c r="H16" i="17"/>
  <c r="D36" i="16"/>
  <c r="G5" i="16" l="1"/>
  <c r="I36" i="16"/>
  <c r="E7" i="16"/>
  <c r="N16" i="17"/>
  <c r="M16" i="17"/>
  <c r="G7" i="16"/>
  <c r="H6" i="16"/>
  <c r="H7" i="16" s="1"/>
  <c r="O16" i="17"/>
  <c r="F16" i="17"/>
  <c r="F5" i="16"/>
  <c r="F7" i="16" s="1"/>
  <c r="D5" i="16"/>
  <c r="D16" i="17"/>
  <c r="C52" i="8"/>
  <c r="H50" i="8"/>
  <c r="H52" i="8" s="1"/>
  <c r="D7" i="16"/>
  <c r="I6" i="16" l="1"/>
  <c r="I5" i="16"/>
  <c r="I7" i="16" l="1"/>
</calcChain>
</file>

<file path=xl/sharedStrings.xml><?xml version="1.0" encoding="utf-8"?>
<sst xmlns="http://schemas.openxmlformats.org/spreadsheetml/2006/main" count="267" uniqueCount="144">
  <si>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</si>
  <si>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</si>
  <si>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</si>
  <si>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</si>
  <si>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</si>
  <si>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</si>
  <si>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</si>
  <si>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</si>
  <si>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</si>
  <si>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</si>
  <si>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</si>
  <si>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</si>
  <si>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</si>
  <si>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</si>
  <si>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</si>
  <si>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</si>
  <si>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</si>
  <si>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</si>
  <si>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</si>
  <si>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</si>
  <si>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</si>
  <si>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</si>
  <si>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</si>
  <si>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</si>
  <si>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</si>
  <si>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</si>
  <si>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</si>
  <si>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</si>
  <si>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</si>
  <si>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</si>
  <si>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</si>
  <si>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</si>
  <si>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</si>
  <si>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</si>
  <si>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</si>
  <si>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</si>
  <si>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</si>
  <si>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</si>
  <si>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</si>
  <si>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</si>
  <si>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</si>
  <si>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</si>
  <si>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</si>
  <si>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</si>
  <si>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</si>
  <si>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</si>
  <si>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</si>
  <si>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</si>
  <si>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</si>
  <si>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</si>
  <si>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</si>
  <si>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</si>
  <si>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</si>
  <si>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</si>
  <si>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</si>
  <si>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</si>
  <si>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</si>
  <si>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</si>
  <si>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</si>
  <si>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</si>
  <si>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</si>
  <si>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</si>
  <si>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</si>
  <si>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Retailer requested Distributor Planned Interruption (Shared Fuse) - Initial Visit  (Fixed Fee)</t>
  </si>
  <si>
    <t>Bottom Up Estimation</t>
  </si>
  <si>
    <t>New Service</t>
  </si>
  <si>
    <r>
      <t xml:space="preserve">
</t>
    </r>
    <r>
      <rPr>
        <sz val="10"/>
        <color rgb="FFFF0000"/>
        <rFont val="Arial"/>
        <family val="2"/>
      </rPr>
      <t>New Service</t>
    </r>
  </si>
  <si>
    <t>Distributor Arranged Outage for Purposes of Replacing Meter
At the request of a retailer or metering coordinator provide notification to affected customers and facilitate the disconnection/reconnection of customer metering installations where a retailer planned interruption cannot be conducted.
This service will predominantly be in shared fuse installations, where the retailer may not be the retailer for all associated premises.</t>
  </si>
  <si>
    <t>R4</t>
  </si>
  <si>
    <t>Initial Visit - NT (fixed fee)</t>
  </si>
  <si>
    <t>Initial Visit - OT (fixed fee)</t>
  </si>
  <si>
    <t>Travel to / from site</t>
  </si>
  <si>
    <t>Report job complete to job dispatcher</t>
  </si>
  <si>
    <t xml:space="preserve">Update Initial Visit job completion status </t>
  </si>
  <si>
    <t>Planned Work Group (PWG) receive PTJ and retrieve customer list for location</t>
  </si>
  <si>
    <t>PWG source appropriate resource and schedule Initial Visit</t>
  </si>
  <si>
    <t xml:space="preserve">Field resouce assigned, job information received </t>
  </si>
  <si>
    <t>Fixed Fee</t>
  </si>
  <si>
    <t xml:space="preserve"> - </t>
  </si>
  <si>
    <t>Normal Hrs</t>
  </si>
  <si>
    <t>Outside Hrs</t>
  </si>
  <si>
    <t>Retailer requested Distributor Planned Interruption (Shared Fuse) - Initial Visit -  (NEW)</t>
  </si>
  <si>
    <t xml:space="preserve">Existing Service Description (2014 - 19) </t>
  </si>
  <si>
    <t>Attend site - determine shared fuse customer information, schedule outage with MC and notify affected customers</t>
  </si>
  <si>
    <t>R1a</t>
  </si>
  <si>
    <t>Projected Volumes for FY2019-24 Regulatory Period</t>
  </si>
  <si>
    <t>Operating Costs (on IO's, work orders, cost objects, cost centres)</t>
  </si>
  <si>
    <t>Project Code</t>
  </si>
  <si>
    <t>FY22/23</t>
  </si>
  <si>
    <t xml:space="preserve">Operating Costs - </t>
  </si>
  <si>
    <t>New Service - Retailer Requested Outage (Shared Fuse)  - Initial Visit</t>
  </si>
  <si>
    <t>New Service. No historical revenue information available.</t>
  </si>
  <si>
    <t>New Service. No historical operating costs available.</t>
  </si>
  <si>
    <t>FY17/18</t>
  </si>
  <si>
    <t>FY18/19</t>
  </si>
  <si>
    <t xml:space="preserve">
Retailer requested Distributor Planned Interruption (Shared Fuse) - Initial Visit
Retailer requested Essential Energy notification of customers configured on shared fuse arrangements (non-retailer customers), to facilitate the replacement of retailer owned metering equipment.
Initial site visit by Essential Energy staff to determine customers impacted by shared fuse isolation.
*Essential Energy will impose an overtime fee for services provided outside the hrs of 7:30am - 4:00pm Mon - Fri (ordinary hrs).</t>
  </si>
  <si>
    <t>Proposed Fee ($2018/19-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</si>
  <si>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</si>
  <si>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</si>
  <si>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</si>
  <si>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</si>
  <si>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</si>
  <si>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</si>
  <si>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</si>
  <si>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</si>
  <si>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</si>
  <si>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</si>
  <si>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</si>
  <si>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</si>
  <si>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</si>
  <si>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</si>
  <si>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</si>
  <si>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</si>
  <si>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</si>
  <si>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</si>
  <si>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</si>
  <si>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</si>
  <si>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</si>
  <si>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</si>
  <si>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</si>
  <si>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</si>
  <si>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</si>
  <si>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</si>
  <si>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</si>
  <si>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</si>
  <si>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</si>
  <si>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</si>
  <si>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</si>
  <si>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</si>
  <si>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</si>
  <si>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</si>
  <si>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</si>
  <si>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</si>
  <si>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 xml:space="preserve">Unplanned Outage - Meter Fault </t>
  </si>
  <si>
    <t>Real 2018-19 including escalation</t>
  </si>
  <si>
    <t>Fully Loaded Cost per service</t>
  </si>
  <si>
    <t>Forecast volumes</t>
  </si>
  <si>
    <t>Forecast revenue</t>
  </si>
  <si>
    <t>4.2 Retailer requested DSNP planned outage</t>
  </si>
  <si>
    <t>Increase in volume each year by 4% based on meter replacement values.</t>
  </si>
  <si>
    <t>Retailer requested DSNP Planned Interruption (shared fuse) Initial Visit NT</t>
  </si>
  <si>
    <t>Retailer requested DSNP Planned Interruption (shared fuse) Initial Visit OT</t>
  </si>
  <si>
    <t>Estimated have been provided on the work effort that will be required to complete each service. Volumes are estimated based on volumes of shared fuses across EE's footprint. Installation of smart meters will install dedicated fuse isolations for each premise - reducing shared fuse arrangements.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</si>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</sst>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6" x14ac:knownFonts="1">
    <font>
      <sz val="11"/>
      <color theme="1"/>
      <name val="Calibri"/>
      <family val="2"/>
      <scheme val="minor"/>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9"/>
      <color theme="1"/>
      <name val="Arial"/>
      <family val="2"/>
    </font>
    <font>
      <b/>
      <sz val="7"/>
      <name val="Arial"/>
      <family val="2"/>
    </font>
    <font>
      <sz val="10"/>
      <color rgb="FFFF0000"/>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2" fillId="0" borderId="0" applyFont="0" applyFill="0" applyBorder="0" applyAlignment="0" applyProtection="0"/>
    <xf numFmtId="165"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0" fontId="3" fillId="0" borderId="0"/>
  </cellStyleXfs>
  <cellXfs count="291">
    <xf numFmtId="0" fontId="0" fillId="0" borderId="0" xfId="0"/>
    <xf numFmtId="0" fontId="1" fillId="0" borderId="0" xfId="0" applyFont="1"/>
    <xf numFmtId="0" fontId="6" fillId="5" borderId="3" xfId="0" applyFont="1" applyFill="1" applyBorder="1"/>
    <xf numFmtId="0" fontId="6" fillId="5" borderId="8" xfId="0" applyFont="1" applyFill="1" applyBorder="1" applyAlignment="1">
      <alignment horizontal="right"/>
    </xf>
    <xf numFmtId="0" fontId="1" fillId="4" borderId="4" xfId="0" applyFont="1" applyFill="1" applyBorder="1"/>
    <xf numFmtId="0" fontId="1" fillId="4" borderId="3" xfId="0" applyFont="1" applyFill="1" applyBorder="1"/>
    <xf numFmtId="0" fontId="6" fillId="5" borderId="8" xfId="0" applyFont="1" applyFill="1" applyBorder="1"/>
    <xf numFmtId="0" fontId="6" fillId="5" borderId="0" xfId="0" applyFont="1" applyFill="1" applyBorder="1"/>
    <xf numFmtId="167" fontId="6" fillId="5" borderId="8" xfId="2" applyNumberFormat="1" applyFont="1" applyFill="1" applyBorder="1"/>
    <xf numFmtId="0" fontId="6" fillId="5" borderId="11" xfId="0" applyFont="1" applyFill="1" applyBorder="1" applyAlignment="1">
      <alignment horizontal="left"/>
    </xf>
    <xf numFmtId="0" fontId="1" fillId="4" borderId="5" xfId="0" applyFont="1" applyFill="1" applyBorder="1"/>
    <xf numFmtId="3" fontId="1" fillId="4" borderId="4" xfId="0" applyNumberFormat="1" applyFont="1" applyFill="1" applyBorder="1"/>
    <xf numFmtId="0" fontId="1" fillId="4" borderId="5" xfId="0" quotePrefix="1" applyFont="1" applyFill="1" applyBorder="1"/>
    <xf numFmtId="3" fontId="6" fillId="5" borderId="8" xfId="0" applyNumberFormat="1" applyFont="1" applyFill="1" applyBorder="1"/>
    <xf numFmtId="0" fontId="5" fillId="0" borderId="0" xfId="0" applyFont="1"/>
    <xf numFmtId="0" fontId="6" fillId="5" borderId="6" xfId="0" applyFont="1" applyFill="1" applyBorder="1" applyAlignment="1">
      <alignment horizontal="left"/>
    </xf>
    <xf numFmtId="0" fontId="6" fillId="5" borderId="12" xfId="0" applyFont="1" applyFill="1" applyBorder="1"/>
    <xf numFmtId="0" fontId="3" fillId="5" borderId="12" xfId="0" applyFont="1" applyFill="1" applyBorder="1"/>
    <xf numFmtId="0" fontId="1" fillId="4" borderId="0" xfId="0" quotePrefix="1" applyFont="1" applyFill="1" applyBorder="1" applyAlignment="1">
      <alignment vertical="top"/>
    </xf>
    <xf numFmtId="0" fontId="1" fillId="4" borderId="0" xfId="0" applyFont="1" applyFill="1" applyBorder="1" applyAlignment="1">
      <alignment vertical="top"/>
    </xf>
    <xf numFmtId="0" fontId="6" fillId="5" borderId="4" xfId="0" applyFont="1" applyFill="1" applyBorder="1"/>
    <xf numFmtId="0" fontId="6" fillId="5" borderId="5" xfId="0" applyFont="1" applyFill="1" applyBorder="1" applyAlignment="1">
      <alignment horizontal="right"/>
    </xf>
    <xf numFmtId="0" fontId="3" fillId="5" borderId="1" xfId="0" applyFont="1" applyFill="1" applyBorder="1"/>
    <xf numFmtId="167" fontId="6" fillId="5" borderId="9" xfId="2" applyNumberFormat="1" applyFont="1" applyFill="1" applyBorder="1"/>
    <xf numFmtId="167" fontId="6" fillId="5" borderId="10" xfId="2" applyNumberFormat="1" applyFont="1" applyFill="1" applyBorder="1"/>
    <xf numFmtId="0" fontId="1" fillId="0" borderId="0" xfId="0" applyFont="1" applyBorder="1"/>
    <xf numFmtId="0" fontId="4" fillId="8" borderId="0" xfId="0" applyFont="1" applyFill="1"/>
    <xf numFmtId="0" fontId="7" fillId="8" borderId="0" xfId="0" applyFont="1" applyFill="1"/>
    <xf numFmtId="0" fontId="1" fillId="10" borderId="4" xfId="0" applyFont="1" applyFill="1" applyBorder="1"/>
    <xf numFmtId="167" fontId="1" fillId="10" borderId="4" xfId="2" applyNumberFormat="1" applyFont="1" applyFill="1" applyBorder="1"/>
    <xf numFmtId="0" fontId="1" fillId="10" borderId="4" xfId="0" applyFont="1" applyFill="1" applyBorder="1" applyAlignment="1">
      <alignment wrapText="1"/>
    </xf>
    <xf numFmtId="0" fontId="7" fillId="8" borderId="12" xfId="0" applyFont="1" applyFill="1" applyBorder="1"/>
    <xf numFmtId="0" fontId="6" fillId="11" borderId="8" xfId="0" applyFont="1" applyFill="1" applyBorder="1"/>
    <xf numFmtId="0" fontId="8" fillId="4" borderId="0" xfId="0" applyFont="1" applyFill="1" applyBorder="1" applyAlignment="1">
      <alignment horizontal="left" vertical="top" wrapText="1"/>
    </xf>
    <xf numFmtId="0" fontId="1" fillId="0" borderId="0" xfId="0" applyFont="1" applyAlignment="1">
      <alignment horizontal="left" indent="15"/>
    </xf>
    <xf numFmtId="0" fontId="1" fillId="0" borderId="0" xfId="0" applyFont="1" applyFill="1"/>
    <xf numFmtId="0" fontId="6" fillId="9" borderId="0" xfId="0" applyFont="1" applyFill="1" applyBorder="1" applyAlignment="1">
      <alignment horizontal="left"/>
    </xf>
    <xf numFmtId="0" fontId="4" fillId="0" borderId="0" xfId="0" applyFont="1" applyFill="1" applyAlignment="1">
      <alignment horizontal="left"/>
    </xf>
    <xf numFmtId="0" fontId="4" fillId="8" borderId="9" xfId="0" applyFont="1" applyFill="1" applyBorder="1" applyAlignment="1">
      <alignment horizontal="center" vertical="center"/>
    </xf>
    <xf numFmtId="169" fontId="3" fillId="10" borderId="10" xfId="0" applyNumberFormat="1" applyFont="1" applyFill="1" applyBorder="1" applyAlignment="1">
      <alignment horizontal="center"/>
    </xf>
    <xf numFmtId="169" fontId="3" fillId="10" borderId="4" xfId="0" applyNumberFormat="1" applyFont="1" applyFill="1" applyBorder="1" applyAlignment="1">
      <alignment horizontal="center"/>
    </xf>
    <xf numFmtId="169" fontId="3" fillId="10" borderId="9" xfId="0" applyNumberFormat="1" applyFont="1" applyFill="1" applyBorder="1" applyAlignment="1">
      <alignment horizontal="center"/>
    </xf>
    <xf numFmtId="0" fontId="7" fillId="0" borderId="0" xfId="0" applyFont="1"/>
    <xf numFmtId="0" fontId="7" fillId="0" borderId="2" xfId="0" applyFont="1" applyBorder="1"/>
    <xf numFmtId="169" fontId="7" fillId="0" borderId="1" xfId="0" applyNumberFormat="1" applyFont="1" applyBorder="1" applyAlignment="1">
      <alignment horizontal="center"/>
    </xf>
    <xf numFmtId="0" fontId="1" fillId="0" borderId="2" xfId="0" applyFont="1" applyBorder="1"/>
    <xf numFmtId="169" fontId="1" fillId="0" borderId="0" xfId="0" applyNumberFormat="1" applyFont="1" applyAlignment="1">
      <alignment horizontal="center"/>
    </xf>
    <xf numFmtId="0" fontId="1" fillId="0" borderId="1" xfId="0" applyFont="1" applyBorder="1"/>
    <xf numFmtId="0" fontId="4" fillId="8" borderId="0" xfId="0" applyFont="1" applyFill="1" applyAlignment="1">
      <alignment horizontal="left"/>
    </xf>
    <xf numFmtId="0" fontId="6" fillId="9" borderId="6" xfId="0" applyFont="1" applyFill="1" applyBorder="1" applyAlignment="1">
      <alignment horizontal="left"/>
    </xf>
    <xf numFmtId="0" fontId="4" fillId="8" borderId="11" xfId="0" applyFont="1" applyFill="1" applyBorder="1"/>
    <xf numFmtId="0" fontId="1" fillId="0" borderId="0" xfId="0" applyFont="1" applyAlignment="1">
      <alignment horizontal="left"/>
    </xf>
    <xf numFmtId="0" fontId="4" fillId="8" borderId="0" xfId="0" applyFont="1" applyFill="1" applyAlignment="1">
      <alignment horizontal="center"/>
    </xf>
    <xf numFmtId="0" fontId="1" fillId="0" borderId="0" xfId="0" applyFont="1" applyFill="1" applyAlignment="1">
      <alignment horizontal="left"/>
    </xf>
    <xf numFmtId="0" fontId="10" fillId="0" borderId="0" xfId="0" applyFont="1"/>
    <xf numFmtId="0" fontId="1" fillId="0" borderId="8" xfId="0" applyFont="1" applyBorder="1"/>
    <xf numFmtId="0" fontId="1" fillId="0" borderId="6" xfId="0" applyFont="1" applyBorder="1"/>
    <xf numFmtId="0" fontId="1" fillId="0" borderId="11" xfId="0" applyFont="1" applyBorder="1"/>
    <xf numFmtId="0" fontId="6" fillId="0" borderId="0" xfId="0" applyFont="1" applyFill="1" applyBorder="1"/>
    <xf numFmtId="0" fontId="3" fillId="0" borderId="0" xfId="0" applyFont="1" applyFill="1" applyBorder="1"/>
    <xf numFmtId="167" fontId="6" fillId="0" borderId="0" xfId="2" applyNumberFormat="1" applyFont="1" applyFill="1" applyBorder="1"/>
    <xf numFmtId="0" fontId="4" fillId="8" borderId="8" xfId="0" applyFont="1" applyFill="1" applyBorder="1"/>
    <xf numFmtId="0" fontId="6" fillId="5" borderId="10" xfId="0" applyFont="1" applyFill="1" applyBorder="1"/>
    <xf numFmtId="0" fontId="6" fillId="5" borderId="14" xfId="0" applyFont="1" applyFill="1" applyBorder="1" applyAlignment="1">
      <alignment horizontal="left"/>
    </xf>
    <xf numFmtId="0" fontId="10" fillId="0" borderId="6" xfId="0" applyFont="1" applyBorder="1"/>
    <xf numFmtId="0" fontId="6" fillId="11" borderId="10" xfId="0" applyFont="1" applyFill="1" applyBorder="1"/>
    <xf numFmtId="0" fontId="8" fillId="4" borderId="8" xfId="0" applyFont="1" applyFill="1" applyBorder="1" applyAlignment="1">
      <alignment horizontal="left" vertical="top" wrapText="1"/>
    </xf>
    <xf numFmtId="0" fontId="6" fillId="5" borderId="11" xfId="0" applyFont="1" applyFill="1" applyBorder="1"/>
    <xf numFmtId="0" fontId="1" fillId="4" borderId="8" xfId="0" quotePrefix="1" applyFont="1" applyFill="1" applyBorder="1" applyAlignment="1">
      <alignment vertical="top"/>
    </xf>
    <xf numFmtId="0" fontId="11" fillId="8" borderId="8" xfId="0" applyNumberFormat="1" applyFont="1" applyFill="1" applyBorder="1" applyAlignment="1">
      <alignment horizontal="left"/>
    </xf>
    <xf numFmtId="0" fontId="6" fillId="5" borderId="4" xfId="0" applyFont="1" applyFill="1" applyBorder="1" applyAlignment="1">
      <alignment horizontal="center"/>
    </xf>
    <xf numFmtId="0" fontId="6" fillId="5" borderId="7" xfId="0" applyFont="1" applyFill="1" applyBorder="1" applyAlignment="1">
      <alignment horizontal="center"/>
    </xf>
    <xf numFmtId="0" fontId="3" fillId="10" borderId="4" xfId="0" applyFont="1" applyFill="1" applyBorder="1" applyAlignment="1">
      <alignment horizontal="center"/>
    </xf>
    <xf numFmtId="0" fontId="3" fillId="10" borderId="4" xfId="0" applyFont="1" applyFill="1" applyBorder="1" applyAlignment="1">
      <alignment horizontal="left" vertical="center"/>
    </xf>
    <xf numFmtId="0" fontId="3" fillId="10" borderId="1" xfId="0" applyFont="1" applyFill="1" applyBorder="1" applyAlignment="1">
      <alignment horizontal="left" vertical="center" wrapText="1"/>
    </xf>
    <xf numFmtId="0" fontId="3" fillId="10" borderId="4" xfId="0" applyFont="1" applyFill="1" applyBorder="1" applyAlignment="1">
      <alignment horizontal="left" vertical="center" wrapText="1"/>
    </xf>
    <xf numFmtId="1" fontId="4" fillId="8" borderId="0" xfId="0" applyNumberFormat="1" applyFont="1" applyFill="1" applyAlignment="1">
      <alignment horizontal="left"/>
    </xf>
    <xf numFmtId="1" fontId="4" fillId="0" borderId="0" xfId="0" applyNumberFormat="1" applyFont="1" applyFill="1" applyAlignment="1">
      <alignment horizontal="left"/>
    </xf>
    <xf numFmtId="1" fontId="3" fillId="10" borderId="10" xfId="0" applyNumberFormat="1" applyFont="1" applyFill="1" applyBorder="1" applyAlignment="1">
      <alignment horizontal="center"/>
    </xf>
    <xf numFmtId="1" fontId="3" fillId="10" borderId="4" xfId="0" applyNumberFormat="1" applyFont="1" applyFill="1" applyBorder="1" applyAlignment="1">
      <alignment horizontal="center"/>
    </xf>
    <xf numFmtId="1" fontId="7" fillId="0" borderId="0" xfId="0" applyNumberFormat="1" applyFont="1"/>
    <xf numFmtId="1" fontId="1" fillId="0" borderId="0" xfId="0" applyNumberFormat="1" applyFont="1"/>
    <xf numFmtId="0" fontId="4" fillId="0" borderId="0" xfId="0" applyFont="1" applyFill="1" applyAlignment="1">
      <alignment horizontal="center"/>
    </xf>
    <xf numFmtId="0" fontId="7" fillId="0" borderId="0" xfId="0" applyFont="1" applyAlignment="1">
      <alignment horizontal="center"/>
    </xf>
    <xf numFmtId="0" fontId="1" fillId="0" borderId="0" xfId="0" applyFont="1" applyAlignment="1">
      <alignment horizontal="center"/>
    </xf>
    <xf numFmtId="2" fontId="4" fillId="8" borderId="0" xfId="0" applyNumberFormat="1" applyFont="1" applyFill="1" applyAlignment="1">
      <alignment horizontal="left"/>
    </xf>
    <xf numFmtId="2" fontId="4" fillId="0" borderId="0" xfId="0" applyNumberFormat="1" applyFont="1" applyFill="1" applyAlignment="1">
      <alignment horizontal="left"/>
    </xf>
    <xf numFmtId="2" fontId="3" fillId="10" borderId="13" xfId="0" applyNumberFormat="1" applyFont="1" applyFill="1" applyBorder="1" applyAlignment="1">
      <alignment horizontal="center"/>
    </xf>
    <xf numFmtId="2" fontId="3" fillId="10" borderId="4" xfId="0" applyNumberFormat="1" applyFont="1" applyFill="1" applyBorder="1" applyAlignment="1">
      <alignment horizontal="center"/>
    </xf>
    <xf numFmtId="2" fontId="3" fillId="10" borderId="10" xfId="0" applyNumberFormat="1" applyFont="1" applyFill="1" applyBorder="1" applyAlignment="1">
      <alignment horizontal="center"/>
    </xf>
    <xf numFmtId="2" fontId="7" fillId="0" borderId="0" xfId="0" applyNumberFormat="1" applyFont="1" applyBorder="1"/>
    <xf numFmtId="2" fontId="1" fillId="0" borderId="0" xfId="0" applyNumberFormat="1" applyFont="1"/>
    <xf numFmtId="2" fontId="4" fillId="8" borderId="0" xfId="0" applyNumberFormat="1" applyFont="1" applyFill="1" applyAlignment="1">
      <alignment horizontal="center"/>
    </xf>
    <xf numFmtId="2" fontId="4" fillId="0" borderId="0" xfId="0" applyNumberFormat="1" applyFont="1" applyFill="1" applyAlignment="1">
      <alignment horizontal="center"/>
    </xf>
    <xf numFmtId="2" fontId="7" fillId="0" borderId="0" xfId="0" applyNumberFormat="1" applyFont="1" applyBorder="1" applyAlignment="1">
      <alignment horizontal="center"/>
    </xf>
    <xf numFmtId="2" fontId="1" fillId="0" borderId="0" xfId="0" applyNumberFormat="1" applyFont="1" applyAlignment="1">
      <alignment horizontal="center"/>
    </xf>
    <xf numFmtId="2" fontId="3" fillId="10" borderId="10" xfId="3" applyNumberFormat="1" applyFont="1" applyFill="1" applyBorder="1" applyAlignment="1">
      <alignment horizontal="center"/>
    </xf>
    <xf numFmtId="2" fontId="6" fillId="11" borderId="4" xfId="0" applyNumberFormat="1" applyFont="1" applyFill="1" applyBorder="1" applyAlignment="1">
      <alignment horizontal="center"/>
    </xf>
    <xf numFmtId="0" fontId="3" fillId="10" borderId="4" xfId="0" applyFont="1" applyFill="1" applyBorder="1" applyAlignment="1">
      <alignment horizontal="center" vertical="center"/>
    </xf>
    <xf numFmtId="2" fontId="3" fillId="10" borderId="8" xfId="0" applyNumberFormat="1" applyFont="1" applyFill="1" applyBorder="1" applyAlignment="1">
      <alignment horizontal="center" vertical="center"/>
    </xf>
    <xf numFmtId="1" fontId="3" fillId="10" borderId="10" xfId="0" applyNumberFormat="1" applyFont="1" applyFill="1" applyBorder="1" applyAlignment="1">
      <alignment horizontal="center" vertical="center"/>
    </xf>
    <xf numFmtId="2" fontId="3" fillId="10" borderId="10" xfId="3" applyNumberFormat="1" applyFont="1" applyFill="1" applyBorder="1" applyAlignment="1">
      <alignment horizontal="center" vertical="center"/>
    </xf>
    <xf numFmtId="167" fontId="1" fillId="10" borderId="5" xfId="2" applyNumberFormat="1" applyFont="1" applyFill="1" applyBorder="1" applyAlignment="1">
      <alignment horizontal="center"/>
    </xf>
    <xf numFmtId="3" fontId="1" fillId="10" borderId="4" xfId="0" applyNumberFormat="1" applyFont="1" applyFill="1" applyBorder="1"/>
    <xf numFmtId="0" fontId="6" fillId="11" borderId="7" xfId="0" applyFont="1" applyFill="1" applyBorder="1" applyAlignment="1">
      <alignment horizontal="left"/>
    </xf>
    <xf numFmtId="0" fontId="6" fillId="11" borderId="11" xfId="0" applyFont="1" applyFill="1" applyBorder="1" applyAlignment="1">
      <alignment horizontal="left"/>
    </xf>
    <xf numFmtId="0" fontId="6" fillId="11" borderId="7" xfId="0" applyFont="1" applyFill="1" applyBorder="1" applyAlignment="1">
      <alignment horizontal="center"/>
    </xf>
    <xf numFmtId="0" fontId="6" fillId="11" borderId="8" xfId="0" applyFont="1" applyFill="1" applyBorder="1" applyAlignment="1">
      <alignment horizontal="right"/>
    </xf>
    <xf numFmtId="0" fontId="8" fillId="10" borderId="4" xfId="0" applyFont="1" applyFill="1" applyBorder="1" applyAlignment="1">
      <alignment horizontal="left"/>
    </xf>
    <xf numFmtId="0" fontId="12" fillId="8" borderId="0" xfId="0" applyFont="1" applyFill="1"/>
    <xf numFmtId="0" fontId="13" fillId="8" borderId="0" xfId="0" applyFont="1" applyFill="1"/>
    <xf numFmtId="0" fontId="14" fillId="0" borderId="0" xfId="0" applyFont="1"/>
    <xf numFmtId="0" fontId="15" fillId="0" borderId="0" xfId="0" applyFont="1"/>
    <xf numFmtId="0" fontId="16" fillId="5" borderId="7" xfId="0" applyFont="1" applyFill="1" applyBorder="1" applyAlignment="1">
      <alignment horizontal="left"/>
    </xf>
    <xf numFmtId="0" fontId="16" fillId="5" borderId="7" xfId="0" applyFont="1" applyFill="1" applyBorder="1" applyAlignment="1">
      <alignment horizontal="center"/>
    </xf>
    <xf numFmtId="0" fontId="16" fillId="5" borderId="8" xfId="0" applyFont="1" applyFill="1" applyBorder="1" applyAlignment="1">
      <alignment horizontal="right"/>
    </xf>
    <xf numFmtId="0" fontId="17" fillId="4" borderId="4" xfId="0" applyFont="1" applyFill="1" applyBorder="1" applyAlignment="1">
      <alignment horizontal="left"/>
    </xf>
    <xf numFmtId="167" fontId="15" fillId="10" borderId="4" xfId="2" applyNumberFormat="1" applyFont="1" applyFill="1" applyBorder="1"/>
    <xf numFmtId="0" fontId="15" fillId="4" borderId="3" xfId="0" applyFont="1" applyFill="1" applyBorder="1"/>
    <xf numFmtId="167" fontId="15" fillId="4" borderId="4" xfId="2" applyNumberFormat="1" applyFont="1" applyFill="1" applyBorder="1"/>
    <xf numFmtId="0" fontId="16" fillId="5" borderId="8" xfId="0" applyFont="1" applyFill="1" applyBorder="1"/>
    <xf numFmtId="0" fontId="16" fillId="5" borderId="0" xfId="0" applyFont="1" applyFill="1" applyBorder="1"/>
    <xf numFmtId="167" fontId="16" fillId="5" borderId="8" xfId="2" applyNumberFormat="1" applyFont="1" applyFill="1" applyBorder="1"/>
    <xf numFmtId="3" fontId="15" fillId="10" borderId="4" xfId="0" applyNumberFormat="1" applyFont="1" applyFill="1" applyBorder="1"/>
    <xf numFmtId="0" fontId="15" fillId="4" borderId="5" xfId="0" applyFont="1" applyFill="1" applyBorder="1"/>
    <xf numFmtId="3" fontId="16" fillId="5" borderId="8" xfId="0" applyNumberFormat="1" applyFont="1" applyFill="1" applyBorder="1"/>
    <xf numFmtId="0" fontId="18" fillId="0" borderId="0" xfId="0" applyFont="1"/>
    <xf numFmtId="0" fontId="16" fillId="5" borderId="6" xfId="0" applyFont="1" applyFill="1" applyBorder="1" applyAlignment="1">
      <alignment horizontal="left"/>
    </xf>
    <xf numFmtId="0" fontId="16" fillId="5" borderId="12" xfId="0" applyFont="1" applyFill="1" applyBorder="1"/>
    <xf numFmtId="0" fontId="19" fillId="5" borderId="12" xfId="0" applyFont="1" applyFill="1" applyBorder="1"/>
    <xf numFmtId="0" fontId="15" fillId="4" borderId="0" xfId="0" quotePrefix="1" applyFont="1" applyFill="1" applyBorder="1" applyAlignment="1">
      <alignment vertical="top"/>
    </xf>
    <xf numFmtId="0" fontId="15" fillId="4" borderId="0" xfId="0" applyFont="1" applyFill="1" applyBorder="1" applyAlignment="1">
      <alignment vertical="top"/>
    </xf>
    <xf numFmtId="0" fontId="8" fillId="4" borderId="0" xfId="0" applyFont="1" applyFill="1" applyBorder="1" applyAlignment="1">
      <alignment horizontal="left" vertical="top" wrapText="1"/>
    </xf>
    <xf numFmtId="0" fontId="6" fillId="5" borderId="5" xfId="0" applyFont="1" applyFill="1" applyBorder="1" applyAlignment="1">
      <alignment horizontal="center"/>
    </xf>
    <xf numFmtId="0" fontId="6" fillId="5" borderId="8" xfId="0" applyFont="1" applyFill="1" applyBorder="1" applyAlignment="1">
      <alignment horizontal="center"/>
    </xf>
    <xf numFmtId="0" fontId="6" fillId="11" borderId="8" xfId="0" applyFont="1" applyFill="1" applyBorder="1" applyAlignment="1">
      <alignment horizontal="center"/>
    </xf>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9" xfId="0" applyFont="1" applyFill="1" applyBorder="1"/>
    <xf numFmtId="0" fontId="22" fillId="2" borderId="4" xfId="0" applyFont="1" applyFill="1" applyBorder="1" applyAlignment="1"/>
    <xf numFmtId="0" fontId="25" fillId="7" borderId="0" xfId="0" applyFont="1" applyFill="1" applyBorder="1" applyAlignment="1">
      <alignment horizontal="center" vertical="center" wrapText="1"/>
    </xf>
    <xf numFmtId="0" fontId="24" fillId="2" borderId="4" xfId="0" applyFont="1" applyFill="1" applyBorder="1" applyAlignment="1">
      <alignment vertical="center"/>
    </xf>
    <xf numFmtId="0" fontId="26" fillId="2" borderId="4" xfId="0" applyFont="1" applyFill="1" applyBorder="1" applyAlignment="1">
      <alignment horizontal="center" vertical="center"/>
    </xf>
    <xf numFmtId="0" fontId="23" fillId="7" borderId="0" xfId="0" applyFont="1" applyFill="1" applyBorder="1" applyAlignment="1">
      <alignment horizontal="center" vertical="center"/>
    </xf>
    <xf numFmtId="0" fontId="27" fillId="7" borderId="0" xfId="0" applyFont="1" applyFill="1" applyBorder="1" applyAlignment="1">
      <alignment horizontal="center" vertical="center"/>
    </xf>
    <xf numFmtId="0" fontId="23" fillId="9" borderId="4" xfId="0" applyFont="1" applyFill="1" applyBorder="1" applyAlignment="1">
      <alignment horizontal="left" vertical="center"/>
    </xf>
    <xf numFmtId="169" fontId="28" fillId="7" borderId="4" xfId="0" applyNumberFormat="1" applyFont="1" applyFill="1" applyBorder="1" applyAlignment="1"/>
    <xf numFmtId="169" fontId="22" fillId="7" borderId="4" xfId="0" applyNumberFormat="1" applyFont="1" applyFill="1" applyBorder="1" applyAlignment="1">
      <alignment horizontal="center"/>
    </xf>
    <xf numFmtId="0" fontId="22" fillId="7" borderId="0" xfId="0" applyFont="1" applyFill="1" applyBorder="1" applyAlignment="1">
      <alignment vertical="center"/>
    </xf>
    <xf numFmtId="0" fontId="22" fillId="7" borderId="0" xfId="0" applyFont="1" applyFill="1" applyBorder="1" applyAlignment="1">
      <alignment horizontal="center" vertical="center"/>
    </xf>
    <xf numFmtId="169" fontId="22" fillId="7" borderId="4" xfId="0" applyNumberFormat="1" applyFont="1" applyFill="1" applyBorder="1" applyAlignment="1"/>
    <xf numFmtId="169" fontId="22" fillId="3" borderId="4" xfId="0" applyNumberFormat="1" applyFont="1" applyFill="1" applyBorder="1" applyAlignment="1">
      <alignment horizontal="center"/>
    </xf>
    <xf numFmtId="169" fontId="22" fillId="7" borderId="0" xfId="0" applyNumberFormat="1" applyFont="1" applyFill="1" applyBorder="1" applyAlignment="1">
      <alignment vertical="center"/>
    </xf>
    <xf numFmtId="0" fontId="23" fillId="9" borderId="8" xfId="0" applyFont="1" applyFill="1" applyBorder="1" applyAlignment="1">
      <alignment horizontal="left" vertical="center"/>
    </xf>
    <xf numFmtId="0" fontId="24" fillId="7" borderId="0" xfId="0" applyFont="1" applyFill="1" applyBorder="1" applyAlignment="1">
      <alignment horizontal="left"/>
    </xf>
    <xf numFmtId="0" fontId="20" fillId="8" borderId="5" xfId="0" applyFont="1" applyFill="1" applyBorder="1"/>
    <xf numFmtId="0" fontId="21" fillId="8" borderId="2" xfId="0" applyFont="1" applyFill="1" applyBorder="1"/>
    <xf numFmtId="0" fontId="21" fillId="8" borderId="12" xfId="0" applyFont="1" applyFill="1" applyBorder="1"/>
    <xf numFmtId="0" fontId="21" fillId="8" borderId="3"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7" borderId="0" xfId="0" applyFont="1" applyFill="1" applyBorder="1" applyAlignment="1">
      <alignment horizontal="left" wrapText="1"/>
    </xf>
    <xf numFmtId="0" fontId="22" fillId="7" borderId="0" xfId="0" applyFont="1" applyFill="1" applyBorder="1" applyAlignment="1">
      <alignment horizontal="left"/>
    </xf>
    <xf numFmtId="0" fontId="22" fillId="0" borderId="0" xfId="0" applyFont="1" applyAlignment="1">
      <alignment horizontal="left"/>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7" fontId="29" fillId="0" borderId="0" xfId="2" applyNumberFormat="1" applyFont="1"/>
    <xf numFmtId="167" fontId="23" fillId="2" borderId="7" xfId="2" applyNumberFormat="1" applyFont="1" applyFill="1" applyBorder="1"/>
    <xf numFmtId="10" fontId="22" fillId="0" borderId="0" xfId="1" applyNumberFormat="1" applyFont="1"/>
    <xf numFmtId="10" fontId="22" fillId="0" borderId="0" xfId="0" applyNumberFormat="1" applyFont="1"/>
    <xf numFmtId="170"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8" fontId="29" fillId="0" borderId="0" xfId="3" applyNumberFormat="1" applyFont="1" applyAlignment="1"/>
    <xf numFmtId="171" fontId="23"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169" fontId="6" fillId="9" borderId="3" xfId="0" applyNumberFormat="1" applyFont="1" applyFill="1" applyBorder="1" applyAlignment="1">
      <alignment horizontal="left"/>
    </xf>
    <xf numFmtId="0" fontId="6" fillId="2" borderId="6" xfId="0" applyFont="1" applyFill="1" applyBorder="1"/>
    <xf numFmtId="167" fontId="5" fillId="11" borderId="5" xfId="2" applyNumberFormat="1" applyFont="1" applyFill="1" applyBorder="1"/>
    <xf numFmtId="3" fontId="5" fillId="11" borderId="10" xfId="0" applyNumberFormat="1" applyFont="1" applyFill="1" applyBorder="1"/>
    <xf numFmtId="3" fontId="5" fillId="11" borderId="5" xfId="0" applyNumberFormat="1" applyFont="1" applyFill="1" applyBorder="1"/>
    <xf numFmtId="0" fontId="4" fillId="8" borderId="8" xfId="0" applyFont="1" applyFill="1" applyBorder="1" applyAlignment="1"/>
    <xf numFmtId="0" fontId="4" fillId="8" borderId="0" xfId="0" applyFont="1" applyFill="1" applyBorder="1" applyAlignment="1"/>
    <xf numFmtId="2" fontId="4" fillId="8" borderId="9" xfId="0" applyNumberFormat="1" applyFont="1" applyFill="1" applyBorder="1" applyAlignment="1">
      <alignment horizontal="center" vertical="center" wrapText="1"/>
    </xf>
    <xf numFmtId="1" fontId="4" fillId="8" borderId="9" xfId="0" applyNumberFormat="1"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10" borderId="14" xfId="0" applyFont="1" applyFill="1" applyBorder="1" applyAlignment="1">
      <alignment horizontal="left" vertical="center"/>
    </xf>
    <xf numFmtId="0" fontId="3" fillId="10" borderId="14" xfId="0" applyFont="1" applyFill="1" applyBorder="1" applyAlignment="1">
      <alignment horizontal="center"/>
    </xf>
    <xf numFmtId="2" fontId="3" fillId="10" borderId="6" xfId="0" applyNumberFormat="1" applyFont="1" applyFill="1" applyBorder="1" applyAlignment="1">
      <alignment horizontal="center"/>
    </xf>
    <xf numFmtId="1" fontId="3" fillId="10" borderId="8" xfId="0" applyNumberFormat="1" applyFont="1" applyFill="1" applyBorder="1" applyAlignment="1">
      <alignment horizontal="center"/>
    </xf>
    <xf numFmtId="2" fontId="3" fillId="10" borderId="8" xfId="3" applyNumberFormat="1" applyFont="1" applyFill="1" applyBorder="1" applyAlignment="1">
      <alignment horizontal="center"/>
    </xf>
    <xf numFmtId="169" fontId="6" fillId="9" borderId="0" xfId="0" applyNumberFormat="1" applyFont="1" applyFill="1" applyBorder="1" applyAlignment="1">
      <alignment vertical="center"/>
    </xf>
    <xf numFmtId="169" fontId="6" fillId="9" borderId="5" xfId="0" applyNumberFormat="1" applyFont="1" applyFill="1" applyBorder="1" applyAlignment="1"/>
    <xf numFmtId="169" fontId="6" fillId="9" borderId="2" xfId="0" applyNumberFormat="1" applyFont="1" applyFill="1" applyBorder="1" applyAlignment="1"/>
    <xf numFmtId="3" fontId="3" fillId="10" borderId="4" xfId="3" applyNumberFormat="1" applyFont="1" applyFill="1" applyBorder="1" applyAlignment="1">
      <alignment horizontal="center"/>
    </xf>
    <xf numFmtId="2" fontId="3" fillId="10" borderId="4" xfId="3" applyNumberFormat="1" applyFont="1" applyFill="1" applyBorder="1" applyAlignment="1">
      <alignment horizontal="center"/>
    </xf>
    <xf numFmtId="167" fontId="18" fillId="11" borderId="5" xfId="2" applyNumberFormat="1" applyFont="1" applyFill="1" applyBorder="1"/>
    <xf numFmtId="3" fontId="18" fillId="11" borderId="10" xfId="0" applyNumberFormat="1" applyFont="1" applyFill="1" applyBorder="1"/>
    <xf numFmtId="3" fontId="18" fillId="11" borderId="5" xfId="0" applyNumberFormat="1" applyFont="1" applyFill="1" applyBorder="1"/>
    <xf numFmtId="0" fontId="4" fillId="8" borderId="12" xfId="0" applyFont="1" applyFill="1" applyBorder="1"/>
    <xf numFmtId="0" fontId="31" fillId="0" borderId="0" xfId="0" applyFont="1"/>
    <xf numFmtId="0" fontId="1" fillId="4" borderId="3" xfId="0" applyFont="1" applyFill="1" applyBorder="1" applyAlignment="1">
      <alignment horizontal="left" indent="1"/>
    </xf>
    <xf numFmtId="0" fontId="5" fillId="4" borderId="4" xfId="0" applyFont="1" applyFill="1" applyBorder="1"/>
    <xf numFmtId="167" fontId="5" fillId="5" borderId="5" xfId="2" applyNumberFormat="1" applyFont="1" applyFill="1" applyBorder="1" applyAlignment="1">
      <alignment horizontal="center"/>
    </xf>
    <xf numFmtId="0" fontId="5" fillId="4" borderId="5" xfId="0" applyFont="1" applyFill="1" applyBorder="1"/>
    <xf numFmtId="0" fontId="5" fillId="4" borderId="3" xfId="0" applyFont="1" applyFill="1" applyBorder="1"/>
    <xf numFmtId="167" fontId="5" fillId="10" borderId="5" xfId="2" applyNumberFormat="1" applyFont="1" applyFill="1" applyBorder="1" applyAlignment="1">
      <alignment horizontal="center"/>
    </xf>
    <xf numFmtId="0" fontId="6" fillId="5" borderId="1" xfId="0" applyFont="1" applyFill="1" applyBorder="1"/>
    <xf numFmtId="10" fontId="0" fillId="0" borderId="0" xfId="1" applyNumberFormat="1" applyFont="1"/>
    <xf numFmtId="10" fontId="0" fillId="0" borderId="0" xfId="0" applyNumberFormat="1"/>
    <xf numFmtId="0" fontId="32" fillId="0" borderId="0" xfId="0" applyFont="1"/>
    <xf numFmtId="166" fontId="4" fillId="15" borderId="4" xfId="3" applyFont="1" applyFill="1" applyBorder="1" applyAlignment="1">
      <alignment horizontal="left"/>
    </xf>
    <xf numFmtId="166" fontId="4" fillId="15" borderId="4" xfId="3" applyFont="1" applyFill="1" applyBorder="1" applyAlignment="1">
      <alignment horizontal="center"/>
    </xf>
    <xf numFmtId="166" fontId="1" fillId="5" borderId="4" xfId="3" applyFont="1" applyFill="1" applyBorder="1" applyAlignment="1">
      <alignment horizontal="left" indent="2"/>
    </xf>
    <xf numFmtId="166" fontId="1" fillId="5" borderId="4" xfId="3" applyFont="1" applyFill="1" applyBorder="1"/>
    <xf numFmtId="172" fontId="1" fillId="5" borderId="4" xfId="3" applyNumberFormat="1" applyFont="1" applyFill="1" applyBorder="1"/>
    <xf numFmtId="166" fontId="5" fillId="5" borderId="4" xfId="3" applyFont="1" applyFill="1" applyBorder="1"/>
    <xf numFmtId="0" fontId="5" fillId="5" borderId="5" xfId="0" applyFont="1" applyFill="1" applyBorder="1"/>
    <xf numFmtId="0" fontId="0" fillId="0" borderId="0" xfId="0" applyFont="1"/>
    <xf numFmtId="0" fontId="5" fillId="5" borderId="0" xfId="0" applyFont="1" applyFill="1" applyBorder="1"/>
    <xf numFmtId="172" fontId="5" fillId="5" borderId="4" xfId="3" applyNumberFormat="1" applyFont="1" applyFill="1" applyBorder="1"/>
    <xf numFmtId="0" fontId="6" fillId="0" borderId="8" xfId="0" applyFont="1" applyFill="1" applyBorder="1"/>
    <xf numFmtId="0" fontId="33" fillId="4" borderId="5" xfId="0" applyFont="1" applyFill="1" applyBorder="1"/>
    <xf numFmtId="0" fontId="1" fillId="4" borderId="4" xfId="0" applyFont="1" applyFill="1" applyBorder="1" applyAlignment="1">
      <alignment horizontal="left"/>
    </xf>
    <xf numFmtId="166" fontId="34" fillId="10" borderId="4" xfId="3" applyFont="1" applyFill="1" applyBorder="1"/>
    <xf numFmtId="166" fontId="1" fillId="10" borderId="4" xfId="3" applyFont="1" applyFill="1" applyBorder="1"/>
    <xf numFmtId="166" fontId="5" fillId="5" borderId="4" xfId="3" applyFont="1" applyFill="1" applyBorder="1" applyAlignment="1">
      <alignment horizontal="left"/>
    </xf>
    <xf numFmtId="0" fontId="5" fillId="4" borderId="4" xfId="0" applyFont="1" applyFill="1" applyBorder="1" applyAlignment="1">
      <alignment horizontal="left"/>
    </xf>
    <xf numFmtId="166" fontId="35" fillId="10" borderId="4" xfId="3" applyFont="1" applyFill="1" applyBorder="1"/>
    <xf numFmtId="166" fontId="5" fillId="10" borderId="4" xfId="3" applyFont="1" applyFill="1" applyBorder="1"/>
    <xf numFmtId="0" fontId="1" fillId="4" borderId="7" xfId="0" applyFont="1" applyFill="1" applyBorder="1" applyAlignment="1">
      <alignment horizontal="left"/>
    </xf>
    <xf numFmtId="172" fontId="1" fillId="10" borderId="4" xfId="3" applyNumberFormat="1" applyFont="1" applyFill="1" applyBorder="1"/>
    <xf numFmtId="0" fontId="22" fillId="7" borderId="1" xfId="0" applyFont="1" applyFill="1" applyBorder="1" applyAlignment="1">
      <alignment horizontal="left" wrapText="1"/>
    </xf>
    <xf numFmtId="0" fontId="22" fillId="7" borderId="0" xfId="0" applyFont="1" applyFill="1" applyBorder="1" applyAlignment="1">
      <alignment horizontal="left" wrapText="1"/>
    </xf>
    <xf numFmtId="0" fontId="28" fillId="7" borderId="0" xfId="0" quotePrefix="1" applyFont="1" applyFill="1" applyBorder="1" applyAlignment="1">
      <alignment horizontal="left" vertical="top"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169" fontId="29" fillId="7" borderId="4" xfId="0" applyNumberFormat="1" applyFont="1" applyFill="1" applyBorder="1" applyAlignment="1"/>
    <xf numFmtId="0" fontId="24" fillId="7" borderId="5" xfId="0" applyNumberFormat="1" applyFont="1" applyFill="1" applyBorder="1" applyAlignment="1">
      <alignment horizontal="left" wrapText="1"/>
    </xf>
    <xf numFmtId="0" fontId="24" fillId="7" borderId="2" xfId="0" applyNumberFormat="1" applyFont="1" applyFill="1" applyBorder="1" applyAlignment="1">
      <alignment horizontal="left" wrapText="1"/>
    </xf>
    <xf numFmtId="0" fontId="24" fillId="7" borderId="1" xfId="0" applyNumberFormat="1" applyFont="1" applyFill="1" applyBorder="1" applyAlignment="1">
      <alignment horizontal="left" wrapText="1"/>
    </xf>
    <xf numFmtId="0" fontId="22" fillId="7" borderId="1" xfId="0" applyFont="1" applyFill="1" applyBorder="1" applyAlignment="1">
      <alignment horizontal="left" vertical="top" wrapText="1"/>
    </xf>
    <xf numFmtId="0" fontId="22" fillId="7" borderId="0" xfId="0" applyFont="1" applyFill="1" applyBorder="1" applyAlignment="1">
      <alignment horizontal="center" vertical="center"/>
    </xf>
    <xf numFmtId="0" fontId="6" fillId="9" borderId="9" xfId="0" applyFont="1" applyFill="1" applyBorder="1" applyAlignment="1">
      <alignment horizontal="left" vertical="center"/>
    </xf>
    <xf numFmtId="0" fontId="23" fillId="9" borderId="14" xfId="0" applyFont="1" applyFill="1" applyBorder="1" applyAlignment="1">
      <alignment horizontal="left" vertical="center"/>
    </xf>
    <xf numFmtId="0" fontId="1" fillId="7" borderId="0" xfId="0" quotePrefix="1" applyFont="1" applyFill="1" applyBorder="1" applyAlignment="1">
      <alignment horizontal="left" vertical="top" wrapText="1"/>
    </xf>
    <xf numFmtId="0" fontId="9" fillId="10" borderId="0" xfId="0" applyFont="1" applyFill="1" applyAlignment="1">
      <alignment horizontal="center"/>
    </xf>
    <xf numFmtId="0" fontId="1" fillId="4" borderId="1" xfId="0" applyFont="1" applyFill="1" applyBorder="1" applyAlignment="1">
      <alignment horizontal="left" vertical="top" wrapText="1"/>
    </xf>
    <xf numFmtId="0" fontId="5" fillId="4" borderId="8" xfId="0" applyFont="1" applyFill="1" applyBorder="1" applyAlignment="1">
      <alignment horizontal="left"/>
    </xf>
    <xf numFmtId="0" fontId="5" fillId="4" borderId="0" xfId="0" applyFont="1" applyFill="1" applyBorder="1" applyAlignment="1">
      <alignment horizontal="left"/>
    </xf>
    <xf numFmtId="0" fontId="4" fillId="8" borderId="12" xfId="0" applyFont="1" applyFill="1" applyBorder="1" applyAlignment="1">
      <alignment horizontal="left"/>
    </xf>
    <xf numFmtId="49" fontId="1" fillId="10" borderId="1" xfId="0" applyNumberFormat="1" applyFont="1" applyFill="1" applyBorder="1" applyAlignment="1">
      <alignment horizontal="left" vertical="top" wrapText="1"/>
    </xf>
    <xf numFmtId="0" fontId="1" fillId="10" borderId="1" xfId="0" applyFont="1" applyFill="1" applyBorder="1" applyAlignment="1">
      <alignment horizontal="left" vertical="top" wrapText="1"/>
    </xf>
    <xf numFmtId="0" fontId="1" fillId="4" borderId="0"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1" xfId="0" applyFont="1" applyFill="1" applyBorder="1" applyAlignment="1">
      <alignment horizontal="left" vertical="top" wrapText="1"/>
    </xf>
    <xf numFmtId="0" fontId="8" fillId="4" borderId="8" xfId="0" applyFont="1" applyFill="1" applyBorder="1" applyAlignment="1">
      <alignment horizontal="left" vertical="top" wrapText="1"/>
    </xf>
    <xf numFmtId="0" fontId="8" fillId="4" borderId="0" xfId="0" applyFont="1" applyFill="1" applyBorder="1" applyAlignment="1">
      <alignment horizontal="left" vertical="top" wrapText="1"/>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 fillId="4" borderId="8" xfId="0" quotePrefix="1" applyFont="1" applyFill="1" applyBorder="1" applyAlignment="1">
      <alignment horizontal="left" vertical="top" wrapText="1"/>
    </xf>
    <xf numFmtId="0" fontId="1" fillId="4" borderId="0" xfId="0" quotePrefix="1" applyFont="1" applyFill="1" applyBorder="1" applyAlignment="1">
      <alignment horizontal="left" vertical="top" wrapText="1"/>
    </xf>
    <xf numFmtId="0" fontId="6" fillId="11" borderId="5" xfId="0" applyFont="1" applyFill="1" applyBorder="1" applyAlignment="1">
      <alignment horizontal="left" vertical="center"/>
    </xf>
    <xf numFmtId="0" fontId="6" fillId="11" borderId="2" xfId="0" applyFont="1" applyFill="1" applyBorder="1" applyAlignment="1">
      <alignment horizontal="left" vertical="center"/>
    </xf>
    <xf numFmtId="0" fontId="6" fillId="11" borderId="3" xfId="0" applyFont="1" applyFill="1" applyBorder="1" applyAlignment="1">
      <alignment horizontal="left" vertical="center"/>
    </xf>
    <xf numFmtId="0" fontId="4" fillId="12" borderId="0" xfId="0" applyFont="1" applyFill="1" applyBorder="1" applyAlignment="1">
      <alignment horizontal="center"/>
    </xf>
    <xf numFmtId="2" fontId="4" fillId="13" borderId="0" xfId="0" applyNumberFormat="1" applyFont="1" applyFill="1" applyAlignment="1">
      <alignment horizontal="center"/>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5" fillId="4" borderId="5" xfId="0" applyFont="1" applyFill="1" applyBorder="1" applyAlignment="1">
      <alignment horizontal="center"/>
    </xf>
    <xf numFmtId="0" fontId="5" fillId="4" borderId="2" xfId="0" applyFont="1" applyFill="1" applyBorder="1" applyAlignment="1">
      <alignment horizontal="center"/>
    </xf>
    <xf numFmtId="0" fontId="3" fillId="4" borderId="1" xfId="0" applyFont="1" applyFill="1" applyBorder="1" applyAlignment="1">
      <alignment horizontal="left" vertical="top"/>
    </xf>
    <xf numFmtId="0" fontId="19" fillId="4" borderId="1" xfId="0" applyFont="1" applyFill="1" applyBorder="1" applyAlignment="1">
      <alignment horizontal="left" vertical="top"/>
    </xf>
    <xf numFmtId="0" fontId="19" fillId="4" borderId="0" xfId="0" applyFont="1" applyFill="1" applyBorder="1" applyAlignment="1">
      <alignment horizontal="left" vertical="top"/>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0" fontId="4" fillId="8" borderId="12" xfId="0" applyFont="1" applyFill="1" applyBorder="1" applyAlignment="1">
      <alignment horizontal="center"/>
    </xf>
    <xf numFmtId="166" fontId="35"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5"/>
  <sheetViews>
    <sheetView showGridLines="0" tabSelected="1" topLeftCell="A22" zoomScale="90" zoomScaleNormal="90" workbookViewId="0">
      <selection activeCell="H64" sqref="H64"/>
    </sheetView>
  </sheetViews>
  <sheetFormatPr defaultRowHeight="12.75" x14ac:dyDescent="0.2"/>
  <cols>
    <col min="1" max="1" width="2.42578125" style="138" customWidth="1"/>
    <col min="2" max="2" width="41.85546875" style="138" customWidth="1"/>
    <col min="3" max="3" width="20.28515625" style="138" customWidth="1"/>
    <col min="4" max="4" width="18.42578125" style="138" customWidth="1"/>
    <col min="5" max="5" width="17" style="138" customWidth="1"/>
    <col min="6" max="6" width="18.42578125" style="138" customWidth="1"/>
    <col min="7" max="7" width="15.28515625" style="138" customWidth="1"/>
    <col min="8" max="8" width="13.28515625" style="138" customWidth="1"/>
    <col min="9" max="9" width="11.5703125" style="138" customWidth="1"/>
    <col min="10" max="16384" width="9.140625" style="138"/>
  </cols>
  <sheetData>
    <row r="2" spans="2:19" x14ac:dyDescent="0.2">
      <c r="B2" s="136" t="s">
        <v>7</v>
      </c>
      <c r="C2" s="137"/>
      <c r="D2" s="137"/>
      <c r="E2" s="137"/>
      <c r="F2" s="137"/>
      <c r="G2" s="137"/>
      <c r="H2" s="137"/>
      <c r="O2" s="139"/>
      <c r="P2" s="139"/>
      <c r="Q2" s="139"/>
      <c r="R2" s="139"/>
      <c r="S2" s="139"/>
    </row>
    <row r="3" spans="2:19" ht="75.75" customHeight="1" x14ac:dyDescent="0.2">
      <c r="B3" s="140" t="s">
        <v>54</v>
      </c>
      <c r="C3" s="251" t="s">
        <v>81</v>
      </c>
      <c r="D3" s="252"/>
      <c r="E3" s="253"/>
      <c r="F3" s="253"/>
      <c r="G3" s="253"/>
      <c r="H3" s="253"/>
      <c r="M3" s="141"/>
      <c r="N3" s="141"/>
      <c r="O3" s="139"/>
      <c r="P3" s="139"/>
      <c r="Q3" s="139"/>
      <c r="R3" s="139"/>
      <c r="S3" s="139"/>
    </row>
    <row r="4" spans="2:19" ht="55.5" customHeight="1" x14ac:dyDescent="0.2">
      <c r="B4" s="142"/>
      <c r="C4" s="143"/>
      <c r="D4" s="143"/>
      <c r="E4" s="144"/>
      <c r="F4" s="144"/>
      <c r="G4" s="144"/>
      <c r="H4" s="144"/>
      <c r="M4" s="141"/>
      <c r="N4" s="141"/>
      <c r="O4" s="139"/>
      <c r="P4" s="139"/>
      <c r="Q4" s="139"/>
      <c r="R4" s="139"/>
      <c r="S4" s="139"/>
    </row>
    <row r="5" spans="2:19" x14ac:dyDescent="0.2">
      <c r="B5" s="140" t="s">
        <v>13</v>
      </c>
      <c r="C5" s="145"/>
      <c r="D5" s="146" t="s">
        <v>77</v>
      </c>
      <c r="E5" s="147"/>
      <c r="F5" s="147"/>
      <c r="G5" s="148"/>
      <c r="H5" s="148"/>
      <c r="M5" s="141"/>
      <c r="N5" s="141"/>
      <c r="O5" s="139"/>
      <c r="P5" s="139"/>
      <c r="Q5" s="139"/>
      <c r="R5" s="139"/>
      <c r="S5" s="139"/>
    </row>
    <row r="6" spans="2:19" x14ac:dyDescent="0.2">
      <c r="B6" s="149" t="s">
        <v>41</v>
      </c>
      <c r="C6" s="150"/>
      <c r="D6" s="151" t="s">
        <v>78</v>
      </c>
      <c r="E6" s="152"/>
      <c r="F6" s="153"/>
      <c r="G6" s="153"/>
      <c r="H6" s="153"/>
      <c r="M6" s="141"/>
      <c r="N6" s="141"/>
      <c r="O6" s="139"/>
      <c r="P6" s="139"/>
      <c r="Q6" s="139"/>
      <c r="R6" s="139"/>
      <c r="S6" s="139"/>
    </row>
    <row r="7" spans="2:19" x14ac:dyDescent="0.2">
      <c r="B7" s="256" t="s">
        <v>96</v>
      </c>
      <c r="C7" s="154" t="s">
        <v>79</v>
      </c>
      <c r="D7" s="155">
        <f>'Proposed Fee'!Q15</f>
        <v>462.06432174579163</v>
      </c>
      <c r="E7" s="156"/>
      <c r="F7" s="156"/>
      <c r="G7" s="255"/>
      <c r="H7" s="255"/>
      <c r="O7" s="139"/>
      <c r="P7" s="139"/>
      <c r="Q7" s="139"/>
      <c r="R7" s="139"/>
      <c r="S7" s="139"/>
    </row>
    <row r="8" spans="2:19" x14ac:dyDescent="0.2">
      <c r="B8" s="257"/>
      <c r="C8" s="154" t="s">
        <v>80</v>
      </c>
      <c r="D8" s="155">
        <f>'Proposed Fee'!Q27</f>
        <v>726.6542630620429</v>
      </c>
      <c r="E8" s="156"/>
      <c r="F8" s="156"/>
      <c r="G8" s="255"/>
      <c r="H8" s="255"/>
      <c r="O8" s="139"/>
      <c r="P8" s="139"/>
      <c r="Q8" s="139"/>
      <c r="R8" s="139"/>
      <c r="S8" s="139"/>
    </row>
    <row r="9" spans="2:19" x14ac:dyDescent="0.2">
      <c r="B9" s="157" t="s">
        <v>47</v>
      </c>
      <c r="C9" s="250" t="s">
        <v>64</v>
      </c>
      <c r="D9" s="250"/>
      <c r="E9" s="158"/>
      <c r="F9" s="158"/>
      <c r="G9" s="158"/>
      <c r="H9" s="158"/>
      <c r="O9" s="139"/>
      <c r="P9" s="139"/>
      <c r="Q9" s="139"/>
      <c r="R9" s="139"/>
      <c r="S9" s="139"/>
    </row>
    <row r="10" spans="2:19" x14ac:dyDescent="0.2">
      <c r="B10" s="159" t="s">
        <v>5</v>
      </c>
      <c r="C10" s="160"/>
      <c r="D10" s="160"/>
      <c r="E10" s="161"/>
      <c r="F10" s="161"/>
      <c r="G10" s="160"/>
      <c r="H10" s="162"/>
      <c r="O10" s="139"/>
      <c r="P10" s="139"/>
      <c r="Q10" s="139"/>
      <c r="R10" s="139"/>
      <c r="S10" s="139"/>
    </row>
    <row r="11" spans="2:19" ht="144" customHeight="1" x14ac:dyDescent="0.2">
      <c r="B11" s="254" t="s">
        <v>95</v>
      </c>
      <c r="C11" s="254"/>
      <c r="D11" s="254"/>
      <c r="E11" s="254"/>
      <c r="F11" s="254"/>
      <c r="G11" s="254"/>
      <c r="H11" s="254"/>
      <c r="O11" s="139"/>
      <c r="P11" s="139"/>
      <c r="Q11" s="139"/>
      <c r="R11" s="139"/>
      <c r="S11" s="139"/>
    </row>
    <row r="12" spans="2:19" x14ac:dyDescent="0.2">
      <c r="B12" s="163"/>
      <c r="C12" s="163"/>
      <c r="D12" s="163"/>
      <c r="E12" s="163"/>
      <c r="F12" s="163"/>
      <c r="G12" s="163"/>
      <c r="H12" s="163"/>
      <c r="O12" s="139"/>
      <c r="P12" s="139"/>
      <c r="Q12" s="139"/>
      <c r="R12" s="139"/>
      <c r="S12" s="139"/>
    </row>
    <row r="13" spans="2:19" x14ac:dyDescent="0.2">
      <c r="O13" s="139"/>
      <c r="P13" s="139"/>
      <c r="Q13" s="139"/>
      <c r="R13" s="139"/>
      <c r="S13" s="139"/>
    </row>
    <row r="14" spans="2:19" x14ac:dyDescent="0.2">
      <c r="B14" s="164" t="s">
        <v>34</v>
      </c>
      <c r="C14" s="137"/>
      <c r="D14" s="137"/>
      <c r="E14" s="137"/>
      <c r="F14" s="137"/>
      <c r="G14" s="137"/>
      <c r="H14" s="137"/>
      <c r="O14" s="139"/>
      <c r="P14" s="139"/>
      <c r="Q14" s="139"/>
      <c r="R14" s="139"/>
      <c r="S14" s="139"/>
    </row>
    <row r="15" spans="2:19" x14ac:dyDescent="0.2">
      <c r="B15" s="246"/>
      <c r="C15" s="246"/>
      <c r="D15" s="246"/>
      <c r="E15" s="246"/>
      <c r="F15" s="246"/>
      <c r="G15" s="246"/>
      <c r="H15" s="246"/>
    </row>
    <row r="16" spans="2:19" ht="30" customHeight="1" x14ac:dyDescent="0.2">
      <c r="B16" s="258" t="s">
        <v>143</v>
      </c>
      <c r="C16" s="258"/>
      <c r="D16" s="258"/>
      <c r="E16" s="258"/>
      <c r="F16" s="258"/>
      <c r="G16" s="258"/>
      <c r="H16" s="258"/>
      <c r="I16" s="139"/>
    </row>
    <row r="17" spans="2:8" ht="30" customHeight="1" x14ac:dyDescent="0.2">
      <c r="B17" s="258"/>
      <c r="C17" s="258"/>
      <c r="D17" s="258"/>
      <c r="E17" s="258"/>
      <c r="F17" s="258"/>
      <c r="G17" s="258"/>
      <c r="H17" s="258"/>
    </row>
    <row r="18" spans="2:8" ht="30" customHeight="1" x14ac:dyDescent="0.2">
      <c r="B18" s="258"/>
      <c r="C18" s="258"/>
      <c r="D18" s="258"/>
      <c r="E18" s="258"/>
      <c r="F18" s="258"/>
      <c r="G18" s="258"/>
      <c r="H18" s="258"/>
    </row>
    <row r="19" spans="2:8" ht="15" customHeight="1" x14ac:dyDescent="0.2">
      <c r="B19" s="258"/>
      <c r="C19" s="258"/>
      <c r="D19" s="258"/>
      <c r="E19" s="258"/>
      <c r="F19" s="258"/>
      <c r="G19" s="258"/>
      <c r="H19" s="258"/>
    </row>
    <row r="20" spans="2:8" ht="15" customHeight="1" x14ac:dyDescent="0.2">
      <c r="B20" s="258"/>
      <c r="C20" s="258"/>
      <c r="D20" s="258"/>
      <c r="E20" s="258"/>
      <c r="F20" s="258"/>
      <c r="G20" s="258"/>
      <c r="H20" s="258"/>
    </row>
    <row r="21" spans="2:8" x14ac:dyDescent="0.2">
      <c r="B21" s="258"/>
      <c r="C21" s="258"/>
      <c r="D21" s="258"/>
      <c r="E21" s="258"/>
      <c r="F21" s="258"/>
      <c r="G21" s="258"/>
      <c r="H21" s="258"/>
    </row>
    <row r="22" spans="2:8" x14ac:dyDescent="0.2">
      <c r="B22" s="258"/>
      <c r="C22" s="258"/>
      <c r="D22" s="258"/>
      <c r="E22" s="258"/>
      <c r="F22" s="258"/>
      <c r="G22" s="258"/>
      <c r="H22" s="258"/>
    </row>
    <row r="23" spans="2:8" x14ac:dyDescent="0.2">
      <c r="B23" s="166"/>
      <c r="C23" s="166"/>
      <c r="D23" s="166"/>
      <c r="E23" s="166"/>
      <c r="F23" s="166"/>
      <c r="G23" s="166"/>
      <c r="H23" s="166"/>
    </row>
    <row r="24" spans="2:8" x14ac:dyDescent="0.2">
      <c r="B24" s="167"/>
      <c r="C24" s="167"/>
      <c r="D24" s="167"/>
      <c r="E24" s="167"/>
      <c r="F24" s="167"/>
      <c r="G24" s="167"/>
      <c r="H24" s="167"/>
    </row>
    <row r="25" spans="2:8" x14ac:dyDescent="0.2">
      <c r="B25" s="164" t="s">
        <v>42</v>
      </c>
      <c r="C25" s="137"/>
      <c r="D25" s="137"/>
      <c r="E25" s="137"/>
      <c r="F25" s="137"/>
      <c r="G25" s="137"/>
      <c r="H25" s="137"/>
    </row>
    <row r="26" spans="2:8" x14ac:dyDescent="0.2">
      <c r="B26" s="246"/>
      <c r="C26" s="246"/>
      <c r="D26" s="246"/>
      <c r="E26" s="246"/>
      <c r="F26" s="246"/>
      <c r="G26" s="246"/>
      <c r="H26" s="246"/>
    </row>
    <row r="27" spans="2:8" x14ac:dyDescent="0.2">
      <c r="B27" s="247" t="s">
        <v>65</v>
      </c>
      <c r="C27" s="247"/>
      <c r="D27" s="247"/>
      <c r="E27" s="247"/>
      <c r="F27" s="247"/>
      <c r="G27" s="247"/>
      <c r="H27" s="247"/>
    </row>
    <row r="28" spans="2:8" x14ac:dyDescent="0.2">
      <c r="B28" s="248"/>
      <c r="C28" s="248"/>
      <c r="D28" s="248"/>
      <c r="E28" s="248"/>
      <c r="F28" s="248"/>
      <c r="G28" s="248"/>
      <c r="H28" s="248"/>
    </row>
    <row r="29" spans="2:8" x14ac:dyDescent="0.2">
      <c r="B29" s="248"/>
      <c r="C29" s="249"/>
      <c r="D29" s="249"/>
      <c r="E29" s="249"/>
      <c r="F29" s="249"/>
      <c r="G29" s="249"/>
      <c r="H29" s="249"/>
    </row>
    <row r="30" spans="2:8" x14ac:dyDescent="0.2">
      <c r="B30" s="165"/>
      <c r="C30" s="165"/>
      <c r="D30" s="165"/>
      <c r="E30" s="165"/>
      <c r="F30" s="165"/>
      <c r="G30" s="165"/>
      <c r="H30" s="165"/>
    </row>
    <row r="31" spans="2:8" x14ac:dyDescent="0.2">
      <c r="B31" s="246"/>
      <c r="C31" s="246"/>
      <c r="D31" s="246"/>
      <c r="E31" s="246"/>
      <c r="F31" s="246"/>
      <c r="G31" s="246"/>
      <c r="H31" s="246"/>
    </row>
    <row r="32" spans="2:8" x14ac:dyDescent="0.2">
      <c r="B32" s="166"/>
      <c r="C32" s="166"/>
      <c r="D32" s="166"/>
      <c r="E32" s="166"/>
      <c r="F32" s="166"/>
      <c r="G32" s="166"/>
      <c r="H32" s="166"/>
    </row>
    <row r="33" spans="2:9" x14ac:dyDescent="0.2">
      <c r="B33" s="166"/>
      <c r="C33" s="166"/>
      <c r="D33" s="166"/>
      <c r="E33" s="166"/>
      <c r="F33" s="166"/>
      <c r="G33" s="166"/>
      <c r="H33" s="166"/>
    </row>
    <row r="34" spans="2:9" x14ac:dyDescent="0.2">
      <c r="B34" s="166"/>
      <c r="C34" s="166"/>
      <c r="D34" s="166"/>
      <c r="E34" s="166"/>
      <c r="F34" s="166"/>
      <c r="G34" s="166"/>
      <c r="H34" s="166"/>
    </row>
    <row r="35" spans="2:9" x14ac:dyDescent="0.2">
      <c r="B35" s="166"/>
      <c r="C35" s="166"/>
      <c r="D35" s="166"/>
      <c r="E35" s="166"/>
      <c r="F35" s="166"/>
      <c r="G35" s="166"/>
      <c r="H35" s="166"/>
    </row>
    <row r="36" spans="2:9" x14ac:dyDescent="0.2">
      <c r="B36" s="168"/>
      <c r="C36" s="168"/>
      <c r="D36" s="168"/>
      <c r="E36" s="168"/>
      <c r="F36" s="168"/>
      <c r="G36" s="168"/>
      <c r="H36" s="168"/>
      <c r="I36" s="139"/>
    </row>
    <row r="37" spans="2:9" x14ac:dyDescent="0.2">
      <c r="B37" s="164" t="s">
        <v>6</v>
      </c>
    </row>
    <row r="38" spans="2:9" x14ac:dyDescent="0.2">
      <c r="B38" s="169" t="s">
        <v>14</v>
      </c>
      <c r="C38" s="170" t="s">
        <v>29</v>
      </c>
      <c r="D38" s="170"/>
      <c r="E38" s="170"/>
      <c r="F38" s="170"/>
      <c r="G38" s="170"/>
      <c r="H38" s="170"/>
    </row>
    <row r="39" spans="2:9" x14ac:dyDescent="0.2">
      <c r="B39" s="171" t="s">
        <v>45</v>
      </c>
      <c r="C39" s="170" t="s">
        <v>50</v>
      </c>
      <c r="D39" s="170"/>
      <c r="E39" s="170"/>
      <c r="F39" s="170"/>
      <c r="G39" s="170"/>
      <c r="H39" s="170"/>
    </row>
    <row r="40" spans="2:9" x14ac:dyDescent="0.2">
      <c r="B40" s="171" t="s">
        <v>46</v>
      </c>
      <c r="C40" s="170" t="s">
        <v>51</v>
      </c>
      <c r="D40" s="170"/>
      <c r="E40" s="170"/>
      <c r="F40" s="170"/>
      <c r="G40" s="170"/>
      <c r="H40" s="170"/>
    </row>
    <row r="41" spans="2:9" x14ac:dyDescent="0.2">
      <c r="B41" s="171" t="s">
        <v>15</v>
      </c>
      <c r="C41" s="170" t="s">
        <v>30</v>
      </c>
      <c r="D41" s="170"/>
      <c r="E41" s="170"/>
      <c r="F41" s="170"/>
      <c r="G41" s="170"/>
      <c r="H41" s="170"/>
    </row>
    <row r="44" spans="2:9" x14ac:dyDescent="0.2">
      <c r="B44" s="164" t="s">
        <v>35</v>
      </c>
      <c r="C44" s="137"/>
      <c r="D44" s="137"/>
      <c r="E44" s="137"/>
      <c r="F44" s="137"/>
      <c r="G44" s="137"/>
      <c r="H44" s="137"/>
    </row>
    <row r="46" spans="2:9" x14ac:dyDescent="0.2">
      <c r="B46" s="172"/>
      <c r="C46" s="173" t="s">
        <v>36</v>
      </c>
      <c r="D46" s="173" t="s">
        <v>37</v>
      </c>
      <c r="E46" s="173" t="s">
        <v>38</v>
      </c>
      <c r="F46" s="173" t="s">
        <v>40</v>
      </c>
      <c r="G46" s="173" t="s">
        <v>39</v>
      </c>
      <c r="H46" s="174" t="s">
        <v>1</v>
      </c>
    </row>
    <row r="47" spans="2:9" x14ac:dyDescent="0.2">
      <c r="C47" s="175"/>
      <c r="D47" s="175"/>
      <c r="E47" s="175"/>
      <c r="F47" s="175"/>
      <c r="G47" s="175"/>
      <c r="H47" s="175"/>
    </row>
    <row r="48" spans="2:9" x14ac:dyDescent="0.2">
      <c r="B48" s="190" t="s">
        <v>97</v>
      </c>
      <c r="C48" s="176">
        <f>'Forecast Revenue - Costs'!D32</f>
        <v>33019.995225270715</v>
      </c>
      <c r="D48" s="176">
        <f>'Forecast Revenue - Costs'!E32</f>
        <v>31699.195416259892</v>
      </c>
      <c r="E48" s="176">
        <f>'Forecast Revenue - Costs'!F32</f>
        <v>30711.910415867147</v>
      </c>
      <c r="F48" s="176">
        <f>'Forecast Revenue - Costs'!G32</f>
        <v>30056.307472073284</v>
      </c>
      <c r="G48" s="176">
        <f>'Forecast Revenue - Costs'!H32</f>
        <v>29675.564647698415</v>
      </c>
      <c r="H48" s="176">
        <f>SUM(C48:G48)</f>
        <v>155162.97317716945</v>
      </c>
    </row>
    <row r="49" spans="2:9" x14ac:dyDescent="0.2">
      <c r="C49" s="177"/>
      <c r="D49" s="178"/>
      <c r="E49" s="177"/>
      <c r="F49" s="177"/>
      <c r="G49" s="177"/>
    </row>
    <row r="50" spans="2:9" x14ac:dyDescent="0.2">
      <c r="B50" s="190" t="s">
        <v>98</v>
      </c>
      <c r="C50" s="176">
        <f>SUM('Forecast Revenue - Costs'!D33:D35)</f>
        <v>24086.250895239089</v>
      </c>
      <c r="D50" s="176">
        <f>SUM('Forecast Revenue - Costs'!E33:E35)</f>
        <v>23122.800859429524</v>
      </c>
      <c r="E50" s="176">
        <f>SUM('Forecast Revenue - Costs'!F33:F35)</f>
        <v>22402.631336014008</v>
      </c>
      <c r="F50" s="176">
        <f>SUM('Forecast Revenue - Costs'!G33:G35)</f>
        <v>21924.405434279433</v>
      </c>
      <c r="G50" s="176">
        <f>SUM('Forecast Revenue - Costs'!H33:H35)</f>
        <v>21646.674709853509</v>
      </c>
      <c r="H50" s="176">
        <f>SUM(C50:G50)</f>
        <v>113182.76323481556</v>
      </c>
    </row>
    <row r="51" spans="2:9" x14ac:dyDescent="0.2">
      <c r="C51" s="177"/>
      <c r="D51" s="178"/>
      <c r="E51" s="177"/>
      <c r="F51" s="177"/>
      <c r="G51" s="177"/>
    </row>
    <row r="52" spans="2:9" x14ac:dyDescent="0.2">
      <c r="B52" s="190" t="s">
        <v>99</v>
      </c>
      <c r="C52" s="176">
        <f t="shared" ref="C52:H52" si="0">+C48+C50</f>
        <v>57106.246120509808</v>
      </c>
      <c r="D52" s="176">
        <f t="shared" si="0"/>
        <v>54821.996275689417</v>
      </c>
      <c r="E52" s="176">
        <f t="shared" si="0"/>
        <v>53114.541751881159</v>
      </c>
      <c r="F52" s="176">
        <f t="shared" si="0"/>
        <v>51980.712906352717</v>
      </c>
      <c r="G52" s="176">
        <f t="shared" si="0"/>
        <v>51322.239357551924</v>
      </c>
      <c r="H52" s="176">
        <f t="shared" si="0"/>
        <v>268345.73641198501</v>
      </c>
    </row>
    <row r="53" spans="2:9" x14ac:dyDescent="0.2">
      <c r="C53" s="179"/>
      <c r="D53" s="179"/>
      <c r="E53" s="179"/>
      <c r="F53" s="179"/>
      <c r="G53" s="179"/>
    </row>
    <row r="54" spans="2:9" x14ac:dyDescent="0.2">
      <c r="B54" s="180" t="s">
        <v>6</v>
      </c>
    </row>
    <row r="55" spans="2:9" ht="14.25" customHeight="1" x14ac:dyDescent="0.2">
      <c r="B55" s="245"/>
      <c r="C55" s="245"/>
      <c r="D55" s="245"/>
      <c r="E55" s="245"/>
      <c r="F55" s="245"/>
      <c r="G55" s="245"/>
      <c r="H55" s="245"/>
    </row>
    <row r="56" spans="2:9" x14ac:dyDescent="0.2">
      <c r="B56" s="246"/>
      <c r="C56" s="246"/>
      <c r="D56" s="246"/>
      <c r="E56" s="246"/>
      <c r="F56" s="246"/>
      <c r="G56" s="246"/>
      <c r="H56" s="246"/>
      <c r="I56" s="139"/>
    </row>
    <row r="57" spans="2:9" ht="27.75" customHeight="1" x14ac:dyDescent="0.2">
      <c r="B57" s="246"/>
      <c r="C57" s="246"/>
      <c r="D57" s="246"/>
      <c r="E57" s="246"/>
      <c r="F57" s="246"/>
      <c r="G57" s="246"/>
      <c r="H57" s="246"/>
    </row>
    <row r="60" spans="2:9" x14ac:dyDescent="0.2">
      <c r="B60" s="164" t="s">
        <v>85</v>
      </c>
      <c r="C60" s="137"/>
      <c r="D60" s="137"/>
      <c r="E60" s="137"/>
      <c r="F60" s="137"/>
      <c r="G60" s="137"/>
      <c r="H60" s="137"/>
    </row>
    <row r="61" spans="2:9" x14ac:dyDescent="0.2">
      <c r="B61" s="181"/>
    </row>
    <row r="62" spans="2:9" x14ac:dyDescent="0.2">
      <c r="B62" s="182"/>
      <c r="C62" s="183" t="s">
        <v>36</v>
      </c>
      <c r="D62" s="183" t="s">
        <v>37</v>
      </c>
      <c r="E62" s="183" t="s">
        <v>38</v>
      </c>
      <c r="F62" s="183" t="s">
        <v>40</v>
      </c>
      <c r="G62" s="183" t="s">
        <v>39</v>
      </c>
      <c r="H62" s="184" t="s">
        <v>1</v>
      </c>
    </row>
    <row r="63" spans="2:9" x14ac:dyDescent="0.2">
      <c r="C63" s="185"/>
      <c r="D63" s="185"/>
      <c r="E63" s="185"/>
      <c r="F63" s="185"/>
      <c r="G63" s="185"/>
      <c r="H63" s="185"/>
    </row>
    <row r="64" spans="2:9" x14ac:dyDescent="0.2">
      <c r="B64" s="182" t="s">
        <v>12</v>
      </c>
      <c r="C64" s="186">
        <f>'Forecast Revenue - Costs'!D14</f>
        <v>115</v>
      </c>
      <c r="D64" s="186">
        <f>'Forecast Revenue - Costs'!E14</f>
        <v>110.4</v>
      </c>
      <c r="E64" s="186">
        <f>'Forecast Revenue - Costs'!F14</f>
        <v>105.98399999999999</v>
      </c>
      <c r="F64" s="186">
        <f>'Forecast Revenue - Costs'!G14</f>
        <v>101.74463999999999</v>
      </c>
      <c r="G64" s="186">
        <f>'Forecast Revenue - Costs'!G14</f>
        <v>101.74463999999999</v>
      </c>
      <c r="H64" s="186">
        <f>SUM(C64:G64)</f>
        <v>534.87328000000002</v>
      </c>
    </row>
    <row r="65" spans="3:8" x14ac:dyDescent="0.2">
      <c r="C65" s="187"/>
      <c r="D65" s="187"/>
      <c r="E65" s="187"/>
      <c r="F65" s="187"/>
      <c r="G65" s="187"/>
      <c r="H65" s="188"/>
    </row>
  </sheetData>
  <mergeCells count="14">
    <mergeCell ref="B16:H22"/>
    <mergeCell ref="C9:D9"/>
    <mergeCell ref="C3:H3"/>
    <mergeCell ref="B15:H15"/>
    <mergeCell ref="B11:H11"/>
    <mergeCell ref="G7:G8"/>
    <mergeCell ref="H7:H8"/>
    <mergeCell ref="B7:B8"/>
    <mergeCell ref="B55:H57"/>
    <mergeCell ref="B26:H26"/>
    <mergeCell ref="B27:H27"/>
    <mergeCell ref="B28:H28"/>
    <mergeCell ref="B29:H29"/>
    <mergeCell ref="B31:H3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51" customWidth="1"/>
    <col min="3" max="3" width="10.140625" style="51" customWidth="1"/>
    <col min="4" max="9" width="13.140625" style="51" customWidth="1"/>
    <col min="10" max="11" width="9.140625" style="51"/>
    <col min="12" max="12" width="5.28515625" style="51" customWidth="1"/>
    <col min="13" max="13" width="2.42578125" style="1" customWidth="1"/>
    <col min="14" max="16384" width="9.140625" style="1"/>
  </cols>
  <sheetData>
    <row r="1" spans="2:14" ht="9" customHeight="1" x14ac:dyDescent="0.2"/>
    <row r="2" spans="2:14" ht="18" customHeight="1" x14ac:dyDescent="0.2">
      <c r="B2" s="48" t="s">
        <v>16</v>
      </c>
      <c r="C2" s="48"/>
      <c r="D2" s="48"/>
      <c r="E2" s="48"/>
      <c r="F2" s="48"/>
      <c r="G2" s="48"/>
      <c r="H2" s="48"/>
      <c r="I2" s="48"/>
      <c r="J2" s="48"/>
      <c r="K2" s="48"/>
    </row>
    <row r="3" spans="2:14" x14ac:dyDescent="0.2">
      <c r="B3" s="36" t="s">
        <v>0</v>
      </c>
      <c r="C3" s="49"/>
      <c r="D3" s="261" t="str">
        <f>'AER Summary'!C3</f>
        <v>Retailer requested Distributor Planned Interruption (Shared Fuse) - Initial Visit -  (NEW)</v>
      </c>
      <c r="E3" s="262"/>
      <c r="F3" s="262"/>
      <c r="G3" s="262"/>
      <c r="H3" s="262"/>
      <c r="I3" s="262"/>
      <c r="J3" s="262"/>
      <c r="K3" s="262"/>
      <c r="N3" s="34"/>
    </row>
    <row r="4" spans="2:14" x14ac:dyDescent="0.2">
      <c r="N4" s="34"/>
    </row>
    <row r="5" spans="2:14" x14ac:dyDescent="0.2">
      <c r="B5" s="263" t="s">
        <v>82</v>
      </c>
      <c r="C5" s="263"/>
      <c r="D5" s="263"/>
      <c r="E5" s="263"/>
      <c r="F5" s="263"/>
      <c r="G5" s="263"/>
      <c r="H5" s="263"/>
      <c r="I5" s="263"/>
      <c r="J5" s="263"/>
      <c r="K5" s="263"/>
      <c r="N5" s="34"/>
    </row>
    <row r="6" spans="2:14" ht="45" customHeight="1" x14ac:dyDescent="0.2">
      <c r="B6" s="264" t="s">
        <v>66</v>
      </c>
      <c r="C6" s="265"/>
      <c r="D6" s="265"/>
      <c r="E6" s="265"/>
      <c r="F6" s="265"/>
      <c r="G6" s="265"/>
      <c r="H6" s="265"/>
      <c r="I6" s="265"/>
      <c r="J6" s="265"/>
      <c r="K6" s="265"/>
      <c r="N6" s="34"/>
    </row>
    <row r="9" spans="2:14" x14ac:dyDescent="0.2">
      <c r="B9" s="263" t="s">
        <v>43</v>
      </c>
      <c r="C9" s="263"/>
      <c r="D9" s="263"/>
      <c r="E9" s="263"/>
      <c r="F9" s="263"/>
      <c r="G9" s="263"/>
      <c r="H9" s="263"/>
      <c r="I9" s="263"/>
      <c r="J9" s="263"/>
      <c r="K9" s="263"/>
    </row>
    <row r="10" spans="2:14" ht="15" customHeight="1" x14ac:dyDescent="0.2">
      <c r="B10" s="260" t="s">
        <v>67</v>
      </c>
      <c r="C10" s="260"/>
      <c r="D10" s="260"/>
      <c r="E10" s="260"/>
      <c r="F10" s="260"/>
      <c r="G10" s="260"/>
      <c r="H10" s="260"/>
      <c r="I10" s="260"/>
      <c r="J10" s="260"/>
      <c r="K10" s="260"/>
    </row>
    <row r="11" spans="2:14" ht="24.75" customHeight="1" x14ac:dyDescent="0.2">
      <c r="B11" s="266"/>
      <c r="C11" s="266"/>
      <c r="D11" s="266"/>
      <c r="E11" s="266"/>
      <c r="F11" s="266"/>
      <c r="G11" s="266"/>
      <c r="H11" s="266"/>
      <c r="I11" s="266"/>
      <c r="J11" s="266"/>
      <c r="K11" s="266"/>
      <c r="L11" s="53"/>
      <c r="M11" s="35"/>
      <c r="N11" s="35"/>
    </row>
    <row r="12" spans="2:14" x14ac:dyDescent="0.2">
      <c r="B12" s="266"/>
      <c r="C12" s="266"/>
      <c r="D12" s="266"/>
      <c r="E12" s="266"/>
      <c r="F12" s="266"/>
      <c r="G12" s="266"/>
      <c r="H12" s="266"/>
      <c r="I12" s="266"/>
      <c r="J12" s="266"/>
      <c r="K12" s="266"/>
      <c r="L12" s="53"/>
      <c r="M12" s="35"/>
      <c r="N12" s="35"/>
    </row>
    <row r="13" spans="2:14" x14ac:dyDescent="0.2">
      <c r="B13" s="266"/>
      <c r="C13" s="266"/>
      <c r="D13" s="266"/>
      <c r="E13" s="266"/>
      <c r="F13" s="266"/>
      <c r="G13" s="266"/>
      <c r="H13" s="266"/>
      <c r="I13" s="266"/>
      <c r="J13" s="266"/>
      <c r="K13" s="266"/>
      <c r="L13" s="53"/>
      <c r="M13" s="35"/>
      <c r="N13" s="35"/>
    </row>
    <row r="14" spans="2:14" ht="48" customHeight="1" x14ac:dyDescent="0.2">
      <c r="B14" s="266"/>
      <c r="C14" s="266"/>
      <c r="D14" s="266"/>
      <c r="E14" s="266"/>
      <c r="F14" s="266"/>
      <c r="G14" s="266"/>
      <c r="H14" s="266"/>
      <c r="I14" s="266"/>
      <c r="J14" s="266"/>
      <c r="K14" s="266"/>
      <c r="L14" s="53"/>
      <c r="M14" s="35"/>
      <c r="N14" s="35"/>
    </row>
    <row r="15" spans="2:14" x14ac:dyDescent="0.2">
      <c r="B15" s="266"/>
      <c r="C15" s="266"/>
      <c r="D15" s="266"/>
      <c r="E15" s="266"/>
      <c r="F15" s="266"/>
      <c r="G15" s="266"/>
      <c r="H15" s="266"/>
      <c r="I15" s="266"/>
      <c r="J15" s="266"/>
      <c r="K15" s="266"/>
      <c r="L15" s="53"/>
      <c r="M15" s="35"/>
      <c r="N15" s="35"/>
    </row>
    <row r="16" spans="2:14" x14ac:dyDescent="0.2">
      <c r="B16" s="266"/>
      <c r="C16" s="266"/>
      <c r="D16" s="266"/>
      <c r="E16" s="266"/>
      <c r="F16" s="266"/>
      <c r="G16" s="266"/>
      <c r="H16" s="266"/>
      <c r="I16" s="266"/>
      <c r="J16" s="266"/>
      <c r="K16" s="266"/>
      <c r="L16" s="53"/>
      <c r="M16" s="35"/>
      <c r="N16" s="35"/>
    </row>
    <row r="17" spans="2:14" x14ac:dyDescent="0.2">
      <c r="L17" s="53"/>
      <c r="M17" s="35"/>
      <c r="N17" s="35"/>
    </row>
    <row r="18" spans="2:14" x14ac:dyDescent="0.2">
      <c r="L18" s="53"/>
      <c r="M18" s="35"/>
      <c r="N18" s="35"/>
    </row>
    <row r="19" spans="2:14" x14ac:dyDescent="0.2">
      <c r="B19" s="263" t="s">
        <v>44</v>
      </c>
      <c r="C19" s="263"/>
      <c r="D19" s="263"/>
      <c r="E19" s="263"/>
      <c r="F19" s="263"/>
      <c r="G19" s="263"/>
      <c r="H19" s="263"/>
      <c r="I19" s="263"/>
      <c r="J19" s="263"/>
      <c r="K19" s="263"/>
      <c r="L19" s="53"/>
      <c r="M19" s="35"/>
      <c r="N19" s="35"/>
    </row>
    <row r="20" spans="2:14" ht="120" customHeight="1" x14ac:dyDescent="0.2">
      <c r="B20" s="260" t="str">
        <f>'AER Summary'!B11:H11</f>
        <v xml:space="preserve">
Retailer requested Distributor Planned Interruption (Shared Fuse) - Initial Visit
Retailer requested Essential Energy notification of customers configured on shared fuse arrangements (non-retailer customers), to facilitate the replacement of retailer owned metering equipment.
Initial site visit by Essential Energy staff to determine customers impacted by shared fuse isolation.
*Essential Energy will impose an overtime fee for services provided outside the hrs of 7:30am - 4:00pm Mon - Fri (ordinary hrs).</v>
      </c>
      <c r="C20" s="260"/>
      <c r="D20" s="260"/>
      <c r="E20" s="260"/>
      <c r="F20" s="260"/>
      <c r="G20" s="260"/>
      <c r="H20" s="260"/>
      <c r="I20" s="260"/>
      <c r="J20" s="260"/>
      <c r="K20" s="260"/>
    </row>
    <row r="21" spans="2:14" x14ac:dyDescent="0.2">
      <c r="B21" s="259"/>
      <c r="C21" s="259"/>
      <c r="D21" s="259"/>
      <c r="E21" s="259"/>
      <c r="F21" s="259"/>
      <c r="G21" s="259"/>
      <c r="H21" s="259"/>
      <c r="I21" s="259"/>
      <c r="J21" s="259"/>
      <c r="K21" s="25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8" sqref="I8"/>
    </sheetView>
  </sheetViews>
  <sheetFormatPr defaultRowHeight="12.75" x14ac:dyDescent="0.2"/>
  <cols>
    <col min="1" max="1" width="3.5703125" style="54" customWidth="1"/>
    <col min="2" max="2" width="58.7109375" style="54" customWidth="1"/>
    <col min="3" max="3" width="65.140625" style="54" customWidth="1"/>
    <col min="4" max="4" width="12.85546875" style="54" customWidth="1"/>
    <col min="5" max="8" width="11.28515625" style="54" customWidth="1"/>
    <col min="9" max="9" width="12.7109375" style="54" customWidth="1"/>
    <col min="10" max="16384" width="9.140625" style="54"/>
  </cols>
  <sheetData>
    <row r="2" spans="1:9" x14ac:dyDescent="0.2">
      <c r="B2" s="50" t="s">
        <v>86</v>
      </c>
      <c r="C2" s="31"/>
      <c r="D2" s="31"/>
      <c r="E2" s="31"/>
      <c r="F2" s="31"/>
      <c r="G2" s="31"/>
      <c r="H2" s="31"/>
      <c r="I2" s="31"/>
    </row>
    <row r="3" spans="1:9" x14ac:dyDescent="0.2">
      <c r="B3" s="20" t="s">
        <v>20</v>
      </c>
      <c r="C3" s="20" t="s">
        <v>3</v>
      </c>
      <c r="D3" s="70" t="s">
        <v>57</v>
      </c>
      <c r="E3" s="70" t="s">
        <v>56</v>
      </c>
      <c r="F3" s="70" t="s">
        <v>55</v>
      </c>
      <c r="G3" s="133" t="s">
        <v>93</v>
      </c>
      <c r="H3" s="133" t="s">
        <v>94</v>
      </c>
      <c r="I3" s="21" t="s">
        <v>1</v>
      </c>
    </row>
    <row r="4" spans="1:9" x14ac:dyDescent="0.2">
      <c r="B4" s="4" t="s">
        <v>21</v>
      </c>
      <c r="C4" s="4"/>
      <c r="D4" s="102"/>
      <c r="E4" s="102"/>
      <c r="F4" s="102"/>
      <c r="G4" s="102"/>
      <c r="H4" s="102"/>
      <c r="I4" s="191">
        <f>SUM(D4:H4)</f>
        <v>0</v>
      </c>
    </row>
    <row r="5" spans="1:9" x14ac:dyDescent="0.2">
      <c r="B5" s="4" t="s">
        <v>23</v>
      </c>
      <c r="C5" s="10"/>
      <c r="D5" s="102"/>
      <c r="E5" s="102"/>
      <c r="F5" s="102"/>
      <c r="G5" s="102"/>
      <c r="H5" s="102"/>
      <c r="I5" s="191">
        <f t="shared" ref="I5:I8" si="0">SUM(D5:H5)</f>
        <v>0</v>
      </c>
    </row>
    <row r="6" spans="1:9" x14ac:dyDescent="0.2">
      <c r="B6" s="4" t="s">
        <v>24</v>
      </c>
      <c r="C6" s="4"/>
      <c r="D6" s="102">
        <v>0</v>
      </c>
      <c r="E6" s="102">
        <v>0</v>
      </c>
      <c r="F6" s="102">
        <v>0</v>
      </c>
      <c r="G6" s="102">
        <v>0</v>
      </c>
      <c r="H6" s="102">
        <v>0</v>
      </c>
      <c r="I6" s="191">
        <f t="shared" si="0"/>
        <v>0</v>
      </c>
    </row>
    <row r="7" spans="1:9" x14ac:dyDescent="0.2">
      <c r="B7" s="4" t="s">
        <v>25</v>
      </c>
      <c r="C7" s="4"/>
      <c r="D7" s="102"/>
      <c r="E7" s="102"/>
      <c r="F7" s="102"/>
      <c r="G7" s="102"/>
      <c r="H7" s="102"/>
      <c r="I7" s="191">
        <f t="shared" si="0"/>
        <v>0</v>
      </c>
    </row>
    <row r="8" spans="1:9" x14ac:dyDescent="0.2">
      <c r="B8" s="4" t="s">
        <v>22</v>
      </c>
      <c r="C8" s="4"/>
      <c r="D8" s="102"/>
      <c r="E8" s="102"/>
      <c r="F8" s="102"/>
      <c r="G8" s="102"/>
      <c r="H8" s="102"/>
      <c r="I8" s="191">
        <f t="shared" si="0"/>
        <v>0</v>
      </c>
    </row>
    <row r="9" spans="1:9" x14ac:dyDescent="0.2">
      <c r="B9" s="62" t="s">
        <v>1</v>
      </c>
      <c r="C9" s="22"/>
      <c r="D9" s="23">
        <f t="shared" ref="D9:I9" si="1">SUM(D4:D8)</f>
        <v>0</v>
      </c>
      <c r="E9" s="23">
        <f t="shared" si="1"/>
        <v>0</v>
      </c>
      <c r="F9" s="23">
        <f t="shared" si="1"/>
        <v>0</v>
      </c>
      <c r="G9" s="23">
        <f t="shared" ref="G9:H9" si="2">SUM(G4:G8)</f>
        <v>0</v>
      </c>
      <c r="H9" s="23">
        <f t="shared" si="2"/>
        <v>0</v>
      </c>
      <c r="I9" s="24">
        <f t="shared" si="1"/>
        <v>0</v>
      </c>
    </row>
    <row r="10" spans="1:9" x14ac:dyDescent="0.2">
      <c r="B10" s="58"/>
      <c r="C10" s="59"/>
      <c r="D10" s="60"/>
      <c r="E10" s="60"/>
      <c r="F10" s="60"/>
      <c r="G10" s="60"/>
      <c r="H10" s="60"/>
      <c r="I10" s="60"/>
    </row>
    <row r="11" spans="1:9" x14ac:dyDescent="0.2">
      <c r="B11" s="61" t="s">
        <v>10</v>
      </c>
      <c r="C11" s="27"/>
      <c r="D11" s="27"/>
      <c r="E11" s="27"/>
      <c r="F11" s="27"/>
      <c r="G11" s="27"/>
      <c r="H11" s="27"/>
      <c r="I11" s="27"/>
    </row>
    <row r="12" spans="1:9" x14ac:dyDescent="0.2">
      <c r="B12" s="63" t="s">
        <v>4</v>
      </c>
      <c r="C12" s="9" t="s">
        <v>9</v>
      </c>
      <c r="D12" s="71" t="s">
        <v>57</v>
      </c>
      <c r="E12" s="71" t="s">
        <v>56</v>
      </c>
      <c r="F12" s="71" t="s">
        <v>55</v>
      </c>
      <c r="G12" s="134" t="s">
        <v>93</v>
      </c>
      <c r="H12" s="134" t="s">
        <v>94</v>
      </c>
      <c r="I12" s="3" t="s">
        <v>1</v>
      </c>
    </row>
    <row r="13" spans="1:9" x14ac:dyDescent="0.2">
      <c r="B13" s="4" t="s">
        <v>19</v>
      </c>
      <c r="C13" s="10"/>
      <c r="D13" s="103"/>
      <c r="E13" s="103"/>
      <c r="F13" s="103"/>
      <c r="G13" s="103"/>
      <c r="H13" s="103"/>
      <c r="I13" s="192">
        <f>SUM(D13:H13)</f>
        <v>0</v>
      </c>
    </row>
    <row r="14" spans="1:9" x14ac:dyDescent="0.2">
      <c r="B14" s="10"/>
      <c r="C14" s="12"/>
      <c r="D14" s="11"/>
      <c r="E14" s="11"/>
      <c r="F14" s="11"/>
      <c r="G14" s="11"/>
      <c r="H14" s="11"/>
      <c r="I14" s="193">
        <f>SUM(D14:H14)</f>
        <v>0</v>
      </c>
    </row>
    <row r="15" spans="1:9" x14ac:dyDescent="0.2">
      <c r="A15" s="64"/>
      <c r="B15" s="65" t="s">
        <v>52</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64"/>
      <c r="B17" s="15" t="s">
        <v>6</v>
      </c>
      <c r="C17" s="1"/>
      <c r="D17" s="14"/>
      <c r="E17" s="14"/>
      <c r="F17" s="14"/>
      <c r="G17" s="14"/>
      <c r="H17" s="14"/>
      <c r="I17" s="14"/>
    </row>
    <row r="18" spans="1:9" x14ac:dyDescent="0.2">
      <c r="B18" s="267" t="s">
        <v>92</v>
      </c>
      <c r="C18" s="268"/>
      <c r="D18" s="268"/>
      <c r="E18" s="268"/>
      <c r="F18" s="268"/>
      <c r="G18" s="268"/>
      <c r="H18" s="268"/>
      <c r="I18" s="268"/>
    </row>
    <row r="19" spans="1:9" x14ac:dyDescent="0.2">
      <c r="B19" s="269"/>
      <c r="C19" s="270"/>
      <c r="D19" s="270"/>
      <c r="E19" s="270"/>
      <c r="F19" s="270"/>
      <c r="G19" s="270"/>
      <c r="H19" s="270"/>
      <c r="I19" s="270"/>
    </row>
    <row r="20" spans="1:9" x14ac:dyDescent="0.2">
      <c r="B20" s="66"/>
      <c r="C20" s="33"/>
      <c r="D20" s="33"/>
      <c r="E20" s="33"/>
      <c r="F20" s="33"/>
      <c r="G20" s="132"/>
      <c r="H20" s="132"/>
      <c r="I20" s="33"/>
    </row>
    <row r="21" spans="1:9" x14ac:dyDescent="0.2">
      <c r="B21" s="1"/>
      <c r="C21" s="1"/>
      <c r="D21" s="14"/>
      <c r="E21" s="14"/>
      <c r="F21" s="14"/>
      <c r="G21" s="14"/>
      <c r="H21" s="14"/>
      <c r="I21" s="14"/>
    </row>
    <row r="22" spans="1:9" x14ac:dyDescent="0.2">
      <c r="B22" s="61" t="s">
        <v>89</v>
      </c>
      <c r="C22" s="27"/>
      <c r="D22" s="27"/>
      <c r="E22" s="27"/>
      <c r="F22" s="27"/>
      <c r="G22" s="27"/>
      <c r="H22" s="27"/>
      <c r="I22" s="27"/>
    </row>
    <row r="23" spans="1:9" x14ac:dyDescent="0.2">
      <c r="B23" s="1"/>
      <c r="C23" s="1"/>
      <c r="D23" s="1"/>
      <c r="E23" s="1"/>
      <c r="F23" s="1"/>
      <c r="G23" s="1"/>
      <c r="H23" s="1"/>
      <c r="I23" s="1"/>
    </row>
    <row r="24" spans="1:9" x14ac:dyDescent="0.2">
      <c r="B24" s="67" t="s">
        <v>11</v>
      </c>
      <c r="C24" s="17"/>
      <c r="D24" s="17"/>
      <c r="E24" s="17"/>
      <c r="F24" s="17"/>
      <c r="G24" s="17"/>
      <c r="H24" s="17"/>
      <c r="I24" s="17"/>
    </row>
    <row r="25" spans="1:9" x14ac:dyDescent="0.2">
      <c r="B25" s="271"/>
      <c r="C25" s="272"/>
      <c r="D25" s="272"/>
      <c r="E25" s="272"/>
      <c r="F25" s="272"/>
      <c r="G25" s="272"/>
      <c r="H25" s="272"/>
      <c r="I25" s="272"/>
    </row>
    <row r="26" spans="1:9" x14ac:dyDescent="0.2">
      <c r="B26" s="273"/>
      <c r="C26" s="274"/>
      <c r="D26" s="274"/>
      <c r="E26" s="274"/>
      <c r="F26" s="274"/>
      <c r="G26" s="274"/>
      <c r="H26" s="274"/>
      <c r="I26" s="274"/>
    </row>
    <row r="27" spans="1:9" x14ac:dyDescent="0.2">
      <c r="B27" s="68"/>
      <c r="C27" s="19"/>
      <c r="D27" s="19"/>
      <c r="E27" s="19"/>
      <c r="F27" s="19"/>
      <c r="G27" s="19"/>
      <c r="H27" s="19"/>
      <c r="I27" s="19"/>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4" sqref="B34"/>
    </sheetView>
  </sheetViews>
  <sheetFormatPr defaultRowHeight="12.75" x14ac:dyDescent="0.2"/>
  <cols>
    <col min="1" max="1" width="3.140625" style="54" customWidth="1"/>
    <col min="2" max="2" width="65.42578125" style="54" customWidth="1"/>
    <col min="3" max="3" width="65.140625" style="54" customWidth="1"/>
    <col min="4" max="4" width="12.85546875" style="54" customWidth="1"/>
    <col min="5" max="8" width="11.28515625" style="54" customWidth="1"/>
    <col min="9" max="9" width="12.7109375" style="54" customWidth="1"/>
    <col min="10" max="16384" width="9.140625" style="54"/>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104" t="s">
        <v>87</v>
      </c>
      <c r="C5" s="104" t="s">
        <v>9</v>
      </c>
      <c r="D5" s="106" t="s">
        <v>57</v>
      </c>
      <c r="E5" s="106" t="s">
        <v>56</v>
      </c>
      <c r="F5" s="106" t="s">
        <v>55</v>
      </c>
      <c r="G5" s="135" t="s">
        <v>93</v>
      </c>
      <c r="H5" s="135" t="s">
        <v>94</v>
      </c>
      <c r="I5" s="107" t="s">
        <v>1</v>
      </c>
    </row>
    <row r="6" spans="2:9" ht="12.75" customHeight="1" x14ac:dyDescent="0.2">
      <c r="B6" s="108" t="s">
        <v>65</v>
      </c>
      <c r="C6" s="30"/>
      <c r="D6" s="29"/>
      <c r="E6" s="29"/>
      <c r="F6" s="29"/>
      <c r="G6" s="29"/>
      <c r="H6" s="29"/>
      <c r="I6" s="191">
        <f>SUM(D6:H6)</f>
        <v>0</v>
      </c>
    </row>
    <row r="7" spans="2:9" x14ac:dyDescent="0.2">
      <c r="B7" s="5"/>
      <c r="C7" s="28"/>
      <c r="D7" s="29"/>
      <c r="E7" s="29"/>
      <c r="F7" s="29"/>
      <c r="G7" s="29"/>
      <c r="H7" s="29"/>
      <c r="I7" s="191">
        <f t="shared" ref="I7:I9" si="0">SUM(D7:H7)</f>
        <v>0</v>
      </c>
    </row>
    <row r="8" spans="2:9" x14ac:dyDescent="0.2">
      <c r="B8" s="5"/>
      <c r="C8" s="28"/>
      <c r="D8" s="29"/>
      <c r="E8" s="29"/>
      <c r="F8" s="29"/>
      <c r="G8" s="29"/>
      <c r="H8" s="29"/>
      <c r="I8" s="191">
        <f t="shared" si="0"/>
        <v>0</v>
      </c>
    </row>
    <row r="9" spans="2:9" x14ac:dyDescent="0.2">
      <c r="B9" s="5"/>
      <c r="C9" s="28"/>
      <c r="D9" s="29"/>
      <c r="E9" s="29"/>
      <c r="F9" s="29"/>
      <c r="G9" s="29"/>
      <c r="H9" s="29"/>
      <c r="I9" s="191">
        <f t="shared" si="0"/>
        <v>0</v>
      </c>
    </row>
    <row r="10" spans="2:9" x14ac:dyDescent="0.2">
      <c r="B10" s="6" t="s">
        <v>1</v>
      </c>
      <c r="C10" s="7"/>
      <c r="D10" s="8">
        <f t="shared" ref="D10:I10" si="1">SUM(D6:D9)</f>
        <v>0</v>
      </c>
      <c r="E10" s="8">
        <f t="shared" si="1"/>
        <v>0</v>
      </c>
      <c r="F10" s="8">
        <f t="shared" si="1"/>
        <v>0</v>
      </c>
      <c r="G10" s="8">
        <f t="shared" ref="G10:H10" si="2">SUM(G6:G9)</f>
        <v>0</v>
      </c>
      <c r="H10" s="8">
        <f t="shared" si="2"/>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104" t="s">
        <v>4</v>
      </c>
      <c r="C13" s="105" t="s">
        <v>9</v>
      </c>
      <c r="D13" s="106" t="s">
        <v>57</v>
      </c>
      <c r="E13" s="106" t="s">
        <v>56</v>
      </c>
      <c r="F13" s="106" t="s">
        <v>55</v>
      </c>
      <c r="G13" s="135" t="s">
        <v>93</v>
      </c>
      <c r="H13" s="135" t="s">
        <v>94</v>
      </c>
      <c r="I13" s="107" t="s">
        <v>1</v>
      </c>
    </row>
    <row r="14" spans="2:9" x14ac:dyDescent="0.2">
      <c r="B14" s="10" t="s">
        <v>19</v>
      </c>
      <c r="C14" s="10"/>
      <c r="D14" s="103"/>
      <c r="E14" s="103"/>
      <c r="F14" s="103"/>
      <c r="G14" s="103"/>
      <c r="H14" s="103"/>
      <c r="I14" s="192">
        <f>SUM(D14:H14)</f>
        <v>0</v>
      </c>
    </row>
    <row r="15" spans="2:9" x14ac:dyDescent="0.2">
      <c r="B15" s="10"/>
      <c r="C15" s="12"/>
      <c r="D15" s="103"/>
      <c r="E15" s="103"/>
      <c r="F15" s="103"/>
      <c r="G15" s="103"/>
      <c r="H15" s="103"/>
      <c r="I15" s="192">
        <f t="shared" ref="I15:I16" si="3">SUM(D15:H15)</f>
        <v>0</v>
      </c>
    </row>
    <row r="16" spans="2:9" x14ac:dyDescent="0.2">
      <c r="B16" s="10"/>
      <c r="C16" s="10"/>
      <c r="D16" s="11"/>
      <c r="E16" s="11"/>
      <c r="F16" s="11"/>
      <c r="G16" s="11"/>
      <c r="H16" s="11"/>
      <c r="I16" s="193">
        <f t="shared" si="3"/>
        <v>0</v>
      </c>
    </row>
    <row r="17" spans="2:9" x14ac:dyDescent="0.2">
      <c r="B17" s="32" t="s">
        <v>17</v>
      </c>
      <c r="C17" s="7"/>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68" t="s">
        <v>91</v>
      </c>
      <c r="C20" s="268"/>
      <c r="D20" s="268"/>
      <c r="E20" s="268"/>
      <c r="F20" s="268"/>
      <c r="G20" s="268"/>
      <c r="H20" s="268"/>
      <c r="I20" s="268"/>
    </row>
    <row r="21" spans="2:9" x14ac:dyDescent="0.2">
      <c r="B21" s="270"/>
      <c r="C21" s="270"/>
      <c r="D21" s="270"/>
      <c r="E21" s="270"/>
      <c r="F21" s="270"/>
      <c r="G21" s="270"/>
      <c r="H21" s="270"/>
      <c r="I21" s="270"/>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272"/>
      <c r="C25" s="272"/>
      <c r="D25" s="272"/>
      <c r="E25" s="272"/>
      <c r="F25" s="272"/>
      <c r="G25" s="272"/>
      <c r="H25" s="272"/>
      <c r="I25" s="272"/>
    </row>
    <row r="26" spans="2:9" x14ac:dyDescent="0.2">
      <c r="B26" s="274"/>
      <c r="C26" s="274"/>
      <c r="D26" s="274"/>
      <c r="E26" s="274"/>
      <c r="F26" s="274"/>
      <c r="G26" s="274"/>
      <c r="H26" s="274"/>
      <c r="I26" s="274"/>
    </row>
    <row r="27" spans="2:9" x14ac:dyDescent="0.2">
      <c r="B27" s="18"/>
      <c r="C27" s="19"/>
      <c r="D27" s="19"/>
      <c r="E27" s="19"/>
      <c r="F27" s="19"/>
      <c r="G27" s="19"/>
      <c r="H27" s="19"/>
      <c r="I27" s="19"/>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5"/>
  <sheetViews>
    <sheetView showGridLines="0" zoomScale="90" zoomScaleNormal="90" workbookViewId="0">
      <selection activeCell="H7" sqref="H7"/>
    </sheetView>
  </sheetViews>
  <sheetFormatPr defaultRowHeight="12.75" x14ac:dyDescent="0.2"/>
  <cols>
    <col min="1" max="1" width="2.28515625" style="1" customWidth="1"/>
    <col min="2" max="2" width="95.140625" style="1" customWidth="1"/>
    <col min="3" max="3" width="15.140625" style="84" bestFit="1" customWidth="1"/>
    <col min="4" max="4" width="9.140625" style="95"/>
    <col min="5" max="5" width="9.140625" style="81"/>
    <col min="6" max="14" width="9.140625" style="91"/>
    <col min="15" max="15" width="9.140625" style="1"/>
    <col min="16" max="17" width="9.140625" style="46"/>
    <col min="18" max="18" width="2.85546875" style="1" customWidth="1"/>
    <col min="19" max="19" width="3.28515625" style="1" customWidth="1"/>
    <col min="20" max="16384" width="9.140625" style="1"/>
  </cols>
  <sheetData>
    <row r="2" spans="1:18" x14ac:dyDescent="0.2">
      <c r="B2" s="194" t="s">
        <v>53</v>
      </c>
      <c r="C2" s="195"/>
      <c r="D2" s="195"/>
      <c r="E2" s="195"/>
      <c r="F2" s="195"/>
      <c r="G2" s="195"/>
      <c r="H2" s="278" t="s">
        <v>100</v>
      </c>
      <c r="I2" s="278"/>
      <c r="J2" s="278"/>
      <c r="K2" s="278"/>
      <c r="L2" s="278"/>
      <c r="M2" s="278"/>
      <c r="N2" s="278"/>
      <c r="O2" s="278"/>
      <c r="P2" s="278"/>
      <c r="Q2" s="278"/>
    </row>
    <row r="3" spans="1:18" ht="15.75" x14ac:dyDescent="0.25">
      <c r="B3" s="69" t="s">
        <v>63</v>
      </c>
      <c r="C3" s="52"/>
      <c r="D3" s="92"/>
      <c r="E3" s="76"/>
      <c r="F3" s="85"/>
      <c r="G3" s="85"/>
      <c r="H3" s="279" t="s">
        <v>101</v>
      </c>
      <c r="I3" s="279"/>
      <c r="J3" s="279"/>
      <c r="K3" s="279"/>
      <c r="L3" s="279"/>
      <c r="M3" s="279"/>
      <c r="N3" s="279"/>
      <c r="O3" s="279"/>
      <c r="P3" s="279"/>
      <c r="Q3" s="279"/>
    </row>
    <row r="4" spans="1:18" s="35" customFormat="1" ht="3" customHeight="1" x14ac:dyDescent="0.2">
      <c r="B4" s="37"/>
      <c r="C4" s="82"/>
      <c r="D4" s="93"/>
      <c r="E4" s="77"/>
      <c r="F4" s="86"/>
      <c r="G4" s="86"/>
      <c r="H4" s="86"/>
      <c r="I4" s="86"/>
      <c r="J4" s="86"/>
      <c r="K4" s="86"/>
      <c r="L4" s="86"/>
      <c r="M4" s="86"/>
      <c r="N4" s="86"/>
      <c r="O4" s="37"/>
      <c r="P4" s="37"/>
      <c r="Q4" s="37"/>
    </row>
    <row r="5" spans="1:18" ht="76.5" x14ac:dyDescent="0.2">
      <c r="B5" s="38" t="s">
        <v>18</v>
      </c>
      <c r="C5" s="38" t="s">
        <v>31</v>
      </c>
      <c r="D5" s="196" t="s">
        <v>62</v>
      </c>
      <c r="E5" s="197" t="s">
        <v>33</v>
      </c>
      <c r="F5" s="196" t="s">
        <v>32</v>
      </c>
      <c r="G5" s="196" t="s">
        <v>102</v>
      </c>
      <c r="H5" s="196" t="s">
        <v>103</v>
      </c>
      <c r="I5" s="196" t="s">
        <v>104</v>
      </c>
      <c r="J5" s="196" t="s">
        <v>105</v>
      </c>
      <c r="K5" s="198" t="s">
        <v>106</v>
      </c>
      <c r="L5" s="198" t="s">
        <v>107</v>
      </c>
      <c r="M5" s="196" t="s">
        <v>108</v>
      </c>
      <c r="N5" s="196" t="s">
        <v>109</v>
      </c>
      <c r="O5" s="196" t="s">
        <v>110</v>
      </c>
      <c r="P5" s="196" t="s">
        <v>111</v>
      </c>
      <c r="Q5" s="196" t="s">
        <v>112</v>
      </c>
      <c r="R5" s="55"/>
    </row>
    <row r="6" spans="1:18" ht="16.5" customHeight="1" x14ac:dyDescent="0.2">
      <c r="B6" s="204" t="s">
        <v>69</v>
      </c>
      <c r="C6" s="204"/>
      <c r="D6" s="204"/>
      <c r="E6" s="204"/>
      <c r="F6" s="204"/>
      <c r="G6" s="206"/>
      <c r="H6" s="206"/>
      <c r="I6" s="206"/>
      <c r="J6" s="206"/>
      <c r="K6" s="206"/>
      <c r="L6" s="206"/>
      <c r="M6" s="206"/>
      <c r="N6" s="206"/>
      <c r="O6" s="206"/>
      <c r="P6" s="206"/>
      <c r="Q6" s="189"/>
      <c r="R6" s="25"/>
    </row>
    <row r="7" spans="1:18" x14ac:dyDescent="0.2">
      <c r="B7" s="199" t="s">
        <v>74</v>
      </c>
      <c r="C7" s="200" t="s">
        <v>84</v>
      </c>
      <c r="D7" s="201">
        <v>0.25</v>
      </c>
      <c r="E7" s="202">
        <v>1</v>
      </c>
      <c r="F7" s="203">
        <f>E7*D7</f>
        <v>0.25</v>
      </c>
      <c r="G7" s="207">
        <v>0</v>
      </c>
      <c r="H7" s="208">
        <f>IF(G7=0,VLOOKUP(C:C,[1]Inputs!$B$20:$H$25,7,FALSE)*F7,VLOOKUP(C:C,[1]Inputs!$B$20:$I$25,8,FALSE)*F7)</f>
        <v>18.43537075443</v>
      </c>
      <c r="I7" s="208">
        <f>VLOOKUP(C:C,[1]Inputs!$C$54:$G$59,5,FALSE)*F7</f>
        <v>0</v>
      </c>
      <c r="J7" s="208"/>
      <c r="K7" s="208"/>
      <c r="L7" s="208"/>
      <c r="M7" s="208">
        <f>SUM(H7:J7)</f>
        <v>18.43537075443</v>
      </c>
      <c r="N7" s="208">
        <f>[1]Inputs!$M$43*M7</f>
        <v>8.5895298276667482</v>
      </c>
      <c r="O7" s="208">
        <f>[1]Inputs!$M$48*M7</f>
        <v>2.9566202423750805</v>
      </c>
      <c r="P7" s="208">
        <f>[1]Inputs!$H$13*SUM(M7:O7)</f>
        <v>1.9014280506880035</v>
      </c>
      <c r="Q7" s="208">
        <f t="shared" ref="Q7" si="0">SUM(M7:P7)</f>
        <v>31.882948875159833</v>
      </c>
    </row>
    <row r="8" spans="1:18" x14ac:dyDescent="0.2">
      <c r="B8" s="73" t="s">
        <v>75</v>
      </c>
      <c r="C8" s="72" t="s">
        <v>84</v>
      </c>
      <c r="D8" s="87">
        <v>0.1</v>
      </c>
      <c r="E8" s="78">
        <v>1</v>
      </c>
      <c r="F8" s="96">
        <f t="shared" ref="F8:F13" si="1">E8*D8</f>
        <v>0.1</v>
      </c>
      <c r="G8" s="207">
        <v>0</v>
      </c>
      <c r="H8" s="208">
        <f>IF(G8=0,VLOOKUP(C:C,[1]Inputs!$B$20:$H$25,7,FALSE)*F8,VLOOKUP(C:C,[1]Inputs!$B$20:$I$25,8,FALSE)*F8)</f>
        <v>7.3741483017720002</v>
      </c>
      <c r="I8" s="208">
        <f>VLOOKUP(C:C,[1]Inputs!$C$54:$G$59,5,FALSE)*F8</f>
        <v>0</v>
      </c>
      <c r="J8" s="208"/>
      <c r="K8" s="208"/>
      <c r="L8" s="208"/>
      <c r="M8" s="208">
        <f t="shared" ref="M8:M13" si="2">SUM(H8:J8)</f>
        <v>7.3741483017720002</v>
      </c>
      <c r="N8" s="208">
        <f>[1]Inputs!$M$43*M8</f>
        <v>3.4358119310666995</v>
      </c>
      <c r="O8" s="208">
        <f>[1]Inputs!$M$48*M8</f>
        <v>1.1826480969500324</v>
      </c>
      <c r="P8" s="208">
        <f>[1]Inputs!$H$13*SUM(M8:O8)</f>
        <v>0.76057122027520141</v>
      </c>
      <c r="Q8" s="208">
        <f t="shared" ref="Q8:Q13" si="3">SUM(M8:P8)</f>
        <v>12.753179550063933</v>
      </c>
      <c r="R8" s="55"/>
    </row>
    <row r="9" spans="1:18" x14ac:dyDescent="0.2">
      <c r="A9" s="56"/>
      <c r="B9" s="74" t="s">
        <v>76</v>
      </c>
      <c r="C9" s="72" t="s">
        <v>68</v>
      </c>
      <c r="D9" s="88">
        <v>0.25</v>
      </c>
      <c r="E9" s="78">
        <v>1</v>
      </c>
      <c r="F9" s="96">
        <f t="shared" si="1"/>
        <v>0.25</v>
      </c>
      <c r="G9" s="207">
        <v>0</v>
      </c>
      <c r="H9" s="208">
        <f>IF(G9=0,VLOOKUP(C:C,[1]Inputs!$B$20:$H$25,7,FALSE)*F9,VLOOKUP(C:C,[1]Inputs!$B$20:$I$25,8,FALSE)*F9)</f>
        <v>19.959586617416253</v>
      </c>
      <c r="I9" s="208">
        <f>VLOOKUP(C:C,[1]Inputs!$C$54:$G$59,5,FALSE)*F9</f>
        <v>4.9331090720865793</v>
      </c>
      <c r="J9" s="208"/>
      <c r="K9" s="208"/>
      <c r="L9" s="208"/>
      <c r="M9" s="208">
        <f t="shared" si="2"/>
        <v>24.892695689502833</v>
      </c>
      <c r="N9" s="208">
        <f>[1]Inputs!$M$43*M9</f>
        <v>11.598169354127917</v>
      </c>
      <c r="O9" s="208">
        <f>[1]Inputs!$M$48*M9</f>
        <v>3.992230421792923</v>
      </c>
      <c r="P9" s="208">
        <f>[1]Inputs!$H$13*SUM(M9:O9)</f>
        <v>2.5674379144171695</v>
      </c>
      <c r="Q9" s="208">
        <f t="shared" si="3"/>
        <v>43.050533379840843</v>
      </c>
      <c r="R9" s="55"/>
    </row>
    <row r="10" spans="1:18" x14ac:dyDescent="0.2">
      <c r="B10" s="75" t="s">
        <v>71</v>
      </c>
      <c r="C10" s="98" t="s">
        <v>68</v>
      </c>
      <c r="D10" s="99">
        <v>1</v>
      </c>
      <c r="E10" s="100">
        <v>1</v>
      </c>
      <c r="F10" s="101">
        <f t="shared" si="1"/>
        <v>1</v>
      </c>
      <c r="G10" s="207">
        <v>0</v>
      </c>
      <c r="H10" s="208">
        <f>IF(G10=0,VLOOKUP(C:C,[1]Inputs!$B$20:$H$25,7,FALSE)*F10,VLOOKUP(C:C,[1]Inputs!$B$20:$I$25,8,FALSE)*F10)</f>
        <v>79.838346469665012</v>
      </c>
      <c r="I10" s="208">
        <f>VLOOKUP(C:C,[1]Inputs!$C$54:$G$59,5,FALSE)*F10</f>
        <v>19.732436288346317</v>
      </c>
      <c r="J10" s="208"/>
      <c r="K10" s="208"/>
      <c r="L10" s="208"/>
      <c r="M10" s="208">
        <f t="shared" si="2"/>
        <v>99.570782758011333</v>
      </c>
      <c r="N10" s="208">
        <f>[1]Inputs!$M$43*M10</f>
        <v>46.392677416511667</v>
      </c>
      <c r="O10" s="208">
        <f>[1]Inputs!$M$48*M10</f>
        <v>15.968921687171692</v>
      </c>
      <c r="P10" s="208">
        <f>[1]Inputs!$H$13*SUM(M10:O10)</f>
        <v>10.269751657668678</v>
      </c>
      <c r="Q10" s="208">
        <f t="shared" si="3"/>
        <v>172.20213351936337</v>
      </c>
    </row>
    <row r="11" spans="1:18" x14ac:dyDescent="0.2">
      <c r="B11" s="73" t="s">
        <v>83</v>
      </c>
      <c r="C11" s="72" t="s">
        <v>68</v>
      </c>
      <c r="D11" s="89">
        <v>1</v>
      </c>
      <c r="E11" s="78">
        <v>1</v>
      </c>
      <c r="F11" s="96">
        <f t="shared" si="1"/>
        <v>1</v>
      </c>
      <c r="G11" s="207">
        <v>0</v>
      </c>
      <c r="H11" s="208">
        <f>IF(G11=0,VLOOKUP(C:C,[1]Inputs!$B$20:$H$25,7,FALSE)*F11,VLOOKUP(C:C,[1]Inputs!$B$20:$I$25,8,FALSE)*F11)</f>
        <v>79.838346469665012</v>
      </c>
      <c r="I11" s="208">
        <f>VLOOKUP(C:C,[1]Inputs!$C$54:$G$59,5,FALSE)*F11</f>
        <v>19.732436288346317</v>
      </c>
      <c r="J11" s="208"/>
      <c r="K11" s="208"/>
      <c r="L11" s="208"/>
      <c r="M11" s="208">
        <f t="shared" si="2"/>
        <v>99.570782758011333</v>
      </c>
      <c r="N11" s="208">
        <f>[1]Inputs!$M$43*M11</f>
        <v>46.392677416511667</v>
      </c>
      <c r="O11" s="208">
        <f>[1]Inputs!$M$48*M11</f>
        <v>15.968921687171692</v>
      </c>
      <c r="P11" s="208">
        <f>[1]Inputs!$H$13*SUM(M11:O11)</f>
        <v>10.269751657668678</v>
      </c>
      <c r="Q11" s="208">
        <f t="shared" si="3"/>
        <v>172.20213351936337</v>
      </c>
    </row>
    <row r="12" spans="1:18" x14ac:dyDescent="0.2">
      <c r="B12" s="73" t="s">
        <v>72</v>
      </c>
      <c r="C12" s="72" t="s">
        <v>68</v>
      </c>
      <c r="D12" s="89">
        <v>0.1</v>
      </c>
      <c r="E12" s="78">
        <v>1</v>
      </c>
      <c r="F12" s="96">
        <f t="shared" si="1"/>
        <v>0.1</v>
      </c>
      <c r="G12" s="207">
        <v>0</v>
      </c>
      <c r="H12" s="208">
        <f>IF(G12=0,VLOOKUP(C:C,[1]Inputs!$B$20:$H$25,7,FALSE)*F12,VLOOKUP(C:C,[1]Inputs!$B$20:$I$25,8,FALSE)*F12)</f>
        <v>7.9838346469665016</v>
      </c>
      <c r="I12" s="208">
        <f>VLOOKUP(C:C,[1]Inputs!$C$54:$G$59,5,FALSE)*F12</f>
        <v>1.9732436288346318</v>
      </c>
      <c r="J12" s="208"/>
      <c r="K12" s="208"/>
      <c r="L12" s="208"/>
      <c r="M12" s="208">
        <f t="shared" si="2"/>
        <v>9.957078275801134</v>
      </c>
      <c r="N12" s="208">
        <f>[1]Inputs!$M$43*M12</f>
        <v>4.6392677416511674</v>
      </c>
      <c r="O12" s="208">
        <f>[1]Inputs!$M$48*M12</f>
        <v>1.5968921687171693</v>
      </c>
      <c r="P12" s="208">
        <f>[1]Inputs!$H$13*SUM(M12:O12)</f>
        <v>1.0269751657668678</v>
      </c>
      <c r="Q12" s="208">
        <f t="shared" si="3"/>
        <v>17.220213351936337</v>
      </c>
      <c r="R12" s="57"/>
    </row>
    <row r="13" spans="1:18" x14ac:dyDescent="0.2">
      <c r="B13" s="73" t="s">
        <v>73</v>
      </c>
      <c r="C13" s="72" t="s">
        <v>84</v>
      </c>
      <c r="D13" s="89">
        <v>0.1</v>
      </c>
      <c r="E13" s="78">
        <v>1</v>
      </c>
      <c r="F13" s="96">
        <f t="shared" si="1"/>
        <v>0.1</v>
      </c>
      <c r="G13" s="207">
        <v>0</v>
      </c>
      <c r="H13" s="208">
        <f>IF(G13=0,VLOOKUP(C:C,[1]Inputs!$B$20:$H$25,7,FALSE)*F13,VLOOKUP(C:C,[1]Inputs!$B$20:$I$25,8,FALSE)*F13)</f>
        <v>7.3741483017720002</v>
      </c>
      <c r="I13" s="208">
        <f>VLOOKUP(C:C,[1]Inputs!$C$54:$G$59,5,FALSE)*F13</f>
        <v>0</v>
      </c>
      <c r="J13" s="208"/>
      <c r="K13" s="208"/>
      <c r="L13" s="208"/>
      <c r="M13" s="208">
        <f t="shared" si="2"/>
        <v>7.3741483017720002</v>
      </c>
      <c r="N13" s="208">
        <f>[1]Inputs!$M$43*M13</f>
        <v>3.4358119310666995</v>
      </c>
      <c r="O13" s="208">
        <f>[1]Inputs!$M$48*M13</f>
        <v>1.1826480969500324</v>
      </c>
      <c r="P13" s="208">
        <f>[1]Inputs!$H$13*SUM(M13:O13)</f>
        <v>0.76057122027520141</v>
      </c>
      <c r="Q13" s="208">
        <f t="shared" si="3"/>
        <v>12.753179550063933</v>
      </c>
    </row>
    <row r="14" spans="1:18" x14ac:dyDescent="0.2">
      <c r="B14" s="73"/>
      <c r="C14" s="72"/>
      <c r="D14" s="88"/>
      <c r="E14" s="78"/>
      <c r="F14" s="96"/>
      <c r="G14" s="96"/>
      <c r="H14" s="96"/>
      <c r="I14" s="96"/>
      <c r="J14" s="96"/>
      <c r="K14" s="96"/>
      <c r="L14" s="96"/>
      <c r="M14" s="96"/>
      <c r="N14" s="96"/>
      <c r="O14" s="40"/>
      <c r="P14" s="41"/>
      <c r="Q14" s="41"/>
    </row>
    <row r="15" spans="1:18" x14ac:dyDescent="0.2">
      <c r="B15" s="275" t="s">
        <v>1</v>
      </c>
      <c r="C15" s="276"/>
      <c r="D15" s="276"/>
      <c r="E15" s="277"/>
      <c r="F15" s="97">
        <f>SUM(F7:F14)</f>
        <v>2.8000000000000003</v>
      </c>
      <c r="G15" s="97">
        <f t="shared" ref="G15:Q15" si="4">SUM(G7:G14)</f>
        <v>0</v>
      </c>
      <c r="H15" s="97">
        <f t="shared" si="4"/>
        <v>220.8037815616868</v>
      </c>
      <c r="I15" s="97">
        <f t="shared" si="4"/>
        <v>46.371225277613846</v>
      </c>
      <c r="J15" s="97">
        <f t="shared" si="4"/>
        <v>0</v>
      </c>
      <c r="K15" s="97">
        <f t="shared" si="4"/>
        <v>0</v>
      </c>
      <c r="L15" s="97">
        <f t="shared" si="4"/>
        <v>0</v>
      </c>
      <c r="M15" s="97">
        <f t="shared" si="4"/>
        <v>267.17500683930058</v>
      </c>
      <c r="N15" s="97">
        <f t="shared" si="4"/>
        <v>124.48394561860258</v>
      </c>
      <c r="O15" s="97">
        <f t="shared" si="4"/>
        <v>42.84888240112862</v>
      </c>
      <c r="P15" s="97">
        <f t="shared" si="4"/>
        <v>27.556486886759803</v>
      </c>
      <c r="Q15" s="97">
        <f t="shared" si="4"/>
        <v>462.06432174579163</v>
      </c>
      <c r="R15" s="55"/>
    </row>
    <row r="16" spans="1:18" x14ac:dyDescent="0.2">
      <c r="B16" s="42"/>
      <c r="C16" s="83"/>
      <c r="D16" s="94"/>
      <c r="E16" s="80"/>
      <c r="F16" s="90"/>
      <c r="G16" s="90"/>
      <c r="H16" s="90"/>
      <c r="I16" s="90"/>
      <c r="J16" s="90"/>
      <c r="K16" s="90"/>
      <c r="L16" s="90"/>
      <c r="M16" s="90"/>
      <c r="N16" s="90"/>
      <c r="O16" s="43"/>
      <c r="P16" s="44"/>
      <c r="Q16" s="44"/>
    </row>
    <row r="17" spans="2:18" ht="76.5" x14ac:dyDescent="0.2">
      <c r="B17" s="38" t="s">
        <v>18</v>
      </c>
      <c r="C17" s="38" t="s">
        <v>31</v>
      </c>
      <c r="D17" s="196" t="s">
        <v>62</v>
      </c>
      <c r="E17" s="197" t="s">
        <v>33</v>
      </c>
      <c r="F17" s="196" t="s">
        <v>32</v>
      </c>
      <c r="G17" s="196" t="s">
        <v>102</v>
      </c>
      <c r="H17" s="196" t="s">
        <v>103</v>
      </c>
      <c r="I17" s="196" t="s">
        <v>104</v>
      </c>
      <c r="J17" s="196" t="s">
        <v>105</v>
      </c>
      <c r="K17" s="198" t="s">
        <v>106</v>
      </c>
      <c r="L17" s="198" t="s">
        <v>107</v>
      </c>
      <c r="M17" s="196" t="s">
        <v>108</v>
      </c>
      <c r="N17" s="196" t="s">
        <v>109</v>
      </c>
      <c r="O17" s="196" t="s">
        <v>110</v>
      </c>
      <c r="P17" s="196" t="s">
        <v>111</v>
      </c>
      <c r="Q17" s="196" t="s">
        <v>112</v>
      </c>
    </row>
    <row r="18" spans="2:18" ht="15" customHeight="1" x14ac:dyDescent="0.2">
      <c r="B18" s="205" t="s">
        <v>70</v>
      </c>
      <c r="C18" s="206"/>
      <c r="D18" s="206"/>
      <c r="E18" s="206"/>
      <c r="F18" s="206"/>
      <c r="G18" s="206"/>
      <c r="H18" s="206"/>
      <c r="I18" s="206"/>
      <c r="J18" s="206"/>
      <c r="K18" s="206"/>
      <c r="L18" s="206"/>
      <c r="M18" s="206"/>
      <c r="N18" s="206"/>
      <c r="O18" s="206"/>
      <c r="P18" s="206"/>
      <c r="Q18" s="189"/>
    </row>
    <row r="19" spans="2:18" x14ac:dyDescent="0.2">
      <c r="B19" s="199" t="s">
        <v>74</v>
      </c>
      <c r="C19" s="200" t="s">
        <v>84</v>
      </c>
      <c r="D19" s="201">
        <v>0.25</v>
      </c>
      <c r="E19" s="202">
        <v>1</v>
      </c>
      <c r="F19" s="203">
        <f>E19*D19</f>
        <v>0.25</v>
      </c>
      <c r="G19" s="207">
        <v>0</v>
      </c>
      <c r="H19" s="208">
        <f>IF(G19=0,VLOOKUP(C:C,[1]Inputs!$B$20:$H$25,7,FALSE)*F19,VLOOKUP(C:C,[1]Inputs!$B$20:$I$25,8,FALSE)*F19)</f>
        <v>18.43537075443</v>
      </c>
      <c r="I19" s="208">
        <f>VLOOKUP(C:C,[1]Inputs!$C$54:$G$59,5,FALSE)*F19</f>
        <v>0</v>
      </c>
      <c r="J19" s="208"/>
      <c r="K19" s="208"/>
      <c r="L19" s="208"/>
      <c r="M19" s="208">
        <f>SUM(H19:J19)</f>
        <v>18.43537075443</v>
      </c>
      <c r="N19" s="208">
        <f>[1]Inputs!$M$43*M19</f>
        <v>8.5895298276667482</v>
      </c>
      <c r="O19" s="208">
        <f>[1]Inputs!$M$48*M19</f>
        <v>2.9566202423750805</v>
      </c>
      <c r="P19" s="208">
        <f>[1]Inputs!$H$13*SUM(M19:O19)</f>
        <v>1.9014280506880035</v>
      </c>
      <c r="Q19" s="208">
        <f t="shared" ref="Q19:Q20" si="5">SUM(M19:P19)</f>
        <v>31.882948875159833</v>
      </c>
    </row>
    <row r="20" spans="2:18" x14ac:dyDescent="0.2">
      <c r="B20" s="73" t="s">
        <v>75</v>
      </c>
      <c r="C20" s="72" t="s">
        <v>84</v>
      </c>
      <c r="D20" s="87">
        <v>0.1</v>
      </c>
      <c r="E20" s="78">
        <v>1</v>
      </c>
      <c r="F20" s="96">
        <f t="shared" ref="F20:F25" si="6">E20*D20</f>
        <v>0.1</v>
      </c>
      <c r="G20" s="207">
        <v>0</v>
      </c>
      <c r="H20" s="208">
        <f>IF(G20=0,VLOOKUP(C:C,[1]Inputs!$B$20:$H$25,7,FALSE)*F20,VLOOKUP(C:C,[1]Inputs!$B$20:$I$25,8,FALSE)*F20)</f>
        <v>7.3741483017720002</v>
      </c>
      <c r="I20" s="208">
        <f>VLOOKUP(C:C,[1]Inputs!$C$54:$G$59,5,FALSE)*F20</f>
        <v>0</v>
      </c>
      <c r="J20" s="208"/>
      <c r="K20" s="208"/>
      <c r="L20" s="208"/>
      <c r="M20" s="208">
        <f t="shared" ref="M20:M21" si="7">SUM(H20:J20)</f>
        <v>7.3741483017720002</v>
      </c>
      <c r="N20" s="208">
        <f>[1]Inputs!$M$43*M20</f>
        <v>3.4358119310666995</v>
      </c>
      <c r="O20" s="208">
        <f>[1]Inputs!$M$48*M20</f>
        <v>1.1826480969500324</v>
      </c>
      <c r="P20" s="208">
        <f>[1]Inputs!$H$13*SUM(M20:O20)</f>
        <v>0.76057122027520141</v>
      </c>
      <c r="Q20" s="208">
        <f t="shared" si="5"/>
        <v>12.753179550063933</v>
      </c>
      <c r="R20" s="55"/>
    </row>
    <row r="21" spans="2:18" x14ac:dyDescent="0.2">
      <c r="B21" s="74" t="s">
        <v>76</v>
      </c>
      <c r="C21" s="72" t="s">
        <v>68</v>
      </c>
      <c r="D21" s="88">
        <v>0.25</v>
      </c>
      <c r="E21" s="78">
        <v>1</v>
      </c>
      <c r="F21" s="96">
        <f t="shared" si="6"/>
        <v>0.25</v>
      </c>
      <c r="G21" s="207">
        <v>1</v>
      </c>
      <c r="H21" s="208">
        <f>IF(G21=0,VLOOKUP(C:C,[1]Inputs!$B$20:$H$25,7,FALSE)*F21,VLOOKUP(C:C,[1]Inputs!$B$20:$I$25,8,FALSE)*F21)</f>
        <v>36.235256395793179</v>
      </c>
      <c r="I21" s="208">
        <f>VLOOKUP(C:C,[1]Inputs!$C$54:$G$59,5,FALSE)*F21</f>
        <v>4.9331090720865793</v>
      </c>
      <c r="J21" s="208"/>
      <c r="K21" s="208"/>
      <c r="L21" s="208"/>
      <c r="M21" s="208">
        <f t="shared" si="7"/>
        <v>41.168365467879759</v>
      </c>
      <c r="N21" s="208">
        <f>[1]Inputs!$M$43*M21</f>
        <v>19.181437024132819</v>
      </c>
      <c r="O21" s="208">
        <f>[1]Inputs!$M$48*M21</f>
        <v>6.6024830370487422</v>
      </c>
      <c r="P21" s="208">
        <f>[1]Inputs!$H$13*SUM(M21:O21)</f>
        <v>4.2461139482530701</v>
      </c>
      <c r="Q21" s="208">
        <f t="shared" ref="Q21:Q25" si="8">SUM(M21:P21)</f>
        <v>71.198399477314396</v>
      </c>
    </row>
    <row r="22" spans="2:18" x14ac:dyDescent="0.2">
      <c r="B22" s="75" t="s">
        <v>71</v>
      </c>
      <c r="C22" s="98" t="s">
        <v>68</v>
      </c>
      <c r="D22" s="99">
        <v>1</v>
      </c>
      <c r="E22" s="100">
        <v>1</v>
      </c>
      <c r="F22" s="101">
        <f t="shared" si="6"/>
        <v>1</v>
      </c>
      <c r="G22" s="207">
        <v>1</v>
      </c>
      <c r="H22" s="208">
        <f>IF(G22=0,VLOOKUP(C:C,[1]Inputs!$B$20:$H$25,7,FALSE)*F22,VLOOKUP(C:C,[1]Inputs!$B$20:$I$25,8,FALSE)*F22)</f>
        <v>144.94102558317272</v>
      </c>
      <c r="I22" s="208">
        <f>VLOOKUP(C:C,[1]Inputs!$C$54:$G$59,5,FALSE)*F22</f>
        <v>19.732436288346317</v>
      </c>
      <c r="J22" s="208"/>
      <c r="K22" s="208"/>
      <c r="L22" s="208"/>
      <c r="M22" s="208">
        <f t="shared" ref="M22:M25" si="9">SUM(H22:J22)</f>
        <v>164.67346187151904</v>
      </c>
      <c r="N22" s="208">
        <f>[1]Inputs!$M$43*M22</f>
        <v>76.725748096531277</v>
      </c>
      <c r="O22" s="208">
        <f>[1]Inputs!$M$48*M22</f>
        <v>26.409932148194969</v>
      </c>
      <c r="P22" s="208">
        <f>[1]Inputs!$H$13*SUM(M22:O22)</f>
        <v>16.98445579301228</v>
      </c>
      <c r="Q22" s="208">
        <f t="shared" si="8"/>
        <v>284.79359790925758</v>
      </c>
    </row>
    <row r="23" spans="2:18" x14ac:dyDescent="0.2">
      <c r="B23" s="73" t="s">
        <v>83</v>
      </c>
      <c r="C23" s="72" t="s">
        <v>68</v>
      </c>
      <c r="D23" s="89">
        <v>1</v>
      </c>
      <c r="E23" s="78">
        <v>1</v>
      </c>
      <c r="F23" s="96">
        <f t="shared" si="6"/>
        <v>1</v>
      </c>
      <c r="G23" s="207">
        <v>1</v>
      </c>
      <c r="H23" s="208">
        <f>IF(G23=0,VLOOKUP(C:C,[1]Inputs!$B$20:$H$25,7,FALSE)*F23,VLOOKUP(C:C,[1]Inputs!$B$20:$I$25,8,FALSE)*F23)</f>
        <v>144.94102558317272</v>
      </c>
      <c r="I23" s="208">
        <f>VLOOKUP(C:C,[1]Inputs!$C$54:$G$59,5,FALSE)*F23</f>
        <v>19.732436288346317</v>
      </c>
      <c r="J23" s="208"/>
      <c r="K23" s="208"/>
      <c r="L23" s="208"/>
      <c r="M23" s="208">
        <f t="shared" si="9"/>
        <v>164.67346187151904</v>
      </c>
      <c r="N23" s="208">
        <f>[1]Inputs!$M$43*M23</f>
        <v>76.725748096531277</v>
      </c>
      <c r="O23" s="208">
        <f>[1]Inputs!$M$48*M23</f>
        <v>26.409932148194969</v>
      </c>
      <c r="P23" s="208">
        <f>[1]Inputs!$H$13*SUM(M23:O23)</f>
        <v>16.98445579301228</v>
      </c>
      <c r="Q23" s="208">
        <f t="shared" si="8"/>
        <v>284.79359790925758</v>
      </c>
    </row>
    <row r="24" spans="2:18" x14ac:dyDescent="0.2">
      <c r="B24" s="73" t="s">
        <v>72</v>
      </c>
      <c r="C24" s="72" t="s">
        <v>68</v>
      </c>
      <c r="D24" s="89">
        <v>0.1</v>
      </c>
      <c r="E24" s="78">
        <v>1</v>
      </c>
      <c r="F24" s="96">
        <f t="shared" si="6"/>
        <v>0.1</v>
      </c>
      <c r="G24" s="207">
        <v>1</v>
      </c>
      <c r="H24" s="208">
        <f>IF(G24=0,VLOOKUP(C:C,[1]Inputs!$B$20:$H$25,7,FALSE)*F24,VLOOKUP(C:C,[1]Inputs!$B$20:$I$25,8,FALSE)*F24)</f>
        <v>14.494102558317273</v>
      </c>
      <c r="I24" s="208">
        <f>VLOOKUP(C:C,[1]Inputs!$C$54:$G$59,5,FALSE)*F24</f>
        <v>1.9732436288346318</v>
      </c>
      <c r="J24" s="208"/>
      <c r="K24" s="208"/>
      <c r="L24" s="208"/>
      <c r="M24" s="208">
        <f t="shared" si="9"/>
        <v>16.467346187151904</v>
      </c>
      <c r="N24" s="208">
        <f>[1]Inputs!$M$43*M24</f>
        <v>7.6725748096531268</v>
      </c>
      <c r="O24" s="208">
        <f>[1]Inputs!$M$48*M24</f>
        <v>2.6409932148194968</v>
      </c>
      <c r="P24" s="208">
        <f>[1]Inputs!$H$13*SUM(M24:O24)</f>
        <v>1.6984455793012276</v>
      </c>
      <c r="Q24" s="208">
        <f t="shared" si="8"/>
        <v>28.479359790925756</v>
      </c>
    </row>
    <row r="25" spans="2:18" x14ac:dyDescent="0.2">
      <c r="B25" s="73" t="s">
        <v>73</v>
      </c>
      <c r="C25" s="72" t="s">
        <v>84</v>
      </c>
      <c r="D25" s="89">
        <v>0.1</v>
      </c>
      <c r="E25" s="78">
        <v>1</v>
      </c>
      <c r="F25" s="96">
        <f t="shared" si="6"/>
        <v>0.1</v>
      </c>
      <c r="G25" s="207">
        <v>0</v>
      </c>
      <c r="H25" s="208">
        <f>IF(G25=0,VLOOKUP(C:C,[1]Inputs!$B$20:$H$25,7,FALSE)*F25,VLOOKUP(C:C,[1]Inputs!$B$20:$I$25,8,FALSE)*F25)</f>
        <v>7.3741483017720002</v>
      </c>
      <c r="I25" s="208">
        <f>VLOOKUP(C:C,[1]Inputs!$C$54:$G$59,5,FALSE)*F25</f>
        <v>0</v>
      </c>
      <c r="J25" s="208"/>
      <c r="K25" s="208"/>
      <c r="L25" s="208"/>
      <c r="M25" s="208">
        <f t="shared" si="9"/>
        <v>7.3741483017720002</v>
      </c>
      <c r="N25" s="208">
        <f>[1]Inputs!$M$43*M25</f>
        <v>3.4358119310666995</v>
      </c>
      <c r="O25" s="208">
        <f>[1]Inputs!$M$48*M25</f>
        <v>1.1826480969500324</v>
      </c>
      <c r="P25" s="208">
        <f>[1]Inputs!$H$13*SUM(M25:O25)</f>
        <v>0.76057122027520141</v>
      </c>
      <c r="Q25" s="208">
        <f t="shared" si="8"/>
        <v>12.753179550063933</v>
      </c>
    </row>
    <row r="26" spans="2:18" x14ac:dyDescent="0.2">
      <c r="B26" s="73"/>
      <c r="C26" s="72"/>
      <c r="D26" s="89"/>
      <c r="E26" s="79"/>
      <c r="F26" s="96"/>
      <c r="G26" s="96"/>
      <c r="H26" s="96"/>
      <c r="I26" s="96"/>
      <c r="J26" s="96"/>
      <c r="K26" s="96"/>
      <c r="L26" s="96"/>
      <c r="M26" s="96"/>
      <c r="N26" s="96"/>
      <c r="O26" s="39"/>
      <c r="P26" s="41"/>
      <c r="Q26" s="41"/>
    </row>
    <row r="27" spans="2:18" x14ac:dyDescent="0.2">
      <c r="B27" s="275" t="s">
        <v>1</v>
      </c>
      <c r="C27" s="276"/>
      <c r="D27" s="276"/>
      <c r="E27" s="277"/>
      <c r="F27" s="97">
        <f>SUM(F19:F26)</f>
        <v>2.8000000000000003</v>
      </c>
      <c r="G27" s="97">
        <f t="shared" ref="G27:Q27" si="10">SUM(G19:G26)</f>
        <v>4</v>
      </c>
      <c r="H27" s="97">
        <f t="shared" si="10"/>
        <v>373.79507747842985</v>
      </c>
      <c r="I27" s="97">
        <f t="shared" si="10"/>
        <v>46.371225277613846</v>
      </c>
      <c r="J27" s="97">
        <f t="shared" si="10"/>
        <v>0</v>
      </c>
      <c r="K27" s="97">
        <f t="shared" si="10"/>
        <v>0</v>
      </c>
      <c r="L27" s="97">
        <f t="shared" si="10"/>
        <v>0</v>
      </c>
      <c r="M27" s="97">
        <f t="shared" si="10"/>
        <v>420.16630275604371</v>
      </c>
      <c r="N27" s="97">
        <f t="shared" si="10"/>
        <v>195.76666171664863</v>
      </c>
      <c r="O27" s="97">
        <f t="shared" si="10"/>
        <v>67.385256984533328</v>
      </c>
      <c r="P27" s="97">
        <f t="shared" si="10"/>
        <v>43.336041604817268</v>
      </c>
      <c r="Q27" s="97">
        <f t="shared" si="10"/>
        <v>726.6542630620429</v>
      </c>
    </row>
    <row r="28" spans="2:18" x14ac:dyDescent="0.2">
      <c r="O28" s="45"/>
    </row>
    <row r="29" spans="2:18" x14ac:dyDescent="0.2">
      <c r="O29" s="47"/>
    </row>
    <row r="30" spans="2:18" x14ac:dyDescent="0.2">
      <c r="O30" s="47"/>
    </row>
    <row r="32" spans="2:18" x14ac:dyDescent="0.2">
      <c r="R32" s="55"/>
    </row>
    <row r="45" spans="18:18" x14ac:dyDescent="0.2">
      <c r="R45" s="55"/>
    </row>
  </sheetData>
  <mergeCells count="4">
    <mergeCell ref="B27:E27"/>
    <mergeCell ref="B15:E15"/>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5CD6D-042B-4458-A3B2-D5383F7B12F6}">
  <dimension ref="B1:O28"/>
  <sheetViews>
    <sheetView workbookViewId="0">
      <selection activeCell="D10" sqref="D10"/>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118</v>
      </c>
      <c r="D1" s="221">
        <f>[1]Inputs!H16</f>
        <v>1</v>
      </c>
      <c r="E1" s="221">
        <f>[1]Inputs!I16</f>
        <v>1</v>
      </c>
      <c r="F1" s="221">
        <f>[1]Inputs!J16</f>
        <v>1.0109999999999999</v>
      </c>
      <c r="G1" s="221">
        <f>[1]Inputs!K16</f>
        <v>1.0231319999999999</v>
      </c>
      <c r="H1" s="221">
        <f>[1]Inputs!L16</f>
        <v>1.0337725727999998</v>
      </c>
      <c r="K1" s="222">
        <f>D1</f>
        <v>1</v>
      </c>
      <c r="L1" s="222">
        <f t="shared" ref="L1:O5" si="0">E1</f>
        <v>1</v>
      </c>
      <c r="M1" s="222">
        <f t="shared" si="0"/>
        <v>1.0109999999999999</v>
      </c>
      <c r="N1" s="222">
        <f t="shared" si="0"/>
        <v>1.0231319999999999</v>
      </c>
      <c r="O1" s="222">
        <f t="shared" si="0"/>
        <v>1.0337725727999998</v>
      </c>
    </row>
    <row r="2" spans="2:15" x14ac:dyDescent="0.25">
      <c r="B2" t="s">
        <v>119</v>
      </c>
      <c r="D2" s="221">
        <f>[1]Inputs!H61</f>
        <v>0.04</v>
      </c>
      <c r="E2" s="221">
        <f>[1]Inputs!I61</f>
        <v>0.04</v>
      </c>
      <c r="F2" s="221">
        <f>[1]Inputs!J61</f>
        <v>0.04</v>
      </c>
      <c r="G2" s="221">
        <f>[1]Inputs!K61</f>
        <v>0.04</v>
      </c>
      <c r="H2" s="221">
        <f>[1]Inputs!L61</f>
        <v>0.04</v>
      </c>
      <c r="K2" s="222"/>
      <c r="L2" s="222"/>
      <c r="M2" s="222"/>
      <c r="N2" s="222"/>
      <c r="O2" s="222"/>
    </row>
    <row r="3" spans="2:15" x14ac:dyDescent="0.25">
      <c r="B3" t="s">
        <v>120</v>
      </c>
      <c r="D3" s="222">
        <f>[1]Inputs!$M$43</f>
        <v>0.46592661151676018</v>
      </c>
      <c r="E3" s="222">
        <f>[1]Inputs!$M$43</f>
        <v>0.46592661151676018</v>
      </c>
      <c r="F3" s="222">
        <f>[1]Inputs!$M$43</f>
        <v>0.46592661151676018</v>
      </c>
      <c r="G3" s="222">
        <f>[1]Inputs!$M$43</f>
        <v>0.46592661151676018</v>
      </c>
      <c r="H3" s="222">
        <f>[1]Inputs!$M$43</f>
        <v>0.46592661151676018</v>
      </c>
      <c r="K3" s="222">
        <f t="shared" ref="K3:K5" si="1">D3</f>
        <v>0.46592661151676018</v>
      </c>
      <c r="L3" s="222">
        <f t="shared" si="0"/>
        <v>0.46592661151676018</v>
      </c>
      <c r="M3" s="222">
        <f t="shared" si="0"/>
        <v>0.46592661151676018</v>
      </c>
      <c r="N3" s="222">
        <f t="shared" si="0"/>
        <v>0.46592661151676018</v>
      </c>
      <c r="O3" s="222">
        <f t="shared" si="0"/>
        <v>0.46592661151676018</v>
      </c>
    </row>
    <row r="4" spans="2:15" x14ac:dyDescent="0.25">
      <c r="B4" t="s">
        <v>121</v>
      </c>
      <c r="D4" s="222">
        <f>[1]Inputs!$M$48</f>
        <v>0.16037758511933414</v>
      </c>
      <c r="E4" s="222">
        <f>[1]Inputs!$M$48</f>
        <v>0.16037758511933414</v>
      </c>
      <c r="F4" s="222">
        <f>[1]Inputs!$M$48</f>
        <v>0.16037758511933414</v>
      </c>
      <c r="G4" s="222">
        <f>[1]Inputs!$M$48</f>
        <v>0.16037758511933414</v>
      </c>
      <c r="H4" s="222">
        <f>[1]Inputs!$M$48</f>
        <v>0.16037758511933414</v>
      </c>
      <c r="K4" s="222">
        <f t="shared" si="1"/>
        <v>0.16037758511933414</v>
      </c>
      <c r="L4" s="222">
        <f t="shared" si="0"/>
        <v>0.16037758511933414</v>
      </c>
      <c r="M4" s="222">
        <f t="shared" si="0"/>
        <v>0.16037758511933414</v>
      </c>
      <c r="N4" s="222">
        <f t="shared" si="0"/>
        <v>0.16037758511933414</v>
      </c>
      <c r="O4" s="222">
        <f t="shared" si="0"/>
        <v>0.16037758511933414</v>
      </c>
    </row>
    <row r="5" spans="2:15" x14ac:dyDescent="0.25">
      <c r="B5" t="s">
        <v>122</v>
      </c>
      <c r="D5" s="222">
        <f>[1]Inputs!$H$13</f>
        <v>6.3420000000000004E-2</v>
      </c>
      <c r="E5" s="222">
        <f>[1]Inputs!$H$13</f>
        <v>6.3420000000000004E-2</v>
      </c>
      <c r="F5" s="222">
        <f>[1]Inputs!$H$13</f>
        <v>6.3420000000000004E-2</v>
      </c>
      <c r="G5" s="222">
        <f>[1]Inputs!$H$13</f>
        <v>6.3420000000000004E-2</v>
      </c>
      <c r="H5" s="222">
        <f>[1]Inputs!$H$13</f>
        <v>6.3420000000000004E-2</v>
      </c>
      <c r="K5" s="222">
        <f t="shared" si="1"/>
        <v>6.3420000000000004E-2</v>
      </c>
      <c r="L5" s="222">
        <f t="shared" si="0"/>
        <v>6.3420000000000004E-2</v>
      </c>
      <c r="M5" s="222">
        <f t="shared" si="0"/>
        <v>6.3420000000000004E-2</v>
      </c>
      <c r="N5" s="222">
        <f t="shared" si="0"/>
        <v>6.3420000000000004E-2</v>
      </c>
      <c r="O5" s="222">
        <f t="shared" si="0"/>
        <v>6.3420000000000004E-2</v>
      </c>
    </row>
    <row r="6" spans="2:15" s="223" customFormat="1" ht="15.75" x14ac:dyDescent="0.25">
      <c r="D6" s="280" t="s">
        <v>123</v>
      </c>
      <c r="E6" s="280"/>
      <c r="F6" s="280"/>
      <c r="G6" s="280"/>
      <c r="H6" s="280"/>
      <c r="J6" s="281" t="s">
        <v>124</v>
      </c>
      <c r="K6" s="281"/>
      <c r="L6" s="281"/>
      <c r="M6" s="281"/>
      <c r="N6" s="281"/>
      <c r="O6" s="281"/>
    </row>
    <row r="7" spans="2:15" x14ac:dyDescent="0.25">
      <c r="B7" s="224" t="s">
        <v>138</v>
      </c>
      <c r="C7" s="225"/>
      <c r="D7" s="225" t="s">
        <v>125</v>
      </c>
      <c r="E7" s="225" t="s">
        <v>126</v>
      </c>
      <c r="F7" s="225" t="s">
        <v>127</v>
      </c>
      <c r="G7" s="225" t="s">
        <v>128</v>
      </c>
      <c r="H7" s="225" t="s">
        <v>129</v>
      </c>
      <c r="J7" s="225"/>
      <c r="K7" s="225" t="s">
        <v>125</v>
      </c>
      <c r="L7" s="225" t="s">
        <v>126</v>
      </c>
      <c r="M7" s="225" t="s">
        <v>127</v>
      </c>
      <c r="N7" s="225" t="s">
        <v>128</v>
      </c>
      <c r="O7" s="225" t="s">
        <v>129</v>
      </c>
    </row>
    <row r="8" spans="2:15" x14ac:dyDescent="0.25">
      <c r="B8" s="226" t="s">
        <v>103</v>
      </c>
      <c r="C8" s="227"/>
      <c r="D8" s="228">
        <f>(D19*D$27)</f>
        <v>22080.378156168681</v>
      </c>
      <c r="E8" s="228">
        <f t="shared" ref="E8:H8" si="2">(E19*E$27)</f>
        <v>21197.163029921932</v>
      </c>
      <c r="F8" s="228">
        <f t="shared" si="2"/>
        <v>20573.118550321029</v>
      </c>
      <c r="G8" s="228">
        <f t="shared" si="2"/>
        <v>20207.055291481967</v>
      </c>
      <c r="H8" s="228">
        <f t="shared" si="2"/>
        <v>20053.919555891676</v>
      </c>
      <c r="J8" s="227"/>
      <c r="K8" s="228">
        <f>(K19*K$27)</f>
        <v>5606.9261621764481</v>
      </c>
      <c r="L8" s="228">
        <f t="shared" ref="L8:O8" si="3">(L19*L$27)</f>
        <v>5382.6491156893899</v>
      </c>
      <c r="M8" s="228">
        <f t="shared" si="3"/>
        <v>5224.1839257234933</v>
      </c>
      <c r="N8" s="228">
        <f t="shared" si="3"/>
        <v>5131.2285583615958</v>
      </c>
      <c r="O8" s="228">
        <f t="shared" si="3"/>
        <v>5092.3424144662076</v>
      </c>
    </row>
    <row r="9" spans="2:15" x14ac:dyDescent="0.25">
      <c r="B9" s="226" t="s">
        <v>104</v>
      </c>
      <c r="C9" s="227"/>
      <c r="D9" s="228">
        <f t="shared" ref="D9:H15" si="4">(D20*D$27)</f>
        <v>4637.1225277613848</v>
      </c>
      <c r="E9" s="228">
        <f t="shared" si="4"/>
        <v>4451.6376266509287</v>
      </c>
      <c r="F9" s="228">
        <f t="shared" si="4"/>
        <v>4273.5721215848916</v>
      </c>
      <c r="G9" s="228">
        <f t="shared" si="4"/>
        <v>4102.6292367214955</v>
      </c>
      <c r="H9" s="228">
        <f t="shared" si="4"/>
        <v>3938.5240672526361</v>
      </c>
      <c r="J9" s="227"/>
      <c r="K9" s="228">
        <f t="shared" ref="K9:O15" si="5">(K20*K$27)</f>
        <v>695.56837916420773</v>
      </c>
      <c r="L9" s="228">
        <f t="shared" si="5"/>
        <v>667.74564399763938</v>
      </c>
      <c r="M9" s="228">
        <f t="shared" si="5"/>
        <v>641.03581823773379</v>
      </c>
      <c r="N9" s="228">
        <f t="shared" si="5"/>
        <v>615.39438550822445</v>
      </c>
      <c r="O9" s="228">
        <f t="shared" si="5"/>
        <v>590.77861008789546</v>
      </c>
    </row>
    <row r="10" spans="2:15" x14ac:dyDescent="0.25">
      <c r="B10" s="226" t="s">
        <v>105</v>
      </c>
      <c r="C10" s="227"/>
      <c r="D10" s="228">
        <f t="shared" si="4"/>
        <v>0</v>
      </c>
      <c r="E10" s="228">
        <f t="shared" si="4"/>
        <v>0</v>
      </c>
      <c r="F10" s="228">
        <f t="shared" si="4"/>
        <v>0</v>
      </c>
      <c r="G10" s="228">
        <f t="shared" si="4"/>
        <v>0</v>
      </c>
      <c r="H10" s="228">
        <f t="shared" si="4"/>
        <v>0</v>
      </c>
      <c r="J10" s="227"/>
      <c r="K10" s="228">
        <f t="shared" si="5"/>
        <v>0</v>
      </c>
      <c r="L10" s="228">
        <f t="shared" si="5"/>
        <v>0</v>
      </c>
      <c r="M10" s="228">
        <f t="shared" si="5"/>
        <v>0</v>
      </c>
      <c r="N10" s="228">
        <f t="shared" si="5"/>
        <v>0</v>
      </c>
      <c r="O10" s="228">
        <f t="shared" si="5"/>
        <v>0</v>
      </c>
    </row>
    <row r="11" spans="2:15" x14ac:dyDescent="0.25">
      <c r="B11" s="229" t="s">
        <v>130</v>
      </c>
      <c r="C11" s="229"/>
      <c r="D11" s="233">
        <f t="shared" si="4"/>
        <v>26717.500683930062</v>
      </c>
      <c r="E11" s="233">
        <f t="shared" si="4"/>
        <v>25648.800656572861</v>
      </c>
      <c r="F11" s="233">
        <f t="shared" si="4"/>
        <v>24846.690671905919</v>
      </c>
      <c r="G11" s="233">
        <f t="shared" si="4"/>
        <v>24309.684528203463</v>
      </c>
      <c r="H11" s="233">
        <f t="shared" si="4"/>
        <v>23992.443623144311</v>
      </c>
      <c r="I11" s="213"/>
      <c r="J11" s="229"/>
      <c r="K11" s="233">
        <f t="shared" si="5"/>
        <v>6302.4945413406558</v>
      </c>
      <c r="L11" s="233">
        <f t="shared" si="5"/>
        <v>6050.3947596870294</v>
      </c>
      <c r="M11" s="233">
        <f t="shared" si="5"/>
        <v>5865.2197439612273</v>
      </c>
      <c r="N11" s="233">
        <f t="shared" si="5"/>
        <v>5746.6229438698201</v>
      </c>
      <c r="O11" s="233">
        <f t="shared" si="5"/>
        <v>5683.1210245541033</v>
      </c>
    </row>
    <row r="12" spans="2:15" x14ac:dyDescent="0.25">
      <c r="B12" s="227" t="s">
        <v>109</v>
      </c>
      <c r="C12" s="227"/>
      <c r="D12" s="228">
        <f t="shared" si="4"/>
        <v>12448.394561860257</v>
      </c>
      <c r="E12" s="228">
        <f t="shared" si="4"/>
        <v>11950.458779385848</v>
      </c>
      <c r="F12" s="228">
        <f t="shared" si="4"/>
        <v>11576.734392166218</v>
      </c>
      <c r="G12" s="228">
        <f t="shared" si="4"/>
        <v>11326.528939267251</v>
      </c>
      <c r="H12" s="228">
        <f t="shared" si="4"/>
        <v>11178.71795933853</v>
      </c>
      <c r="J12" s="227"/>
      <c r="K12" s="228">
        <f t="shared" si="5"/>
        <v>2936.4999257497293</v>
      </c>
      <c r="L12" s="228">
        <f t="shared" si="5"/>
        <v>2819.0399287197401</v>
      </c>
      <c r="M12" s="228">
        <f t="shared" si="5"/>
        <v>2732.7619611050545</v>
      </c>
      <c r="N12" s="228">
        <f t="shared" si="5"/>
        <v>2677.5045559017344</v>
      </c>
      <c r="O12" s="228">
        <f t="shared" si="5"/>
        <v>2647.9173218101519</v>
      </c>
    </row>
    <row r="13" spans="2:15" x14ac:dyDescent="0.25">
      <c r="B13" s="227" t="s">
        <v>110</v>
      </c>
      <c r="C13" s="227"/>
      <c r="D13" s="228">
        <f t="shared" si="4"/>
        <v>4284.8882401128621</v>
      </c>
      <c r="E13" s="228">
        <f t="shared" si="4"/>
        <v>4113.492710508348</v>
      </c>
      <c r="F13" s="228">
        <f t="shared" si="4"/>
        <v>3984.8522481673572</v>
      </c>
      <c r="G13" s="228">
        <f t="shared" si="4"/>
        <v>3898.7284996461112</v>
      </c>
      <c r="H13" s="228">
        <f t="shared" si="4"/>
        <v>3847.8501693916523</v>
      </c>
      <c r="J13" s="227"/>
      <c r="K13" s="228">
        <f t="shared" si="5"/>
        <v>1010.7788547679997</v>
      </c>
      <c r="L13" s="228">
        <f t="shared" si="5"/>
        <v>970.34770057727974</v>
      </c>
      <c r="M13" s="228">
        <f t="shared" si="5"/>
        <v>940.64977873074088</v>
      </c>
      <c r="N13" s="228">
        <f t="shared" si="5"/>
        <v>921.62951032920057</v>
      </c>
      <c r="O13" s="228">
        <f t="shared" si="5"/>
        <v>911.4452258589032</v>
      </c>
    </row>
    <row r="14" spans="2:15" x14ac:dyDescent="0.25">
      <c r="B14" s="227" t="s">
        <v>117</v>
      </c>
      <c r="C14" s="227"/>
      <c r="D14" s="228">
        <f t="shared" si="4"/>
        <v>2755.6486886759799</v>
      </c>
      <c r="E14" s="228">
        <f t="shared" si="4"/>
        <v>2645.4227411289407</v>
      </c>
      <c r="F14" s="228">
        <f t="shared" si="4"/>
        <v>2562.6929471422291</v>
      </c>
      <c r="G14" s="228">
        <f t="shared" si="4"/>
        <v>2507.306019554549</v>
      </c>
      <c r="H14" s="228">
        <f t="shared" si="4"/>
        <v>2474.5857253038803</v>
      </c>
      <c r="J14" s="227"/>
      <c r="K14" s="228">
        <f t="shared" si="5"/>
        <v>650.04062407225877</v>
      </c>
      <c r="L14" s="228">
        <f t="shared" si="5"/>
        <v>624.03899910936843</v>
      </c>
      <c r="M14" s="228">
        <f t="shared" si="5"/>
        <v>604.94000870240723</v>
      </c>
      <c r="N14" s="228">
        <f t="shared" si="5"/>
        <v>592.70790958058979</v>
      </c>
      <c r="O14" s="228">
        <f t="shared" si="5"/>
        <v>586.15830815039283</v>
      </c>
    </row>
    <row r="15" spans="2:15" s="231" customFormat="1" x14ac:dyDescent="0.25">
      <c r="B15" s="230" t="s">
        <v>131</v>
      </c>
      <c r="C15" s="227"/>
      <c r="D15" s="228">
        <f t="shared" si="4"/>
        <v>46206.43217457916</v>
      </c>
      <c r="E15" s="233">
        <f t="shared" si="4"/>
        <v>44358.174887595989</v>
      </c>
      <c r="F15" s="233">
        <f t="shared" si="4"/>
        <v>42970.970259381727</v>
      </c>
      <c r="G15" s="233">
        <f t="shared" si="4"/>
        <v>42042.247986671369</v>
      </c>
      <c r="H15" s="233">
        <f t="shared" si="4"/>
        <v>41493.597477178373</v>
      </c>
      <c r="I15" s="213"/>
      <c r="J15" s="229"/>
      <c r="K15" s="233">
        <f t="shared" si="5"/>
        <v>10899.813945930644</v>
      </c>
      <c r="L15" s="233">
        <f t="shared" si="5"/>
        <v>10463.821388093418</v>
      </c>
      <c r="M15" s="233">
        <f t="shared" si="5"/>
        <v>10143.57149249943</v>
      </c>
      <c r="N15" s="233">
        <f t="shared" si="5"/>
        <v>9938.4649196813443</v>
      </c>
      <c r="O15" s="233">
        <f t="shared" si="5"/>
        <v>9828.6418803735523</v>
      </c>
    </row>
    <row r="16" spans="2:15" s="213" customFormat="1" x14ac:dyDescent="0.25">
      <c r="B16" s="232" t="s">
        <v>132</v>
      </c>
      <c r="C16" s="229"/>
      <c r="D16" s="233">
        <f>D28-D15</f>
        <v>0</v>
      </c>
      <c r="E16" s="233">
        <f t="shared" ref="E16:H16" si="6">E28-E15</f>
        <v>0</v>
      </c>
      <c r="F16" s="233">
        <f t="shared" si="6"/>
        <v>0</v>
      </c>
      <c r="G16" s="233">
        <f t="shared" si="6"/>
        <v>0</v>
      </c>
      <c r="H16" s="233">
        <f t="shared" si="6"/>
        <v>0</v>
      </c>
      <c r="J16" s="229"/>
      <c r="K16" s="233">
        <f>K28-K15</f>
        <v>0</v>
      </c>
      <c r="L16" s="233">
        <f t="shared" ref="L16:O16" si="7">L28-L15</f>
        <v>0</v>
      </c>
      <c r="M16" s="233">
        <f t="shared" si="7"/>
        <v>0</v>
      </c>
      <c r="N16" s="233">
        <f t="shared" si="7"/>
        <v>0</v>
      </c>
      <c r="O16" s="233">
        <f t="shared" si="7"/>
        <v>0</v>
      </c>
    </row>
    <row r="17" spans="2:15" s="213" customFormat="1" x14ac:dyDescent="0.25">
      <c r="C17" s="234"/>
    </row>
    <row r="18" spans="2:15" x14ac:dyDescent="0.25">
      <c r="B18" s="235" t="s">
        <v>133</v>
      </c>
      <c r="C18" s="217"/>
      <c r="D18" s="282" t="s">
        <v>134</v>
      </c>
      <c r="E18" s="283"/>
      <c r="F18" s="283"/>
      <c r="G18" s="283"/>
      <c r="H18" s="283"/>
      <c r="J18" s="217"/>
      <c r="K18" s="282" t="s">
        <v>134</v>
      </c>
      <c r="L18" s="283"/>
      <c r="M18" s="283"/>
      <c r="N18" s="283"/>
      <c r="O18" s="283"/>
    </row>
    <row r="19" spans="2:15" x14ac:dyDescent="0.25">
      <c r="B19" s="236" t="s">
        <v>103</v>
      </c>
      <c r="C19" s="237">
        <f>'Proposed Fee'!H15</f>
        <v>220.8037815616868</v>
      </c>
      <c r="D19" s="238">
        <f>C19*D$1</f>
        <v>220.8037815616868</v>
      </c>
      <c r="E19" s="238">
        <f>D19*E1</f>
        <v>220.8037815616868</v>
      </c>
      <c r="F19" s="238">
        <f>E19*F1</f>
        <v>223.23262315886532</v>
      </c>
      <c r="G19" s="238">
        <f>F19*G1</f>
        <v>228.39644019777617</v>
      </c>
      <c r="H19" s="238">
        <f>G19*H1</f>
        <v>236.10997560161636</v>
      </c>
      <c r="J19" s="237">
        <f>'Proposed Fee'!H27</f>
        <v>373.79507747842985</v>
      </c>
      <c r="K19" s="238">
        <f>J19*K$1</f>
        <v>373.79507747842985</v>
      </c>
      <c r="L19" s="238">
        <f>K19*L1</f>
        <v>373.79507747842985</v>
      </c>
      <c r="M19" s="238">
        <f>L19*M1</f>
        <v>377.90682333069253</v>
      </c>
      <c r="N19" s="238">
        <f>M19*N1</f>
        <v>386.64856396797808</v>
      </c>
      <c r="O19" s="238">
        <f>N19*O1</f>
        <v>399.70668074260197</v>
      </c>
    </row>
    <row r="20" spans="2:15" x14ac:dyDescent="0.25">
      <c r="B20" s="236" t="s">
        <v>104</v>
      </c>
      <c r="C20" s="237">
        <f>'Proposed Fee'!I15</f>
        <v>46.371225277613846</v>
      </c>
      <c r="D20" s="238">
        <f>C20</f>
        <v>46.371225277613846</v>
      </c>
      <c r="E20" s="238">
        <f t="shared" ref="E20:H21" si="8">D20</f>
        <v>46.371225277613846</v>
      </c>
      <c r="F20" s="238">
        <f t="shared" si="8"/>
        <v>46.371225277613846</v>
      </c>
      <c r="G20" s="238">
        <f t="shared" si="8"/>
        <v>46.371225277613846</v>
      </c>
      <c r="H20" s="238">
        <f t="shared" si="8"/>
        <v>46.371225277613846</v>
      </c>
      <c r="J20" s="237">
        <f>'Proposed Fee'!I27</f>
        <v>46.371225277613846</v>
      </c>
      <c r="K20" s="238">
        <f>J20</f>
        <v>46.371225277613846</v>
      </c>
      <c r="L20" s="238">
        <f t="shared" ref="L20:O21" si="9">K20</f>
        <v>46.371225277613846</v>
      </c>
      <c r="M20" s="238">
        <f t="shared" si="9"/>
        <v>46.371225277613846</v>
      </c>
      <c r="N20" s="238">
        <f t="shared" si="9"/>
        <v>46.371225277613846</v>
      </c>
      <c r="O20" s="238">
        <f t="shared" si="9"/>
        <v>46.371225277613846</v>
      </c>
    </row>
    <row r="21" spans="2:15" x14ac:dyDescent="0.25">
      <c r="B21" s="236" t="s">
        <v>105</v>
      </c>
      <c r="C21" s="237">
        <f>'Proposed Fee'!J15</f>
        <v>0</v>
      </c>
      <c r="D21" s="238">
        <f>C21</f>
        <v>0</v>
      </c>
      <c r="E21" s="238">
        <f t="shared" si="8"/>
        <v>0</v>
      </c>
      <c r="F21" s="238">
        <f t="shared" si="8"/>
        <v>0</v>
      </c>
      <c r="G21" s="238">
        <f t="shared" si="8"/>
        <v>0</v>
      </c>
      <c r="H21" s="238">
        <f t="shared" si="8"/>
        <v>0</v>
      </c>
      <c r="J21" s="237">
        <f>'Proposed Fee'!J27</f>
        <v>0</v>
      </c>
      <c r="K21" s="238">
        <f>J21</f>
        <v>0</v>
      </c>
      <c r="L21" s="238">
        <f t="shared" si="9"/>
        <v>0</v>
      </c>
      <c r="M21" s="238">
        <f t="shared" si="9"/>
        <v>0</v>
      </c>
      <c r="N21" s="238">
        <f t="shared" si="9"/>
        <v>0</v>
      </c>
      <c r="O21" s="238">
        <f t="shared" si="9"/>
        <v>0</v>
      </c>
    </row>
    <row r="22" spans="2:15" s="213" customFormat="1" x14ac:dyDescent="0.25">
      <c r="B22" s="239" t="s">
        <v>130</v>
      </c>
      <c r="C22" s="290">
        <f>'Proposed Fee'!M15</f>
        <v>267.17500683930058</v>
      </c>
      <c r="D22" s="229">
        <f>SUM(D19:D21)</f>
        <v>267.17500683930064</v>
      </c>
      <c r="E22" s="229">
        <f t="shared" ref="E22:H22" si="10">SUM(E19:E21)</f>
        <v>267.17500683930064</v>
      </c>
      <c r="F22" s="229">
        <f t="shared" si="10"/>
        <v>269.60384843647915</v>
      </c>
      <c r="G22" s="229">
        <f t="shared" si="10"/>
        <v>274.76766547539</v>
      </c>
      <c r="H22" s="229">
        <f t="shared" si="10"/>
        <v>282.48120087923019</v>
      </c>
      <c r="J22" s="290">
        <f>'Proposed Fee'!M27</f>
        <v>420.16630275604371</v>
      </c>
      <c r="K22" s="229">
        <f>SUM(K19:K21)</f>
        <v>420.16630275604371</v>
      </c>
      <c r="L22" s="229">
        <f t="shared" ref="L22:O22" si="11">SUM(L19:L21)</f>
        <v>420.16630275604371</v>
      </c>
      <c r="M22" s="229">
        <f t="shared" si="11"/>
        <v>424.27804860830639</v>
      </c>
      <c r="N22" s="229">
        <f t="shared" si="11"/>
        <v>433.01978924559194</v>
      </c>
      <c r="O22" s="229">
        <f t="shared" si="11"/>
        <v>446.07790602021583</v>
      </c>
    </row>
    <row r="23" spans="2:15" x14ac:dyDescent="0.25">
      <c r="B23" s="236" t="s">
        <v>109</v>
      </c>
      <c r="C23" s="237">
        <f>'Proposed Fee'!N15</f>
        <v>124.48394561860258</v>
      </c>
      <c r="D23" s="238">
        <f>D22*D$3</f>
        <v>124.48394561860258</v>
      </c>
      <c r="E23" s="238">
        <f t="shared" ref="E23:H23" si="12">E22*E$3</f>
        <v>124.48394561860258</v>
      </c>
      <c r="F23" s="238">
        <f t="shared" si="12"/>
        <v>125.61560755388692</v>
      </c>
      <c r="G23" s="238">
        <f t="shared" si="12"/>
        <v>128.02156732931917</v>
      </c>
      <c r="H23" s="238">
        <f t="shared" si="12"/>
        <v>131.61550874284498</v>
      </c>
      <c r="J23" s="237">
        <f>'Proposed Fee'!N27</f>
        <v>195.76666171664863</v>
      </c>
      <c r="K23" s="238">
        <f>K22*K$3</f>
        <v>195.76666171664863</v>
      </c>
      <c r="L23" s="238">
        <f t="shared" ref="L23:O23" si="13">L22*L$3</f>
        <v>195.76666171664863</v>
      </c>
      <c r="M23" s="238">
        <f t="shared" si="13"/>
        <v>197.68243352901146</v>
      </c>
      <c r="N23" s="238">
        <f t="shared" si="13"/>
        <v>201.75544312290029</v>
      </c>
      <c r="O23" s="238">
        <f t="shared" si="13"/>
        <v>207.83956722449096</v>
      </c>
    </row>
    <row r="24" spans="2:15" x14ac:dyDescent="0.25">
      <c r="B24" s="236" t="s">
        <v>110</v>
      </c>
      <c r="C24" s="237">
        <f>'Proposed Fee'!O15</f>
        <v>42.84888240112862</v>
      </c>
      <c r="D24" s="238">
        <f>D22*D$4</f>
        <v>42.84888240112862</v>
      </c>
      <c r="E24" s="238">
        <f t="shared" ref="E24:H24" si="14">E22*E$4</f>
        <v>42.84888240112862</v>
      </c>
      <c r="F24" s="238">
        <f t="shared" si="14"/>
        <v>43.238414151121496</v>
      </c>
      <c r="G24" s="238">
        <f t="shared" si="14"/>
        <v>44.066574657820091</v>
      </c>
      <c r="H24" s="238">
        <f t="shared" si="14"/>
        <v>45.303652838620465</v>
      </c>
      <c r="J24" s="237">
        <f>'Proposed Fee'!O27</f>
        <v>67.385256984533328</v>
      </c>
      <c r="K24" s="238">
        <f>K22*K$4</f>
        <v>67.385256984533314</v>
      </c>
      <c r="L24" s="238">
        <f t="shared" ref="L24:O24" si="15">L22*L$4</f>
        <v>67.385256984533314</v>
      </c>
      <c r="M24" s="238">
        <f t="shared" si="15"/>
        <v>68.044688854943644</v>
      </c>
      <c r="N24" s="238">
        <f t="shared" si="15"/>
        <v>69.446668108091046</v>
      </c>
      <c r="O24" s="238">
        <f t="shared" si="15"/>
        <v>71.540897342611501</v>
      </c>
    </row>
    <row r="25" spans="2:15" x14ac:dyDescent="0.25">
      <c r="B25" s="236" t="s">
        <v>111</v>
      </c>
      <c r="C25" s="237">
        <f>'Proposed Fee'!P15</f>
        <v>27.556486886759803</v>
      </c>
      <c r="D25" s="238">
        <f>SUM(D22:D24)*D$5</f>
        <v>27.556486886759799</v>
      </c>
      <c r="E25" s="238">
        <f t="shared" ref="E25:H25" si="16">SUM(E22:E24)*E$5</f>
        <v>27.556486886759799</v>
      </c>
      <c r="F25" s="238">
        <f t="shared" si="16"/>
        <v>27.806998124373145</v>
      </c>
      <c r="G25" s="238">
        <f t="shared" si="16"/>
        <v>28.339595309273605</v>
      </c>
      <c r="H25" s="238">
        <f t="shared" si="16"/>
        <v>29.135170987257318</v>
      </c>
      <c r="J25" s="237">
        <f>'Proposed Fee'!P27</f>
        <v>43.336041604817268</v>
      </c>
      <c r="K25" s="238">
        <f>SUM(K22:K24)*K$5</f>
        <v>43.336041604817254</v>
      </c>
      <c r="L25" s="238">
        <f t="shared" ref="L25:O25" si="17">SUM(L22:L24)*L$5</f>
        <v>43.336041604817254</v>
      </c>
      <c r="M25" s="238">
        <f t="shared" si="17"/>
        <v>43.760127944329227</v>
      </c>
      <c r="N25" s="238">
        <f t="shared" si="17"/>
        <v>44.661752928224907</v>
      </c>
      <c r="O25" s="238">
        <f t="shared" si="17"/>
        <v>46.008569862647732</v>
      </c>
    </row>
    <row r="26" spans="2:15" s="213" customFormat="1" x14ac:dyDescent="0.25">
      <c r="B26" s="240" t="s">
        <v>135</v>
      </c>
      <c r="C26" s="241">
        <f>'Proposed Fee'!Q15</f>
        <v>462.06432174579163</v>
      </c>
      <c r="D26" s="242">
        <f>SUM(D22:D25)</f>
        <v>462.06432174579157</v>
      </c>
      <c r="E26" s="242">
        <f t="shared" ref="E26:H26" si="18">SUM(E22:E25)</f>
        <v>462.06432174579157</v>
      </c>
      <c r="F26" s="242">
        <f t="shared" si="18"/>
        <v>466.26486826586074</v>
      </c>
      <c r="G26" s="242">
        <f t="shared" si="18"/>
        <v>475.19540277180283</v>
      </c>
      <c r="H26" s="242">
        <f t="shared" si="18"/>
        <v>488.53553344795296</v>
      </c>
      <c r="J26" s="241">
        <f>'Proposed Fee'!Q27</f>
        <v>726.6542630620429</v>
      </c>
      <c r="K26" s="242">
        <f>SUM(K22:K25)</f>
        <v>726.6542630620429</v>
      </c>
      <c r="L26" s="242">
        <f t="shared" ref="L26:O26" si="19">SUM(L22:L25)</f>
        <v>726.6542630620429</v>
      </c>
      <c r="M26" s="242">
        <f t="shared" si="19"/>
        <v>733.76529893659074</v>
      </c>
      <c r="N26" s="242">
        <f t="shared" si="19"/>
        <v>748.88365340480811</v>
      </c>
      <c r="O26" s="242">
        <f t="shared" si="19"/>
        <v>771.46694044996605</v>
      </c>
    </row>
    <row r="27" spans="2:15" x14ac:dyDescent="0.25">
      <c r="B27" s="243" t="s">
        <v>136</v>
      </c>
      <c r="C27" s="238"/>
      <c r="D27" s="244">
        <f>'Forecast Revenue - Costs'!D12</f>
        <v>100</v>
      </c>
      <c r="E27" s="244">
        <f>'Forecast Revenue - Costs'!E12</f>
        <v>96</v>
      </c>
      <c r="F27" s="244">
        <f>'Forecast Revenue - Costs'!F12</f>
        <v>92.16</v>
      </c>
      <c r="G27" s="244">
        <f>'Forecast Revenue - Costs'!G12</f>
        <v>88.47359999999999</v>
      </c>
      <c r="H27" s="244">
        <f>'Forecast Revenue - Costs'!H12</f>
        <v>84.93465599999999</v>
      </c>
      <c r="J27" s="238"/>
      <c r="K27" s="244">
        <f>'Forecast Revenue - Costs'!D13</f>
        <v>15</v>
      </c>
      <c r="L27" s="244">
        <f>'Forecast Revenue - Costs'!E13</f>
        <v>14.4</v>
      </c>
      <c r="M27" s="244">
        <f>'Forecast Revenue - Costs'!F13</f>
        <v>13.824</v>
      </c>
      <c r="N27" s="244">
        <f>'Forecast Revenue - Costs'!G13</f>
        <v>13.271039999999999</v>
      </c>
      <c r="O27" s="244">
        <f>'Forecast Revenue - Costs'!H13</f>
        <v>12.740198399999999</v>
      </c>
    </row>
    <row r="28" spans="2:15" s="213" customFormat="1" x14ac:dyDescent="0.25">
      <c r="B28" s="230" t="s">
        <v>137</v>
      </c>
      <c r="C28" s="229"/>
      <c r="D28" s="233">
        <f>D26*D27</f>
        <v>46206.43217457916</v>
      </c>
      <c r="E28" s="233">
        <f t="shared" ref="E28:H28" si="20">E26*E27</f>
        <v>44358.174887595989</v>
      </c>
      <c r="F28" s="233">
        <f t="shared" si="20"/>
        <v>42970.970259381727</v>
      </c>
      <c r="G28" s="233">
        <f t="shared" si="20"/>
        <v>42042.247986671369</v>
      </c>
      <c r="H28" s="233">
        <f t="shared" si="20"/>
        <v>41493.597477178373</v>
      </c>
      <c r="J28" s="229"/>
      <c r="K28" s="233">
        <f>K27*K26</f>
        <v>10899.813945930644</v>
      </c>
      <c r="L28" s="233">
        <f t="shared" ref="L28:O28" si="21">L27*L26</f>
        <v>10463.821388093418</v>
      </c>
      <c r="M28" s="233">
        <f t="shared" si="21"/>
        <v>10143.57149249943</v>
      </c>
      <c r="N28" s="233">
        <f t="shared" si="21"/>
        <v>9938.4649196813443</v>
      </c>
      <c r="O28" s="233">
        <f t="shared" si="21"/>
        <v>9828.6418803735523</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90" zoomScaleNormal="90" workbookViewId="0">
      <selection activeCell="B21" sqref="B21"/>
    </sheetView>
  </sheetViews>
  <sheetFormatPr defaultRowHeight="15" x14ac:dyDescent="0.25"/>
  <cols>
    <col min="1" max="1" width="3.28515625" style="111" customWidth="1"/>
    <col min="2" max="2" width="74.7109375" style="111" customWidth="1"/>
    <col min="3" max="3" width="78.42578125" style="111" customWidth="1"/>
    <col min="4" max="4" width="11.85546875" style="111" customWidth="1"/>
    <col min="5" max="8" width="11.28515625" style="111" customWidth="1"/>
    <col min="9" max="9" width="12.7109375" style="111" customWidth="1"/>
    <col min="10" max="16384" width="9.140625" style="111"/>
  </cols>
  <sheetData>
    <row r="2" spans="2:9" x14ac:dyDescent="0.25">
      <c r="B2" s="109" t="s">
        <v>49</v>
      </c>
      <c r="C2" s="110"/>
      <c r="D2" s="110"/>
      <c r="E2" s="110"/>
      <c r="F2" s="110"/>
      <c r="G2" s="110"/>
      <c r="H2" s="110"/>
      <c r="I2" s="110"/>
    </row>
    <row r="3" spans="2:9" x14ac:dyDescent="0.25">
      <c r="B3" s="112"/>
      <c r="C3" s="112"/>
      <c r="D3" s="112"/>
      <c r="E3" s="112"/>
      <c r="F3" s="112"/>
      <c r="G3" s="112"/>
      <c r="H3" s="112"/>
      <c r="I3" s="112"/>
    </row>
    <row r="4" spans="2:9" x14ac:dyDescent="0.25">
      <c r="B4" s="113" t="s">
        <v>87</v>
      </c>
      <c r="C4" s="113" t="s">
        <v>3</v>
      </c>
      <c r="D4" s="114" t="s">
        <v>58</v>
      </c>
      <c r="E4" s="114" t="s">
        <v>59</v>
      </c>
      <c r="F4" s="114" t="s">
        <v>60</v>
      </c>
      <c r="G4" s="114" t="s">
        <v>88</v>
      </c>
      <c r="H4" s="114" t="s">
        <v>61</v>
      </c>
      <c r="I4" s="115" t="s">
        <v>1</v>
      </c>
    </row>
    <row r="5" spans="2:9" x14ac:dyDescent="0.25">
      <c r="B5" s="116" t="s">
        <v>90</v>
      </c>
      <c r="C5" s="4" t="s">
        <v>140</v>
      </c>
      <c r="D5" s="117">
        <f>'Forecast by year'!D28</f>
        <v>46206.43217457916</v>
      </c>
      <c r="E5" s="117">
        <f>'Forecast by year'!E28</f>
        <v>44358.174887595989</v>
      </c>
      <c r="F5" s="117">
        <f>'Forecast by year'!F28</f>
        <v>42970.970259381727</v>
      </c>
      <c r="G5" s="117">
        <f>'Forecast by year'!G28</f>
        <v>42042.247986671369</v>
      </c>
      <c r="H5" s="117">
        <f>'Forecast by year'!H28</f>
        <v>41493.597477178373</v>
      </c>
      <c r="I5" s="209">
        <f>SUM(D5:H5)</f>
        <v>217071.42278540661</v>
      </c>
    </row>
    <row r="6" spans="2:9" x14ac:dyDescent="0.25">
      <c r="B6" s="118"/>
      <c r="C6" s="4" t="s">
        <v>141</v>
      </c>
      <c r="D6" s="119">
        <f>'Forecast by year'!K28</f>
        <v>10899.813945930644</v>
      </c>
      <c r="E6" s="119">
        <f>'Forecast by year'!L28</f>
        <v>10463.821388093418</v>
      </c>
      <c r="F6" s="119">
        <f>'Forecast by year'!M28</f>
        <v>10143.57149249943</v>
      </c>
      <c r="G6" s="119">
        <f>'Forecast by year'!N28</f>
        <v>9938.4649196813443</v>
      </c>
      <c r="H6" s="119">
        <f>'Forecast by year'!O28</f>
        <v>9828.6418803735523</v>
      </c>
      <c r="I6" s="209">
        <f t="shared" ref="I6" si="0">SUM(D6:H6)</f>
        <v>51274.313626578391</v>
      </c>
    </row>
    <row r="7" spans="2:9" x14ac:dyDescent="0.25">
      <c r="B7" s="120" t="s">
        <v>1</v>
      </c>
      <c r="C7" s="121"/>
      <c r="D7" s="122">
        <f>SUM(D5:D6)</f>
        <v>57106.246120509808</v>
      </c>
      <c r="E7" s="122">
        <f>SUM(E5:E6)</f>
        <v>54821.996275689409</v>
      </c>
      <c r="F7" s="122">
        <f>SUM(F5:F6)</f>
        <v>53114.541751881159</v>
      </c>
      <c r="G7" s="122">
        <f>SUM(G5:G6)</f>
        <v>51980.71290635271</v>
      </c>
      <c r="H7" s="122">
        <f>SUM(H5:H6)</f>
        <v>51322.239357551924</v>
      </c>
      <c r="I7" s="122">
        <f>SUM(I5:I6)</f>
        <v>268345.73641198501</v>
      </c>
    </row>
    <row r="8" spans="2:9" x14ac:dyDescent="0.25">
      <c r="B8" s="112"/>
      <c r="C8" s="112"/>
      <c r="D8" s="112"/>
      <c r="E8" s="112"/>
      <c r="F8" s="112"/>
      <c r="G8" s="112"/>
      <c r="H8" s="112"/>
      <c r="I8" s="112"/>
    </row>
    <row r="9" spans="2:9" x14ac:dyDescent="0.25">
      <c r="B9" s="109" t="s">
        <v>27</v>
      </c>
      <c r="C9" s="110"/>
      <c r="D9" s="110"/>
      <c r="E9" s="110"/>
      <c r="F9" s="110"/>
      <c r="G9" s="110"/>
      <c r="H9" s="110"/>
      <c r="I9" s="110"/>
    </row>
    <row r="10" spans="2:9" x14ac:dyDescent="0.25">
      <c r="B10" s="112"/>
      <c r="C10" s="112"/>
      <c r="D10" s="112"/>
      <c r="E10" s="112"/>
      <c r="F10" s="112"/>
      <c r="G10" s="112"/>
      <c r="H10" s="112"/>
      <c r="I10" s="112"/>
    </row>
    <row r="11" spans="2:9" x14ac:dyDescent="0.25">
      <c r="B11" s="113" t="s">
        <v>87</v>
      </c>
      <c r="C11" s="113" t="s">
        <v>3</v>
      </c>
      <c r="D11" s="114" t="s">
        <v>58</v>
      </c>
      <c r="E11" s="114" t="s">
        <v>59</v>
      </c>
      <c r="F11" s="114" t="s">
        <v>60</v>
      </c>
      <c r="G11" s="114" t="s">
        <v>88</v>
      </c>
      <c r="H11" s="114" t="s">
        <v>61</v>
      </c>
      <c r="I11" s="115" t="s">
        <v>1</v>
      </c>
    </row>
    <row r="12" spans="2:9" x14ac:dyDescent="0.25">
      <c r="B12" s="116" t="s">
        <v>90</v>
      </c>
      <c r="C12" s="4" t="s">
        <v>140</v>
      </c>
      <c r="D12" s="123">
        <v>100</v>
      </c>
      <c r="E12" s="103">
        <f>D12-D12*4%</f>
        <v>96</v>
      </c>
      <c r="F12" s="103">
        <f t="shared" ref="F12:H12" si="1">E12-E12*4%</f>
        <v>92.16</v>
      </c>
      <c r="G12" s="103">
        <f t="shared" si="1"/>
        <v>88.47359999999999</v>
      </c>
      <c r="H12" s="103">
        <f t="shared" si="1"/>
        <v>84.93465599999999</v>
      </c>
      <c r="I12" s="210">
        <f>SUM(D12:H12)</f>
        <v>461.56825599999991</v>
      </c>
    </row>
    <row r="13" spans="2:9" x14ac:dyDescent="0.25">
      <c r="B13" s="124"/>
      <c r="C13" s="4" t="s">
        <v>141</v>
      </c>
      <c r="D13" s="123">
        <v>15</v>
      </c>
      <c r="E13" s="103">
        <f>D13-D13*4%</f>
        <v>14.4</v>
      </c>
      <c r="F13" s="103">
        <f t="shared" ref="F13:H13" si="2">E13-E13*4%</f>
        <v>13.824</v>
      </c>
      <c r="G13" s="103">
        <f t="shared" si="2"/>
        <v>13.271039999999999</v>
      </c>
      <c r="H13" s="103">
        <f t="shared" si="2"/>
        <v>12.740198399999999</v>
      </c>
      <c r="I13" s="211">
        <f>SUM(D13:H13)</f>
        <v>69.2352384</v>
      </c>
    </row>
    <row r="14" spans="2:9" x14ac:dyDescent="0.25">
      <c r="B14" s="120" t="s">
        <v>17</v>
      </c>
      <c r="C14" s="121"/>
      <c r="D14" s="125">
        <f>SUM(D12:D13)</f>
        <v>115</v>
      </c>
      <c r="E14" s="125">
        <f>SUM(E12:E13)</f>
        <v>110.4</v>
      </c>
      <c r="F14" s="125">
        <f>SUM(F12:F13)</f>
        <v>105.98399999999999</v>
      </c>
      <c r="G14" s="125">
        <f>SUM(G12:G13)</f>
        <v>101.74463999999999</v>
      </c>
      <c r="H14" s="125">
        <f>SUM(H12:H13)</f>
        <v>97.674854399999987</v>
      </c>
      <c r="I14" s="125">
        <f>SUM(I12:I13)</f>
        <v>530.80349439999986</v>
      </c>
    </row>
    <row r="15" spans="2:9" x14ac:dyDescent="0.25">
      <c r="B15" s="112"/>
      <c r="C15" s="112"/>
      <c r="D15" s="126"/>
      <c r="E15" s="126"/>
      <c r="F15" s="126"/>
      <c r="G15" s="126"/>
      <c r="H15" s="126"/>
      <c r="I15" s="126"/>
    </row>
    <row r="16" spans="2:9" x14ac:dyDescent="0.25">
      <c r="B16" s="127" t="s">
        <v>6</v>
      </c>
      <c r="C16" s="112"/>
      <c r="D16" s="126"/>
      <c r="E16" s="126"/>
      <c r="F16" s="126"/>
      <c r="G16" s="126"/>
      <c r="H16" s="126"/>
      <c r="I16" s="126"/>
    </row>
    <row r="17" spans="2:9" x14ac:dyDescent="0.25">
      <c r="B17" s="284" t="s">
        <v>139</v>
      </c>
      <c r="C17" s="285"/>
      <c r="D17" s="285"/>
      <c r="E17" s="285"/>
      <c r="F17" s="285"/>
      <c r="G17" s="285"/>
      <c r="H17" s="285"/>
      <c r="I17" s="285"/>
    </row>
    <row r="18" spans="2:9" x14ac:dyDescent="0.25">
      <c r="B18" s="286"/>
      <c r="C18" s="286"/>
      <c r="D18" s="286"/>
      <c r="E18" s="286"/>
      <c r="F18" s="286"/>
      <c r="G18" s="286"/>
      <c r="H18" s="286"/>
      <c r="I18" s="286"/>
    </row>
    <row r="19" spans="2:9" x14ac:dyDescent="0.25">
      <c r="B19" s="112"/>
      <c r="C19" s="112"/>
      <c r="D19" s="126"/>
      <c r="E19" s="126"/>
      <c r="F19" s="126"/>
      <c r="G19" s="126"/>
      <c r="H19" s="126"/>
      <c r="I19" s="126"/>
    </row>
    <row r="20" spans="2:9" x14ac:dyDescent="0.25">
      <c r="B20" s="109" t="s">
        <v>28</v>
      </c>
      <c r="C20" s="110"/>
      <c r="D20" s="110"/>
      <c r="E20" s="110"/>
      <c r="F20" s="110"/>
      <c r="G20" s="110"/>
      <c r="H20" s="110"/>
      <c r="I20" s="110"/>
    </row>
    <row r="21" spans="2:9" x14ac:dyDescent="0.25">
      <c r="B21" s="112"/>
      <c r="C21" s="112"/>
      <c r="D21" s="112"/>
      <c r="E21" s="112"/>
      <c r="F21" s="112"/>
      <c r="G21" s="112"/>
      <c r="H21" s="112"/>
      <c r="I21" s="112"/>
    </row>
    <row r="22" spans="2:9" x14ac:dyDescent="0.25">
      <c r="B22" s="128" t="s">
        <v>26</v>
      </c>
      <c r="C22" s="129"/>
      <c r="D22" s="129"/>
      <c r="E22" s="129"/>
      <c r="F22" s="129"/>
      <c r="G22" s="129"/>
      <c r="H22" s="129"/>
      <c r="I22" s="129"/>
    </row>
    <row r="23" spans="2:9" x14ac:dyDescent="0.25">
      <c r="B23" s="272" t="s">
        <v>142</v>
      </c>
      <c r="C23" s="287"/>
      <c r="D23" s="287"/>
      <c r="E23" s="287"/>
      <c r="F23" s="287"/>
      <c r="G23" s="287"/>
      <c r="H23" s="287"/>
      <c r="I23" s="287"/>
    </row>
    <row r="24" spans="2:9" x14ac:dyDescent="0.25">
      <c r="B24" s="288"/>
      <c r="C24" s="288"/>
      <c r="D24" s="288"/>
      <c r="E24" s="288"/>
      <c r="F24" s="288"/>
      <c r="G24" s="288"/>
      <c r="H24" s="288"/>
      <c r="I24" s="288"/>
    </row>
    <row r="25" spans="2:9" x14ac:dyDescent="0.25">
      <c r="B25" s="130"/>
      <c r="C25" s="131"/>
      <c r="D25" s="131"/>
      <c r="E25" s="131"/>
      <c r="F25" s="131"/>
      <c r="G25" s="131"/>
      <c r="H25" s="131"/>
      <c r="I25" s="131"/>
    </row>
    <row r="26" spans="2:9" x14ac:dyDescent="0.25">
      <c r="B26" s="112"/>
      <c r="C26" s="112"/>
      <c r="D26" s="112"/>
      <c r="E26" s="112"/>
      <c r="F26" s="112"/>
      <c r="G26" s="112"/>
      <c r="H26" s="112"/>
      <c r="I26" s="112"/>
    </row>
    <row r="27" spans="2:9" customFormat="1" x14ac:dyDescent="0.25">
      <c r="B27" s="212" t="s">
        <v>48</v>
      </c>
      <c r="C27" s="31"/>
      <c r="D27" s="289" t="s">
        <v>113</v>
      </c>
      <c r="E27" s="289"/>
      <c r="F27" s="289"/>
      <c r="G27" s="289"/>
      <c r="H27" s="289"/>
      <c r="I27" s="31"/>
    </row>
    <row r="28" spans="2:9" customFormat="1" ht="15.75" customHeight="1" x14ac:dyDescent="0.25">
      <c r="B28" s="2" t="s">
        <v>20</v>
      </c>
      <c r="C28" s="20" t="s">
        <v>3</v>
      </c>
      <c r="D28" s="71" t="s">
        <v>58</v>
      </c>
      <c r="E28" s="71" t="s">
        <v>59</v>
      </c>
      <c r="F28" s="71" t="s">
        <v>60</v>
      </c>
      <c r="G28" s="71" t="s">
        <v>88</v>
      </c>
      <c r="H28" s="134" t="s">
        <v>61</v>
      </c>
      <c r="I28" s="21" t="s">
        <v>1</v>
      </c>
    </row>
    <row r="29" spans="2:9" s="213" customFormat="1" x14ac:dyDescent="0.25">
      <c r="B29" s="214" t="s">
        <v>114</v>
      </c>
      <c r="C29" s="215"/>
      <c r="D29" s="102">
        <f>'Forecast by year'!D8+'Forecast by year'!K8</f>
        <v>27687.30431834513</v>
      </c>
      <c r="E29" s="102">
        <f>'Forecast by year'!E8+'Forecast by year'!L8</f>
        <v>26579.812145611322</v>
      </c>
      <c r="F29" s="102">
        <f>'Forecast by year'!F8+'Forecast by year'!M8</f>
        <v>25797.302476044522</v>
      </c>
      <c r="G29" s="102">
        <f>'Forecast by year'!G8+'Forecast by year'!N8</f>
        <v>25338.283849843563</v>
      </c>
      <c r="H29" s="102">
        <f>'Forecast by year'!H8+'Forecast by year'!O8</f>
        <v>25146.261970357882</v>
      </c>
      <c r="I29" s="216">
        <f t="shared" ref="I29:I31" si="3">SUM(D29:H29)</f>
        <v>130548.96476020242</v>
      </c>
    </row>
    <row r="30" spans="2:9" s="213" customFormat="1" x14ac:dyDescent="0.25">
      <c r="B30" s="214" t="s">
        <v>115</v>
      </c>
      <c r="C30" s="217"/>
      <c r="D30" s="102">
        <f>'Forecast by year'!D9+'Forecast by year'!K9</f>
        <v>5332.6909069255926</v>
      </c>
      <c r="E30" s="102">
        <f>'Forecast by year'!E9+'Forecast by year'!L9</f>
        <v>5119.3832706485682</v>
      </c>
      <c r="F30" s="102">
        <f>'Forecast by year'!F9+'Forecast by year'!M9</f>
        <v>4914.6079398226257</v>
      </c>
      <c r="G30" s="102">
        <f>'Forecast by year'!G9+'Forecast by year'!N9</f>
        <v>4718.0236222297199</v>
      </c>
      <c r="H30" s="102">
        <f>'Forecast by year'!H9+'Forecast by year'!O9</f>
        <v>4529.3026773405318</v>
      </c>
      <c r="I30" s="216">
        <f t="shared" si="3"/>
        <v>24614.008416967041</v>
      </c>
    </row>
    <row r="31" spans="2:9" s="213" customFormat="1" x14ac:dyDescent="0.25">
      <c r="B31" s="214" t="s">
        <v>105</v>
      </c>
      <c r="C31" s="217"/>
      <c r="D31" s="102">
        <f>'Forecast by year'!D10+'Forecast by year'!K10</f>
        <v>0</v>
      </c>
      <c r="E31" s="102">
        <f>'Forecast by year'!E10+'Forecast by year'!L10</f>
        <v>0</v>
      </c>
      <c r="F31" s="102">
        <f>'Forecast by year'!F10+'Forecast by year'!M10</f>
        <v>0</v>
      </c>
      <c r="G31" s="102">
        <f>'Forecast by year'!G10+'Forecast by year'!N10</f>
        <v>0</v>
      </c>
      <c r="H31" s="102">
        <f>'Forecast by year'!H10+'Forecast by year'!O10</f>
        <v>0</v>
      </c>
      <c r="I31" s="216">
        <f t="shared" si="3"/>
        <v>0</v>
      </c>
    </row>
    <row r="32" spans="2:9" s="213" customFormat="1" x14ac:dyDescent="0.25">
      <c r="B32" s="218" t="s">
        <v>116</v>
      </c>
      <c r="C32" s="217"/>
      <c r="D32" s="219">
        <f>'Forecast by year'!D11+'Forecast by year'!K11</f>
        <v>33019.995225270715</v>
      </c>
      <c r="E32" s="219">
        <f>'Forecast by year'!E11+'Forecast by year'!L11</f>
        <v>31699.195416259892</v>
      </c>
      <c r="F32" s="219">
        <f>'Forecast by year'!F11+'Forecast by year'!M11</f>
        <v>30711.910415867147</v>
      </c>
      <c r="G32" s="219">
        <f>'Forecast by year'!G11+'Forecast by year'!N11</f>
        <v>30056.307472073284</v>
      </c>
      <c r="H32" s="219">
        <f>'Forecast by year'!H11+'Forecast by year'!O11</f>
        <v>29675.564647698415</v>
      </c>
      <c r="I32" s="216">
        <f>SUM(D32:H32)</f>
        <v>155162.97317716945</v>
      </c>
    </row>
    <row r="33" spans="2:9" customFormat="1" x14ac:dyDescent="0.25">
      <c r="B33" s="5" t="s">
        <v>109</v>
      </c>
      <c r="C33" s="10"/>
      <c r="D33" s="102">
        <f>'Forecast by year'!D12+'Forecast by year'!K12</f>
        <v>15384.894487609987</v>
      </c>
      <c r="E33" s="102">
        <f>'Forecast by year'!E12+'Forecast by year'!L12</f>
        <v>14769.498708105588</v>
      </c>
      <c r="F33" s="102">
        <f>'Forecast by year'!F12+'Forecast by year'!M12</f>
        <v>14309.496353271272</v>
      </c>
      <c r="G33" s="102">
        <f>'Forecast by year'!G12+'Forecast by year'!N12</f>
        <v>14004.033495168986</v>
      </c>
      <c r="H33" s="102">
        <f>'Forecast by year'!H12+'Forecast by year'!O12</f>
        <v>13826.635281148681</v>
      </c>
      <c r="I33" s="216">
        <f>SUM(D33:H33)</f>
        <v>72294.558325304519</v>
      </c>
    </row>
    <row r="34" spans="2:9" customFormat="1" x14ac:dyDescent="0.25">
      <c r="B34" s="5" t="s">
        <v>110</v>
      </c>
      <c r="C34" s="4"/>
      <c r="D34" s="102">
        <f>'Forecast by year'!D13+'Forecast by year'!K13</f>
        <v>5295.6670948808624</v>
      </c>
      <c r="E34" s="102">
        <f>'Forecast by year'!E13+'Forecast by year'!L13</f>
        <v>5083.8404110856281</v>
      </c>
      <c r="F34" s="102">
        <f>'Forecast by year'!F13+'Forecast by year'!M13</f>
        <v>4925.5020268980979</v>
      </c>
      <c r="G34" s="102">
        <f>'Forecast by year'!G13+'Forecast by year'!N13</f>
        <v>4820.3580099753117</v>
      </c>
      <c r="H34" s="102">
        <f>'Forecast by year'!H13+'Forecast by year'!O13</f>
        <v>4759.2953952505559</v>
      </c>
      <c r="I34" s="216">
        <f>SUM(D34:H34)</f>
        <v>24884.662938090456</v>
      </c>
    </row>
    <row r="35" spans="2:9" customFormat="1" x14ac:dyDescent="0.25">
      <c r="B35" s="5" t="s">
        <v>117</v>
      </c>
      <c r="C35" s="4"/>
      <c r="D35" s="102">
        <f>'Forecast by year'!D14+'Forecast by year'!K14</f>
        <v>3405.6893127482385</v>
      </c>
      <c r="E35" s="102">
        <f>'Forecast by year'!E14+'Forecast by year'!L14</f>
        <v>3269.4617402383092</v>
      </c>
      <c r="F35" s="102">
        <f>'Forecast by year'!F14+'Forecast by year'!M14</f>
        <v>3167.6329558446364</v>
      </c>
      <c r="G35" s="102">
        <f>'Forecast by year'!G14+'Forecast by year'!N14</f>
        <v>3100.0139291351388</v>
      </c>
      <c r="H35" s="102">
        <f>'Forecast by year'!H14+'Forecast by year'!O14</f>
        <v>3060.744033454273</v>
      </c>
      <c r="I35" s="216">
        <f>SUM(D35:H35)</f>
        <v>16003.541971420596</v>
      </c>
    </row>
    <row r="36" spans="2:9" customFormat="1" x14ac:dyDescent="0.25">
      <c r="B36" s="220" t="s">
        <v>1</v>
      </c>
      <c r="C36" s="22"/>
      <c r="D36" s="23">
        <f>SUM(D32:D35)</f>
        <v>57106.246120509801</v>
      </c>
      <c r="E36" s="23">
        <f t="shared" ref="E36:H36" si="4">SUM(E32:E35)</f>
        <v>54821.996275689417</v>
      </c>
      <c r="F36" s="23">
        <f t="shared" si="4"/>
        <v>53114.541751881152</v>
      </c>
      <c r="G36" s="23">
        <f t="shared" si="4"/>
        <v>51980.712906352717</v>
      </c>
      <c r="H36" s="23">
        <f t="shared" si="4"/>
        <v>51322.239357551924</v>
      </c>
      <c r="I36" s="24">
        <f>SUM(I32:I35)</f>
        <v>268345.73641198501</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2018-04-18T03:17:55Z</dcterms:modified>
</cp:coreProperties>
</file>