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3_Contestable Network Commissioning &amp; Decommissioning\"/>
    </mc:Choice>
  </mc:AlternateContent>
  <xr:revisionPtr revIDLastSave="0" documentId="13_ncr:1_{9B49294C-1394-4A82-9DD9-7DEAC116FEA1}" xr6:coauthVersionLast="28" xr6:coauthVersionMax="28" xr10:uidLastSave="{00000000-0000-0000-0000-000000000000}"/>
  <bookViews>
    <workbookView xWindow="120" yWindow="15" windowWidth="19440" windowHeight="12120" tabRatio="653"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I14" i="16" l="1"/>
  <c r="I15" i="16"/>
  <c r="I16" i="16"/>
  <c r="I5" i="15"/>
  <c r="I6" i="15"/>
  <c r="I7" i="15"/>
  <c r="I8" i="15"/>
  <c r="I18" i="16" l="1"/>
  <c r="E17" i="16"/>
  <c r="F17" i="16"/>
  <c r="G17" i="16"/>
  <c r="H17" i="16"/>
  <c r="D17" i="16"/>
  <c r="E39" i="17"/>
  <c r="F39" i="17"/>
  <c r="G39" i="17"/>
  <c r="H39" i="17"/>
  <c r="D39" i="17"/>
  <c r="AQ27" i="11"/>
  <c r="AQ28" i="11"/>
  <c r="AQ29" i="11"/>
  <c r="AQ30" i="11"/>
  <c r="AQ31" i="11"/>
  <c r="AQ32" i="11"/>
  <c r="AQ33" i="11"/>
  <c r="AQ34" i="11"/>
  <c r="AQ35" i="11"/>
  <c r="AP27" i="11"/>
  <c r="AP28" i="11"/>
  <c r="AP29" i="11"/>
  <c r="AP30" i="11"/>
  <c r="AU30" i="11" s="1"/>
  <c r="AP31" i="11"/>
  <c r="AP32" i="11"/>
  <c r="AP33" i="11"/>
  <c r="AP34" i="11"/>
  <c r="AU34" i="11" s="1"/>
  <c r="AP35" i="11"/>
  <c r="AQ8" i="11"/>
  <c r="AQ9" i="11"/>
  <c r="AQ10" i="11"/>
  <c r="AQ11" i="11"/>
  <c r="AQ12" i="11"/>
  <c r="AQ13" i="11"/>
  <c r="AQ14" i="11"/>
  <c r="AQ15" i="11"/>
  <c r="AQ16" i="11"/>
  <c r="AP8" i="11"/>
  <c r="AP9" i="11"/>
  <c r="AU9" i="11" s="1"/>
  <c r="AP10" i="11"/>
  <c r="AP11" i="11"/>
  <c r="AP12" i="11"/>
  <c r="AP13" i="11"/>
  <c r="AU13" i="11" s="1"/>
  <c r="AP14" i="11"/>
  <c r="AP15" i="11"/>
  <c r="AP16" i="11"/>
  <c r="AN27" i="11"/>
  <c r="AN28" i="11"/>
  <c r="AN29" i="11"/>
  <c r="AN30" i="11"/>
  <c r="AN31" i="11"/>
  <c r="AN32" i="11"/>
  <c r="AN33" i="11"/>
  <c r="AN34" i="11"/>
  <c r="AN35" i="11"/>
  <c r="AN8" i="11"/>
  <c r="AN9" i="11"/>
  <c r="AN10" i="11"/>
  <c r="AN11" i="11"/>
  <c r="AN12" i="11"/>
  <c r="AN13" i="11"/>
  <c r="AN14" i="11"/>
  <c r="AN15" i="11"/>
  <c r="AN16" i="11"/>
  <c r="AN26" i="11"/>
  <c r="F7" i="11"/>
  <c r="AU15" i="11" l="1"/>
  <c r="AV15" i="11" s="1"/>
  <c r="AU11" i="11"/>
  <c r="AV11" i="11" s="1"/>
  <c r="AU32" i="11"/>
  <c r="AW32" i="11" s="1"/>
  <c r="AU28" i="11"/>
  <c r="AW28" i="11" s="1"/>
  <c r="AU14" i="11"/>
  <c r="AW14" i="11" s="1"/>
  <c r="AU10" i="11"/>
  <c r="AW10" i="11" s="1"/>
  <c r="AU35" i="11"/>
  <c r="AV35" i="11" s="1"/>
  <c r="AU31" i="11"/>
  <c r="AW31" i="11" s="1"/>
  <c r="AU27" i="11"/>
  <c r="AV27" i="11" s="1"/>
  <c r="AX27" i="11" s="1"/>
  <c r="AU16" i="11"/>
  <c r="AW16" i="11" s="1"/>
  <c r="AU12" i="11"/>
  <c r="AW12" i="11" s="1"/>
  <c r="AU8" i="11"/>
  <c r="AV8" i="11" s="1"/>
  <c r="AU33" i="11"/>
  <c r="AW33" i="11" s="1"/>
  <c r="AU29" i="11"/>
  <c r="AW29" i="11" s="1"/>
  <c r="AW13" i="11"/>
  <c r="AV13" i="11"/>
  <c r="AV9" i="11"/>
  <c r="AW9" i="11"/>
  <c r="AW34" i="11"/>
  <c r="AV34" i="11"/>
  <c r="AV16" i="11"/>
  <c r="AV30" i="11"/>
  <c r="AW30" i="11"/>
  <c r="AW27" i="11"/>
  <c r="AV14" i="11"/>
  <c r="AV32" i="11"/>
  <c r="AW11" i="11"/>
  <c r="AX11" i="11" s="1"/>
  <c r="AY11" i="11" s="1"/>
  <c r="E63" i="17"/>
  <c r="F63" i="17"/>
  <c r="G63" i="17"/>
  <c r="H63" i="17"/>
  <c r="D63" i="17"/>
  <c r="E51" i="17"/>
  <c r="F51" i="17"/>
  <c r="G51" i="17"/>
  <c r="H51" i="17"/>
  <c r="D51" i="17"/>
  <c r="E27" i="17"/>
  <c r="F27" i="17"/>
  <c r="G27" i="17"/>
  <c r="H27" i="17"/>
  <c r="D27" i="17"/>
  <c r="AX14" i="11" l="1"/>
  <c r="AY14" i="11" s="1"/>
  <c r="AW15" i="11"/>
  <c r="AX15" i="11" s="1"/>
  <c r="AV33" i="11"/>
  <c r="AY33" i="11" s="1"/>
  <c r="AV28" i="11"/>
  <c r="AX28" i="11" s="1"/>
  <c r="AX32" i="11"/>
  <c r="AY32" i="11" s="1"/>
  <c r="AV31" i="11"/>
  <c r="AX35" i="11"/>
  <c r="AW8" i="11"/>
  <c r="AX8" i="11" s="1"/>
  <c r="AX30" i="11"/>
  <c r="AW35" i="11"/>
  <c r="AX9" i="11"/>
  <c r="AY9" i="11" s="1"/>
  <c r="AX33" i="11"/>
  <c r="AY30" i="11"/>
  <c r="AV12" i="11"/>
  <c r="AV10" i="11"/>
  <c r="AX10" i="11" s="1"/>
  <c r="AY10" i="11" s="1"/>
  <c r="AV29" i="11"/>
  <c r="AX29" i="11" s="1"/>
  <c r="AX31" i="11"/>
  <c r="AY31" i="11" s="1"/>
  <c r="AX34" i="11"/>
  <c r="AY34" i="11" s="1"/>
  <c r="AY35" i="11"/>
  <c r="AY27" i="11"/>
  <c r="AY28" i="11"/>
  <c r="AX16" i="11"/>
  <c r="AY16" i="11" s="1"/>
  <c r="AX13" i="11"/>
  <c r="AY13" i="11" s="1"/>
  <c r="AY15" i="11"/>
  <c r="BK29" i="11"/>
  <c r="BJ29" i="11"/>
  <c r="J57" i="17" s="1"/>
  <c r="BI29" i="11"/>
  <c r="BF29" i="11"/>
  <c r="BE26" i="11"/>
  <c r="BG26" i="11" s="1"/>
  <c r="W27" i="11"/>
  <c r="Z27" i="11" s="1"/>
  <c r="W28" i="11"/>
  <c r="Z28" i="11" s="1"/>
  <c r="Y28" i="11"/>
  <c r="W29" i="11"/>
  <c r="Y29" i="11" s="1"/>
  <c r="W30" i="11"/>
  <c r="Y30" i="11" s="1"/>
  <c r="W31" i="11"/>
  <c r="Z31" i="11" s="1"/>
  <c r="W32" i="11"/>
  <c r="Y32" i="11" s="1"/>
  <c r="W33" i="11"/>
  <c r="Z33" i="11" s="1"/>
  <c r="W34" i="11"/>
  <c r="Y34" i="11" s="1"/>
  <c r="F27" i="11"/>
  <c r="I27" i="11" s="1"/>
  <c r="F28" i="11"/>
  <c r="I28" i="11" s="1"/>
  <c r="F29" i="11"/>
  <c r="H29" i="11" s="1"/>
  <c r="F30" i="11"/>
  <c r="I30" i="11" s="1"/>
  <c r="F31" i="11"/>
  <c r="H31" i="11" s="1"/>
  <c r="F32" i="11"/>
  <c r="H32" i="11" s="1"/>
  <c r="F33" i="11"/>
  <c r="H33" i="11" s="1"/>
  <c r="F34" i="11"/>
  <c r="H34" i="11" s="1"/>
  <c r="F10" i="11"/>
  <c r="I10" i="11" s="1"/>
  <c r="H5" i="17"/>
  <c r="G5" i="17"/>
  <c r="F5" i="17"/>
  <c r="E5" i="17"/>
  <c r="D5" i="17"/>
  <c r="H4" i="17"/>
  <c r="G4" i="17"/>
  <c r="F4" i="17"/>
  <c r="E4" i="17"/>
  <c r="D4" i="17"/>
  <c r="H3" i="17"/>
  <c r="G3" i="17"/>
  <c r="F3" i="17"/>
  <c r="E3" i="17"/>
  <c r="D3" i="17"/>
  <c r="H2" i="17"/>
  <c r="G2" i="17"/>
  <c r="F2" i="17"/>
  <c r="E2" i="17"/>
  <c r="D2" i="17"/>
  <c r="H1" i="17"/>
  <c r="G1" i="17"/>
  <c r="F1" i="17"/>
  <c r="E1" i="17"/>
  <c r="D1" i="17"/>
  <c r="F9" i="11"/>
  <c r="I9" i="11" s="1"/>
  <c r="AY8" i="11" l="1"/>
  <c r="AX12" i="11"/>
  <c r="AY12" i="11" s="1"/>
  <c r="AY29" i="11"/>
  <c r="Z29" i="11"/>
  <c r="AD29" i="11" s="1"/>
  <c r="AE29" i="11" s="1"/>
  <c r="Y31" i="11"/>
  <c r="AD31" i="11" s="1"/>
  <c r="AE31" i="11" s="1"/>
  <c r="Y27" i="11"/>
  <c r="AD27" i="11" s="1"/>
  <c r="AE27" i="11" s="1"/>
  <c r="BH26" i="11"/>
  <c r="BH29" i="11" s="1"/>
  <c r="J56" i="17" s="1"/>
  <c r="BG29" i="11"/>
  <c r="J55" i="17" s="1"/>
  <c r="BE29" i="11"/>
  <c r="Y33" i="11"/>
  <c r="AD33" i="11" s="1"/>
  <c r="Z32" i="11"/>
  <c r="AD32" i="11" s="1"/>
  <c r="AE32" i="11" s="1"/>
  <c r="AD28" i="11"/>
  <c r="AE28" i="11" s="1"/>
  <c r="Z34" i="11"/>
  <c r="AD34" i="11" s="1"/>
  <c r="Z30" i="11"/>
  <c r="AD30" i="11" s="1"/>
  <c r="H10" i="11"/>
  <c r="M10" i="11" s="1"/>
  <c r="N10" i="11" s="1"/>
  <c r="H28" i="11"/>
  <c r="M28" i="11" s="1"/>
  <c r="O28" i="11" s="1"/>
  <c r="I31" i="11"/>
  <c r="M31" i="11" s="1"/>
  <c r="H30" i="11"/>
  <c r="M30" i="11" s="1"/>
  <c r="N30" i="11" s="1"/>
  <c r="H9" i="11"/>
  <c r="M9" i="11" s="1"/>
  <c r="O9" i="11" s="1"/>
  <c r="I34" i="11"/>
  <c r="M34" i="11" s="1"/>
  <c r="I32" i="11"/>
  <c r="M32" i="11" s="1"/>
  <c r="H27" i="11"/>
  <c r="M27" i="11" s="1"/>
  <c r="O27" i="11" s="1"/>
  <c r="I29" i="11"/>
  <c r="M29" i="11" s="1"/>
  <c r="O29" i="11" s="1"/>
  <c r="I33" i="11"/>
  <c r="M33" i="11" s="1"/>
  <c r="BL26" i="11" l="1"/>
  <c r="BN26" i="11" s="1"/>
  <c r="BN29" i="11" s="1"/>
  <c r="J60" i="17" s="1"/>
  <c r="AE33" i="11"/>
  <c r="AF33" i="11"/>
  <c r="BM26" i="11"/>
  <c r="BM29" i="11" s="1"/>
  <c r="J59" i="17" s="1"/>
  <c r="BL29" i="11"/>
  <c r="J58" i="17" s="1"/>
  <c r="AF29" i="11"/>
  <c r="AG29" i="11" s="1"/>
  <c r="AH29" i="11" s="1"/>
  <c r="AE34" i="11"/>
  <c r="AF34" i="11"/>
  <c r="AF31" i="11"/>
  <c r="AG31" i="11" s="1"/>
  <c r="AH31" i="11" s="1"/>
  <c r="AF28" i="11"/>
  <c r="AG28" i="11" s="1"/>
  <c r="AH28" i="11" s="1"/>
  <c r="AE30" i="11"/>
  <c r="AF30" i="11"/>
  <c r="AF27" i="11"/>
  <c r="AG27" i="11" s="1"/>
  <c r="AH27" i="11" s="1"/>
  <c r="AF32" i="11"/>
  <c r="AG32" i="11" s="1"/>
  <c r="AH32" i="11" s="1"/>
  <c r="N9" i="11"/>
  <c r="P9" i="11" s="1"/>
  <c r="Q9" i="11" s="1"/>
  <c r="N34" i="11"/>
  <c r="O34" i="11"/>
  <c r="N28" i="11"/>
  <c r="P28" i="11" s="1"/>
  <c r="Q28" i="11" s="1"/>
  <c r="O32" i="11"/>
  <c r="N32" i="11"/>
  <c r="O31" i="11"/>
  <c r="N31" i="11"/>
  <c r="O10" i="11"/>
  <c r="P10" i="11" s="1"/>
  <c r="Q10" i="11" s="1"/>
  <c r="N27" i="11"/>
  <c r="P27" i="11" s="1"/>
  <c r="Q27" i="11" s="1"/>
  <c r="O30" i="11"/>
  <c r="P30" i="11" s="1"/>
  <c r="Q30" i="11" s="1"/>
  <c r="N33" i="11"/>
  <c r="O33" i="11"/>
  <c r="N29" i="11"/>
  <c r="P29" i="11" s="1"/>
  <c r="AG30" i="11" l="1"/>
  <c r="AH30" i="11" s="1"/>
  <c r="AG34" i="11"/>
  <c r="AH34" i="11" s="1"/>
  <c r="AG33" i="11"/>
  <c r="AH33" i="11" s="1"/>
  <c r="BO26" i="11"/>
  <c r="BO29" i="11" s="1"/>
  <c r="J61" i="17" s="1"/>
  <c r="P34" i="11"/>
  <c r="Q34" i="11" s="1"/>
  <c r="P32" i="11"/>
  <c r="Q32" i="11" s="1"/>
  <c r="P31" i="11"/>
  <c r="Q31" i="11" s="1"/>
  <c r="Q29" i="11"/>
  <c r="P33" i="11"/>
  <c r="Q33" i="11" s="1"/>
  <c r="BP26" i="11" l="1"/>
  <c r="BP29" i="11" s="1"/>
  <c r="F13" i="11"/>
  <c r="F14" i="11"/>
  <c r="F15" i="11"/>
  <c r="J62" i="17" l="1"/>
  <c r="E10" i="8"/>
  <c r="I15" i="11"/>
  <c r="H15" i="11"/>
  <c r="H14" i="11"/>
  <c r="I14" i="11"/>
  <c r="I13" i="11"/>
  <c r="H13" i="11"/>
  <c r="M14" i="11" l="1"/>
  <c r="N14" i="11" s="1"/>
  <c r="M13" i="11"/>
  <c r="N13" i="11" s="1"/>
  <c r="M15" i="11"/>
  <c r="N15" i="11" s="1"/>
  <c r="O14" i="11" l="1"/>
  <c r="P14" i="11" s="1"/>
  <c r="Q14" i="11" s="1"/>
  <c r="O13" i="11"/>
  <c r="P13" i="11" s="1"/>
  <c r="Q13" i="11" s="1"/>
  <c r="O15" i="11"/>
  <c r="P15" i="11" s="1"/>
  <c r="Q15" i="11" l="1"/>
  <c r="L5" i="17"/>
  <c r="O4" i="17"/>
  <c r="N4" i="17"/>
  <c r="M4" i="17"/>
  <c r="L4" i="17"/>
  <c r="K4" i="17"/>
  <c r="O1" i="17"/>
  <c r="N1" i="17"/>
  <c r="M1" i="17"/>
  <c r="L1" i="17"/>
  <c r="K1" i="17"/>
  <c r="K57" i="17"/>
  <c r="L57" i="17" s="1"/>
  <c r="M57" i="17" s="1"/>
  <c r="N57" i="17" s="1"/>
  <c r="O57" i="17" s="1"/>
  <c r="BF10" i="11"/>
  <c r="BI10" i="11"/>
  <c r="BJ10" i="11"/>
  <c r="BK10" i="11"/>
  <c r="AO37" i="11"/>
  <c r="AR37" i="11"/>
  <c r="J45" i="17" s="1"/>
  <c r="K45" i="17" s="1"/>
  <c r="L45" i="17" s="1"/>
  <c r="M45" i="17" s="1"/>
  <c r="N45" i="17" s="1"/>
  <c r="O45" i="17" s="1"/>
  <c r="AS37" i="11"/>
  <c r="AT37" i="11"/>
  <c r="AO18" i="11"/>
  <c r="AR18" i="11"/>
  <c r="C45" i="17" s="1"/>
  <c r="D45" i="17" s="1"/>
  <c r="E45" i="17" s="1"/>
  <c r="F45" i="17" s="1"/>
  <c r="G45" i="17" s="1"/>
  <c r="H45" i="17" s="1"/>
  <c r="AS18" i="11"/>
  <c r="AT18" i="11"/>
  <c r="W8" i="11"/>
  <c r="W9" i="11"/>
  <c r="W10" i="11"/>
  <c r="W11" i="11"/>
  <c r="W12" i="11"/>
  <c r="W13" i="11"/>
  <c r="W14" i="11"/>
  <c r="W15" i="11"/>
  <c r="X37" i="11"/>
  <c r="AA37" i="11"/>
  <c r="J33" i="17" s="1"/>
  <c r="K33" i="17" s="1"/>
  <c r="L33" i="17" s="1"/>
  <c r="M33" i="17" s="1"/>
  <c r="N33" i="17" s="1"/>
  <c r="O33" i="17" s="1"/>
  <c r="AB37" i="11"/>
  <c r="AC37" i="11"/>
  <c r="G37" i="11"/>
  <c r="J37" i="11"/>
  <c r="K37" i="11"/>
  <c r="L37" i="11"/>
  <c r="G18" i="11"/>
  <c r="J18" i="11"/>
  <c r="K18" i="11"/>
  <c r="L18" i="11"/>
  <c r="X18" i="11"/>
  <c r="AA18" i="11"/>
  <c r="C33" i="17" s="1"/>
  <c r="D33" i="17" s="1"/>
  <c r="E33" i="17" s="1"/>
  <c r="F33" i="17" s="1"/>
  <c r="G33" i="17" s="1"/>
  <c r="H33" i="17" s="1"/>
  <c r="AB18" i="11"/>
  <c r="AC18" i="11"/>
  <c r="C21" i="17" l="1"/>
  <c r="D21" i="17" s="1"/>
  <c r="J21" i="17"/>
  <c r="K21" i="17" s="1"/>
  <c r="C57" i="17"/>
  <c r="D57" i="17" s="1"/>
  <c r="E57" i="17" s="1"/>
  <c r="F57" i="17" s="1"/>
  <c r="G57" i="17" s="1"/>
  <c r="H57" i="17" s="1"/>
  <c r="Z13" i="11"/>
  <c r="Y13" i="11"/>
  <c r="Z9" i="11"/>
  <c r="Y9" i="11"/>
  <c r="Y12" i="11"/>
  <c r="Z12" i="11"/>
  <c r="Z8" i="11"/>
  <c r="Y8" i="11"/>
  <c r="Z15" i="11"/>
  <c r="Y15" i="11"/>
  <c r="Z11" i="11"/>
  <c r="Y11" i="11"/>
  <c r="Y14" i="11"/>
  <c r="Z14" i="11"/>
  <c r="Y10" i="11"/>
  <c r="Z10" i="11"/>
  <c r="M5" i="17"/>
  <c r="N5" i="17"/>
  <c r="K5" i="17"/>
  <c r="O5" i="17"/>
  <c r="I15" i="13"/>
  <c r="I16" i="13"/>
  <c r="I14" i="13"/>
  <c r="G17" i="13"/>
  <c r="H17" i="13"/>
  <c r="I7" i="13"/>
  <c r="I8" i="13"/>
  <c r="I9" i="13"/>
  <c r="I6" i="13"/>
  <c r="G10" i="13"/>
  <c r="H10" i="13"/>
  <c r="I13" i="15"/>
  <c r="G15" i="15"/>
  <c r="H15" i="15"/>
  <c r="I4" i="15"/>
  <c r="G9" i="15"/>
  <c r="H9" i="15"/>
  <c r="K10" i="17" l="1"/>
  <c r="L21" i="17"/>
  <c r="M21" i="17" s="1"/>
  <c r="E21" i="17"/>
  <c r="E10" i="17" s="1"/>
  <c r="E33" i="16" s="1"/>
  <c r="AD12" i="11"/>
  <c r="AD15" i="11"/>
  <c r="AD9" i="11"/>
  <c r="AD8" i="11"/>
  <c r="AD10" i="11"/>
  <c r="AD11" i="11"/>
  <c r="AD14" i="11"/>
  <c r="AD13" i="11"/>
  <c r="W26" i="11"/>
  <c r="F26" i="11"/>
  <c r="F21" i="17" l="1"/>
  <c r="F10" i="17" s="1"/>
  <c r="F33" i="16" s="1"/>
  <c r="L10" i="17"/>
  <c r="Z26" i="11"/>
  <c r="Z37" i="11" s="1"/>
  <c r="J32" i="17" s="1"/>
  <c r="K32" i="17" s="1"/>
  <c r="Y26" i="11"/>
  <c r="AQ26" i="11"/>
  <c r="AP26" i="11"/>
  <c r="I26" i="11"/>
  <c r="H26" i="11"/>
  <c r="AF11" i="11"/>
  <c r="AE11" i="11"/>
  <c r="AF8" i="11"/>
  <c r="AE8" i="11"/>
  <c r="AE9" i="11"/>
  <c r="AF9" i="11"/>
  <c r="AE13" i="11"/>
  <c r="AF13" i="11"/>
  <c r="AE15" i="11"/>
  <c r="AF15" i="11"/>
  <c r="AF14" i="11"/>
  <c r="AE14" i="11"/>
  <c r="AF10" i="11"/>
  <c r="AE10" i="11"/>
  <c r="AE12" i="11"/>
  <c r="AF12" i="11"/>
  <c r="AN37" i="11"/>
  <c r="F37" i="11"/>
  <c r="N21" i="17"/>
  <c r="M10" i="17"/>
  <c r="G21" i="17"/>
  <c r="G10" i="17" s="1"/>
  <c r="G33" i="16" s="1"/>
  <c r="W37" i="11"/>
  <c r="AG9" i="11" l="1"/>
  <c r="AG14" i="11"/>
  <c r="AG15" i="11"/>
  <c r="AG10" i="11"/>
  <c r="AG8" i="11"/>
  <c r="AG12" i="11"/>
  <c r="AG13" i="11"/>
  <c r="AG11" i="11"/>
  <c r="M26" i="11"/>
  <c r="AU26" i="11"/>
  <c r="AQ37" i="11"/>
  <c r="J44" i="17" s="1"/>
  <c r="K44" i="17" s="1"/>
  <c r="L44" i="17" s="1"/>
  <c r="M44" i="17" s="1"/>
  <c r="N44" i="17" s="1"/>
  <c r="O44" i="17" s="1"/>
  <c r="K55" i="17"/>
  <c r="H37" i="11"/>
  <c r="AP37" i="11"/>
  <c r="J43" i="17" s="1"/>
  <c r="K43" i="17" s="1"/>
  <c r="I37" i="11"/>
  <c r="K56" i="17"/>
  <c r="L56" i="17" s="1"/>
  <c r="M56" i="17" s="1"/>
  <c r="N56" i="17" s="1"/>
  <c r="O56" i="17" s="1"/>
  <c r="L32" i="17"/>
  <c r="O21" i="17"/>
  <c r="O10" i="17" s="1"/>
  <c r="N10" i="17"/>
  <c r="H21" i="17"/>
  <c r="H10" i="17" s="1"/>
  <c r="H33" i="16" s="1"/>
  <c r="AD26" i="11"/>
  <c r="Y37" i="11"/>
  <c r="J31" i="17" s="1"/>
  <c r="K31" i="17" s="1"/>
  <c r="J19" i="17" l="1"/>
  <c r="K19" i="17" s="1"/>
  <c r="J20" i="17"/>
  <c r="K20" i="17" s="1"/>
  <c r="AW26" i="11"/>
  <c r="AV26" i="11"/>
  <c r="O26" i="11"/>
  <c r="N26" i="11"/>
  <c r="AE26" i="11"/>
  <c r="AF26" i="11"/>
  <c r="AF37" i="11" s="1"/>
  <c r="J36" i="17" s="1"/>
  <c r="AU37" i="11"/>
  <c r="J46" i="17" s="1"/>
  <c r="M37" i="11"/>
  <c r="J22" i="17" s="1"/>
  <c r="L43" i="17"/>
  <c r="K46" i="17"/>
  <c r="K48" i="17" s="1"/>
  <c r="L55" i="17"/>
  <c r="K58" i="17"/>
  <c r="K60" i="17" s="1"/>
  <c r="M32" i="17"/>
  <c r="L31" i="17"/>
  <c r="K34" i="17"/>
  <c r="AD37" i="11"/>
  <c r="J34" i="17" s="1"/>
  <c r="L20" i="17" l="1"/>
  <c r="K9" i="17"/>
  <c r="L19" i="17"/>
  <c r="L8" i="17" s="1"/>
  <c r="K22" i="17"/>
  <c r="K24" i="17" s="1"/>
  <c r="K8" i="17"/>
  <c r="AX26" i="11"/>
  <c r="AW37" i="11"/>
  <c r="J48" i="17" s="1"/>
  <c r="AG26" i="11"/>
  <c r="O37" i="11"/>
  <c r="J24" i="17" s="1"/>
  <c r="P26" i="11"/>
  <c r="L46" i="17"/>
  <c r="L48" i="17" s="1"/>
  <c r="M43" i="17"/>
  <c r="L58" i="17"/>
  <c r="L60" i="17" s="1"/>
  <c r="M55" i="17"/>
  <c r="L34" i="17"/>
  <c r="M31" i="17"/>
  <c r="N32" i="17"/>
  <c r="K36" i="17"/>
  <c r="W7" i="11"/>
  <c r="K11" i="17" l="1"/>
  <c r="M19" i="17"/>
  <c r="M22" i="17" s="1"/>
  <c r="M24" i="17" s="1"/>
  <c r="L22" i="17"/>
  <c r="L24" i="17" s="1"/>
  <c r="K13" i="17"/>
  <c r="M20" i="17"/>
  <c r="L9" i="17"/>
  <c r="Z7" i="11"/>
  <c r="Z18" i="11" s="1"/>
  <c r="C32" i="17" s="1"/>
  <c r="D32" i="17" s="1"/>
  <c r="Y7" i="11"/>
  <c r="N43" i="17"/>
  <c r="M46" i="17"/>
  <c r="M48" i="17" s="1"/>
  <c r="N55" i="17"/>
  <c r="M58" i="17"/>
  <c r="M60" i="17" s="1"/>
  <c r="N31" i="17"/>
  <c r="M8" i="17"/>
  <c r="M34" i="17"/>
  <c r="O32" i="17"/>
  <c r="L36" i="17"/>
  <c r="W18" i="11"/>
  <c r="D3" i="9"/>
  <c r="L13" i="17" l="1"/>
  <c r="L11" i="17"/>
  <c r="N19" i="17"/>
  <c r="O19" i="17" s="1"/>
  <c r="N20" i="17"/>
  <c r="M9" i="17"/>
  <c r="N46" i="17"/>
  <c r="N48" i="17" s="1"/>
  <c r="O43" i="17"/>
  <c r="O46" i="17" s="1"/>
  <c r="O48" i="17" s="1"/>
  <c r="O55" i="17"/>
  <c r="O58" i="17" s="1"/>
  <c r="O60" i="17" s="1"/>
  <c r="N58" i="17"/>
  <c r="N60" i="17" s="1"/>
  <c r="M11" i="17"/>
  <c r="M36" i="17"/>
  <c r="M13" i="17" s="1"/>
  <c r="E32" i="17"/>
  <c r="N34" i="17"/>
  <c r="O31" i="17"/>
  <c r="AD7" i="11"/>
  <c r="Y18" i="11"/>
  <c r="C31" i="17" s="1"/>
  <c r="D31" i="17" s="1"/>
  <c r="BE7" i="11"/>
  <c r="AN7" i="11"/>
  <c r="N8" i="17" l="1"/>
  <c r="N22" i="17"/>
  <c r="N24" i="17" s="1"/>
  <c r="O20" i="17"/>
  <c r="O9" i="17" s="1"/>
  <c r="N9" i="17"/>
  <c r="AQ7" i="11"/>
  <c r="AP7" i="11"/>
  <c r="BG7" i="11"/>
  <c r="BH7" i="11"/>
  <c r="AF7" i="11"/>
  <c r="AF18" i="11" s="1"/>
  <c r="C36" i="17" s="1"/>
  <c r="AE7" i="11"/>
  <c r="O34" i="17"/>
  <c r="O8" i="17"/>
  <c r="F32" i="17"/>
  <c r="E31" i="17"/>
  <c r="D34" i="17"/>
  <c r="N36" i="17"/>
  <c r="AD18" i="11"/>
  <c r="C34" i="17" s="1"/>
  <c r="BE10" i="11"/>
  <c r="AN18" i="11"/>
  <c r="N13" i="17" l="1"/>
  <c r="N11" i="17"/>
  <c r="O22" i="17"/>
  <c r="O24" i="17" s="1"/>
  <c r="AU7" i="11"/>
  <c r="AW7" i="11" s="1"/>
  <c r="AG7" i="11"/>
  <c r="BL7" i="11"/>
  <c r="BH10" i="11"/>
  <c r="BG10" i="11"/>
  <c r="AP18" i="11"/>
  <c r="C43" i="17" s="1"/>
  <c r="D43" i="17" s="1"/>
  <c r="AQ18" i="11"/>
  <c r="C44" i="17" s="1"/>
  <c r="D44" i="17" s="1"/>
  <c r="E44" i="17" s="1"/>
  <c r="F44" i="17" s="1"/>
  <c r="G44" i="17" s="1"/>
  <c r="H44" i="17" s="1"/>
  <c r="G32" i="17"/>
  <c r="D36" i="17"/>
  <c r="E34" i="17"/>
  <c r="F31" i="17"/>
  <c r="O36" i="17"/>
  <c r="O13" i="17" s="1"/>
  <c r="F8" i="11"/>
  <c r="F11" i="11"/>
  <c r="F12" i="11"/>
  <c r="O11" i="17" l="1"/>
  <c r="C55" i="17"/>
  <c r="D55" i="17" s="1"/>
  <c r="C56" i="17"/>
  <c r="D56" i="17" s="1"/>
  <c r="E56" i="17" s="1"/>
  <c r="F56" i="17" s="1"/>
  <c r="G56" i="17" s="1"/>
  <c r="H56" i="17" s="1"/>
  <c r="AV7" i="11"/>
  <c r="AX7" i="11" s="1"/>
  <c r="I12" i="11"/>
  <c r="H12" i="11"/>
  <c r="I7" i="11"/>
  <c r="H7" i="11"/>
  <c r="I11" i="11"/>
  <c r="H11" i="11"/>
  <c r="I8" i="11"/>
  <c r="H8" i="11"/>
  <c r="BN7" i="11"/>
  <c r="BM7" i="11"/>
  <c r="AU18" i="11"/>
  <c r="C46" i="17" s="1"/>
  <c r="E43" i="17"/>
  <c r="D46" i="17"/>
  <c r="D48" i="17" s="1"/>
  <c r="BL10" i="11"/>
  <c r="C58" i="17" s="1"/>
  <c r="H32" i="17"/>
  <c r="E36" i="17"/>
  <c r="F34" i="17"/>
  <c r="G31" i="17"/>
  <c r="F18" i="11"/>
  <c r="D58" i="17" l="1"/>
  <c r="D60" i="17" s="1"/>
  <c r="E55" i="17"/>
  <c r="F55" i="17" s="1"/>
  <c r="BN10" i="11"/>
  <c r="C60" i="17" s="1"/>
  <c r="BO7" i="11"/>
  <c r="AW18" i="11"/>
  <c r="C48" i="17" s="1"/>
  <c r="M7" i="11"/>
  <c r="M11" i="11"/>
  <c r="E46" i="17"/>
  <c r="E48" i="17" s="1"/>
  <c r="F43" i="17"/>
  <c r="M8" i="11"/>
  <c r="H18" i="11"/>
  <c r="M12" i="11"/>
  <c r="I18" i="11"/>
  <c r="G34" i="17"/>
  <c r="H31" i="17"/>
  <c r="F36" i="17"/>
  <c r="E58" i="17" l="1"/>
  <c r="E60" i="17" s="1"/>
  <c r="C19" i="17"/>
  <c r="D19" i="17" s="1"/>
  <c r="C20" i="17"/>
  <c r="D20" i="17" s="1"/>
  <c r="N11" i="11"/>
  <c r="O11" i="11"/>
  <c r="O12" i="11"/>
  <c r="N12" i="11"/>
  <c r="O7" i="11"/>
  <c r="N7" i="11"/>
  <c r="O8" i="11"/>
  <c r="N8" i="11"/>
  <c r="M18" i="11"/>
  <c r="C22" i="17" s="1"/>
  <c r="G55" i="17"/>
  <c r="F58" i="17"/>
  <c r="F60" i="17" s="1"/>
  <c r="G43" i="17"/>
  <c r="F46" i="17"/>
  <c r="F48" i="17" s="1"/>
  <c r="G36" i="17"/>
  <c r="H34" i="17"/>
  <c r="F15" i="15"/>
  <c r="E15" i="15"/>
  <c r="D15" i="15"/>
  <c r="E20" i="17" l="1"/>
  <c r="E9" i="17" s="1"/>
  <c r="E32" i="16" s="1"/>
  <c r="D22" i="17"/>
  <c r="D24" i="17" s="1"/>
  <c r="E19" i="17"/>
  <c r="E8" i="17" s="1"/>
  <c r="E31" i="16" s="1"/>
  <c r="P7" i="11"/>
  <c r="P11" i="11"/>
  <c r="P8" i="11"/>
  <c r="O18" i="11"/>
  <c r="C24" i="17" s="1"/>
  <c r="P12" i="11"/>
  <c r="H43" i="17"/>
  <c r="H46" i="17" s="1"/>
  <c r="H48" i="17" s="1"/>
  <c r="G46" i="17"/>
  <c r="G48" i="17" s="1"/>
  <c r="G58" i="17"/>
  <c r="G60" i="17" s="1"/>
  <c r="H55" i="17"/>
  <c r="H58" i="17" s="1"/>
  <c r="H60" i="17" s="1"/>
  <c r="H36" i="17"/>
  <c r="I15" i="15"/>
  <c r="E9" i="15"/>
  <c r="D9" i="15"/>
  <c r="G60" i="8"/>
  <c r="F60" i="8"/>
  <c r="E60" i="8"/>
  <c r="D60" i="8"/>
  <c r="I13" i="16"/>
  <c r="F17" i="13"/>
  <c r="E17" i="13"/>
  <c r="D17" i="13"/>
  <c r="F10" i="13"/>
  <c r="E10" i="13"/>
  <c r="D10" i="13"/>
  <c r="F20" i="17" l="1"/>
  <c r="F9" i="17" s="1"/>
  <c r="F32" i="16" s="1"/>
  <c r="F19" i="17"/>
  <c r="F8" i="17" s="1"/>
  <c r="F31" i="16" s="1"/>
  <c r="E22" i="17"/>
  <c r="E24" i="17" s="1"/>
  <c r="E13" i="17" s="1"/>
  <c r="E36" i="16" s="1"/>
  <c r="I10" i="13"/>
  <c r="I17" i="13"/>
  <c r="F9" i="15"/>
  <c r="G19" i="17" l="1"/>
  <c r="G20" i="17"/>
  <c r="H20" i="17" s="1"/>
  <c r="H9" i="17" s="1"/>
  <c r="H32" i="16" s="1"/>
  <c r="E11" i="17"/>
  <c r="E34" i="16" s="1"/>
  <c r="D44" i="8" s="1"/>
  <c r="F22" i="17"/>
  <c r="F24" i="17" s="1"/>
  <c r="F13" i="17" s="1"/>
  <c r="F36" i="16" s="1"/>
  <c r="H19" i="17"/>
  <c r="I9" i="15"/>
  <c r="G22" i="17" l="1"/>
  <c r="G8" i="17"/>
  <c r="G31" i="16" s="1"/>
  <c r="G9" i="17"/>
  <c r="G32" i="16" s="1"/>
  <c r="F11" i="17"/>
  <c r="F34" i="16" s="1"/>
  <c r="E44" i="8" s="1"/>
  <c r="G24" i="17"/>
  <c r="G13" i="17" s="1"/>
  <c r="G36" i="16" s="1"/>
  <c r="G11" i="17"/>
  <c r="G34" i="16" s="1"/>
  <c r="H22" i="17"/>
  <c r="H8" i="17"/>
  <c r="H31" i="16" s="1"/>
  <c r="F44" i="8" l="1"/>
  <c r="H24" i="17"/>
  <c r="H13" i="17" s="1"/>
  <c r="H36" i="16" s="1"/>
  <c r="H11" i="17"/>
  <c r="H34" i="16" s="1"/>
  <c r="G44" i="8" l="1"/>
  <c r="AE18" i="11" l="1"/>
  <c r="C35" i="17" s="1"/>
  <c r="Q8" i="11"/>
  <c r="G47" i="17"/>
  <c r="G35" i="17"/>
  <c r="G59" i="17"/>
  <c r="N3" i="17"/>
  <c r="G23" i="17"/>
  <c r="F59" i="17"/>
  <c r="F35" i="17"/>
  <c r="M3" i="17"/>
  <c r="F23" i="17"/>
  <c r="F47" i="17"/>
  <c r="AH8" i="11"/>
  <c r="AH9" i="11"/>
  <c r="AH10" i="11"/>
  <c r="D59" i="17"/>
  <c r="K3" i="17"/>
  <c r="D23" i="17"/>
  <c r="D35" i="17"/>
  <c r="D47" i="17"/>
  <c r="Q26" i="11"/>
  <c r="N37" i="11"/>
  <c r="J23" i="17" s="1"/>
  <c r="AH11" i="11"/>
  <c r="N18" i="11"/>
  <c r="C23" i="17" s="1"/>
  <c r="H59" i="17"/>
  <c r="H35" i="17"/>
  <c r="O3" i="17"/>
  <c r="H23" i="17"/>
  <c r="H47" i="17"/>
  <c r="BM10" i="11"/>
  <c r="C59" i="17" s="1"/>
  <c r="E59" i="17"/>
  <c r="E35" i="17"/>
  <c r="L3" i="17"/>
  <c r="E23" i="17"/>
  <c r="E47" i="17"/>
  <c r="AE37" i="11"/>
  <c r="J35" i="17" s="1"/>
  <c r="AH15" i="11"/>
  <c r="Q12" i="11"/>
  <c r="AH14" i="11"/>
  <c r="AV37" i="11"/>
  <c r="J47" i="17" s="1"/>
  <c r="AY26" i="11"/>
  <c r="AV18" i="11"/>
  <c r="C47" i="17" s="1"/>
  <c r="AH12" i="11"/>
  <c r="Q11" i="11"/>
  <c r="AH13" i="11"/>
  <c r="AX18" i="11" l="1"/>
  <c r="C49" i="17" s="1"/>
  <c r="AY7" i="11"/>
  <c r="AY18" i="11" s="1"/>
  <c r="D9" i="8" s="1"/>
  <c r="H61" i="17"/>
  <c r="H62" i="17" s="1"/>
  <c r="AY37" i="11"/>
  <c r="E9" i="8" s="1"/>
  <c r="AG37" i="11"/>
  <c r="J37" i="17" s="1"/>
  <c r="AH26" i="11"/>
  <c r="AH37" i="11" s="1"/>
  <c r="E8" i="8" s="1"/>
  <c r="D25" i="17"/>
  <c r="H49" i="17"/>
  <c r="H50" i="17" s="1"/>
  <c r="F25" i="17"/>
  <c r="F26" i="17" s="1"/>
  <c r="F12" i="17"/>
  <c r="F35" i="16" s="1"/>
  <c r="AX37" i="11"/>
  <c r="J49" i="17" s="1"/>
  <c r="E25" i="17"/>
  <c r="E12" i="17"/>
  <c r="E35" i="16" s="1"/>
  <c r="BO10" i="11"/>
  <c r="C61" i="17" s="1"/>
  <c r="BP7" i="11"/>
  <c r="BP10" i="11" s="1"/>
  <c r="E37" i="17"/>
  <c r="E38" i="17" s="1"/>
  <c r="O59" i="17"/>
  <c r="O35" i="17"/>
  <c r="O47" i="17"/>
  <c r="O23" i="17"/>
  <c r="P18" i="11"/>
  <c r="C25" i="17" s="1"/>
  <c r="D49" i="17"/>
  <c r="D50" i="17" s="1"/>
  <c r="D61" i="17"/>
  <c r="D62" i="17" s="1"/>
  <c r="F37" i="17"/>
  <c r="F38" i="17" s="1"/>
  <c r="E49" i="17"/>
  <c r="E50" i="17" s="1"/>
  <c r="E61" i="17"/>
  <c r="E62" i="17" s="1"/>
  <c r="H37" i="17"/>
  <c r="H38" i="17" s="1"/>
  <c r="P37" i="11"/>
  <c r="J25" i="17" s="1"/>
  <c r="D37" i="17"/>
  <c r="D38" i="17" s="1"/>
  <c r="L35" i="17"/>
  <c r="L47" i="17"/>
  <c r="L23" i="17"/>
  <c r="L59" i="17"/>
  <c r="H25" i="17"/>
  <c r="H12" i="17"/>
  <c r="H35" i="16" s="1"/>
  <c r="Q7" i="11"/>
  <c r="Q18" i="11" s="1"/>
  <c r="Q37" i="11"/>
  <c r="K47" i="17"/>
  <c r="K35" i="17"/>
  <c r="K59" i="17"/>
  <c r="K23" i="17"/>
  <c r="G25" i="17"/>
  <c r="G12" i="17"/>
  <c r="G35" i="16" s="1"/>
  <c r="G49" i="17"/>
  <c r="G50" i="17" s="1"/>
  <c r="G61" i="17"/>
  <c r="G62" i="17" s="1"/>
  <c r="AG18" i="11"/>
  <c r="C37" i="17" s="1"/>
  <c r="F49" i="17"/>
  <c r="F50" i="17" s="1"/>
  <c r="F61" i="17"/>
  <c r="F62" i="17" s="1"/>
  <c r="G37" i="17"/>
  <c r="G38" i="17" s="1"/>
  <c r="AH7" i="11"/>
  <c r="AH18" i="11" s="1"/>
  <c r="D8" i="8" s="1"/>
  <c r="M35" i="17"/>
  <c r="M47" i="17"/>
  <c r="M59" i="17"/>
  <c r="M23" i="17"/>
  <c r="N35" i="17"/>
  <c r="N47" i="17"/>
  <c r="N59" i="17"/>
  <c r="N23" i="17"/>
  <c r="C62" i="17" l="1"/>
  <c r="D10" i="8"/>
  <c r="E7" i="8"/>
  <c r="J26" i="17"/>
  <c r="C26" i="17"/>
  <c r="D7" i="8"/>
  <c r="F64" i="17"/>
  <c r="F8" i="16" s="1"/>
  <c r="L49" i="17"/>
  <c r="L50" i="17" s="1"/>
  <c r="H40" i="17"/>
  <c r="H6" i="16" s="1"/>
  <c r="N12" i="17"/>
  <c r="N25" i="17"/>
  <c r="N26" i="17" s="1"/>
  <c r="M61" i="17"/>
  <c r="M62" i="17" s="1"/>
  <c r="G40" i="17"/>
  <c r="G6" i="16" s="1"/>
  <c r="D64" i="17"/>
  <c r="D8" i="16" s="1"/>
  <c r="H52" i="17"/>
  <c r="H7" i="16" s="1"/>
  <c r="D26" i="17"/>
  <c r="N61" i="17"/>
  <c r="N62" i="17" s="1"/>
  <c r="M49" i="17"/>
  <c r="M50" i="17" s="1"/>
  <c r="K25" i="17"/>
  <c r="K26" i="17" s="1"/>
  <c r="K12" i="17"/>
  <c r="E52" i="17"/>
  <c r="E7" i="16" s="1"/>
  <c r="D52" i="17"/>
  <c r="D7" i="16" s="1"/>
  <c r="O25" i="17"/>
  <c r="O26" i="17" s="1"/>
  <c r="O12" i="17"/>
  <c r="F28" i="17"/>
  <c r="F5" i="16" s="1"/>
  <c r="H64" i="17"/>
  <c r="H8" i="16" s="1"/>
  <c r="N49" i="17"/>
  <c r="N50" i="17" s="1"/>
  <c r="M37" i="17"/>
  <c r="M38" i="17" s="1"/>
  <c r="F52" i="17"/>
  <c r="F7" i="16" s="1"/>
  <c r="N37" i="17"/>
  <c r="N38" i="17" s="1"/>
  <c r="C38" i="17"/>
  <c r="G14" i="17"/>
  <c r="G37" i="16" s="1"/>
  <c r="G38" i="16" s="1"/>
  <c r="G26" i="17"/>
  <c r="H14" i="17"/>
  <c r="H26" i="17"/>
  <c r="F40" i="17"/>
  <c r="F6" i="16" s="1"/>
  <c r="E40" i="17"/>
  <c r="E6" i="16" s="1"/>
  <c r="G64" i="17"/>
  <c r="G8" i="16" s="1"/>
  <c r="G52" i="17"/>
  <c r="G7" i="16" s="1"/>
  <c r="K37" i="17"/>
  <c r="K38" i="17" s="1"/>
  <c r="L61" i="17"/>
  <c r="L62" i="17" s="1"/>
  <c r="E64" i="17"/>
  <c r="E8" i="16" s="1"/>
  <c r="O37" i="17"/>
  <c r="O38" i="17" s="1"/>
  <c r="E14" i="17"/>
  <c r="J38" i="17"/>
  <c r="J50" i="17"/>
  <c r="M25" i="17"/>
  <c r="M12" i="17"/>
  <c r="K49" i="17"/>
  <c r="K50" i="17" s="1"/>
  <c r="L25" i="17"/>
  <c r="L12" i="17"/>
  <c r="O61" i="17"/>
  <c r="O62" i="17" s="1"/>
  <c r="C50" i="17"/>
  <c r="E26" i="17"/>
  <c r="K61" i="17"/>
  <c r="K62" i="17" s="1"/>
  <c r="L37" i="17"/>
  <c r="L38" i="17" s="1"/>
  <c r="O49" i="17"/>
  <c r="O50" i="17" s="1"/>
  <c r="F14" i="17"/>
  <c r="E15" i="17" l="1"/>
  <c r="E37" i="16"/>
  <c r="E38" i="16" s="1"/>
  <c r="F15" i="17"/>
  <c r="F37" i="16"/>
  <c r="F38" i="16" s="1"/>
  <c r="H15" i="17"/>
  <c r="H37" i="16"/>
  <c r="H38" i="16" s="1"/>
  <c r="L14" i="17"/>
  <c r="L15" i="17" s="1"/>
  <c r="M14" i="17"/>
  <c r="L64" i="17"/>
  <c r="O64" i="17"/>
  <c r="N52" i="17"/>
  <c r="L52" i="17"/>
  <c r="N40" i="17"/>
  <c r="M64" i="17"/>
  <c r="O52" i="17"/>
  <c r="K64" i="17"/>
  <c r="K40" i="17"/>
  <c r="E28" i="17"/>
  <c r="E5" i="16" s="1"/>
  <c r="O40" i="17"/>
  <c r="K52" i="17"/>
  <c r="G15" i="17"/>
  <c r="H28" i="17"/>
  <c r="H5" i="16" s="1"/>
  <c r="O28" i="17"/>
  <c r="N64" i="17"/>
  <c r="N28" i="17"/>
  <c r="M40" i="17"/>
  <c r="M52" i="17"/>
  <c r="L26" i="17"/>
  <c r="M26" i="17"/>
  <c r="G28" i="17"/>
  <c r="G5" i="16" s="1"/>
  <c r="F16" i="17"/>
  <c r="O14" i="17"/>
  <c r="K14" i="17"/>
  <c r="L40" i="17"/>
  <c r="K28" i="17"/>
  <c r="D28" i="17"/>
  <c r="D5" i="16" s="1"/>
  <c r="N14" i="17"/>
  <c r="D46" i="8" l="1"/>
  <c r="D48" i="8" s="1"/>
  <c r="M15" i="17"/>
  <c r="O15" i="17"/>
  <c r="O16" i="17" s="1"/>
  <c r="F46" i="8"/>
  <c r="F48" i="8" s="1"/>
  <c r="G46" i="8"/>
  <c r="G48" i="8" s="1"/>
  <c r="I8" i="16"/>
  <c r="E46" i="8"/>
  <c r="E48" i="8" s="1"/>
  <c r="N15" i="17"/>
  <c r="N16" i="17" s="1"/>
  <c r="I7" i="16"/>
  <c r="G9" i="16"/>
  <c r="G16" i="17"/>
  <c r="H16" i="17"/>
  <c r="H9" i="16"/>
  <c r="L28" i="17"/>
  <c r="L16" i="17" s="1"/>
  <c r="K15" i="17"/>
  <c r="K16" i="17" s="1"/>
  <c r="M28" i="17"/>
  <c r="E16" i="17"/>
  <c r="E9" i="16" l="1"/>
  <c r="M16" i="17"/>
  <c r="F9" i="16"/>
  <c r="I5" i="16" l="1"/>
  <c r="D13" i="17" l="1"/>
  <c r="D36" i="16" s="1"/>
  <c r="D9" i="17"/>
  <c r="D32" i="16" s="1"/>
  <c r="C60" i="8"/>
  <c r="H60" i="8" s="1"/>
  <c r="I17" i="16"/>
  <c r="D12" i="17"/>
  <c r="D35" i="16" s="1"/>
  <c r="D8" i="17" l="1"/>
  <c r="D31" i="16" s="1"/>
  <c r="D14" i="17"/>
  <c r="D37" i="16" s="1"/>
  <c r="D10" i="17"/>
  <c r="D33" i="16" s="1"/>
  <c r="D40" i="17"/>
  <c r="D6" i="16" s="1"/>
  <c r="D11" i="17"/>
  <c r="D34" i="16" s="1"/>
  <c r="I6" i="16" l="1"/>
  <c r="I9" i="16" s="1"/>
  <c r="D9" i="16"/>
  <c r="D15" i="17"/>
  <c r="D16" i="17" s="1"/>
  <c r="I37" i="16"/>
  <c r="I31" i="16"/>
  <c r="I36" i="16"/>
  <c r="I33" i="16"/>
  <c r="I32" i="16"/>
  <c r="C46" i="8" l="1"/>
  <c r="H46" i="8" s="1"/>
  <c r="I35" i="16"/>
  <c r="D38" i="16"/>
  <c r="I34" i="16"/>
  <c r="C44" i="8"/>
  <c r="I38" i="16" l="1"/>
  <c r="C48" i="8"/>
  <c r="H44" i="8"/>
  <c r="H48" i="8" s="1"/>
</calcChain>
</file>

<file path=xl/sharedStrings.xml><?xml version="1.0" encoding="utf-8"?>
<sst xmlns="http://schemas.openxmlformats.org/spreadsheetml/2006/main" count="537" uniqueCount="170">
  <si>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</si>
  <si>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</si>
  <si>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</si>
  <si>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</si>
  <si>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</si>
  <si>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</si>
  <si>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</si>
  <si>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</si>
  <si>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</si>
  <si>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</si>
  <si>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</si>
  <si>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</si>
  <si>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</si>
  <si>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</si>
  <si>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</si>
  <si>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</si>
  <si>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</si>
  <si>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</si>
  <si>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</si>
  <si>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</si>
  <si>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</si>
  <si>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</si>
  <si>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</si>
  <si>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</si>
  <si>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</si>
  <si>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</si>
  <si>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</si>
  <si>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</si>
  <si>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</si>
  <si>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</si>
  <si>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</si>
  <si>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</si>
  <si>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</si>
  <si>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</si>
  <si>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</si>
  <si>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</si>
  <si>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</si>
  <si>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</si>
  <si>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</si>
  <si>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</si>
  <si>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</si>
  <si>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</si>
  <si>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</si>
  <si>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</si>
  <si>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</si>
  <si>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</si>
  <si>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</si>
  <si>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</si>
  <si>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</si>
  <si>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</si>
  <si>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</si>
  <si>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</si>
  <si>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</si>
  <si>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</si>
  <si>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</si>
  <si>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</si>
  <si>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</si>
  <si>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</si>
  <si>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</si>
  <si>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</si>
  <si>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</si>
  <si>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</si>
  <si>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</si>
  <si>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</si>
  <si>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</si>
  <si>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Contestable Works Database</t>
  </si>
  <si>
    <t xml:space="preserve">
The commissioning and decommissioning of network equipment associated with ASP Level 1 contestable works. Includes equipment checks, tests and activities associated with setting or resetting network protection systems and the updating of engineering systems.</t>
  </si>
  <si>
    <t>New Service</t>
  </si>
  <si>
    <t xml:space="preserve">Complete commissioning tests as per Essential Energy's commissioning policy / procedures </t>
  </si>
  <si>
    <r>
      <t xml:space="preserve">
</t>
    </r>
    <r>
      <rPr>
        <sz val="10"/>
        <color rgb="FFFF0000"/>
        <rFont val="Arial"/>
        <family val="2"/>
      </rPr>
      <t>New Service</t>
    </r>
    <r>
      <rPr>
        <sz val="10"/>
        <color theme="1"/>
        <rFont val="Arial"/>
        <family val="2"/>
      </rPr>
      <t xml:space="preserve"> </t>
    </r>
  </si>
  <si>
    <t>Bottom Up Estimation</t>
  </si>
  <si>
    <t xml:space="preserve"> - </t>
  </si>
  <si>
    <t xml:space="preserve">Existing Service Description (2014 - 19) </t>
  </si>
  <si>
    <t>R2a</t>
  </si>
  <si>
    <t>Operating Costs (on IO's, work orders, cost objects, cost centres)</t>
  </si>
  <si>
    <t>Project Code</t>
  </si>
  <si>
    <t>FY22/23</t>
  </si>
  <si>
    <t>Projected Volumes for FY2019-24 Regulatory Period</t>
  </si>
  <si>
    <t xml:space="preserve">Operating Costs - </t>
  </si>
  <si>
    <t>New Service. No historical operating costs available.</t>
  </si>
  <si>
    <t>New Service. No historical revenue available.</t>
  </si>
  <si>
    <t>FY17/18</t>
  </si>
  <si>
    <t>FY18/19</t>
  </si>
  <si>
    <t>FY14/16</t>
  </si>
  <si>
    <t>FY15/17</t>
  </si>
  <si>
    <t>ANS P&amp;L Report</t>
  </si>
  <si>
    <t>Commissioning requirements as part of Essential Energy Policy CEOP5125 "Network Asset Testing and Commissioning"</t>
  </si>
  <si>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</si>
  <si>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</si>
  <si>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</si>
  <si>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</si>
  <si>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</si>
  <si>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</si>
  <si>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</si>
  <si>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</si>
  <si>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</si>
  <si>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</si>
  <si>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</si>
  <si>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</si>
  <si>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</si>
  <si>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</si>
  <si>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</si>
  <si>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</si>
  <si>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</si>
  <si>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</si>
  <si>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</si>
  <si>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</si>
  <si>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</si>
  <si>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</si>
  <si>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</si>
  <si>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</si>
  <si>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</si>
  <si>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</si>
  <si>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</si>
  <si>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</si>
  <si>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</si>
  <si>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</si>
  <si>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</si>
  <si>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</si>
  <si>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</si>
  <si>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</si>
  <si>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</si>
  <si>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</si>
  <si>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</si>
  <si>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</si>
  <si>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</si>
  <si>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</si>
  <si>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</si>
  <si>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3.4 Test &amp; Commissioning of Reclosers, Regulators and Smart Switches</t>
  </si>
  <si>
    <t>Commissioning of reclosers, regulators and smart switches (NEW)</t>
  </si>
  <si>
    <t>Commissioning - Other network equipment</t>
  </si>
  <si>
    <t>Commissioning - Recloser (fixed fee) NT</t>
  </si>
  <si>
    <t>Commissioning - Recloser (fixed fee) OT</t>
  </si>
  <si>
    <t>R2b</t>
  </si>
  <si>
    <t>Install modem and perform SCADA testing</t>
  </si>
  <si>
    <t>Travel to / from site for recloser commissioning</t>
  </si>
  <si>
    <t>Workshop commissioning - load setting, complete  Insulation, ratio and protection tests</t>
  </si>
  <si>
    <t>Confirm pre-commissioning test / checks completed</t>
  </si>
  <si>
    <t>Perform operational tests / checks</t>
  </si>
  <si>
    <t>Place equipment into service</t>
  </si>
  <si>
    <t xml:space="preserve">Record and store commissioning result documentation </t>
  </si>
  <si>
    <t>Review commissionin requirements and submit Network Access Request (NAR)</t>
  </si>
  <si>
    <t>Network Operations - Review NAR and write / approve NAR for commissioning date</t>
  </si>
  <si>
    <t>Commissioning - Regulator (fixed fee) NT</t>
  </si>
  <si>
    <t>Commissioning - Regulator (fixed fee) OT</t>
  </si>
  <si>
    <t>Recloser Commissioning</t>
  </si>
  <si>
    <t>Regulator Commissioning</t>
  </si>
  <si>
    <t>Smart Switch Commissioning</t>
  </si>
  <si>
    <t>New Service - Test &amp; Commissioning - Other Equipment</t>
  </si>
  <si>
    <r>
      <rPr>
        <sz val="10"/>
        <color rgb="FFFF0000"/>
        <rFont val="Arial"/>
        <family val="2"/>
      </rPr>
      <t>New Service</t>
    </r>
    <r>
      <rPr>
        <sz val="10"/>
        <rFont val="Arial"/>
        <family val="2"/>
      </rPr>
      <t xml:space="preserve">
</t>
    </r>
  </si>
  <si>
    <t>Smart Switch Commissioning (fixed fee) NT</t>
  </si>
  <si>
    <t>Smart Switch Commissioning (fixed fee) OT</t>
  </si>
  <si>
    <t>Commissioning - Specialised Equipment  (hrly rate) NT</t>
  </si>
  <si>
    <t>Commissioning - Specialised Equipment  (hrly rate) OT</t>
  </si>
  <si>
    <t xml:space="preserve">Outdoor Technical </t>
  </si>
  <si>
    <t>Recloser (Fixed Fee)</t>
  </si>
  <si>
    <t>Fixed Fee / Hrly NT</t>
  </si>
  <si>
    <t>Fixed Fee / Hrly OT</t>
  </si>
  <si>
    <t>Smart Switches (Fixed Fee)</t>
  </si>
  <si>
    <t>Other specialised equipment (Hrly Rate)</t>
  </si>
  <si>
    <t>Other - specialised equipment</t>
  </si>
  <si>
    <t>Other - Specialised Equipment Commissioning</t>
  </si>
  <si>
    <t>Review commissioning requirements and submit Network Access Request (NAR)</t>
  </si>
  <si>
    <t>Place equipment into service / record results</t>
  </si>
  <si>
    <t>Regulator Site(Fixed Fee)</t>
  </si>
  <si>
    <t>Regulator Commissioning (per site)</t>
  </si>
  <si>
    <t>Other - specialised equipment (hrs)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</si>
  <si>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</si>
  <si>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
C</t>
    </r>
    <r>
      <rPr>
        <b/>
        <sz val="10"/>
        <color theme="1"/>
        <rFont val="Arial"/>
        <family val="2"/>
      </rPr>
      <t>ommissioning of reclosers, regulators and smart switches (NEW)</t>
    </r>
    <r>
      <rPr>
        <sz val="10"/>
        <color theme="1"/>
        <rFont val="Arial"/>
        <family val="2"/>
      </rPr>
      <t xml:space="preserve">
The commissioning by Essential Energy of new reclosers, regulators or smart switches which form part of the contestable connection work including:
 - All necessary pre-commissioning checks and tests prior to energisation;
 - Setting of protective devices;
 - Configuration of communication equipment and
 - Field commissioning</t>
    </r>
  </si>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</sst>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Arial"/>
      <family val="2"/>
    </font>
    <font>
      <b/>
      <sz val="10"/>
      <color theme="0"/>
      <name val="Arial"/>
      <family val="2"/>
    </font>
    <font>
      <sz val="10"/>
      <color theme="0"/>
      <name val="Arial"/>
      <family val="2"/>
    </font>
    <font>
      <b/>
      <sz val="10"/>
      <name val="Arial"/>
      <family val="2"/>
    </font>
    <font>
      <b/>
      <sz val="10"/>
      <color theme="1"/>
      <name val="Arial"/>
      <family val="2"/>
    </font>
    <font>
      <b/>
      <sz val="7"/>
      <color theme="1"/>
      <name val="Arial"/>
      <family val="2"/>
    </font>
    <font>
      <b/>
      <sz val="7"/>
      <name val="Arial"/>
      <family val="2"/>
    </font>
    <font>
      <b/>
      <sz val="8"/>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320">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0" fontId="5" fillId="8" borderId="4" xfId="0" applyNumberFormat="1" applyFont="1" applyFill="1" applyBorder="1" applyAlignment="1">
      <alignment horizontal="center" vertical="center" wrapText="1"/>
    </xf>
    <xf numFmtId="170" fontId="4" fillId="10" borderId="10" xfId="0" applyNumberFormat="1" applyFont="1" applyFill="1" applyBorder="1" applyAlignment="1">
      <alignment horizontal="center"/>
    </xf>
    <xf numFmtId="170" fontId="4" fillId="10" borderId="4" xfId="0" applyNumberFormat="1" applyFont="1" applyFill="1" applyBorder="1" applyAlignment="1">
      <alignment horizontal="center"/>
    </xf>
    <xf numFmtId="170" fontId="4" fillId="10" borderId="9" xfId="0" applyNumberFormat="1" applyFont="1" applyFill="1" applyBorder="1" applyAlignment="1">
      <alignment horizont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13" xfId="0" applyNumberFormat="1" applyFont="1" applyFill="1" applyBorder="1" applyAlignment="1">
      <alignment horizontal="center"/>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0" fontId="2" fillId="0" borderId="7" xfId="0" applyFont="1" applyBorder="1"/>
    <xf numFmtId="170" fontId="7" fillId="9" borderId="0" xfId="0" applyNumberFormat="1" applyFont="1" applyFill="1" applyBorder="1" applyAlignment="1">
      <alignment horizontal="left"/>
    </xf>
    <xf numFmtId="168" fontId="2" fillId="10" borderId="5" xfId="2" applyNumberFormat="1" applyFont="1" applyFill="1" applyBorder="1" applyAlignment="1">
      <alignment horizontal="center"/>
    </xf>
    <xf numFmtId="3" fontId="2" fillId="10" borderId="4" xfId="0" applyNumberFormat="1" applyFont="1" applyFill="1" applyBorder="1"/>
    <xf numFmtId="0" fontId="5" fillId="8" borderId="9" xfId="0" applyFont="1" applyFill="1" applyBorder="1" applyAlignment="1">
      <alignment horizontal="center" vertical="center" wrapText="1"/>
    </xf>
    <xf numFmtId="170" fontId="5" fillId="8" borderId="9" xfId="0" applyNumberFormat="1"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2" xfId="0" applyNumberFormat="1" applyFont="1" applyFill="1" applyBorder="1" applyAlignment="1">
      <alignment horizontal="left"/>
    </xf>
    <xf numFmtId="170" fontId="7" fillId="9" borderId="3" xfId="0" applyNumberFormat="1" applyFont="1" applyFill="1" applyBorder="1" applyAlignment="1">
      <alignment horizontal="left"/>
    </xf>
    <xf numFmtId="0" fontId="4" fillId="10" borderId="4" xfId="0" applyFont="1" applyFill="1" applyBorder="1" applyAlignment="1">
      <alignment horizontal="center" vertical="center"/>
    </xf>
    <xf numFmtId="2" fontId="4" fillId="10" borderId="4" xfId="0" applyNumberFormat="1" applyFont="1" applyFill="1" applyBorder="1" applyAlignment="1">
      <alignment horizontal="center" vertical="center"/>
    </xf>
    <xf numFmtId="1" fontId="4" fillId="10" borderId="4" xfId="0" applyNumberFormat="1" applyFont="1" applyFill="1" applyBorder="1" applyAlignment="1">
      <alignment horizontal="center"/>
    </xf>
    <xf numFmtId="1" fontId="4" fillId="10" borderId="4" xfId="0" applyNumberFormat="1" applyFont="1" applyFill="1" applyBorder="1" applyAlignment="1">
      <alignment horizontal="center" vertical="center"/>
    </xf>
    <xf numFmtId="0" fontId="7" fillId="5" borderId="8" xfId="0" applyFont="1" applyFill="1" applyBorder="1" applyAlignment="1">
      <alignment horizontal="center"/>
    </xf>
    <xf numFmtId="0" fontId="5" fillId="8" borderId="0" xfId="0" applyFont="1" applyFill="1" applyAlignment="1">
      <alignment horizontal="left"/>
    </xf>
    <xf numFmtId="0" fontId="5" fillId="8" borderId="0" xfId="0" applyFont="1" applyFill="1" applyBorder="1" applyAlignment="1">
      <alignment horizontal="left"/>
    </xf>
    <xf numFmtId="0" fontId="9" fillId="10" borderId="4" xfId="0" applyFont="1" applyFill="1" applyBorder="1" applyAlignment="1">
      <alignment horizontal="left"/>
    </xf>
    <xf numFmtId="0" fontId="9" fillId="4" borderId="5" xfId="0" applyFont="1" applyFill="1" applyBorder="1"/>
    <xf numFmtId="0" fontId="9" fillId="4" borderId="0" xfId="0" applyFont="1" applyFill="1" applyBorder="1" applyAlignment="1">
      <alignment horizontal="left" vertical="top" wrapText="1"/>
    </xf>
    <xf numFmtId="0" fontId="5" fillId="8" borderId="0" xfId="0" applyFont="1" applyFill="1" applyAlignment="1">
      <alignment horizontal="left"/>
    </xf>
    <xf numFmtId="0" fontId="13" fillId="0" borderId="0" xfId="0" applyFont="1"/>
    <xf numFmtId="0" fontId="14" fillId="8" borderId="11" xfId="0" applyFont="1" applyFill="1" applyBorder="1"/>
    <xf numFmtId="0" fontId="15" fillId="8" borderId="0" xfId="0" applyFont="1" applyFill="1"/>
    <xf numFmtId="0" fontId="13" fillId="0" borderId="0" xfId="0" applyFont="1" applyFill="1"/>
    <xf numFmtId="0" fontId="16" fillId="9" borderId="4" xfId="0" applyFont="1" applyFill="1" applyBorder="1"/>
    <xf numFmtId="0" fontId="13" fillId="6" borderId="0" xfId="0" applyFont="1" applyFill="1"/>
    <xf numFmtId="0" fontId="16" fillId="9" borderId="10" xfId="0" applyFont="1" applyFill="1" applyBorder="1"/>
    <xf numFmtId="0" fontId="18" fillId="7" borderId="0" xfId="0" applyFont="1" applyFill="1" applyBorder="1" applyAlignment="1">
      <alignment horizontal="center" vertical="center" wrapText="1"/>
    </xf>
    <xf numFmtId="0" fontId="16" fillId="9" borderId="5" xfId="0" applyFont="1" applyFill="1" applyBorder="1"/>
    <xf numFmtId="0" fontId="19" fillId="2" borderId="4" xfId="0" applyFont="1" applyFill="1" applyBorder="1" applyAlignment="1">
      <alignment vertical="center"/>
    </xf>
    <xf numFmtId="0" fontId="20" fillId="2" borderId="4" xfId="0" applyFont="1" applyFill="1" applyBorder="1" applyAlignment="1">
      <alignment horizontal="center" vertical="center"/>
    </xf>
    <xf numFmtId="0" fontId="19" fillId="7" borderId="0" xfId="0" applyFont="1" applyFill="1" applyBorder="1" applyAlignment="1">
      <alignment horizontal="center" vertical="center"/>
    </xf>
    <xf numFmtId="0" fontId="16" fillId="9" borderId="0" xfId="0" applyFont="1" applyFill="1" applyBorder="1" applyAlignment="1">
      <alignment vertical="top"/>
    </xf>
    <xf numFmtId="170" fontId="13" fillId="7" borderId="4" xfId="0" applyNumberFormat="1" applyFont="1" applyFill="1" applyBorder="1" applyAlignment="1">
      <alignment horizontal="center"/>
    </xf>
    <xf numFmtId="170" fontId="18" fillId="7" borderId="4" xfId="0" applyNumberFormat="1" applyFont="1" applyFill="1" applyBorder="1" applyAlignment="1">
      <alignment horizontal="center"/>
    </xf>
    <xf numFmtId="170" fontId="13" fillId="7" borderId="0" xfId="0" applyNumberFormat="1" applyFont="1" applyFill="1" applyBorder="1" applyAlignment="1">
      <alignment horizontal="center"/>
    </xf>
    <xf numFmtId="170" fontId="13" fillId="3" borderId="4" xfId="0" applyNumberFormat="1" applyFont="1" applyFill="1" applyBorder="1" applyAlignment="1">
      <alignment horizontal="center"/>
    </xf>
    <xf numFmtId="0" fontId="13" fillId="7" borderId="0" xfId="0" applyFont="1" applyFill="1" applyBorder="1" applyAlignment="1">
      <alignment vertic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4" fillId="8" borderId="5" xfId="0" applyFont="1" applyFill="1" applyBorder="1"/>
    <xf numFmtId="0" fontId="15" fillId="8" borderId="2" xfId="0" applyFont="1" applyFill="1" applyBorder="1"/>
    <xf numFmtId="0" fontId="15" fillId="8" borderId="3" xfId="0" applyFont="1" applyFill="1" applyBorder="1"/>
    <xf numFmtId="0" fontId="13" fillId="7" borderId="0" xfId="0" applyFont="1" applyFill="1" applyBorder="1" applyAlignment="1">
      <alignment horizontal="left" vertical="top" wrapText="1"/>
    </xf>
    <xf numFmtId="0" fontId="14" fillId="8" borderId="0" xfId="0" applyFont="1" applyFill="1"/>
    <xf numFmtId="0" fontId="13" fillId="7" borderId="0" xfId="0" applyFont="1" applyFill="1" applyBorder="1" applyAlignment="1">
      <alignment horizontal="left"/>
    </xf>
    <xf numFmtId="0" fontId="13" fillId="0" borderId="0" xfId="0" applyFont="1" applyAlignment="1">
      <alignment horizontal="left"/>
    </xf>
    <xf numFmtId="0" fontId="13" fillId="7" borderId="0" xfId="0" applyFont="1" applyFill="1" applyBorder="1" applyAlignment="1">
      <alignment horizontal="left" wrapText="1"/>
    </xf>
    <xf numFmtId="0" fontId="13" fillId="0" borderId="0" xfId="0" applyFont="1" applyFill="1" applyBorder="1" applyAlignment="1">
      <alignment horizontal="left"/>
    </xf>
    <xf numFmtId="0" fontId="16" fillId="2" borderId="3" xfId="0" applyFont="1" applyFill="1" applyBorder="1"/>
    <xf numFmtId="0" fontId="13"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8" fontId="21" fillId="0" borderId="0" xfId="2" applyNumberFormat="1" applyFont="1"/>
    <xf numFmtId="168" fontId="16" fillId="2" borderId="7" xfId="2" applyNumberFormat="1" applyFont="1" applyFill="1" applyBorder="1"/>
    <xf numFmtId="10" fontId="13" fillId="0" borderId="0" xfId="1" applyNumberFormat="1" applyFont="1"/>
    <xf numFmtId="10" fontId="13" fillId="0" borderId="0" xfId="0" applyNumberFormat="1" applyFont="1"/>
    <xf numFmtId="171" fontId="13" fillId="0" borderId="0" xfId="1" applyNumberFormat="1" applyFont="1"/>
    <xf numFmtId="0" fontId="14"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9" fontId="21" fillId="0" borderId="0" xfId="3" applyNumberFormat="1" applyFont="1" applyAlignment="1"/>
    <xf numFmtId="172" fontId="16" fillId="2" borderId="7" xfId="2" applyNumberFormat="1" applyFont="1" applyFill="1" applyBorder="1" applyAlignment="1"/>
    <xf numFmtId="169" fontId="23" fillId="0" borderId="0" xfId="3" applyNumberFormat="1" applyFont="1" applyAlignment="1">
      <alignment horizontal="right"/>
    </xf>
    <xf numFmtId="169" fontId="23" fillId="0" borderId="0" xfId="3" applyNumberFormat="1" applyFont="1" applyAlignment="1">
      <alignment horizontal="center" vertical="center"/>
    </xf>
    <xf numFmtId="0" fontId="7" fillId="2" borderId="6" xfId="0" applyFont="1" applyFill="1" applyBorder="1"/>
    <xf numFmtId="168" fontId="6" fillId="11" borderId="5" xfId="2" applyNumberFormat="1" applyFont="1" applyFill="1" applyBorder="1"/>
    <xf numFmtId="3" fontId="6" fillId="11" borderId="10" xfId="0"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170" fontId="7" fillId="9" borderId="0" xfId="0" applyNumberFormat="1" applyFont="1" applyFill="1" applyBorder="1" applyAlignment="1"/>
    <xf numFmtId="170" fontId="7" fillId="9" borderId="3" xfId="0" applyNumberFormat="1" applyFont="1" applyFill="1" applyBorder="1" applyAlignment="1"/>
    <xf numFmtId="2" fontId="4" fillId="10" borderId="14" xfId="0" applyNumberFormat="1" applyFont="1" applyFill="1" applyBorder="1" applyAlignment="1">
      <alignment horizontal="center"/>
    </xf>
    <xf numFmtId="1" fontId="4" fillId="10" borderId="14" xfId="0" applyNumberFormat="1" applyFont="1" applyFill="1" applyBorder="1" applyAlignment="1">
      <alignment horizontal="center"/>
    </xf>
    <xf numFmtId="2" fontId="4" fillId="10" borderId="14" xfId="3" applyNumberFormat="1" applyFont="1" applyFill="1" applyBorder="1" applyAlignment="1">
      <alignment horizontal="center"/>
    </xf>
    <xf numFmtId="4" fontId="4" fillId="10" borderId="14" xfId="0" applyNumberFormat="1" applyFont="1" applyFill="1" applyBorder="1" applyAlignment="1">
      <alignment horizontal="center"/>
    </xf>
    <xf numFmtId="4" fontId="4" fillId="10" borderId="4" xfId="0" applyNumberFormat="1"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24" fillId="0" borderId="0" xfId="0" applyFont="1"/>
    <xf numFmtId="0" fontId="6" fillId="4" borderId="5" xfId="0" applyFont="1" applyFill="1" applyBorder="1"/>
    <xf numFmtId="0" fontId="6" fillId="4" borderId="3" xfId="0" applyFont="1" applyFill="1" applyBorder="1"/>
    <xf numFmtId="10" fontId="0" fillId="0" borderId="0" xfId="1" applyNumberFormat="1" applyFont="1"/>
    <xf numFmtId="10" fontId="0" fillId="0" borderId="0" xfId="0" applyNumberFormat="1"/>
    <xf numFmtId="0" fontId="25"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6" fillId="4" borderId="5" xfId="0" applyFont="1" applyFill="1" applyBorder="1"/>
    <xf numFmtId="0" fontId="2" fillId="4" borderId="4" xfId="0" applyFont="1" applyFill="1" applyBorder="1" applyAlignment="1">
      <alignment horizontal="left"/>
    </xf>
    <xf numFmtId="167" fontId="27"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0" fontId="6" fillId="4" borderId="4" xfId="0" applyFont="1" applyFill="1" applyBorder="1" applyAlignment="1">
      <alignment horizontal="left"/>
    </xf>
    <xf numFmtId="167" fontId="28"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70" fontId="2" fillId="7" borderId="4" xfId="0" applyNumberFormat="1" applyFont="1" applyFill="1" applyBorder="1" applyAlignment="1">
      <alignment horizontal="left"/>
    </xf>
    <xf numFmtId="2" fontId="4" fillId="10" borderId="3" xfId="3" applyNumberFormat="1" applyFont="1" applyFill="1" applyBorder="1" applyAlignment="1">
      <alignment horizontal="center"/>
    </xf>
    <xf numFmtId="2" fontId="4" fillId="10" borderId="1" xfId="3" applyNumberFormat="1" applyFont="1" applyFill="1" applyBorder="1" applyAlignment="1">
      <alignment horizontal="center"/>
    </xf>
    <xf numFmtId="170" fontId="7" fillId="9" borderId="1" xfId="0" applyNumberFormat="1" applyFont="1" applyFill="1" applyBorder="1" applyAlignment="1"/>
    <xf numFmtId="0" fontId="5" fillId="8" borderId="12" xfId="0" applyFont="1" applyFill="1" applyBorder="1" applyAlignment="1">
      <alignment horizontal="left"/>
    </xf>
    <xf numFmtId="0" fontId="5" fillId="8" borderId="0" xfId="0" applyFont="1" applyFill="1" applyBorder="1" applyAlignment="1">
      <alignment horizontal="left"/>
    </xf>
    <xf numFmtId="2" fontId="4" fillId="10" borderId="15" xfId="3" applyNumberFormat="1" applyFont="1" applyFill="1" applyBorder="1" applyAlignment="1">
      <alignment horizontal="center"/>
    </xf>
    <xf numFmtId="0" fontId="4" fillId="10" borderId="9" xfId="0" applyFont="1" applyFill="1" applyBorder="1" applyAlignment="1">
      <alignment horizontal="center"/>
    </xf>
    <xf numFmtId="1" fontId="4" fillId="10" borderId="3" xfId="0" applyNumberFormat="1" applyFont="1" applyFill="1" applyBorder="1" applyAlignment="1">
      <alignment horizontal="center"/>
    </xf>
    <xf numFmtId="1" fontId="4" fillId="10" borderId="13" xfId="0" applyNumberFormat="1" applyFont="1" applyFill="1" applyBorder="1" applyAlignment="1">
      <alignment horizontal="center"/>
    </xf>
    <xf numFmtId="0" fontId="2" fillId="0" borderId="12" xfId="0" applyFont="1" applyBorder="1"/>
    <xf numFmtId="0" fontId="5" fillId="8" borderId="13" xfId="0" applyFont="1" applyFill="1" applyBorder="1" applyAlignment="1">
      <alignment horizontal="left"/>
    </xf>
    <xf numFmtId="0" fontId="5" fillId="8" borderId="0" xfId="0" applyFont="1" applyFill="1" applyBorder="1" applyAlignment="1">
      <alignment horizontal="center"/>
    </xf>
    <xf numFmtId="2" fontId="5" fillId="8" borderId="0" xfId="0" applyNumberFormat="1" applyFont="1" applyFill="1" applyBorder="1" applyAlignment="1">
      <alignment horizontal="center"/>
    </xf>
    <xf numFmtId="1" fontId="5" fillId="8" borderId="0" xfId="0" applyNumberFormat="1" applyFont="1" applyFill="1" applyBorder="1" applyAlignment="1">
      <alignment horizontal="left"/>
    </xf>
    <xf numFmtId="2" fontId="5" fillId="8" borderId="0" xfId="0" applyNumberFormat="1" applyFont="1" applyFill="1" applyBorder="1" applyAlignment="1">
      <alignment horizontal="left"/>
    </xf>
    <xf numFmtId="0" fontId="5" fillId="8" borderId="6" xfId="0" applyFont="1" applyFill="1" applyBorder="1" applyAlignment="1">
      <alignment horizontal="left"/>
    </xf>
    <xf numFmtId="0" fontId="5" fillId="0" borderId="8" xfId="0" applyFont="1" applyFill="1" applyBorder="1" applyAlignment="1">
      <alignment horizontal="left"/>
    </xf>
    <xf numFmtId="0" fontId="5" fillId="0" borderId="0" xfId="0" applyFont="1" applyFill="1" applyBorder="1" applyAlignment="1">
      <alignment horizontal="center"/>
    </xf>
    <xf numFmtId="2" fontId="5" fillId="0" borderId="0" xfId="0" applyNumberFormat="1" applyFont="1" applyFill="1" applyBorder="1" applyAlignment="1">
      <alignment horizontal="center"/>
    </xf>
    <xf numFmtId="1" fontId="5" fillId="0" borderId="0" xfId="0" applyNumberFormat="1" applyFont="1" applyFill="1" applyBorder="1" applyAlignment="1">
      <alignment horizontal="left"/>
    </xf>
    <xf numFmtId="2" fontId="5" fillId="0" borderId="0" xfId="0" applyNumberFormat="1" applyFont="1" applyFill="1" applyBorder="1" applyAlignment="1">
      <alignment horizontal="left"/>
    </xf>
    <xf numFmtId="0" fontId="5" fillId="0" borderId="0" xfId="0" applyFont="1" applyFill="1" applyBorder="1" applyAlignment="1">
      <alignment horizontal="left"/>
    </xf>
    <xf numFmtId="0" fontId="5" fillId="0" borderId="6" xfId="0" applyFont="1" applyFill="1" applyBorder="1" applyAlignment="1">
      <alignment horizontal="left"/>
    </xf>
    <xf numFmtId="170" fontId="7" fillId="9" borderId="6" xfId="0" applyNumberFormat="1" applyFont="1" applyFill="1" applyBorder="1" applyAlignment="1"/>
    <xf numFmtId="0" fontId="4" fillId="10" borderId="10" xfId="0" applyFont="1" applyFill="1" applyBorder="1" applyAlignment="1">
      <alignment horizontal="left" vertical="center" wrapText="1"/>
    </xf>
    <xf numFmtId="0" fontId="5" fillId="8" borderId="10" xfId="0" applyFont="1" applyFill="1" applyBorder="1" applyAlignment="1"/>
    <xf numFmtId="0" fontId="5" fillId="8" borderId="1" xfId="0" applyFont="1" applyFill="1" applyBorder="1" applyAlignment="1"/>
    <xf numFmtId="0" fontId="5" fillId="8" borderId="13" xfId="0" applyFont="1" applyFill="1" applyBorder="1" applyAlignment="1"/>
    <xf numFmtId="0" fontId="12" fillId="8" borderId="11" xfId="0" applyNumberFormat="1" applyFont="1" applyFill="1" applyBorder="1" applyAlignment="1">
      <alignment horizontal="left"/>
    </xf>
    <xf numFmtId="0" fontId="5" fillId="8" borderId="15" xfId="0" applyFont="1" applyFill="1" applyBorder="1" applyAlignment="1">
      <alignment horizontal="left"/>
    </xf>
    <xf numFmtId="0" fontId="5" fillId="0" borderId="11" xfId="0" applyFont="1" applyFill="1" applyBorder="1" applyAlignment="1">
      <alignment horizontal="left"/>
    </xf>
    <xf numFmtId="0" fontId="5" fillId="0" borderId="12" xfId="0" applyFont="1" applyFill="1" applyBorder="1" applyAlignment="1">
      <alignment horizontal="left"/>
    </xf>
    <xf numFmtId="0" fontId="5" fillId="0" borderId="15" xfId="0" applyFont="1" applyFill="1" applyBorder="1" applyAlignment="1">
      <alignment horizontal="left"/>
    </xf>
    <xf numFmtId="168" fontId="6" fillId="10" borderId="5" xfId="2" applyNumberFormat="1" applyFont="1" applyFill="1" applyBorder="1" applyAlignment="1">
      <alignment horizontal="center"/>
    </xf>
    <xf numFmtId="3" fontId="7" fillId="5" borderId="4" xfId="0" applyNumberFormat="1" applyFont="1" applyFill="1" applyBorder="1"/>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168" fontId="6" fillId="11" borderId="4" xfId="2" applyNumberFormat="1" applyFont="1" applyFill="1" applyBorder="1"/>
    <xf numFmtId="168" fontId="7" fillId="5" borderId="4" xfId="2" applyNumberFormat="1" applyFont="1" applyFill="1" applyBorder="1"/>
    <xf numFmtId="0" fontId="7" fillId="5" borderId="4" xfId="0" applyFont="1" applyFill="1" applyBorder="1" applyAlignment="1">
      <alignment horizontal="left"/>
    </xf>
    <xf numFmtId="0" fontId="2" fillId="4" borderId="4" xfId="0" quotePrefix="1" applyFont="1" applyFill="1" applyBorder="1"/>
    <xf numFmtId="0" fontId="7" fillId="11" borderId="4" xfId="0" applyFont="1" applyFill="1" applyBorder="1"/>
    <xf numFmtId="0" fontId="7" fillId="5" borderId="4" xfId="0" applyFont="1" applyFill="1" applyBorder="1" applyAlignment="1">
      <alignment horizontal="right"/>
    </xf>
    <xf numFmtId="168" fontId="2" fillId="10" borderId="4" xfId="2" applyNumberFormat="1" applyFont="1" applyFill="1" applyBorder="1" applyAlignment="1">
      <alignment horizontal="center"/>
    </xf>
    <xf numFmtId="0" fontId="4" fillId="5" borderId="4" xfId="0" applyFont="1" applyFill="1" applyBorder="1"/>
    <xf numFmtId="0" fontId="13" fillId="7" borderId="1" xfId="0" applyFont="1" applyFill="1" applyBorder="1" applyAlignment="1">
      <alignment horizontal="left" wrapText="1"/>
    </xf>
    <xf numFmtId="0" fontId="13" fillId="7" borderId="0" xfId="0" applyFont="1" applyFill="1" applyBorder="1" applyAlignment="1">
      <alignment horizontal="left" wrapText="1"/>
    </xf>
    <xf numFmtId="0" fontId="22" fillId="7" borderId="0" xfId="0" quotePrefix="1" applyFont="1" applyFill="1" applyBorder="1" applyAlignment="1">
      <alignment horizontal="left" vertical="top" wrapText="1"/>
    </xf>
    <xf numFmtId="0" fontId="13" fillId="7" borderId="0" xfId="0" quotePrefix="1" applyFont="1" applyFill="1" applyBorder="1" applyAlignment="1">
      <alignment horizontal="left" vertical="top" wrapText="1"/>
    </xf>
    <xf numFmtId="0" fontId="13" fillId="7" borderId="0" xfId="0" applyFont="1" applyFill="1" applyBorder="1" applyAlignment="1">
      <alignment horizontal="left" vertical="top" wrapText="1"/>
    </xf>
    <xf numFmtId="0" fontId="6" fillId="7" borderId="10"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7" fillId="9" borderId="5" xfId="0" applyFont="1" applyFill="1" applyBorder="1" applyAlignment="1">
      <alignment horizontal="left" vertical="center"/>
    </xf>
    <xf numFmtId="0" fontId="16" fillId="9" borderId="5" xfId="0" applyFont="1" applyFill="1" applyBorder="1" applyAlignment="1">
      <alignment horizontal="left" vertical="center"/>
    </xf>
    <xf numFmtId="170" fontId="21" fillId="7" borderId="5" xfId="0" applyNumberFormat="1" applyFont="1" applyFill="1" applyBorder="1" applyAlignment="1">
      <alignment horizontal="left"/>
    </xf>
    <xf numFmtId="170" fontId="21" fillId="7" borderId="2" xfId="0" applyNumberFormat="1" applyFont="1" applyFill="1" applyBorder="1" applyAlignment="1">
      <alignment horizontal="left"/>
    </xf>
    <xf numFmtId="0" fontId="13" fillId="2" borderId="11" xfId="0" applyFont="1" applyFill="1" applyBorder="1" applyAlignment="1">
      <alignment horizontal="center"/>
    </xf>
    <xf numFmtId="0" fontId="13" fillId="2" borderId="12" xfId="0" applyFont="1" applyFill="1" applyBorder="1" applyAlignment="1">
      <alignment horizont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1" xfId="0" applyFont="1" applyFill="1" applyBorder="1" applyAlignment="1">
      <alignment horizontal="center"/>
    </xf>
    <xf numFmtId="0" fontId="5" fillId="12" borderId="13" xfId="0" applyFont="1" applyFill="1" applyBorder="1" applyAlignment="1">
      <alignment horizontal="center"/>
    </xf>
    <xf numFmtId="2" fontId="5" fillId="13" borderId="0" xfId="0" applyNumberFormat="1" applyFont="1" applyFill="1" applyBorder="1" applyAlignment="1">
      <alignment horizontal="center"/>
    </xf>
    <xf numFmtId="2" fontId="5" fillId="13" borderId="6" xfId="0" applyNumberFormat="1" applyFont="1" applyFill="1" applyBorder="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2" fontId="5" fillId="13" borderId="12" xfId="0" applyNumberFormat="1" applyFont="1" applyFill="1" applyBorder="1" applyAlignment="1">
      <alignment horizontal="center"/>
    </xf>
    <xf numFmtId="2" fontId="5" fillId="13" borderId="15" xfId="0" applyNumberFormat="1" applyFont="1" applyFill="1" applyBorder="1" applyAlignment="1">
      <alignment horizont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5" fillId="8" borderId="10" xfId="0" applyFont="1" applyFill="1" applyBorder="1" applyAlignment="1">
      <alignment horizontal="left"/>
    </xf>
    <xf numFmtId="0" fontId="5" fillId="8" borderId="1" xfId="0" applyFont="1" applyFill="1" applyBorder="1" applyAlignment="1">
      <alignment horizontal="left"/>
    </xf>
    <xf numFmtId="0" fontId="5" fillId="8" borderId="8" xfId="0" applyFont="1" applyFill="1" applyBorder="1" applyAlignment="1">
      <alignment horizontal="left"/>
    </xf>
    <xf numFmtId="0" fontId="5" fillId="8" borderId="0" xfId="0" applyFont="1" applyFill="1" applyBorder="1" applyAlignment="1">
      <alignment horizontal="left"/>
    </xf>
    <xf numFmtId="0" fontId="6" fillId="4" borderId="5" xfId="0" applyFont="1" applyFill="1" applyBorder="1" applyAlignment="1">
      <alignment horizontal="center"/>
    </xf>
    <xf numFmtId="0" fontId="6" fillId="4" borderId="2" xfId="0" applyFont="1" applyFill="1" applyBorder="1" applyAlignment="1">
      <alignment horizontal="center"/>
    </xf>
    <xf numFmtId="10" fontId="25" fillId="14" borderId="12" xfId="0" applyNumberFormat="1" applyFont="1" applyFill="1" applyBorder="1" applyAlignment="1">
      <alignment horizontal="center"/>
    </xf>
    <xf numFmtId="10" fontId="25" fillId="14" borderId="0" xfId="0" applyNumberFormat="1" applyFont="1" applyFill="1" applyBorder="1" applyAlignment="1">
      <alignment horizontal="center"/>
    </xf>
    <xf numFmtId="0" fontId="4" fillId="4" borderId="1" xfId="0" applyFont="1" applyFill="1" applyBorder="1" applyAlignment="1">
      <alignment horizontal="left" vertical="top" wrapText="1"/>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9" borderId="8" xfId="0" applyFont="1" applyFill="1" applyBorder="1" applyAlignment="1">
      <alignment horizontal="left"/>
    </xf>
    <xf numFmtId="0" fontId="7" fillId="9" borderId="0" xfId="0" applyFont="1" applyFill="1" applyBorder="1" applyAlignment="1">
      <alignment horizontal="left"/>
    </xf>
    <xf numFmtId="3" fontId="7" fillId="11" borderId="4" xfId="0" applyNumberFormat="1" applyFont="1" applyFill="1" applyBorder="1"/>
    <xf numFmtId="167" fontId="28"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A6A6A6"/>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S61"/>
  <sheetViews>
    <sheetView showGridLines="0" tabSelected="1" zoomScale="90" zoomScaleNormal="90" workbookViewId="0">
      <selection activeCell="H48" sqref="H48"/>
    </sheetView>
  </sheetViews>
  <sheetFormatPr defaultColWidth="9.140625" defaultRowHeight="12.75" x14ac:dyDescent="0.2"/>
  <cols>
    <col min="1" max="1" width="2.42578125" style="121" customWidth="1"/>
    <col min="2" max="2" width="41.85546875" style="121" customWidth="1"/>
    <col min="3" max="3" width="38.140625" style="121" customWidth="1"/>
    <col min="4" max="4" width="20.7109375" style="121" customWidth="1"/>
    <col min="5" max="5" width="20.140625" style="121" customWidth="1"/>
    <col min="6" max="6" width="14" style="121" customWidth="1"/>
    <col min="7" max="7" width="12.85546875" style="121" customWidth="1"/>
    <col min="8" max="8" width="13.28515625" style="121" customWidth="1"/>
    <col min="9" max="9" width="11.5703125" style="121" customWidth="1"/>
    <col min="10" max="16384" width="9.140625" style="121"/>
  </cols>
  <sheetData>
    <row r="1" spans="2:19" ht="13.5" customHeight="1" x14ac:dyDescent="0.2"/>
    <row r="2" spans="2:19" x14ac:dyDescent="0.2">
      <c r="B2" s="122" t="s">
        <v>7</v>
      </c>
      <c r="C2" s="123"/>
      <c r="D2" s="123"/>
      <c r="E2" s="123"/>
      <c r="F2" s="123"/>
      <c r="G2" s="123"/>
      <c r="H2" s="123"/>
      <c r="O2" s="124"/>
      <c r="P2" s="124"/>
      <c r="Q2" s="124"/>
      <c r="R2" s="124"/>
      <c r="S2" s="124"/>
    </row>
    <row r="3" spans="2:19" ht="75.75" customHeight="1" x14ac:dyDescent="0.2">
      <c r="B3" s="125" t="s">
        <v>56</v>
      </c>
      <c r="C3" s="267" t="s">
        <v>129</v>
      </c>
      <c r="D3" s="268"/>
      <c r="E3" s="268"/>
      <c r="F3" s="268"/>
      <c r="G3" s="268"/>
      <c r="H3" s="268"/>
      <c r="M3" s="126"/>
      <c r="N3" s="126"/>
      <c r="O3" s="124"/>
      <c r="P3" s="124"/>
      <c r="Q3" s="124"/>
      <c r="R3" s="124"/>
      <c r="S3" s="124"/>
    </row>
    <row r="4" spans="2:19" ht="55.5" customHeight="1" x14ac:dyDescent="0.2">
      <c r="B4" s="127"/>
      <c r="C4" s="276"/>
      <c r="D4" s="277"/>
      <c r="E4" s="277"/>
      <c r="F4" s="128"/>
      <c r="G4" s="128"/>
      <c r="H4" s="128"/>
      <c r="M4" s="126"/>
      <c r="N4" s="126"/>
      <c r="O4" s="124"/>
      <c r="P4" s="124"/>
      <c r="Q4" s="124"/>
      <c r="R4" s="124"/>
      <c r="S4" s="124"/>
    </row>
    <row r="5" spans="2:19" ht="15" customHeight="1" x14ac:dyDescent="0.2">
      <c r="B5" s="129" t="s">
        <v>13</v>
      </c>
      <c r="C5" s="130"/>
      <c r="D5" s="131" t="s">
        <v>156</v>
      </c>
      <c r="E5" s="131" t="s">
        <v>157</v>
      </c>
      <c r="F5" s="132"/>
      <c r="G5" s="132"/>
      <c r="H5" s="132"/>
      <c r="M5" s="126"/>
      <c r="N5" s="126"/>
      <c r="O5" s="124"/>
      <c r="P5" s="124"/>
      <c r="Q5" s="124"/>
      <c r="R5" s="124"/>
      <c r="S5" s="124"/>
    </row>
    <row r="6" spans="2:19" x14ac:dyDescent="0.2">
      <c r="B6" s="133" t="s">
        <v>41</v>
      </c>
      <c r="C6" s="134"/>
      <c r="D6" s="135" t="s">
        <v>71</v>
      </c>
      <c r="E6" s="134" t="s">
        <v>71</v>
      </c>
      <c r="F6" s="136"/>
      <c r="G6" s="136"/>
      <c r="H6" s="136"/>
      <c r="M6" s="126"/>
      <c r="N6" s="126"/>
      <c r="O6" s="124"/>
      <c r="P6" s="124"/>
      <c r="Q6" s="124"/>
      <c r="R6" s="124"/>
      <c r="S6" s="124"/>
    </row>
    <row r="7" spans="2:19" x14ac:dyDescent="0.2">
      <c r="B7" s="272" t="s">
        <v>87</v>
      </c>
      <c r="C7" s="215" t="s">
        <v>155</v>
      </c>
      <c r="D7" s="137">
        <f>'Proposed price'!Q18</f>
        <v>2704.9253944936709</v>
      </c>
      <c r="E7" s="137">
        <f>'Proposed price'!Q37</f>
        <v>3433.0380379741569</v>
      </c>
      <c r="F7" s="138"/>
      <c r="G7" s="138"/>
      <c r="H7" s="138"/>
      <c r="O7" s="124"/>
      <c r="P7" s="124"/>
      <c r="Q7" s="124"/>
      <c r="R7" s="124"/>
      <c r="S7" s="124"/>
    </row>
    <row r="8" spans="2:19" x14ac:dyDescent="0.2">
      <c r="B8" s="273"/>
      <c r="C8" s="215" t="s">
        <v>164</v>
      </c>
      <c r="D8" s="137">
        <f>'Proposed price'!AH18</f>
        <v>3096.2184725085694</v>
      </c>
      <c r="E8" s="137">
        <f>'Proposed price'!AH37</f>
        <v>3969.9536446851525</v>
      </c>
      <c r="F8" s="138"/>
      <c r="G8" s="138"/>
      <c r="H8" s="138"/>
      <c r="O8" s="124"/>
      <c r="P8" s="124"/>
      <c r="Q8" s="124"/>
      <c r="R8" s="124"/>
      <c r="S8" s="124"/>
    </row>
    <row r="9" spans="2:19" x14ac:dyDescent="0.2">
      <c r="B9" s="273"/>
      <c r="C9" s="215" t="s">
        <v>158</v>
      </c>
      <c r="D9" s="137">
        <f>'Proposed price'!AY18</f>
        <v>1008.9462314868064</v>
      </c>
      <c r="E9" s="137">
        <f>'Proposed price'!AY37</f>
        <v>1431.2515647054886</v>
      </c>
      <c r="F9" s="138"/>
      <c r="G9" s="138"/>
      <c r="H9" s="138"/>
      <c r="O9" s="124"/>
      <c r="P9" s="124"/>
      <c r="Q9" s="124"/>
      <c r="R9" s="124"/>
      <c r="S9" s="124"/>
    </row>
    <row r="10" spans="2:19" x14ac:dyDescent="0.2">
      <c r="B10" s="273"/>
      <c r="C10" s="215" t="s">
        <v>159</v>
      </c>
      <c r="D10" s="137">
        <f>'Proposed price'!BP10</f>
        <v>212.70961481276012</v>
      </c>
      <c r="E10" s="137">
        <f>'Proposed price'!BP29</f>
        <v>358.33214350885731</v>
      </c>
      <c r="F10" s="138"/>
      <c r="G10" s="138"/>
      <c r="H10" s="138"/>
      <c r="O10" s="124"/>
      <c r="P10" s="124"/>
      <c r="Q10" s="124"/>
      <c r="R10" s="124"/>
      <c r="S10" s="124"/>
    </row>
    <row r="11" spans="2:19" x14ac:dyDescent="0.2">
      <c r="B11" s="139" t="s">
        <v>47</v>
      </c>
      <c r="C11" s="274" t="s">
        <v>70</v>
      </c>
      <c r="D11" s="275"/>
      <c r="E11" s="275"/>
      <c r="F11" s="140"/>
      <c r="G11" s="140"/>
      <c r="H11" s="140"/>
      <c r="O11" s="124"/>
      <c r="P11" s="124"/>
      <c r="Q11" s="124"/>
      <c r="R11" s="124"/>
      <c r="S11" s="124"/>
    </row>
    <row r="12" spans="2:19" x14ac:dyDescent="0.2">
      <c r="B12" s="141" t="s">
        <v>5</v>
      </c>
      <c r="C12" s="142"/>
      <c r="D12" s="142"/>
      <c r="E12" s="142"/>
      <c r="F12" s="142"/>
      <c r="G12" s="142"/>
      <c r="H12" s="143"/>
      <c r="O12" s="124"/>
      <c r="P12" s="124"/>
      <c r="Q12" s="124"/>
      <c r="R12" s="124"/>
      <c r="S12" s="124"/>
    </row>
    <row r="13" spans="2:19" ht="117.75" customHeight="1" x14ac:dyDescent="0.2">
      <c r="B13" s="269" t="s">
        <v>168</v>
      </c>
      <c r="C13" s="270"/>
      <c r="D13" s="270"/>
      <c r="E13" s="270"/>
      <c r="F13" s="270"/>
      <c r="G13" s="270"/>
      <c r="H13" s="270"/>
      <c r="O13" s="124"/>
      <c r="P13" s="124"/>
      <c r="Q13" s="124"/>
      <c r="R13" s="124"/>
      <c r="S13" s="124"/>
    </row>
    <row r="14" spans="2:19" x14ac:dyDescent="0.2">
      <c r="B14" s="144"/>
      <c r="C14" s="144"/>
      <c r="D14" s="144"/>
      <c r="E14" s="144"/>
      <c r="F14" s="144"/>
      <c r="G14" s="144"/>
      <c r="H14" s="144"/>
      <c r="O14" s="124"/>
      <c r="P14" s="124"/>
      <c r="Q14" s="124"/>
      <c r="R14" s="124"/>
      <c r="S14" s="124"/>
    </row>
    <row r="15" spans="2:19" x14ac:dyDescent="0.2">
      <c r="O15" s="124"/>
      <c r="P15" s="124"/>
      <c r="Q15" s="124"/>
      <c r="R15" s="124"/>
      <c r="S15" s="124"/>
    </row>
    <row r="16" spans="2:19" x14ac:dyDescent="0.2">
      <c r="B16" s="145" t="s">
        <v>34</v>
      </c>
      <c r="C16" s="123"/>
      <c r="D16" s="123"/>
      <c r="E16" s="123"/>
      <c r="F16" s="123"/>
      <c r="G16" s="123"/>
      <c r="H16" s="123"/>
      <c r="O16" s="124"/>
      <c r="P16" s="124"/>
      <c r="Q16" s="124"/>
      <c r="R16" s="124"/>
      <c r="S16" s="124"/>
    </row>
    <row r="17" spans="2:9" x14ac:dyDescent="0.2">
      <c r="B17" s="263"/>
      <c r="C17" s="263"/>
      <c r="D17" s="263"/>
      <c r="E17" s="263"/>
      <c r="F17" s="263"/>
      <c r="G17" s="263"/>
      <c r="H17" s="263"/>
    </row>
    <row r="18" spans="2:9" ht="124.5" customHeight="1" x14ac:dyDescent="0.2">
      <c r="B18" s="271" t="s">
        <v>167</v>
      </c>
      <c r="C18" s="271"/>
      <c r="D18" s="271"/>
      <c r="E18" s="271"/>
      <c r="F18" s="271"/>
      <c r="G18" s="271"/>
      <c r="H18" s="271"/>
      <c r="I18" s="124"/>
    </row>
    <row r="19" spans="2:9" x14ac:dyDescent="0.2">
      <c r="B19" s="146"/>
      <c r="C19" s="146"/>
      <c r="D19" s="146"/>
      <c r="E19" s="146"/>
      <c r="F19" s="146"/>
      <c r="G19" s="146"/>
      <c r="H19" s="146"/>
    </row>
    <row r="20" spans="2:9" x14ac:dyDescent="0.2">
      <c r="B20" s="147"/>
      <c r="C20" s="147"/>
      <c r="D20" s="147"/>
      <c r="E20" s="147"/>
      <c r="F20" s="147"/>
      <c r="G20" s="147"/>
      <c r="H20" s="147"/>
    </row>
    <row r="21" spans="2:9" x14ac:dyDescent="0.2">
      <c r="B21" s="145" t="s">
        <v>42</v>
      </c>
      <c r="C21" s="123"/>
      <c r="D21" s="123"/>
      <c r="E21" s="123"/>
      <c r="F21" s="123"/>
      <c r="G21" s="123"/>
      <c r="H21" s="123"/>
    </row>
    <row r="22" spans="2:9" x14ac:dyDescent="0.2">
      <c r="B22" s="263"/>
      <c r="C22" s="263"/>
      <c r="D22" s="263"/>
      <c r="E22" s="263"/>
      <c r="F22" s="263"/>
      <c r="G22" s="263"/>
      <c r="H22" s="263"/>
    </row>
    <row r="23" spans="2:9" x14ac:dyDescent="0.2">
      <c r="B23" s="264" t="s">
        <v>67</v>
      </c>
      <c r="C23" s="265"/>
      <c r="D23" s="265"/>
      <c r="E23" s="265"/>
      <c r="F23" s="265"/>
      <c r="G23" s="265"/>
      <c r="H23" s="265"/>
    </row>
    <row r="24" spans="2:9" x14ac:dyDescent="0.2">
      <c r="B24" s="264" t="s">
        <v>86</v>
      </c>
      <c r="C24" s="264"/>
      <c r="D24" s="264"/>
      <c r="E24" s="264"/>
      <c r="F24" s="264"/>
      <c r="G24" s="264"/>
      <c r="H24" s="264"/>
    </row>
    <row r="25" spans="2:9" x14ac:dyDescent="0.2">
      <c r="B25" s="265"/>
      <c r="C25" s="266"/>
      <c r="D25" s="266"/>
      <c r="E25" s="266"/>
      <c r="F25" s="266"/>
      <c r="G25" s="266"/>
      <c r="H25" s="266"/>
    </row>
    <row r="26" spans="2:9" x14ac:dyDescent="0.2">
      <c r="B26" s="148"/>
      <c r="C26" s="148"/>
      <c r="D26" s="148"/>
      <c r="E26" s="148"/>
      <c r="F26" s="148"/>
      <c r="G26" s="148"/>
      <c r="H26" s="148"/>
    </row>
    <row r="27" spans="2:9" x14ac:dyDescent="0.2">
      <c r="B27" s="263"/>
      <c r="C27" s="263"/>
      <c r="D27" s="263"/>
      <c r="E27" s="263"/>
      <c r="F27" s="263"/>
      <c r="G27" s="263"/>
      <c r="H27" s="263"/>
    </row>
    <row r="28" spans="2:9" x14ac:dyDescent="0.2">
      <c r="B28" s="146"/>
      <c r="C28" s="146"/>
      <c r="D28" s="146"/>
      <c r="E28" s="146"/>
      <c r="F28" s="146"/>
      <c r="G28" s="146"/>
      <c r="H28" s="146"/>
    </row>
    <row r="29" spans="2:9" x14ac:dyDescent="0.2">
      <c r="B29" s="146"/>
      <c r="C29" s="146"/>
      <c r="D29" s="146"/>
      <c r="E29" s="146"/>
      <c r="F29" s="146"/>
      <c r="G29" s="146"/>
      <c r="H29" s="146"/>
    </row>
    <row r="30" spans="2:9" x14ac:dyDescent="0.2">
      <c r="B30" s="146"/>
      <c r="C30" s="146"/>
      <c r="D30" s="146"/>
      <c r="E30" s="146"/>
      <c r="F30" s="146"/>
      <c r="G30" s="146"/>
      <c r="H30" s="146"/>
    </row>
    <row r="31" spans="2:9" x14ac:dyDescent="0.2">
      <c r="B31" s="146"/>
      <c r="C31" s="146"/>
      <c r="D31" s="146"/>
      <c r="E31" s="146"/>
      <c r="F31" s="146"/>
      <c r="G31" s="146"/>
      <c r="H31" s="146"/>
    </row>
    <row r="32" spans="2:9" x14ac:dyDescent="0.2">
      <c r="B32" s="149"/>
      <c r="C32" s="149"/>
      <c r="D32" s="149"/>
      <c r="E32" s="149"/>
      <c r="F32" s="149"/>
      <c r="G32" s="149"/>
      <c r="H32" s="149"/>
      <c r="I32" s="124"/>
    </row>
    <row r="33" spans="2:8" x14ac:dyDescent="0.2">
      <c r="B33" s="145" t="s">
        <v>6</v>
      </c>
    </row>
    <row r="34" spans="2:8" x14ac:dyDescent="0.2">
      <c r="B34" s="150" t="s">
        <v>14</v>
      </c>
      <c r="C34" s="151" t="s">
        <v>29</v>
      </c>
      <c r="D34" s="151"/>
      <c r="E34" s="151"/>
      <c r="F34" s="151"/>
      <c r="G34" s="151"/>
      <c r="H34" s="151"/>
    </row>
    <row r="35" spans="2:8" x14ac:dyDescent="0.2">
      <c r="B35" s="152" t="s">
        <v>45</v>
      </c>
      <c r="C35" s="151" t="s">
        <v>52</v>
      </c>
      <c r="D35" s="151"/>
      <c r="E35" s="151"/>
      <c r="F35" s="151"/>
      <c r="G35" s="151"/>
      <c r="H35" s="151"/>
    </row>
    <row r="36" spans="2:8" x14ac:dyDescent="0.2">
      <c r="B36" s="152" t="s">
        <v>46</v>
      </c>
      <c r="C36" s="151" t="s">
        <v>53</v>
      </c>
      <c r="D36" s="151"/>
      <c r="E36" s="151"/>
      <c r="F36" s="151"/>
      <c r="G36" s="151"/>
      <c r="H36" s="151"/>
    </row>
    <row r="37" spans="2:8" x14ac:dyDescent="0.2">
      <c r="B37" s="152" t="s">
        <v>15</v>
      </c>
      <c r="C37" s="151" t="s">
        <v>30</v>
      </c>
      <c r="D37" s="151"/>
      <c r="E37" s="151"/>
      <c r="F37" s="151"/>
      <c r="G37" s="151"/>
      <c r="H37" s="151"/>
    </row>
    <row r="40" spans="2:8" x14ac:dyDescent="0.2">
      <c r="B40" s="145" t="s">
        <v>35</v>
      </c>
      <c r="C40" s="123"/>
      <c r="D40" s="123"/>
      <c r="E40" s="123"/>
      <c r="F40" s="123"/>
      <c r="G40" s="123"/>
      <c r="H40" s="123"/>
    </row>
    <row r="42" spans="2:8" x14ac:dyDescent="0.2">
      <c r="B42" s="153"/>
      <c r="C42" s="154" t="s">
        <v>36</v>
      </c>
      <c r="D42" s="154" t="s">
        <v>37</v>
      </c>
      <c r="E42" s="154" t="s">
        <v>38</v>
      </c>
      <c r="F42" s="154" t="s">
        <v>40</v>
      </c>
      <c r="G42" s="154" t="s">
        <v>39</v>
      </c>
      <c r="H42" s="155" t="s">
        <v>1</v>
      </c>
    </row>
    <row r="43" spans="2:8" x14ac:dyDescent="0.2">
      <c r="C43" s="156"/>
      <c r="D43" s="156"/>
      <c r="E43" s="156"/>
      <c r="F43" s="156"/>
      <c r="G43" s="156"/>
      <c r="H43" s="156"/>
    </row>
    <row r="44" spans="2:8" x14ac:dyDescent="0.2">
      <c r="B44" s="170" t="s">
        <v>88</v>
      </c>
      <c r="C44" s="157">
        <f>'Forecast Revenue - Costs'!D34</f>
        <v>12795.187100007561</v>
      </c>
      <c r="D44" s="157">
        <f>'Forecast Revenue - Costs'!E34</f>
        <v>20670.652843675467</v>
      </c>
      <c r="E44" s="157">
        <f>'Forecast Revenue - Costs'!F34</f>
        <v>31312.663240445036</v>
      </c>
      <c r="F44" s="157">
        <f>'Forecast Revenue - Costs'!G34</f>
        <v>42619.581297431243</v>
      </c>
      <c r="G44" s="157">
        <f>'Forecast Revenue - Costs'!H34</f>
        <v>54897.759164637959</v>
      </c>
      <c r="H44" s="157">
        <f>SUM(C44:G44)</f>
        <v>162295.84364619729</v>
      </c>
    </row>
    <row r="45" spans="2:8" x14ac:dyDescent="0.2">
      <c r="C45" s="158"/>
      <c r="D45" s="159"/>
      <c r="E45" s="158"/>
      <c r="F45" s="158"/>
      <c r="G45" s="158"/>
    </row>
    <row r="46" spans="2:8" x14ac:dyDescent="0.2">
      <c r="B46" s="170" t="s">
        <v>89</v>
      </c>
      <c r="C46" s="157">
        <f>SUM('Forecast Revenue - Costs'!D35:D37)</f>
        <v>9333.3776894809344</v>
      </c>
      <c r="D46" s="157">
        <f>SUM('Forecast Revenue - Costs'!E35:E37)</f>
        <v>15078.092142791116</v>
      </c>
      <c r="E46" s="157">
        <f>SUM('Forecast Revenue - Costs'!F35:F37)</f>
        <v>22840.847124965196</v>
      </c>
      <c r="F46" s="157">
        <f>SUM('Forecast Revenue - Costs'!G35:G37)</f>
        <v>31088.615282243791</v>
      </c>
      <c r="G46" s="157">
        <f>SUM('Forecast Revenue - Costs'!H35:H37)</f>
        <v>40044.863477567022</v>
      </c>
      <c r="H46" s="157">
        <f>SUM(C46:G46)</f>
        <v>118385.79571704805</v>
      </c>
    </row>
    <row r="47" spans="2:8" x14ac:dyDescent="0.2">
      <c r="C47" s="158"/>
      <c r="D47" s="159"/>
      <c r="E47" s="158"/>
      <c r="F47" s="158"/>
      <c r="G47" s="158"/>
    </row>
    <row r="48" spans="2:8" x14ac:dyDescent="0.2">
      <c r="B48" s="170" t="s">
        <v>90</v>
      </c>
      <c r="C48" s="157">
        <f t="shared" ref="C48:H48" si="0">+C44+C46</f>
        <v>22128.564789488497</v>
      </c>
      <c r="D48" s="157">
        <f t="shared" si="0"/>
        <v>35748.744986466583</v>
      </c>
      <c r="E48" s="157">
        <f t="shared" si="0"/>
        <v>54153.510365410228</v>
      </c>
      <c r="F48" s="157">
        <f t="shared" si="0"/>
        <v>73708.19657967503</v>
      </c>
      <c r="G48" s="157">
        <f t="shared" si="0"/>
        <v>94942.62264220498</v>
      </c>
      <c r="H48" s="157">
        <f t="shared" si="0"/>
        <v>280681.63936324534</v>
      </c>
    </row>
    <row r="49" spans="2:9" x14ac:dyDescent="0.2">
      <c r="C49" s="160"/>
      <c r="D49" s="160"/>
      <c r="E49" s="160"/>
      <c r="F49" s="160"/>
      <c r="G49" s="160"/>
    </row>
    <row r="50" spans="2:9" x14ac:dyDescent="0.2">
      <c r="B50" s="161" t="s">
        <v>6</v>
      </c>
    </row>
    <row r="51" spans="2:9" ht="14.25" customHeight="1" x14ac:dyDescent="0.2">
      <c r="B51" s="262"/>
      <c r="C51" s="262"/>
      <c r="D51" s="262"/>
      <c r="E51" s="262"/>
      <c r="F51" s="262"/>
      <c r="G51" s="262"/>
      <c r="H51" s="262"/>
    </row>
    <row r="52" spans="2:9" x14ac:dyDescent="0.2">
      <c r="B52" s="263"/>
      <c r="C52" s="263"/>
      <c r="D52" s="263"/>
      <c r="E52" s="263"/>
      <c r="F52" s="263"/>
      <c r="G52" s="263"/>
      <c r="H52" s="263"/>
      <c r="I52" s="124"/>
    </row>
    <row r="53" spans="2:9" ht="27.75" customHeight="1" x14ac:dyDescent="0.2">
      <c r="B53" s="263"/>
      <c r="C53" s="263"/>
      <c r="D53" s="263"/>
      <c r="E53" s="263"/>
      <c r="F53" s="263"/>
      <c r="G53" s="263"/>
      <c r="H53" s="263"/>
    </row>
    <row r="56" spans="2:9" x14ac:dyDescent="0.2">
      <c r="B56" s="145" t="s">
        <v>77</v>
      </c>
      <c r="C56" s="123"/>
      <c r="D56" s="123"/>
      <c r="E56" s="123"/>
      <c r="F56" s="123"/>
      <c r="G56" s="123"/>
      <c r="H56" s="123"/>
    </row>
    <row r="57" spans="2:9" x14ac:dyDescent="0.2">
      <c r="B57" s="162"/>
    </row>
    <row r="58" spans="2:9" x14ac:dyDescent="0.2">
      <c r="B58" s="163"/>
      <c r="C58" s="164" t="s">
        <v>36</v>
      </c>
      <c r="D58" s="164" t="s">
        <v>37</v>
      </c>
      <c r="E58" s="164" t="s">
        <v>38</v>
      </c>
      <c r="F58" s="164" t="s">
        <v>40</v>
      </c>
      <c r="G58" s="164" t="s">
        <v>39</v>
      </c>
      <c r="H58" s="165" t="s">
        <v>1</v>
      </c>
    </row>
    <row r="59" spans="2:9" x14ac:dyDescent="0.2">
      <c r="C59" s="166"/>
      <c r="D59" s="166"/>
      <c r="E59" s="166"/>
      <c r="F59" s="166"/>
      <c r="G59" s="166"/>
      <c r="H59" s="166"/>
    </row>
    <row r="60" spans="2:9" x14ac:dyDescent="0.2">
      <c r="B60" s="163" t="s">
        <v>12</v>
      </c>
      <c r="C60" s="167">
        <f>'Forecast Revenue - Costs'!D18</f>
        <v>8</v>
      </c>
      <c r="D60" s="167">
        <f>'Forecast Revenue - Costs'!E18</f>
        <v>8</v>
      </c>
      <c r="E60" s="167">
        <f>'Forecast Revenue - Costs'!F18</f>
        <v>8</v>
      </c>
      <c r="F60" s="167">
        <f>'Forecast Revenue - Costs'!G18</f>
        <v>8</v>
      </c>
      <c r="G60" s="167">
        <f>'Forecast Revenue - Costs'!H18</f>
        <v>8</v>
      </c>
      <c r="H60" s="167">
        <f>SUM(C60:G60)</f>
        <v>40</v>
      </c>
    </row>
    <row r="61" spans="2:9" x14ac:dyDescent="0.2">
      <c r="C61" s="168"/>
      <c r="D61" s="168"/>
      <c r="E61" s="168"/>
      <c r="F61" s="168"/>
      <c r="G61" s="168"/>
      <c r="H61" s="169"/>
    </row>
  </sheetData>
  <mergeCells count="13">
    <mergeCell ref="C3:H3"/>
    <mergeCell ref="B17:H17"/>
    <mergeCell ref="B13:H13"/>
    <mergeCell ref="B18:H18"/>
    <mergeCell ref="B7:B10"/>
    <mergeCell ref="C11:E11"/>
    <mergeCell ref="C4:E4"/>
    <mergeCell ref="B51:H53"/>
    <mergeCell ref="B22:H22"/>
    <mergeCell ref="B23:H23"/>
    <mergeCell ref="B24:H24"/>
    <mergeCell ref="B25:H25"/>
    <mergeCell ref="B27:H2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0" sqref="B20:K20"/>
    </sheetView>
  </sheetViews>
  <sheetFormatPr defaultColWidth="9.140625" defaultRowHeight="12.75" x14ac:dyDescent="0.2"/>
  <cols>
    <col min="1" max="1" width="2.28515625" style="1" customWidth="1"/>
    <col min="2" max="2" width="2.42578125" style="49" customWidth="1"/>
    <col min="3" max="3" width="10.140625" style="49" customWidth="1"/>
    <col min="4" max="9" width="13.140625" style="49" customWidth="1"/>
    <col min="10" max="11" width="9.140625" style="49"/>
    <col min="12" max="12" width="5.28515625" style="49" customWidth="1"/>
    <col min="13" max="13" width="2.42578125" style="1" customWidth="1"/>
    <col min="14" max="16384" width="9.140625" style="1"/>
  </cols>
  <sheetData>
    <row r="1" spans="2:14" ht="9" customHeight="1" x14ac:dyDescent="0.2"/>
    <row r="2" spans="2:14" ht="18" customHeight="1" x14ac:dyDescent="0.2">
      <c r="B2" s="46" t="s">
        <v>16</v>
      </c>
      <c r="C2" s="46"/>
      <c r="D2" s="46"/>
      <c r="E2" s="46"/>
      <c r="F2" s="46"/>
      <c r="G2" s="46"/>
      <c r="H2" s="46"/>
      <c r="I2" s="46"/>
      <c r="J2" s="46"/>
      <c r="K2" s="46"/>
    </row>
    <row r="3" spans="2:14" x14ac:dyDescent="0.2">
      <c r="B3" s="35" t="s">
        <v>0</v>
      </c>
      <c r="C3" s="47"/>
      <c r="D3" s="315" t="str">
        <f>'AER Summary'!C3</f>
        <v>Commissioning of reclosers, regulators and smart switches (NEW)</v>
      </c>
      <c r="E3" s="316"/>
      <c r="F3" s="316"/>
      <c r="G3" s="316"/>
      <c r="H3" s="316"/>
      <c r="I3" s="316"/>
      <c r="J3" s="316"/>
      <c r="K3" s="316"/>
      <c r="N3" s="33"/>
    </row>
    <row r="4" spans="2:14" x14ac:dyDescent="0.2">
      <c r="N4" s="33"/>
    </row>
    <row r="5" spans="2:14" x14ac:dyDescent="0.2">
      <c r="B5" s="280" t="s">
        <v>72</v>
      </c>
      <c r="C5" s="280"/>
      <c r="D5" s="280"/>
      <c r="E5" s="280"/>
      <c r="F5" s="280"/>
      <c r="G5" s="280"/>
      <c r="H5" s="280"/>
      <c r="I5" s="280"/>
      <c r="J5" s="280"/>
      <c r="K5" s="280"/>
      <c r="N5" s="33"/>
    </row>
    <row r="6" spans="2:14" ht="51.75" customHeight="1" x14ac:dyDescent="0.2">
      <c r="B6" s="281" t="s">
        <v>69</v>
      </c>
      <c r="C6" s="282"/>
      <c r="D6" s="282"/>
      <c r="E6" s="282"/>
      <c r="F6" s="282"/>
      <c r="G6" s="282"/>
      <c r="H6" s="282"/>
      <c r="I6" s="282"/>
      <c r="J6" s="282"/>
      <c r="K6" s="282"/>
      <c r="N6" s="33"/>
    </row>
    <row r="9" spans="2:14" x14ac:dyDescent="0.2">
      <c r="B9" s="280" t="s">
        <v>43</v>
      </c>
      <c r="C9" s="280"/>
      <c r="D9" s="280"/>
      <c r="E9" s="280"/>
      <c r="F9" s="280"/>
      <c r="G9" s="280"/>
      <c r="H9" s="280"/>
      <c r="I9" s="280"/>
      <c r="J9" s="280"/>
      <c r="K9" s="280"/>
    </row>
    <row r="10" spans="2:14" ht="15" customHeight="1" x14ac:dyDescent="0.2">
      <c r="B10" s="279" t="s">
        <v>66</v>
      </c>
      <c r="C10" s="279"/>
      <c r="D10" s="279"/>
      <c r="E10" s="279"/>
      <c r="F10" s="279"/>
      <c r="G10" s="279"/>
      <c r="H10" s="279"/>
      <c r="I10" s="279"/>
      <c r="J10" s="279"/>
      <c r="K10" s="279"/>
    </row>
    <row r="11" spans="2:14" ht="24.75" customHeight="1" x14ac:dyDescent="0.2">
      <c r="B11" s="283"/>
      <c r="C11" s="283"/>
      <c r="D11" s="283"/>
      <c r="E11" s="283"/>
      <c r="F11" s="283"/>
      <c r="G11" s="283"/>
      <c r="H11" s="283"/>
      <c r="I11" s="283"/>
      <c r="J11" s="283"/>
      <c r="K11" s="283"/>
      <c r="L11" s="51"/>
      <c r="M11" s="34"/>
      <c r="N11" s="34"/>
    </row>
    <row r="12" spans="2:14" x14ac:dyDescent="0.2">
      <c r="B12" s="283"/>
      <c r="C12" s="283"/>
      <c r="D12" s="283"/>
      <c r="E12" s="283"/>
      <c r="F12" s="283"/>
      <c r="G12" s="283"/>
      <c r="H12" s="283"/>
      <c r="I12" s="283"/>
      <c r="J12" s="283"/>
      <c r="K12" s="283"/>
      <c r="L12" s="51"/>
      <c r="M12" s="34"/>
      <c r="N12" s="34"/>
    </row>
    <row r="13" spans="2:14" x14ac:dyDescent="0.2">
      <c r="B13" s="283"/>
      <c r="C13" s="283"/>
      <c r="D13" s="283"/>
      <c r="E13" s="283"/>
      <c r="F13" s="283"/>
      <c r="G13" s="283"/>
      <c r="H13" s="283"/>
      <c r="I13" s="283"/>
      <c r="J13" s="283"/>
      <c r="K13" s="283"/>
      <c r="L13" s="51"/>
      <c r="M13" s="34"/>
      <c r="N13" s="34"/>
    </row>
    <row r="14" spans="2:14" ht="48" customHeight="1" x14ac:dyDescent="0.2">
      <c r="B14" s="283"/>
      <c r="C14" s="283"/>
      <c r="D14" s="283"/>
      <c r="E14" s="283"/>
      <c r="F14" s="283"/>
      <c r="G14" s="283"/>
      <c r="H14" s="283"/>
      <c r="I14" s="283"/>
      <c r="J14" s="283"/>
      <c r="K14" s="283"/>
      <c r="L14" s="51"/>
      <c r="M14" s="34"/>
      <c r="N14" s="34"/>
    </row>
    <row r="15" spans="2:14" x14ac:dyDescent="0.2">
      <c r="B15" s="283"/>
      <c r="C15" s="283"/>
      <c r="D15" s="283"/>
      <c r="E15" s="283"/>
      <c r="F15" s="283"/>
      <c r="G15" s="283"/>
      <c r="H15" s="283"/>
      <c r="I15" s="283"/>
      <c r="J15" s="283"/>
      <c r="K15" s="283"/>
      <c r="L15" s="51"/>
      <c r="M15" s="34"/>
      <c r="N15" s="34"/>
    </row>
    <row r="16" spans="2:14" x14ac:dyDescent="0.2">
      <c r="B16" s="283"/>
      <c r="C16" s="283"/>
      <c r="D16" s="283"/>
      <c r="E16" s="283"/>
      <c r="F16" s="283"/>
      <c r="G16" s="283"/>
      <c r="H16" s="283"/>
      <c r="I16" s="283"/>
      <c r="J16" s="283"/>
      <c r="K16" s="283"/>
      <c r="L16" s="51"/>
      <c r="M16" s="34"/>
      <c r="N16" s="34"/>
    </row>
    <row r="17" spans="2:14" x14ac:dyDescent="0.2">
      <c r="L17" s="51"/>
      <c r="M17" s="34"/>
      <c r="N17" s="34"/>
    </row>
    <row r="18" spans="2:14" x14ac:dyDescent="0.2">
      <c r="L18" s="51"/>
      <c r="M18" s="34"/>
      <c r="N18" s="34"/>
    </row>
    <row r="19" spans="2:14" x14ac:dyDescent="0.2">
      <c r="B19" s="280" t="s">
        <v>44</v>
      </c>
      <c r="C19" s="280"/>
      <c r="D19" s="280"/>
      <c r="E19" s="280"/>
      <c r="F19" s="280"/>
      <c r="G19" s="280"/>
      <c r="H19" s="280"/>
      <c r="I19" s="280"/>
      <c r="J19" s="280"/>
      <c r="K19" s="280"/>
      <c r="L19" s="51"/>
      <c r="M19" s="34"/>
      <c r="N19" s="34"/>
    </row>
    <row r="20" spans="2:14" ht="152.25" customHeight="1" x14ac:dyDescent="0.2">
      <c r="B20" s="279" t="str">
        <f>'AER Summary'!B13:H13</f>
        <v xml:space="preserve">
Commissioning of reclosers, regulators and smart switches (NEW)
The commissioning by Essential Energy of new reclosers, regulators or smart switches which form part of the contestable connection work including:
 - All necessary pre-commissioning checks and tests prior to energisation;
 - Setting of protective devices;
 - Configuration of communication equipment and
 - Field commissioning</v>
      </c>
      <c r="C20" s="279"/>
      <c r="D20" s="279"/>
      <c r="E20" s="279"/>
      <c r="F20" s="279"/>
      <c r="G20" s="279"/>
      <c r="H20" s="279"/>
      <c r="I20" s="279"/>
      <c r="J20" s="279"/>
      <c r="K20" s="279"/>
    </row>
    <row r="21" spans="2:14" x14ac:dyDescent="0.2">
      <c r="B21" s="278"/>
      <c r="C21" s="278"/>
      <c r="D21" s="278"/>
      <c r="E21" s="278"/>
      <c r="F21" s="278"/>
      <c r="G21" s="278"/>
      <c r="H21" s="278"/>
      <c r="I21" s="278"/>
      <c r="J21" s="278"/>
      <c r="K21" s="27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C32" sqref="C32"/>
    </sheetView>
  </sheetViews>
  <sheetFormatPr defaultColWidth="9.140625" defaultRowHeight="12.75" x14ac:dyDescent="0.2"/>
  <cols>
    <col min="1" max="1" width="3.5703125" style="52" customWidth="1"/>
    <col min="2" max="2" width="58.7109375" style="52" customWidth="1"/>
    <col min="3" max="3" width="65.140625" style="52" customWidth="1"/>
    <col min="4" max="4" width="12.85546875" style="52" customWidth="1"/>
    <col min="5" max="8" width="11.28515625" style="52" customWidth="1"/>
    <col min="9" max="9" width="12.7109375" style="52" customWidth="1"/>
    <col min="10" max="16384" width="9.140625" style="52"/>
  </cols>
  <sheetData>
    <row r="2" spans="1:9" x14ac:dyDescent="0.2">
      <c r="B2" s="48" t="s">
        <v>74</v>
      </c>
      <c r="C2" s="31"/>
      <c r="D2" s="31"/>
      <c r="E2" s="31"/>
      <c r="F2" s="31"/>
      <c r="G2" s="31"/>
      <c r="H2" s="31"/>
      <c r="I2" s="31"/>
    </row>
    <row r="3" spans="1:9" x14ac:dyDescent="0.2">
      <c r="B3" s="18" t="s">
        <v>20</v>
      </c>
      <c r="C3" s="18" t="s">
        <v>3</v>
      </c>
      <c r="D3" s="65" t="s">
        <v>59</v>
      </c>
      <c r="E3" s="65" t="s">
        <v>58</v>
      </c>
      <c r="F3" s="65" t="s">
        <v>57</v>
      </c>
      <c r="G3" s="65" t="s">
        <v>83</v>
      </c>
      <c r="H3" s="65" t="s">
        <v>84</v>
      </c>
      <c r="I3" s="259" t="s">
        <v>1</v>
      </c>
    </row>
    <row r="4" spans="1:9" x14ac:dyDescent="0.2">
      <c r="B4" s="5" t="s">
        <v>21</v>
      </c>
      <c r="C4" s="5"/>
      <c r="D4" s="260"/>
      <c r="E4" s="260"/>
      <c r="F4" s="260"/>
      <c r="G4" s="260"/>
      <c r="H4" s="260"/>
      <c r="I4" s="254">
        <f>SUM(D4:H4)</f>
        <v>0</v>
      </c>
    </row>
    <row r="5" spans="1:9" x14ac:dyDescent="0.2">
      <c r="B5" s="5" t="s">
        <v>23</v>
      </c>
      <c r="C5" s="5"/>
      <c r="D5" s="260"/>
      <c r="E5" s="260"/>
      <c r="F5" s="260"/>
      <c r="G5" s="260"/>
      <c r="H5" s="260"/>
      <c r="I5" s="254">
        <f t="shared" ref="I5:I8" si="0">SUM(D5:H5)</f>
        <v>0</v>
      </c>
    </row>
    <row r="6" spans="1:9" x14ac:dyDescent="0.2">
      <c r="B6" s="5" t="s">
        <v>24</v>
      </c>
      <c r="C6" s="5"/>
      <c r="D6" s="260">
        <v>0</v>
      </c>
      <c r="E6" s="260">
        <v>0</v>
      </c>
      <c r="F6" s="260">
        <v>0</v>
      </c>
      <c r="G6" s="260">
        <v>0</v>
      </c>
      <c r="H6" s="260">
        <v>0</v>
      </c>
      <c r="I6" s="254">
        <f t="shared" si="0"/>
        <v>0</v>
      </c>
    </row>
    <row r="7" spans="1:9" x14ac:dyDescent="0.2">
      <c r="B7" s="5" t="s">
        <v>25</v>
      </c>
      <c r="C7" s="5"/>
      <c r="D7" s="260"/>
      <c r="E7" s="260"/>
      <c r="F7" s="260"/>
      <c r="G7" s="260"/>
      <c r="H7" s="260"/>
      <c r="I7" s="254">
        <f t="shared" si="0"/>
        <v>0</v>
      </c>
    </row>
    <row r="8" spans="1:9" x14ac:dyDescent="0.2">
      <c r="B8" s="5" t="s">
        <v>22</v>
      </c>
      <c r="C8" s="5"/>
      <c r="D8" s="260"/>
      <c r="E8" s="260"/>
      <c r="F8" s="260"/>
      <c r="G8" s="260"/>
      <c r="H8" s="260"/>
      <c r="I8" s="254">
        <f t="shared" si="0"/>
        <v>0</v>
      </c>
    </row>
    <row r="9" spans="1:9" x14ac:dyDescent="0.2">
      <c r="B9" s="18" t="s">
        <v>1</v>
      </c>
      <c r="C9" s="261"/>
      <c r="D9" s="255">
        <f t="shared" ref="D9:I9" si="1">SUM(D4:D8)</f>
        <v>0</v>
      </c>
      <c r="E9" s="255">
        <f t="shared" si="1"/>
        <v>0</v>
      </c>
      <c r="F9" s="255">
        <f t="shared" si="1"/>
        <v>0</v>
      </c>
      <c r="G9" s="255">
        <f t="shared" ref="G9:H9" si="2">SUM(G4:G8)</f>
        <v>0</v>
      </c>
      <c r="H9" s="255">
        <f t="shared" si="2"/>
        <v>0</v>
      </c>
      <c r="I9" s="255">
        <f t="shared" si="1"/>
        <v>0</v>
      </c>
    </row>
    <row r="10" spans="1:9" x14ac:dyDescent="0.2">
      <c r="B10" s="56"/>
      <c r="C10" s="57"/>
      <c r="D10" s="58"/>
      <c r="E10" s="58"/>
      <c r="F10" s="58"/>
      <c r="G10" s="58"/>
      <c r="H10" s="58"/>
      <c r="I10" s="58"/>
    </row>
    <row r="11" spans="1:9" x14ac:dyDescent="0.2">
      <c r="B11" s="59" t="s">
        <v>10</v>
      </c>
      <c r="C11" s="26"/>
      <c r="D11" s="26"/>
      <c r="E11" s="26"/>
      <c r="F11" s="26"/>
      <c r="G11" s="26"/>
      <c r="H11" s="26"/>
      <c r="I11" s="26"/>
    </row>
    <row r="12" spans="1:9" x14ac:dyDescent="0.2">
      <c r="B12" s="256" t="s">
        <v>4</v>
      </c>
      <c r="C12" s="256" t="s">
        <v>9</v>
      </c>
      <c r="D12" s="65" t="s">
        <v>59</v>
      </c>
      <c r="E12" s="65" t="s">
        <v>58</v>
      </c>
      <c r="F12" s="65" t="s">
        <v>57</v>
      </c>
      <c r="G12" s="65" t="s">
        <v>81</v>
      </c>
      <c r="H12" s="65" t="s">
        <v>82</v>
      </c>
      <c r="I12" s="259" t="s">
        <v>1</v>
      </c>
    </row>
    <row r="13" spans="1:9" x14ac:dyDescent="0.2">
      <c r="B13" s="5" t="s">
        <v>19</v>
      </c>
      <c r="C13" s="5" t="s">
        <v>50</v>
      </c>
      <c r="D13" s="98"/>
      <c r="E13" s="98"/>
      <c r="F13" s="98"/>
      <c r="G13" s="98"/>
      <c r="H13" s="98"/>
      <c r="I13" s="173">
        <f>SUM(D13:H13)</f>
        <v>0</v>
      </c>
    </row>
    <row r="14" spans="1:9" x14ac:dyDescent="0.2">
      <c r="B14" s="5"/>
      <c r="C14" s="257"/>
      <c r="D14" s="12"/>
      <c r="E14" s="12"/>
      <c r="F14" s="12"/>
      <c r="G14" s="12"/>
      <c r="H14" s="12"/>
      <c r="I14" s="173"/>
    </row>
    <row r="15" spans="1:9" x14ac:dyDescent="0.2">
      <c r="A15" s="60"/>
      <c r="B15" s="258" t="s">
        <v>54</v>
      </c>
      <c r="C15" s="18"/>
      <c r="D15" s="250">
        <f t="shared" ref="D15:I15" si="3">SUM(D13:D14)</f>
        <v>0</v>
      </c>
      <c r="E15" s="250">
        <f t="shared" si="3"/>
        <v>0</v>
      </c>
      <c r="F15" s="250">
        <f t="shared" si="3"/>
        <v>0</v>
      </c>
      <c r="G15" s="250">
        <f t="shared" ref="G15:H15" si="4">SUM(G13:G14)</f>
        <v>0</v>
      </c>
      <c r="H15" s="250">
        <f t="shared" si="4"/>
        <v>0</v>
      </c>
      <c r="I15" s="317">
        <f t="shared" si="3"/>
        <v>0</v>
      </c>
    </row>
    <row r="17" spans="1:9" x14ac:dyDescent="0.2">
      <c r="A17" s="60"/>
      <c r="B17" s="14" t="s">
        <v>6</v>
      </c>
      <c r="C17" s="1"/>
      <c r="D17" s="13"/>
      <c r="E17" s="13"/>
      <c r="F17" s="13"/>
      <c r="G17" s="13"/>
      <c r="H17" s="13"/>
      <c r="I17" s="13"/>
    </row>
    <row r="18" spans="1:9" x14ac:dyDescent="0.2">
      <c r="B18" s="284" t="s">
        <v>79</v>
      </c>
      <c r="C18" s="285"/>
      <c r="D18" s="285"/>
      <c r="E18" s="285"/>
      <c r="F18" s="285"/>
      <c r="G18" s="285"/>
      <c r="H18" s="285"/>
      <c r="I18" s="285"/>
    </row>
    <row r="19" spans="1:9" x14ac:dyDescent="0.2">
      <c r="B19" s="286"/>
      <c r="C19" s="287"/>
      <c r="D19" s="287"/>
      <c r="E19" s="287"/>
      <c r="F19" s="287"/>
      <c r="G19" s="287"/>
      <c r="H19" s="287"/>
      <c r="I19" s="287"/>
    </row>
    <row r="20" spans="1:9" x14ac:dyDescent="0.2">
      <c r="B20" s="61"/>
      <c r="C20" s="32"/>
      <c r="D20" s="32"/>
      <c r="E20" s="32"/>
      <c r="F20" s="32"/>
      <c r="G20" s="119"/>
      <c r="H20" s="119"/>
      <c r="I20" s="32"/>
    </row>
    <row r="21" spans="1:9" x14ac:dyDescent="0.2">
      <c r="B21" s="1"/>
      <c r="C21" s="1"/>
      <c r="D21" s="13"/>
      <c r="E21" s="13"/>
      <c r="F21" s="13"/>
      <c r="G21" s="13"/>
      <c r="H21" s="13"/>
      <c r="I21" s="13"/>
    </row>
    <row r="22" spans="1:9" x14ac:dyDescent="0.2">
      <c r="B22" s="59" t="s">
        <v>78</v>
      </c>
      <c r="C22" s="26"/>
      <c r="D22" s="26"/>
      <c r="E22" s="26"/>
      <c r="F22" s="26"/>
      <c r="G22" s="26"/>
      <c r="H22" s="26"/>
      <c r="I22" s="26"/>
    </row>
    <row r="23" spans="1:9" x14ac:dyDescent="0.2">
      <c r="B23" s="1"/>
      <c r="C23" s="1"/>
      <c r="D23" s="1"/>
      <c r="E23" s="1"/>
      <c r="F23" s="1"/>
      <c r="G23" s="1"/>
      <c r="H23" s="1"/>
      <c r="I23" s="1"/>
    </row>
    <row r="24" spans="1:9" x14ac:dyDescent="0.2">
      <c r="B24" s="62" t="s">
        <v>11</v>
      </c>
      <c r="C24" s="16"/>
      <c r="D24" s="16"/>
      <c r="E24" s="16"/>
      <c r="F24" s="16"/>
      <c r="G24" s="16"/>
      <c r="H24" s="16"/>
      <c r="I24" s="16"/>
    </row>
    <row r="25" spans="1:9" x14ac:dyDescent="0.2">
      <c r="B25" s="288"/>
      <c r="C25" s="289"/>
      <c r="D25" s="289"/>
      <c r="E25" s="289"/>
      <c r="F25" s="289"/>
      <c r="G25" s="289"/>
      <c r="H25" s="289"/>
      <c r="I25" s="289"/>
    </row>
    <row r="26" spans="1:9" x14ac:dyDescent="0.2">
      <c r="B26" s="290"/>
      <c r="C26" s="291"/>
      <c r="D26" s="291"/>
      <c r="E26" s="291"/>
      <c r="F26" s="291"/>
      <c r="G26" s="291"/>
      <c r="H26" s="291"/>
      <c r="I26" s="291"/>
    </row>
    <row r="27" spans="1:9" x14ac:dyDescent="0.2">
      <c r="B27" s="63"/>
      <c r="C27" s="17"/>
      <c r="D27" s="17"/>
      <c r="E27" s="17"/>
      <c r="F27" s="17"/>
      <c r="G27" s="17"/>
      <c r="H27" s="17"/>
      <c r="I27" s="17"/>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Q51"/>
  <sheetViews>
    <sheetView showGridLines="0" zoomScale="90" zoomScaleNormal="90" workbookViewId="0">
      <selection activeCell="H7" sqref="H7"/>
    </sheetView>
  </sheetViews>
  <sheetFormatPr defaultColWidth="9.140625" defaultRowHeight="12.75" x14ac:dyDescent="0.2"/>
  <cols>
    <col min="1" max="1" width="1.85546875" style="1" customWidth="1"/>
    <col min="2" max="2" width="83" style="1" customWidth="1"/>
    <col min="3" max="3" width="15.140625" style="78" bestFit="1" customWidth="1"/>
    <col min="4" max="4" width="9.140625" style="91"/>
    <col min="5" max="5" width="9.140625" style="75"/>
    <col min="6" max="14" width="9.140625" style="87"/>
    <col min="15" max="15" width="9.140625" style="1"/>
    <col min="16" max="17" width="9.140625" style="45"/>
    <col min="18" max="18" width="2.85546875" style="1" customWidth="1"/>
    <col min="19" max="19" width="82.28515625" style="1" customWidth="1"/>
    <col min="20" max="20" width="15.7109375" style="1" customWidth="1"/>
    <col min="21" max="32" width="9.140625" style="1"/>
    <col min="33" max="33" width="9.85546875" style="1" bestFit="1" customWidth="1"/>
    <col min="34" max="34" width="12.85546875" style="1" bestFit="1" customWidth="1"/>
    <col min="35" max="35" width="3.28515625" style="1" customWidth="1"/>
    <col min="36" max="36" width="85.28515625" style="1" customWidth="1"/>
    <col min="37" max="37" width="15.7109375" style="1" customWidth="1"/>
    <col min="38" max="51" width="9.140625" style="1"/>
    <col min="52" max="52" width="4" style="1" customWidth="1"/>
    <col min="53" max="53" width="72.28515625" style="1" bestFit="1" customWidth="1"/>
    <col min="54" max="54" width="15.42578125" style="1" customWidth="1"/>
    <col min="55" max="55" width="12.5703125" style="1" customWidth="1"/>
    <col min="56" max="56" width="9.140625" style="1"/>
    <col min="57" max="64" width="9.28515625" style="1" customWidth="1"/>
    <col min="65" max="65" width="11.140625" style="1" customWidth="1"/>
    <col min="66" max="67" width="9.140625" style="1"/>
    <col min="68" max="68" width="10.5703125" style="1" customWidth="1"/>
    <col min="69" max="69" width="5" style="1" customWidth="1"/>
    <col min="70" max="70" width="53.7109375" style="1" customWidth="1"/>
    <col min="71" max="71" width="15.7109375" style="1" customWidth="1"/>
    <col min="72" max="16384" width="9.140625" style="1"/>
  </cols>
  <sheetData>
    <row r="1" spans="1:69" ht="9" customHeight="1" x14ac:dyDescent="0.2"/>
    <row r="2" spans="1:69" x14ac:dyDescent="0.2">
      <c r="B2" s="174" t="s">
        <v>55</v>
      </c>
      <c r="C2" s="175"/>
      <c r="D2" s="175"/>
      <c r="E2" s="175"/>
      <c r="F2" s="175"/>
      <c r="G2" s="175"/>
      <c r="H2" s="301" t="s">
        <v>102</v>
      </c>
      <c r="I2" s="301"/>
      <c r="J2" s="301"/>
      <c r="K2" s="301"/>
      <c r="L2" s="301"/>
      <c r="M2" s="301"/>
      <c r="N2" s="301"/>
      <c r="O2" s="301"/>
      <c r="P2" s="301"/>
      <c r="Q2" s="301"/>
      <c r="S2" s="174" t="s">
        <v>49</v>
      </c>
      <c r="T2" s="175"/>
      <c r="U2" s="175"/>
      <c r="V2" s="175"/>
      <c r="W2" s="175"/>
      <c r="X2" s="175"/>
      <c r="Y2" s="301" t="s">
        <v>102</v>
      </c>
      <c r="Z2" s="301"/>
      <c r="AA2" s="301"/>
      <c r="AB2" s="301"/>
      <c r="AC2" s="301"/>
      <c r="AD2" s="301"/>
      <c r="AE2" s="301"/>
      <c r="AF2" s="301"/>
      <c r="AG2" s="301"/>
      <c r="AH2" s="301"/>
      <c r="AJ2" s="241" t="s">
        <v>55</v>
      </c>
      <c r="AK2" s="242"/>
      <c r="AL2" s="242"/>
      <c r="AM2" s="242"/>
      <c r="AN2" s="242"/>
      <c r="AO2" s="242"/>
      <c r="AP2" s="292" t="s">
        <v>102</v>
      </c>
      <c r="AQ2" s="292"/>
      <c r="AR2" s="292"/>
      <c r="AS2" s="292"/>
      <c r="AT2" s="292"/>
      <c r="AU2" s="292"/>
      <c r="AV2" s="292"/>
      <c r="AW2" s="292"/>
      <c r="AX2" s="292"/>
      <c r="AY2" s="293"/>
      <c r="BA2" s="174" t="s">
        <v>55</v>
      </c>
      <c r="BB2" s="175"/>
      <c r="BC2" s="175"/>
      <c r="BD2" s="175"/>
      <c r="BE2" s="175"/>
      <c r="BF2" s="175"/>
      <c r="BG2" s="301" t="s">
        <v>102</v>
      </c>
      <c r="BH2" s="301"/>
      <c r="BI2" s="301"/>
      <c r="BJ2" s="301"/>
      <c r="BK2" s="301"/>
      <c r="BL2" s="301"/>
      <c r="BM2" s="301"/>
      <c r="BN2" s="301"/>
      <c r="BO2" s="301"/>
      <c r="BP2" s="301"/>
    </row>
    <row r="3" spans="1:69" ht="15.75" x14ac:dyDescent="0.25">
      <c r="B3" s="64" t="s">
        <v>130</v>
      </c>
      <c r="C3" s="50"/>
      <c r="D3" s="88"/>
      <c r="E3" s="71"/>
      <c r="F3" s="79"/>
      <c r="G3" s="79"/>
      <c r="H3" s="302" t="s">
        <v>103</v>
      </c>
      <c r="I3" s="302"/>
      <c r="J3" s="302"/>
      <c r="K3" s="302"/>
      <c r="L3" s="302"/>
      <c r="M3" s="302"/>
      <c r="N3" s="302"/>
      <c r="O3" s="302"/>
      <c r="P3" s="302"/>
      <c r="Q3" s="302"/>
      <c r="S3" s="64" t="s">
        <v>130</v>
      </c>
      <c r="T3" s="46"/>
      <c r="U3" s="46"/>
      <c r="V3" s="46"/>
      <c r="W3" s="46"/>
      <c r="X3" s="120"/>
      <c r="Y3" s="302" t="s">
        <v>103</v>
      </c>
      <c r="Z3" s="302"/>
      <c r="AA3" s="302"/>
      <c r="AB3" s="302"/>
      <c r="AC3" s="302"/>
      <c r="AD3" s="302"/>
      <c r="AE3" s="302"/>
      <c r="AF3" s="302"/>
      <c r="AG3" s="302"/>
      <c r="AH3" s="302"/>
      <c r="AJ3" s="244" t="s">
        <v>130</v>
      </c>
      <c r="AK3" s="219"/>
      <c r="AL3" s="219"/>
      <c r="AM3" s="219"/>
      <c r="AN3" s="219"/>
      <c r="AO3" s="219"/>
      <c r="AP3" s="299" t="s">
        <v>103</v>
      </c>
      <c r="AQ3" s="299"/>
      <c r="AR3" s="299"/>
      <c r="AS3" s="299"/>
      <c r="AT3" s="299"/>
      <c r="AU3" s="299"/>
      <c r="AV3" s="299"/>
      <c r="AW3" s="299"/>
      <c r="AX3" s="299"/>
      <c r="AY3" s="300"/>
      <c r="BA3" s="64" t="s">
        <v>130</v>
      </c>
      <c r="BB3" s="46"/>
      <c r="BC3" s="46"/>
      <c r="BD3" s="46"/>
      <c r="BE3" s="46"/>
      <c r="BF3" s="120"/>
      <c r="BG3" s="302" t="s">
        <v>103</v>
      </c>
      <c r="BH3" s="302"/>
      <c r="BI3" s="302"/>
      <c r="BJ3" s="302"/>
      <c r="BK3" s="302"/>
      <c r="BL3" s="302"/>
      <c r="BM3" s="302"/>
      <c r="BN3" s="302"/>
      <c r="BO3" s="302"/>
      <c r="BP3" s="302"/>
    </row>
    <row r="4" spans="1:69" s="34" customFormat="1" ht="3" customHeight="1" x14ac:dyDescent="0.2">
      <c r="B4" s="36"/>
      <c r="C4" s="76"/>
      <c r="D4" s="89"/>
      <c r="E4" s="72"/>
      <c r="F4" s="80"/>
      <c r="G4" s="80"/>
      <c r="H4" s="80"/>
      <c r="I4" s="80"/>
      <c r="J4" s="80"/>
      <c r="K4" s="80"/>
      <c r="L4" s="80"/>
      <c r="M4" s="80"/>
      <c r="N4" s="80"/>
      <c r="O4" s="36"/>
      <c r="P4" s="36"/>
      <c r="Q4" s="36"/>
      <c r="S4" s="36"/>
      <c r="T4" s="36"/>
      <c r="U4" s="36"/>
      <c r="V4" s="36"/>
      <c r="W4" s="36"/>
      <c r="X4" s="36"/>
      <c r="Y4" s="36"/>
      <c r="Z4" s="36"/>
      <c r="AA4" s="36"/>
      <c r="AB4" s="36"/>
      <c r="AC4" s="36"/>
      <c r="AD4" s="36"/>
      <c r="AE4" s="36"/>
      <c r="AF4" s="36"/>
      <c r="AG4" s="36"/>
      <c r="AH4" s="36"/>
      <c r="AJ4" s="36"/>
      <c r="AK4" s="36"/>
      <c r="AL4" s="36"/>
      <c r="AM4" s="36"/>
      <c r="AN4" s="36"/>
      <c r="AO4" s="36"/>
      <c r="AP4" s="36"/>
      <c r="AQ4" s="36"/>
      <c r="AR4" s="36"/>
      <c r="AS4" s="36"/>
      <c r="AT4" s="36"/>
      <c r="AU4" s="36"/>
      <c r="AV4" s="36"/>
      <c r="AW4" s="36"/>
      <c r="AX4" s="36"/>
      <c r="AY4" s="36"/>
      <c r="BA4" s="36"/>
      <c r="BB4" s="36"/>
      <c r="BC4" s="36"/>
      <c r="BD4" s="36"/>
      <c r="BE4" s="36"/>
      <c r="BF4" s="36"/>
      <c r="BG4" s="36"/>
      <c r="BH4" s="36"/>
      <c r="BI4" s="36"/>
      <c r="BJ4" s="36"/>
      <c r="BK4" s="36"/>
      <c r="BL4" s="36"/>
      <c r="BM4" s="36"/>
      <c r="BN4" s="36"/>
      <c r="BO4" s="36"/>
      <c r="BP4" s="36"/>
    </row>
    <row r="5" spans="1:69" ht="76.5" x14ac:dyDescent="0.2">
      <c r="B5" s="37" t="s">
        <v>18</v>
      </c>
      <c r="C5" s="37" t="s">
        <v>31</v>
      </c>
      <c r="D5" s="176" t="s">
        <v>64</v>
      </c>
      <c r="E5" s="177" t="s">
        <v>33</v>
      </c>
      <c r="F5" s="176" t="s">
        <v>32</v>
      </c>
      <c r="G5" s="176" t="s">
        <v>91</v>
      </c>
      <c r="H5" s="176" t="s">
        <v>92</v>
      </c>
      <c r="I5" s="176" t="s">
        <v>93</v>
      </c>
      <c r="J5" s="176" t="s">
        <v>94</v>
      </c>
      <c r="K5" s="176" t="s">
        <v>95</v>
      </c>
      <c r="L5" s="176" t="s">
        <v>96</v>
      </c>
      <c r="M5" s="176" t="s">
        <v>97</v>
      </c>
      <c r="N5" s="176" t="s">
        <v>98</v>
      </c>
      <c r="O5" s="99" t="s">
        <v>99</v>
      </c>
      <c r="P5" s="100" t="s">
        <v>100</v>
      </c>
      <c r="Q5" s="100" t="s">
        <v>101</v>
      </c>
      <c r="R5" s="53"/>
      <c r="S5" s="37" t="s">
        <v>18</v>
      </c>
      <c r="T5" s="37" t="s">
        <v>31</v>
      </c>
      <c r="U5" s="99" t="s">
        <v>64</v>
      </c>
      <c r="V5" s="99" t="s">
        <v>33</v>
      </c>
      <c r="W5" s="99" t="s">
        <v>32</v>
      </c>
      <c r="X5" s="176" t="s">
        <v>91</v>
      </c>
      <c r="Y5" s="176" t="s">
        <v>92</v>
      </c>
      <c r="Z5" s="176" t="s">
        <v>93</v>
      </c>
      <c r="AA5" s="176" t="s">
        <v>94</v>
      </c>
      <c r="AB5" s="176" t="s">
        <v>95</v>
      </c>
      <c r="AC5" s="176" t="s">
        <v>96</v>
      </c>
      <c r="AD5" s="176" t="s">
        <v>97</v>
      </c>
      <c r="AE5" s="176" t="s">
        <v>98</v>
      </c>
      <c r="AF5" s="99" t="s">
        <v>99</v>
      </c>
      <c r="AG5" s="100" t="s">
        <v>100</v>
      </c>
      <c r="AH5" s="100" t="s">
        <v>101</v>
      </c>
      <c r="AJ5" s="37" t="s">
        <v>18</v>
      </c>
      <c r="AK5" s="37" t="s">
        <v>31</v>
      </c>
      <c r="AL5" s="99" t="s">
        <v>64</v>
      </c>
      <c r="AM5" s="99" t="s">
        <v>33</v>
      </c>
      <c r="AN5" s="99" t="s">
        <v>32</v>
      </c>
      <c r="AO5" s="99" t="s">
        <v>91</v>
      </c>
      <c r="AP5" s="99" t="s">
        <v>92</v>
      </c>
      <c r="AQ5" s="99" t="s">
        <v>93</v>
      </c>
      <c r="AR5" s="99" t="s">
        <v>94</v>
      </c>
      <c r="AS5" s="99" t="s">
        <v>95</v>
      </c>
      <c r="AT5" s="99" t="s">
        <v>96</v>
      </c>
      <c r="AU5" s="99" t="s">
        <v>97</v>
      </c>
      <c r="AV5" s="99" t="s">
        <v>98</v>
      </c>
      <c r="AW5" s="99" t="s">
        <v>99</v>
      </c>
      <c r="AX5" s="100" t="s">
        <v>100</v>
      </c>
      <c r="AY5" s="100" t="s">
        <v>101</v>
      </c>
      <c r="BA5" s="37" t="s">
        <v>18</v>
      </c>
      <c r="BB5" s="37" t="s">
        <v>31</v>
      </c>
      <c r="BC5" s="99" t="s">
        <v>64</v>
      </c>
      <c r="BD5" s="99" t="s">
        <v>33</v>
      </c>
      <c r="BE5" s="99" t="s">
        <v>32</v>
      </c>
      <c r="BF5" s="99" t="s">
        <v>91</v>
      </c>
      <c r="BG5" s="99" t="s">
        <v>92</v>
      </c>
      <c r="BH5" s="99" t="s">
        <v>93</v>
      </c>
      <c r="BI5" s="99" t="s">
        <v>94</v>
      </c>
      <c r="BJ5" s="99" t="s">
        <v>95</v>
      </c>
      <c r="BK5" s="99" t="s">
        <v>96</v>
      </c>
      <c r="BL5" s="99" t="s">
        <v>97</v>
      </c>
      <c r="BM5" s="99" t="s">
        <v>98</v>
      </c>
      <c r="BN5" s="99" t="s">
        <v>99</v>
      </c>
      <c r="BO5" s="100" t="s">
        <v>100</v>
      </c>
      <c r="BP5" s="38" t="s">
        <v>101</v>
      </c>
    </row>
    <row r="6" spans="1:69" x14ac:dyDescent="0.2">
      <c r="B6" s="106" t="s">
        <v>131</v>
      </c>
      <c r="C6" s="107"/>
      <c r="D6" s="107"/>
      <c r="E6" s="107"/>
      <c r="F6" s="107"/>
      <c r="G6" s="107"/>
      <c r="H6" s="107"/>
      <c r="I6" s="107"/>
      <c r="J6" s="107"/>
      <c r="K6" s="107"/>
      <c r="L6" s="107"/>
      <c r="M6" s="107"/>
      <c r="N6" s="107"/>
      <c r="O6" s="107"/>
      <c r="P6" s="107"/>
      <c r="Q6" s="109"/>
      <c r="R6" s="24"/>
      <c r="S6" s="106" t="s">
        <v>143</v>
      </c>
      <c r="T6" s="107"/>
      <c r="U6" s="107"/>
      <c r="V6" s="107"/>
      <c r="W6" s="107"/>
      <c r="X6" s="107"/>
      <c r="Y6" s="107"/>
      <c r="Z6" s="107"/>
      <c r="AA6" s="107"/>
      <c r="AB6" s="107"/>
      <c r="AC6" s="107"/>
      <c r="AD6" s="107"/>
      <c r="AE6" s="107"/>
      <c r="AF6" s="107"/>
      <c r="AG6" s="107"/>
      <c r="AH6" s="109"/>
      <c r="AJ6" s="106" t="s">
        <v>150</v>
      </c>
      <c r="AK6" s="107"/>
      <c r="AL6" s="107"/>
      <c r="AM6" s="107"/>
      <c r="AN6" s="107"/>
      <c r="AO6" s="107"/>
      <c r="AP6" s="107"/>
      <c r="AQ6" s="107"/>
      <c r="AR6" s="107"/>
      <c r="AS6" s="107"/>
      <c r="AT6" s="107"/>
      <c r="AU6" s="107"/>
      <c r="AV6" s="107"/>
      <c r="AW6" s="107"/>
      <c r="AX6" s="108"/>
      <c r="AY6" s="109"/>
      <c r="BA6" s="106" t="s">
        <v>152</v>
      </c>
      <c r="BB6" s="107"/>
      <c r="BC6" s="107"/>
      <c r="BD6" s="107"/>
      <c r="BE6" s="107"/>
      <c r="BF6" s="107"/>
      <c r="BG6" s="107"/>
      <c r="BH6" s="107"/>
      <c r="BI6" s="107"/>
      <c r="BJ6" s="107"/>
      <c r="BK6" s="107"/>
      <c r="BL6" s="107"/>
      <c r="BM6" s="107"/>
      <c r="BN6" s="107"/>
      <c r="BO6" s="179"/>
      <c r="BP6" s="96"/>
    </row>
    <row r="7" spans="1:69" x14ac:dyDescent="0.2">
      <c r="B7" s="101" t="s">
        <v>136</v>
      </c>
      <c r="C7" s="102" t="s">
        <v>73</v>
      </c>
      <c r="D7" s="103">
        <v>5</v>
      </c>
      <c r="E7" s="104">
        <v>1</v>
      </c>
      <c r="F7" s="105">
        <f>E7*D7</f>
        <v>5</v>
      </c>
      <c r="G7" s="93">
        <v>0</v>
      </c>
      <c r="H7" s="93">
        <f>IF(G7=0,VLOOKUP(C:C,[1]Inputs!$B$20:$H$25,7,FALSE)*F7,VLOOKUP(C:C,[1]Inputs!$B$20:$I$25,8,FALSE)*F7)</f>
        <v>516.30298810072497</v>
      </c>
      <c r="I7" s="93">
        <f>VLOOKUP(C:C,[1]Inputs!$C$54:$G$59,5,FALSE)*F7</f>
        <v>0</v>
      </c>
      <c r="J7" s="93"/>
      <c r="K7" s="93"/>
      <c r="L7" s="93"/>
      <c r="M7" s="93">
        <f>SUM(H7:J7)</f>
        <v>516.30298810072497</v>
      </c>
      <c r="N7" s="93">
        <f>[1]Inputs!$M$43*M7</f>
        <v>240.55930176174894</v>
      </c>
      <c r="O7" s="83">
        <f>[1]Inputs!$M$48*M7</f>
        <v>82.803426421490585</v>
      </c>
      <c r="P7" s="83">
        <f>[1]Inputs!$H$13*SUM(M7:O7)</f>
        <v>53.251599726729033</v>
      </c>
      <c r="Q7" s="83">
        <f t="shared" ref="Q7" si="0">SUM(M7:P7)</f>
        <v>892.91731601069364</v>
      </c>
      <c r="S7" s="101" t="s">
        <v>136</v>
      </c>
      <c r="T7" s="102" t="s">
        <v>73</v>
      </c>
      <c r="U7" s="180">
        <v>6</v>
      </c>
      <c r="V7" s="181">
        <v>1</v>
      </c>
      <c r="W7" s="182">
        <f t="shared" ref="W7:W15" si="1">V7*U7</f>
        <v>6</v>
      </c>
      <c r="X7" s="93">
        <v>0</v>
      </c>
      <c r="Y7" s="93">
        <f>IF(X7=0,VLOOKUP(T:T,[1]Inputs!$B$20:$H$25,7,FALSE)*W7,VLOOKUP(T:T,[1]Inputs!$B$20:$I$25,8,FALSE)*W7)</f>
        <v>619.56358572086992</v>
      </c>
      <c r="Z7" s="93">
        <f>VLOOKUP(T:T,[1]Inputs!$C$54:$G$59,5,FALSE)*W7</f>
        <v>0</v>
      </c>
      <c r="AA7" s="93"/>
      <c r="AB7" s="93"/>
      <c r="AC7" s="93"/>
      <c r="AD7" s="93">
        <f>SUM(Y7:AA7)</f>
        <v>619.56358572086992</v>
      </c>
      <c r="AE7" s="93">
        <f>[1]Inputs!$M$43*AD7</f>
        <v>288.67116211409871</v>
      </c>
      <c r="AF7" s="83">
        <f>[1]Inputs!$M$48*AD7</f>
        <v>99.364111705788687</v>
      </c>
      <c r="AG7" s="83">
        <f>[1]Inputs!$H$13*SUM(AD7:AF7)</f>
        <v>63.901919672074833</v>
      </c>
      <c r="AH7" s="83">
        <f t="shared" ref="AH7" si="2">SUM(AD7:AG7)</f>
        <v>1071.5007792128322</v>
      </c>
      <c r="AJ7" s="101" t="s">
        <v>136</v>
      </c>
      <c r="AK7" s="102" t="s">
        <v>73</v>
      </c>
      <c r="AL7" s="83">
        <v>0.1</v>
      </c>
      <c r="AM7" s="112">
        <v>1</v>
      </c>
      <c r="AN7" s="93">
        <f>AM7*AL7</f>
        <v>0.1</v>
      </c>
      <c r="AO7" s="105">
        <v>0</v>
      </c>
      <c r="AP7" s="93">
        <f>IF(AO7=0,VLOOKUP(AK:AK,[1]Inputs!$B$20:$H$25,7,FALSE)*AN7,VLOOKUP(AK:AK,[1]Inputs!$B$20:$I$25,8,FALSE)*AN7)</f>
        <v>10.3260597620145</v>
      </c>
      <c r="AQ7" s="93">
        <f>VLOOKUP(AK:AK,[1]Inputs!$C$54:$G$59,5,FALSE)*AN7</f>
        <v>0</v>
      </c>
      <c r="AR7" s="93"/>
      <c r="AS7" s="93"/>
      <c r="AT7" s="93"/>
      <c r="AU7" s="93">
        <f>SUM(AP7:AR7)</f>
        <v>10.3260597620145</v>
      </c>
      <c r="AV7" s="93">
        <f>[1]Inputs!$M$43*AU7</f>
        <v>4.8111860352349796</v>
      </c>
      <c r="AW7" s="184">
        <f>[1]Inputs!$M$48*AU7</f>
        <v>1.6560685284298118</v>
      </c>
      <c r="AX7" s="184">
        <f>[1]Inputs!$H$13*SUM(AU7:AW7)</f>
        <v>1.065031994534581</v>
      </c>
      <c r="AY7" s="184">
        <f t="shared" ref="AY7" si="3">SUM(AU7:AX7)</f>
        <v>17.858346320213876</v>
      </c>
      <c r="BA7" s="101" t="s">
        <v>154</v>
      </c>
      <c r="BB7" s="102" t="s">
        <v>133</v>
      </c>
      <c r="BC7" s="103">
        <v>1</v>
      </c>
      <c r="BD7" s="104">
        <v>1</v>
      </c>
      <c r="BE7" s="105">
        <f>BD7*BC7</f>
        <v>1</v>
      </c>
      <c r="BF7" s="105">
        <v>0</v>
      </c>
      <c r="BG7" s="105">
        <f>IF(BF7=0,VLOOKUP(BB:BB,[1]Inputs!$B$20:$H$25,7,FALSE)*BE7,VLOOKUP(BB:BB,[1]Inputs!$B$20:$I$25,8,FALSE)*BE7)</f>
        <v>103.26059762014499</v>
      </c>
      <c r="BH7" s="105">
        <f>VLOOKUP(BB:BB,[1]Inputs!$C$54:$G$59,5,FALSE)*BE7</f>
        <v>19.732436288346317</v>
      </c>
      <c r="BI7" s="105"/>
      <c r="BJ7" s="105"/>
      <c r="BK7" s="105"/>
      <c r="BL7" s="105">
        <f>SUM(BG7:BI7)</f>
        <v>122.99303390849131</v>
      </c>
      <c r="BM7" s="105">
        <f>[1]Inputs!$M$43*BL7</f>
        <v>57.305727529149344</v>
      </c>
      <c r="BN7" s="183">
        <f>[1]Inputs!$M$48*BL7</f>
        <v>19.725325764744216</v>
      </c>
      <c r="BO7" s="183">
        <f>[1]Inputs!$H$13*SUM(BL7:BN7)</f>
        <v>12.685527610375249</v>
      </c>
      <c r="BP7" s="184">
        <f t="shared" ref="BP7" si="4">SUM(BL7:BO7)</f>
        <v>212.70961481276012</v>
      </c>
    </row>
    <row r="8" spans="1:69" x14ac:dyDescent="0.2">
      <c r="B8" s="68" t="s">
        <v>134</v>
      </c>
      <c r="C8" s="67" t="s">
        <v>73</v>
      </c>
      <c r="D8" s="82">
        <v>1</v>
      </c>
      <c r="E8" s="73">
        <v>1</v>
      </c>
      <c r="F8" s="93">
        <f t="shared" ref="F8:F12" si="5">E8*D8</f>
        <v>1</v>
      </c>
      <c r="G8" s="93">
        <v>0</v>
      </c>
      <c r="H8" s="93">
        <f>IF(G8=0,VLOOKUP(C:C,[1]Inputs!$B$20:$H$25,7,FALSE)*F8,VLOOKUP(C:C,[1]Inputs!$B$20:$I$25,8,FALSE)*F8)</f>
        <v>103.26059762014499</v>
      </c>
      <c r="I8" s="93">
        <f>VLOOKUP(C:C,[1]Inputs!$C$54:$G$59,5,FALSE)*F8</f>
        <v>0</v>
      </c>
      <c r="J8" s="93"/>
      <c r="K8" s="93"/>
      <c r="L8" s="93"/>
      <c r="M8" s="93">
        <f t="shared" ref="M8:M12" si="6">SUM(H8:J8)</f>
        <v>103.26059762014499</v>
      </c>
      <c r="N8" s="93">
        <f>[1]Inputs!$M$43*M8</f>
        <v>48.111860352349787</v>
      </c>
      <c r="O8" s="83">
        <f>[1]Inputs!$M$48*M8</f>
        <v>16.560685284298117</v>
      </c>
      <c r="P8" s="83">
        <f>[1]Inputs!$H$13*SUM(M8:O8)</f>
        <v>10.650319945345807</v>
      </c>
      <c r="Q8" s="83">
        <f t="shared" ref="Q8:Q12" si="7">SUM(M8:P8)</f>
        <v>178.58346320213872</v>
      </c>
      <c r="R8" s="53"/>
      <c r="S8" s="69" t="s">
        <v>134</v>
      </c>
      <c r="T8" s="110" t="s">
        <v>73</v>
      </c>
      <c r="U8" s="111">
        <v>1</v>
      </c>
      <c r="V8" s="113">
        <v>1</v>
      </c>
      <c r="W8" s="182">
        <f t="shared" si="1"/>
        <v>1</v>
      </c>
      <c r="X8" s="93">
        <v>0</v>
      </c>
      <c r="Y8" s="93">
        <f>IF(X8=0,VLOOKUP(T:T,[1]Inputs!$B$20:$H$25,7,FALSE)*W8,VLOOKUP(T:T,[1]Inputs!$B$20:$I$25,8,FALSE)*W8)</f>
        <v>103.26059762014499</v>
      </c>
      <c r="Z8" s="93">
        <f>VLOOKUP(T:T,[1]Inputs!$C$54:$G$59,5,FALSE)*W8</f>
        <v>0</v>
      </c>
      <c r="AA8" s="93"/>
      <c r="AB8" s="93"/>
      <c r="AC8" s="93"/>
      <c r="AD8" s="93">
        <f t="shared" ref="AD8:AD15" si="8">SUM(Y8:AA8)</f>
        <v>103.26059762014499</v>
      </c>
      <c r="AE8" s="93">
        <f>[1]Inputs!$M$43*AD8</f>
        <v>48.111860352349787</v>
      </c>
      <c r="AF8" s="83">
        <f>[1]Inputs!$M$48*AD8</f>
        <v>16.560685284298117</v>
      </c>
      <c r="AG8" s="83">
        <f>[1]Inputs!$H$13*SUM(AD8:AF8)</f>
        <v>10.650319945345807</v>
      </c>
      <c r="AH8" s="83">
        <f t="shared" ref="AH8:AH15" si="9">SUM(AD8:AG8)</f>
        <v>178.58346320213872</v>
      </c>
      <c r="AJ8" s="68" t="s">
        <v>134</v>
      </c>
      <c r="AK8" s="67" t="s">
        <v>73</v>
      </c>
      <c r="AL8" s="83">
        <v>0.5</v>
      </c>
      <c r="AM8" s="113">
        <v>1</v>
      </c>
      <c r="AN8" s="93">
        <f t="shared" ref="AN8:AN16" si="10">AM8*AL8</f>
        <v>0.5</v>
      </c>
      <c r="AO8" s="93">
        <v>0</v>
      </c>
      <c r="AP8" s="93">
        <f>IF(AO8=0,VLOOKUP(AK:AK,[1]Inputs!$B$20:$H$25,7,FALSE)*AN8,VLOOKUP(AK:AK,[1]Inputs!$B$20:$I$25,8,FALSE)*AN8)</f>
        <v>51.630298810072496</v>
      </c>
      <c r="AQ8" s="93">
        <f>VLOOKUP(AK:AK,[1]Inputs!$C$54:$G$59,5,FALSE)*AN8</f>
        <v>0</v>
      </c>
      <c r="AR8" s="93"/>
      <c r="AS8" s="93"/>
      <c r="AT8" s="93"/>
      <c r="AU8" s="93">
        <f t="shared" ref="AU8:AU16" si="11">SUM(AP8:AR8)</f>
        <v>51.630298810072496</v>
      </c>
      <c r="AV8" s="93">
        <f>[1]Inputs!$M$43*AU8</f>
        <v>24.055930176174893</v>
      </c>
      <c r="AW8" s="184">
        <f>[1]Inputs!$M$48*AU8</f>
        <v>8.2803426421490585</v>
      </c>
      <c r="AX8" s="184">
        <f>[1]Inputs!$H$13*SUM(AU8:AW8)</f>
        <v>5.3251599726729033</v>
      </c>
      <c r="AY8" s="184">
        <f t="shared" ref="AY8:AY16" si="12">SUM(AU8:AX8)</f>
        <v>89.291731601069358</v>
      </c>
      <c r="AZ8" s="95"/>
      <c r="BA8" s="68"/>
      <c r="BB8" s="67"/>
      <c r="BC8" s="85"/>
      <c r="BD8" s="73"/>
      <c r="BE8" s="92"/>
      <c r="BF8" s="92"/>
      <c r="BG8" s="92"/>
      <c r="BH8" s="92"/>
      <c r="BI8" s="92"/>
      <c r="BJ8" s="92"/>
      <c r="BK8" s="92"/>
      <c r="BL8" s="92"/>
      <c r="BM8" s="92"/>
      <c r="BN8" s="40"/>
      <c r="BO8" s="40"/>
      <c r="BP8" s="40"/>
      <c r="BQ8" s="95"/>
    </row>
    <row r="9" spans="1:69" ht="13.5" customHeight="1" x14ac:dyDescent="0.2">
      <c r="A9" s="54"/>
      <c r="B9" s="68" t="s">
        <v>162</v>
      </c>
      <c r="C9" s="67" t="s">
        <v>133</v>
      </c>
      <c r="D9" s="82">
        <v>1</v>
      </c>
      <c r="E9" s="73">
        <v>1</v>
      </c>
      <c r="F9" s="93">
        <f t="shared" si="5"/>
        <v>1</v>
      </c>
      <c r="G9" s="93">
        <v>0</v>
      </c>
      <c r="H9" s="93">
        <f>IF(G9=0,VLOOKUP(C:C,[1]Inputs!$B$20:$H$25,7,FALSE)*F9,VLOOKUP(C:C,[1]Inputs!$B$20:$I$25,8,FALSE)*F9)</f>
        <v>103.26059762014499</v>
      </c>
      <c r="I9" s="93">
        <f>VLOOKUP(C:C,[1]Inputs!$C$54:$G$59,5,FALSE)*F9</f>
        <v>19.732436288346317</v>
      </c>
      <c r="J9" s="93"/>
      <c r="K9" s="93"/>
      <c r="L9" s="93"/>
      <c r="M9" s="93">
        <f t="shared" ref="M9" si="13">SUM(H9:J9)</f>
        <v>122.99303390849131</v>
      </c>
      <c r="N9" s="93">
        <f>[1]Inputs!$M$43*M9</f>
        <v>57.305727529149344</v>
      </c>
      <c r="O9" s="83">
        <f>[1]Inputs!$M$48*M9</f>
        <v>19.725325764744216</v>
      </c>
      <c r="P9" s="83">
        <f>[1]Inputs!$H$13*SUM(M9:O9)</f>
        <v>12.685527610375249</v>
      </c>
      <c r="Q9" s="83">
        <f t="shared" ref="Q9" si="14">SUM(M9:P9)</f>
        <v>212.70961481276012</v>
      </c>
      <c r="R9" s="53"/>
      <c r="S9" s="70" t="s">
        <v>141</v>
      </c>
      <c r="T9" s="67" t="s">
        <v>133</v>
      </c>
      <c r="U9" s="83">
        <v>1</v>
      </c>
      <c r="V9" s="112">
        <v>1</v>
      </c>
      <c r="W9" s="182">
        <f t="shared" si="1"/>
        <v>1</v>
      </c>
      <c r="X9" s="93">
        <v>0</v>
      </c>
      <c r="Y9" s="93">
        <f>IF(X9=0,VLOOKUP(T:T,[1]Inputs!$B$20:$H$25,7,FALSE)*W9,VLOOKUP(T:T,[1]Inputs!$B$20:$I$25,8,FALSE)*W9)</f>
        <v>103.26059762014499</v>
      </c>
      <c r="Z9" s="93">
        <f>VLOOKUP(T:T,[1]Inputs!$C$54:$G$59,5,FALSE)*W9</f>
        <v>19.732436288346317</v>
      </c>
      <c r="AA9" s="93"/>
      <c r="AB9" s="93"/>
      <c r="AC9" s="93"/>
      <c r="AD9" s="93">
        <f t="shared" si="8"/>
        <v>122.99303390849131</v>
      </c>
      <c r="AE9" s="93">
        <f>[1]Inputs!$M$43*AD9</f>
        <v>57.305727529149344</v>
      </c>
      <c r="AF9" s="83">
        <f>[1]Inputs!$M$48*AD9</f>
        <v>19.725325764744216</v>
      </c>
      <c r="AG9" s="83">
        <f>[1]Inputs!$H$13*SUM(AD9:AF9)</f>
        <v>12.685527610375249</v>
      </c>
      <c r="AH9" s="83">
        <f t="shared" si="9"/>
        <v>212.70961481276012</v>
      </c>
      <c r="AJ9" s="69" t="s">
        <v>141</v>
      </c>
      <c r="AK9" s="67" t="s">
        <v>133</v>
      </c>
      <c r="AL9" s="83">
        <v>0.5</v>
      </c>
      <c r="AM9" s="112">
        <v>1</v>
      </c>
      <c r="AN9" s="93">
        <f t="shared" si="10"/>
        <v>0.5</v>
      </c>
      <c r="AO9" s="92">
        <v>0</v>
      </c>
      <c r="AP9" s="93">
        <f>IF(AO9=0,VLOOKUP(AK:AK,[1]Inputs!$B$20:$H$25,7,FALSE)*AN9,VLOOKUP(AK:AK,[1]Inputs!$B$20:$I$25,8,FALSE)*AN9)</f>
        <v>51.630298810072496</v>
      </c>
      <c r="AQ9" s="93">
        <f>VLOOKUP(AK:AK,[1]Inputs!$C$54:$G$59,5,FALSE)*AN9</f>
        <v>9.8662181441731587</v>
      </c>
      <c r="AR9" s="93"/>
      <c r="AS9" s="93"/>
      <c r="AT9" s="93"/>
      <c r="AU9" s="93">
        <f t="shared" si="11"/>
        <v>61.496516954245656</v>
      </c>
      <c r="AV9" s="93">
        <f>[1]Inputs!$M$43*AU9</f>
        <v>28.652863764574672</v>
      </c>
      <c r="AW9" s="184">
        <f>[1]Inputs!$M$48*AU9</f>
        <v>9.8626628823721081</v>
      </c>
      <c r="AX9" s="184">
        <f>[1]Inputs!$H$13*SUM(AU9:AW9)</f>
        <v>6.3427638051876247</v>
      </c>
      <c r="AY9" s="184">
        <f t="shared" si="12"/>
        <v>106.35480740638006</v>
      </c>
      <c r="AZ9" s="95"/>
      <c r="BA9" s="68"/>
      <c r="BB9" s="67"/>
      <c r="BC9" s="83"/>
      <c r="BD9" s="73"/>
      <c r="BE9" s="92"/>
      <c r="BF9" s="92"/>
      <c r="BG9" s="92"/>
      <c r="BH9" s="92"/>
      <c r="BI9" s="92"/>
      <c r="BJ9" s="92"/>
      <c r="BK9" s="92"/>
      <c r="BL9" s="92"/>
      <c r="BM9" s="92"/>
      <c r="BN9" s="40"/>
      <c r="BO9" s="40"/>
      <c r="BP9" s="40"/>
    </row>
    <row r="10" spans="1:69" x14ac:dyDescent="0.2">
      <c r="B10" s="68" t="s">
        <v>142</v>
      </c>
      <c r="C10" s="67" t="s">
        <v>73</v>
      </c>
      <c r="D10" s="82">
        <v>2</v>
      </c>
      <c r="E10" s="73">
        <v>1</v>
      </c>
      <c r="F10" s="93">
        <f t="shared" ref="F10" si="15">E10*D10</f>
        <v>2</v>
      </c>
      <c r="G10" s="93">
        <v>0</v>
      </c>
      <c r="H10" s="93">
        <f>IF(G10=0,VLOOKUP(C:C,[1]Inputs!$B$20:$H$25,7,FALSE)*F10,VLOOKUP(C:C,[1]Inputs!$B$20:$I$25,8,FALSE)*F10)</f>
        <v>206.52119524028998</v>
      </c>
      <c r="I10" s="93">
        <f>VLOOKUP(C:C,[1]Inputs!$C$54:$G$59,5,FALSE)*F10</f>
        <v>0</v>
      </c>
      <c r="J10" s="93"/>
      <c r="K10" s="93"/>
      <c r="L10" s="93"/>
      <c r="M10" s="93">
        <f t="shared" ref="M10" si="16">SUM(H10:J10)</f>
        <v>206.52119524028998</v>
      </c>
      <c r="N10" s="93">
        <f>[1]Inputs!$M$43*M10</f>
        <v>96.223720704699574</v>
      </c>
      <c r="O10" s="83">
        <f>[1]Inputs!$M$48*M10</f>
        <v>33.121370568596234</v>
      </c>
      <c r="P10" s="83">
        <f>[1]Inputs!$H$13*SUM(M10:O10)</f>
        <v>21.300639890691613</v>
      </c>
      <c r="Q10" s="83">
        <f t="shared" ref="Q10" si="17">SUM(M10:P10)</f>
        <v>357.16692640427743</v>
      </c>
      <c r="S10" s="68" t="s">
        <v>142</v>
      </c>
      <c r="T10" s="67" t="s">
        <v>73</v>
      </c>
      <c r="U10" s="83">
        <v>2</v>
      </c>
      <c r="V10" s="112">
        <v>1</v>
      </c>
      <c r="W10" s="182">
        <f t="shared" si="1"/>
        <v>2</v>
      </c>
      <c r="X10" s="93">
        <v>0</v>
      </c>
      <c r="Y10" s="93">
        <f>IF(X10=0,VLOOKUP(T:T,[1]Inputs!$B$20:$H$25,7,FALSE)*W10,VLOOKUP(T:T,[1]Inputs!$B$20:$I$25,8,FALSE)*W10)</f>
        <v>206.52119524028998</v>
      </c>
      <c r="Z10" s="93">
        <f>VLOOKUP(T:T,[1]Inputs!$C$54:$G$59,5,FALSE)*W10</f>
        <v>0</v>
      </c>
      <c r="AA10" s="93"/>
      <c r="AB10" s="93"/>
      <c r="AC10" s="93"/>
      <c r="AD10" s="93">
        <f t="shared" si="8"/>
        <v>206.52119524028998</v>
      </c>
      <c r="AE10" s="93">
        <f>[1]Inputs!$M$43*AD10</f>
        <v>96.223720704699574</v>
      </c>
      <c r="AF10" s="83">
        <f>[1]Inputs!$M$48*AD10</f>
        <v>33.121370568596234</v>
      </c>
      <c r="AG10" s="83">
        <f>[1]Inputs!$H$13*SUM(AD10:AF10)</f>
        <v>21.300639890691613</v>
      </c>
      <c r="AH10" s="83">
        <f t="shared" si="9"/>
        <v>357.16692640427743</v>
      </c>
      <c r="AJ10" s="70" t="s">
        <v>142</v>
      </c>
      <c r="AK10" s="67" t="s">
        <v>73</v>
      </c>
      <c r="AL10" s="83">
        <v>1</v>
      </c>
      <c r="AM10" s="112">
        <v>1</v>
      </c>
      <c r="AN10" s="93">
        <f t="shared" si="10"/>
        <v>1</v>
      </c>
      <c r="AO10" s="92">
        <v>0</v>
      </c>
      <c r="AP10" s="93">
        <f>IF(AO10=0,VLOOKUP(AK:AK,[1]Inputs!$B$20:$H$25,7,FALSE)*AN10,VLOOKUP(AK:AK,[1]Inputs!$B$20:$I$25,8,FALSE)*AN10)</f>
        <v>103.26059762014499</v>
      </c>
      <c r="AQ10" s="93">
        <f>VLOOKUP(AK:AK,[1]Inputs!$C$54:$G$59,5,FALSE)*AN10</f>
        <v>0</v>
      </c>
      <c r="AR10" s="93"/>
      <c r="AS10" s="93"/>
      <c r="AT10" s="93"/>
      <c r="AU10" s="93">
        <f t="shared" si="11"/>
        <v>103.26059762014499</v>
      </c>
      <c r="AV10" s="93">
        <f>[1]Inputs!$M$43*AU10</f>
        <v>48.111860352349787</v>
      </c>
      <c r="AW10" s="184">
        <f>[1]Inputs!$M$48*AU10</f>
        <v>16.560685284298117</v>
      </c>
      <c r="AX10" s="184">
        <f>[1]Inputs!$H$13*SUM(AU10:AW10)</f>
        <v>10.650319945345807</v>
      </c>
      <c r="AY10" s="184">
        <f t="shared" si="12"/>
        <v>178.58346320213872</v>
      </c>
      <c r="BA10" s="296" t="s">
        <v>1</v>
      </c>
      <c r="BB10" s="297"/>
      <c r="BC10" s="297"/>
      <c r="BD10" s="298"/>
      <c r="BE10" s="94">
        <f t="shared" ref="BE10:BP10" si="18">SUM(BE7:BE9)</f>
        <v>1</v>
      </c>
      <c r="BF10" s="94">
        <f t="shared" si="18"/>
        <v>0</v>
      </c>
      <c r="BG10" s="94">
        <f t="shared" si="18"/>
        <v>103.26059762014499</v>
      </c>
      <c r="BH10" s="94">
        <f t="shared" si="18"/>
        <v>19.732436288346317</v>
      </c>
      <c r="BI10" s="94">
        <f t="shared" si="18"/>
        <v>0</v>
      </c>
      <c r="BJ10" s="94">
        <f t="shared" si="18"/>
        <v>0</v>
      </c>
      <c r="BK10" s="94">
        <f t="shared" si="18"/>
        <v>0</v>
      </c>
      <c r="BL10" s="94">
        <f t="shared" si="18"/>
        <v>122.99303390849131</v>
      </c>
      <c r="BM10" s="94">
        <f t="shared" si="18"/>
        <v>57.305727529149344</v>
      </c>
      <c r="BN10" s="94">
        <f t="shared" si="18"/>
        <v>19.725325764744216</v>
      </c>
      <c r="BO10" s="94">
        <f t="shared" si="18"/>
        <v>12.685527610375249</v>
      </c>
      <c r="BP10" s="94">
        <f t="shared" si="18"/>
        <v>212.70961481276012</v>
      </c>
    </row>
    <row r="11" spans="1:69" x14ac:dyDescent="0.2">
      <c r="B11" s="68" t="s">
        <v>135</v>
      </c>
      <c r="C11" s="67" t="s">
        <v>133</v>
      </c>
      <c r="D11" s="83">
        <v>1</v>
      </c>
      <c r="E11" s="73">
        <v>2</v>
      </c>
      <c r="F11" s="92">
        <f t="shared" si="5"/>
        <v>2</v>
      </c>
      <c r="G11" s="93">
        <v>0</v>
      </c>
      <c r="H11" s="93">
        <f>IF(G11=0,VLOOKUP(C:C,[1]Inputs!$B$20:$H$25,7,FALSE)*F11,VLOOKUP(C:C,[1]Inputs!$B$20:$I$25,8,FALSE)*F11)</f>
        <v>206.52119524028998</v>
      </c>
      <c r="I11" s="93">
        <f>VLOOKUP(C:C,[1]Inputs!$C$54:$G$59,5,FALSE)*F11</f>
        <v>39.464872576692635</v>
      </c>
      <c r="J11" s="93"/>
      <c r="K11" s="93"/>
      <c r="L11" s="93"/>
      <c r="M11" s="93">
        <f t="shared" si="6"/>
        <v>245.98606781698263</v>
      </c>
      <c r="N11" s="93">
        <f>[1]Inputs!$M$43*M11</f>
        <v>114.61145505829869</v>
      </c>
      <c r="O11" s="83">
        <f>[1]Inputs!$M$48*M11</f>
        <v>39.450651529488432</v>
      </c>
      <c r="P11" s="83">
        <f>[1]Inputs!$H$13*SUM(M11:O11)</f>
        <v>25.371055220750499</v>
      </c>
      <c r="Q11" s="83">
        <f t="shared" si="7"/>
        <v>425.41922962552025</v>
      </c>
      <c r="S11" s="68" t="s">
        <v>135</v>
      </c>
      <c r="T11" s="67" t="s">
        <v>133</v>
      </c>
      <c r="U11" s="81">
        <v>1</v>
      </c>
      <c r="V11" s="73">
        <v>2</v>
      </c>
      <c r="W11" s="182">
        <f t="shared" si="1"/>
        <v>2</v>
      </c>
      <c r="X11" s="93">
        <v>0</v>
      </c>
      <c r="Y11" s="93">
        <f>IF(X11=0,VLOOKUP(T:T,[1]Inputs!$B$20:$H$25,7,FALSE)*W11,VLOOKUP(T:T,[1]Inputs!$B$20:$I$25,8,FALSE)*W11)</f>
        <v>206.52119524028998</v>
      </c>
      <c r="Z11" s="93">
        <f>VLOOKUP(T:T,[1]Inputs!$C$54:$G$59,5,FALSE)*W11</f>
        <v>39.464872576692635</v>
      </c>
      <c r="AA11" s="93"/>
      <c r="AB11" s="93"/>
      <c r="AC11" s="93"/>
      <c r="AD11" s="93">
        <f t="shared" si="8"/>
        <v>245.98606781698263</v>
      </c>
      <c r="AE11" s="93">
        <f>[1]Inputs!$M$43*AD11</f>
        <v>114.61145505829869</v>
      </c>
      <c r="AF11" s="83">
        <f>[1]Inputs!$M$48*AD11</f>
        <v>39.450651529488432</v>
      </c>
      <c r="AG11" s="83">
        <f>[1]Inputs!$H$13*SUM(AD11:AF11)</f>
        <v>25.371055220750499</v>
      </c>
      <c r="AH11" s="83">
        <f t="shared" si="9"/>
        <v>425.41922962552025</v>
      </c>
      <c r="AJ11" s="68" t="s">
        <v>135</v>
      </c>
      <c r="AK11" s="67" t="s">
        <v>133</v>
      </c>
      <c r="AL11" s="83">
        <v>1</v>
      </c>
      <c r="AM11" s="112">
        <v>2</v>
      </c>
      <c r="AN11" s="93">
        <f t="shared" si="10"/>
        <v>2</v>
      </c>
      <c r="AO11" s="92">
        <v>0</v>
      </c>
      <c r="AP11" s="93">
        <f>IF(AO11=0,VLOOKUP(AK:AK,[1]Inputs!$B$20:$H$25,7,FALSE)*AN11,VLOOKUP(AK:AK,[1]Inputs!$B$20:$I$25,8,FALSE)*AN11)</f>
        <v>206.52119524028998</v>
      </c>
      <c r="AQ11" s="93">
        <f>VLOOKUP(AK:AK,[1]Inputs!$C$54:$G$59,5,FALSE)*AN11</f>
        <v>39.464872576692635</v>
      </c>
      <c r="AR11" s="93"/>
      <c r="AS11" s="93"/>
      <c r="AT11" s="93"/>
      <c r="AU11" s="93">
        <f t="shared" si="11"/>
        <v>245.98606781698263</v>
      </c>
      <c r="AV11" s="93">
        <f>[1]Inputs!$M$43*AU11</f>
        <v>114.61145505829869</v>
      </c>
      <c r="AW11" s="184">
        <f>[1]Inputs!$M$48*AU11</f>
        <v>39.450651529488432</v>
      </c>
      <c r="AX11" s="184">
        <f>[1]Inputs!$H$13*SUM(AU11:AW11)</f>
        <v>25.371055220750499</v>
      </c>
      <c r="AY11" s="184">
        <f t="shared" si="12"/>
        <v>425.41922962552025</v>
      </c>
    </row>
    <row r="12" spans="1:69" x14ac:dyDescent="0.2">
      <c r="B12" s="70" t="s">
        <v>137</v>
      </c>
      <c r="C12" s="67" t="s">
        <v>133</v>
      </c>
      <c r="D12" s="84">
        <v>0.5</v>
      </c>
      <c r="E12" s="73">
        <v>2</v>
      </c>
      <c r="F12" s="92">
        <f t="shared" si="5"/>
        <v>1</v>
      </c>
      <c r="G12" s="93">
        <v>0</v>
      </c>
      <c r="H12" s="93">
        <f>IF(G12=0,VLOOKUP(C:C,[1]Inputs!$B$20:$H$25,7,FALSE)*F12,VLOOKUP(C:C,[1]Inputs!$B$20:$I$25,8,FALSE)*F12)</f>
        <v>103.26059762014499</v>
      </c>
      <c r="I12" s="93">
        <f>VLOOKUP(C:C,[1]Inputs!$C$54:$G$59,5,FALSE)*F12</f>
        <v>19.732436288346317</v>
      </c>
      <c r="J12" s="93"/>
      <c r="K12" s="93"/>
      <c r="L12" s="93"/>
      <c r="M12" s="93">
        <f t="shared" si="6"/>
        <v>122.99303390849131</v>
      </c>
      <c r="N12" s="93">
        <f>[1]Inputs!$M$43*M12</f>
        <v>57.305727529149344</v>
      </c>
      <c r="O12" s="83">
        <f>[1]Inputs!$M$48*M12</f>
        <v>19.725325764744216</v>
      </c>
      <c r="P12" s="83">
        <f>[1]Inputs!$H$13*SUM(M12:O12)</f>
        <v>12.685527610375249</v>
      </c>
      <c r="Q12" s="83">
        <f t="shared" si="7"/>
        <v>212.70961481276012</v>
      </c>
      <c r="R12" s="55"/>
      <c r="S12" s="68" t="s">
        <v>137</v>
      </c>
      <c r="T12" s="67" t="s">
        <v>133</v>
      </c>
      <c r="U12" s="82">
        <v>0.5</v>
      </c>
      <c r="V12" s="73">
        <v>2</v>
      </c>
      <c r="W12" s="182">
        <f t="shared" si="1"/>
        <v>1</v>
      </c>
      <c r="X12" s="93">
        <v>0</v>
      </c>
      <c r="Y12" s="93">
        <f>IF(X12=0,VLOOKUP(T:T,[1]Inputs!$B$20:$H$25,7,FALSE)*W12,VLOOKUP(T:T,[1]Inputs!$B$20:$I$25,8,FALSE)*W12)</f>
        <v>103.26059762014499</v>
      </c>
      <c r="Z12" s="93">
        <f>VLOOKUP(T:T,[1]Inputs!$C$54:$G$59,5,FALSE)*W12</f>
        <v>19.732436288346317</v>
      </c>
      <c r="AA12" s="93"/>
      <c r="AB12" s="93"/>
      <c r="AC12" s="93"/>
      <c r="AD12" s="93">
        <f t="shared" si="8"/>
        <v>122.99303390849131</v>
      </c>
      <c r="AE12" s="93">
        <f>[1]Inputs!$M$43*AD12</f>
        <v>57.305727529149344</v>
      </c>
      <c r="AF12" s="83">
        <f>[1]Inputs!$M$48*AD12</f>
        <v>19.725325764744216</v>
      </c>
      <c r="AG12" s="83">
        <f>[1]Inputs!$H$13*SUM(AD12:AF12)</f>
        <v>12.685527610375249</v>
      </c>
      <c r="AH12" s="83">
        <f t="shared" si="9"/>
        <v>212.70961481276012</v>
      </c>
      <c r="AJ12" s="68" t="s">
        <v>137</v>
      </c>
      <c r="AK12" s="67" t="s">
        <v>133</v>
      </c>
      <c r="AL12" s="83">
        <v>0.1</v>
      </c>
      <c r="AM12" s="112">
        <v>2</v>
      </c>
      <c r="AN12" s="93">
        <f t="shared" si="10"/>
        <v>0.2</v>
      </c>
      <c r="AO12" s="92">
        <v>0</v>
      </c>
      <c r="AP12" s="93">
        <f>IF(AO12=0,VLOOKUP(AK:AK,[1]Inputs!$B$20:$H$25,7,FALSE)*AN12,VLOOKUP(AK:AK,[1]Inputs!$B$20:$I$25,8,FALSE)*AN12)</f>
        <v>20.652119524029001</v>
      </c>
      <c r="AQ12" s="93">
        <f>VLOOKUP(AK:AK,[1]Inputs!$C$54:$G$59,5,FALSE)*AN12</f>
        <v>3.9464872576692636</v>
      </c>
      <c r="AR12" s="93"/>
      <c r="AS12" s="93"/>
      <c r="AT12" s="93"/>
      <c r="AU12" s="93">
        <f t="shared" si="11"/>
        <v>24.598606781698265</v>
      </c>
      <c r="AV12" s="93">
        <f>[1]Inputs!$M$43*AU12</f>
        <v>11.461145505829871</v>
      </c>
      <c r="AW12" s="184">
        <f>[1]Inputs!$M$48*AU12</f>
        <v>3.9450651529488439</v>
      </c>
      <c r="AX12" s="184">
        <f>[1]Inputs!$H$13*SUM(AU12:AW12)</f>
        <v>2.5371055220750502</v>
      </c>
      <c r="AY12" s="184">
        <f t="shared" si="12"/>
        <v>42.541922962552029</v>
      </c>
    </row>
    <row r="13" spans="1:69" x14ac:dyDescent="0.2">
      <c r="B13" s="68" t="s">
        <v>138</v>
      </c>
      <c r="C13" s="67" t="s">
        <v>133</v>
      </c>
      <c r="D13" s="85">
        <v>0.5</v>
      </c>
      <c r="E13" s="73">
        <v>2</v>
      </c>
      <c r="F13" s="92">
        <f t="shared" ref="F13:F15" si="19">E13*D13</f>
        <v>1</v>
      </c>
      <c r="G13" s="93">
        <v>0</v>
      </c>
      <c r="H13" s="93">
        <f>IF(G13=0,VLOOKUP(C:C,[1]Inputs!$B$20:$H$25,7,FALSE)*F13,VLOOKUP(C:C,[1]Inputs!$B$20:$I$25,8,FALSE)*F13)</f>
        <v>103.26059762014499</v>
      </c>
      <c r="I13" s="93">
        <f>VLOOKUP(C:C,[1]Inputs!$C$54:$G$59,5,FALSE)*F13</f>
        <v>19.732436288346317</v>
      </c>
      <c r="J13" s="93"/>
      <c r="K13" s="93"/>
      <c r="L13" s="93"/>
      <c r="M13" s="93">
        <f t="shared" ref="M13:M15" si="20">SUM(H13:J13)</f>
        <v>122.99303390849131</v>
      </c>
      <c r="N13" s="93">
        <f>[1]Inputs!$M$43*M13</f>
        <v>57.305727529149344</v>
      </c>
      <c r="O13" s="83">
        <f>[1]Inputs!$M$48*M13</f>
        <v>19.725325764744216</v>
      </c>
      <c r="P13" s="83">
        <f>[1]Inputs!$H$13*SUM(M13:O13)</f>
        <v>12.685527610375249</v>
      </c>
      <c r="Q13" s="83">
        <f t="shared" ref="Q13:Q15" si="21">SUM(M13:P13)</f>
        <v>212.70961481276012</v>
      </c>
      <c r="S13" s="69" t="s">
        <v>138</v>
      </c>
      <c r="T13" s="67" t="s">
        <v>133</v>
      </c>
      <c r="U13" s="83">
        <v>0.5</v>
      </c>
      <c r="V13" s="73">
        <v>2</v>
      </c>
      <c r="W13" s="182">
        <f t="shared" si="1"/>
        <v>1</v>
      </c>
      <c r="X13" s="93">
        <v>0</v>
      </c>
      <c r="Y13" s="93">
        <f>IF(X13=0,VLOOKUP(T:T,[1]Inputs!$B$20:$H$25,7,FALSE)*W13,VLOOKUP(T:T,[1]Inputs!$B$20:$I$25,8,FALSE)*W13)</f>
        <v>103.26059762014499</v>
      </c>
      <c r="Z13" s="93">
        <f>VLOOKUP(T:T,[1]Inputs!$C$54:$G$59,5,FALSE)*W13</f>
        <v>19.732436288346317</v>
      </c>
      <c r="AA13" s="93"/>
      <c r="AB13" s="93"/>
      <c r="AC13" s="93"/>
      <c r="AD13" s="93">
        <f t="shared" si="8"/>
        <v>122.99303390849131</v>
      </c>
      <c r="AE13" s="93">
        <f>[1]Inputs!$M$43*AD13</f>
        <v>57.305727529149344</v>
      </c>
      <c r="AF13" s="83">
        <f>[1]Inputs!$M$48*AD13</f>
        <v>19.725325764744216</v>
      </c>
      <c r="AG13" s="83">
        <f>[1]Inputs!$H$13*SUM(AD13:AF13)</f>
        <v>12.685527610375249</v>
      </c>
      <c r="AH13" s="83">
        <f t="shared" si="9"/>
        <v>212.70961481276012</v>
      </c>
      <c r="AJ13" s="68" t="s">
        <v>138</v>
      </c>
      <c r="AK13" s="67" t="s">
        <v>133</v>
      </c>
      <c r="AL13" s="83">
        <v>0.1</v>
      </c>
      <c r="AM13" s="112">
        <v>2</v>
      </c>
      <c r="AN13" s="93">
        <f t="shared" si="10"/>
        <v>0.2</v>
      </c>
      <c r="AO13" s="92">
        <v>0</v>
      </c>
      <c r="AP13" s="93">
        <f>IF(AO13=0,VLOOKUP(AK:AK,[1]Inputs!$B$20:$H$25,7,FALSE)*AN13,VLOOKUP(AK:AK,[1]Inputs!$B$20:$I$25,8,FALSE)*AN13)</f>
        <v>20.652119524029001</v>
      </c>
      <c r="AQ13" s="93">
        <f>VLOOKUP(AK:AK,[1]Inputs!$C$54:$G$59,5,FALSE)*AN13</f>
        <v>3.9464872576692636</v>
      </c>
      <c r="AR13" s="93"/>
      <c r="AS13" s="93"/>
      <c r="AT13" s="93"/>
      <c r="AU13" s="93">
        <f t="shared" si="11"/>
        <v>24.598606781698265</v>
      </c>
      <c r="AV13" s="93">
        <f>[1]Inputs!$M$43*AU13</f>
        <v>11.461145505829871</v>
      </c>
      <c r="AW13" s="184">
        <f>[1]Inputs!$M$48*AU13</f>
        <v>3.9450651529488439</v>
      </c>
      <c r="AX13" s="184">
        <f>[1]Inputs!$H$13*SUM(AU13:AW13)</f>
        <v>2.5371055220750502</v>
      </c>
      <c r="AY13" s="184">
        <f t="shared" si="12"/>
        <v>42.541922962552029</v>
      </c>
    </row>
    <row r="14" spans="1:69" x14ac:dyDescent="0.2">
      <c r="B14" s="68" t="s">
        <v>68</v>
      </c>
      <c r="C14" s="67" t="s">
        <v>133</v>
      </c>
      <c r="D14" s="85">
        <v>0.25</v>
      </c>
      <c r="E14" s="73">
        <v>2</v>
      </c>
      <c r="F14" s="92">
        <f t="shared" si="19"/>
        <v>0.5</v>
      </c>
      <c r="G14" s="93">
        <v>0</v>
      </c>
      <c r="H14" s="93">
        <f>IF(G14=0,VLOOKUP(C:C,[1]Inputs!$B$20:$H$25,7,FALSE)*F14,VLOOKUP(C:C,[1]Inputs!$B$20:$I$25,8,FALSE)*F14)</f>
        <v>51.630298810072496</v>
      </c>
      <c r="I14" s="93">
        <f>VLOOKUP(C:C,[1]Inputs!$C$54:$G$59,5,FALSE)*F14</f>
        <v>9.8662181441731587</v>
      </c>
      <c r="J14" s="93"/>
      <c r="K14" s="93"/>
      <c r="L14" s="93"/>
      <c r="M14" s="93">
        <f t="shared" si="20"/>
        <v>61.496516954245656</v>
      </c>
      <c r="N14" s="93">
        <f>[1]Inputs!$M$43*M14</f>
        <v>28.652863764574672</v>
      </c>
      <c r="O14" s="83">
        <f>[1]Inputs!$M$48*M14</f>
        <v>9.8626628823721081</v>
      </c>
      <c r="P14" s="83">
        <f>[1]Inputs!$H$13*SUM(M14:O14)</f>
        <v>6.3427638051876247</v>
      </c>
      <c r="Q14" s="83">
        <f t="shared" si="21"/>
        <v>106.35480740638006</v>
      </c>
      <c r="S14" s="70" t="s">
        <v>68</v>
      </c>
      <c r="T14" s="67" t="s">
        <v>133</v>
      </c>
      <c r="U14" s="84">
        <v>0.5</v>
      </c>
      <c r="V14" s="73">
        <v>2</v>
      </c>
      <c r="W14" s="182">
        <f t="shared" si="1"/>
        <v>1</v>
      </c>
      <c r="X14" s="93">
        <v>0</v>
      </c>
      <c r="Y14" s="93">
        <f>IF(X14=0,VLOOKUP(T:T,[1]Inputs!$B$20:$H$25,7,FALSE)*W14,VLOOKUP(T:T,[1]Inputs!$B$20:$I$25,8,FALSE)*W14)</f>
        <v>103.26059762014499</v>
      </c>
      <c r="Z14" s="93">
        <f>VLOOKUP(T:T,[1]Inputs!$C$54:$G$59,5,FALSE)*W14</f>
        <v>19.732436288346317</v>
      </c>
      <c r="AA14" s="93"/>
      <c r="AB14" s="93"/>
      <c r="AC14" s="93"/>
      <c r="AD14" s="93">
        <f t="shared" si="8"/>
        <v>122.99303390849131</v>
      </c>
      <c r="AE14" s="93">
        <f>[1]Inputs!$M$43*AD14</f>
        <v>57.305727529149344</v>
      </c>
      <c r="AF14" s="83">
        <f>[1]Inputs!$M$48*AD14</f>
        <v>19.725325764744216</v>
      </c>
      <c r="AG14" s="83">
        <f>[1]Inputs!$H$13*SUM(AD14:AF14)</f>
        <v>12.685527610375249</v>
      </c>
      <c r="AH14" s="83">
        <f t="shared" si="9"/>
        <v>212.70961481276012</v>
      </c>
      <c r="AJ14" s="68" t="s">
        <v>68</v>
      </c>
      <c r="AK14" s="67" t="s">
        <v>133</v>
      </c>
      <c r="AL14" s="83">
        <v>0.1</v>
      </c>
      <c r="AM14" s="112">
        <v>2</v>
      </c>
      <c r="AN14" s="93">
        <f t="shared" si="10"/>
        <v>0.2</v>
      </c>
      <c r="AO14" s="92">
        <v>0</v>
      </c>
      <c r="AP14" s="93">
        <f>IF(AO14=0,VLOOKUP(AK:AK,[1]Inputs!$B$20:$H$25,7,FALSE)*AN14,VLOOKUP(AK:AK,[1]Inputs!$B$20:$I$25,8,FALSE)*AN14)</f>
        <v>20.652119524029001</v>
      </c>
      <c r="AQ14" s="93">
        <f>VLOOKUP(AK:AK,[1]Inputs!$C$54:$G$59,5,FALSE)*AN14</f>
        <v>3.9464872576692636</v>
      </c>
      <c r="AR14" s="93"/>
      <c r="AS14" s="93"/>
      <c r="AT14" s="93"/>
      <c r="AU14" s="93">
        <f t="shared" si="11"/>
        <v>24.598606781698265</v>
      </c>
      <c r="AV14" s="93">
        <f>[1]Inputs!$M$43*AU14</f>
        <v>11.461145505829871</v>
      </c>
      <c r="AW14" s="184">
        <f>[1]Inputs!$M$48*AU14</f>
        <v>3.9450651529488439</v>
      </c>
      <c r="AX14" s="184">
        <f>[1]Inputs!$H$13*SUM(AU14:AW14)</f>
        <v>2.5371055220750502</v>
      </c>
      <c r="AY14" s="184">
        <f t="shared" si="12"/>
        <v>42.541922962552029</v>
      </c>
    </row>
    <row r="15" spans="1:69" x14ac:dyDescent="0.2">
      <c r="B15" s="68" t="s">
        <v>163</v>
      </c>
      <c r="C15" s="67" t="s">
        <v>133</v>
      </c>
      <c r="D15" s="85">
        <v>0.25</v>
      </c>
      <c r="E15" s="73">
        <v>2</v>
      </c>
      <c r="F15" s="92">
        <f t="shared" si="19"/>
        <v>0.5</v>
      </c>
      <c r="G15" s="93">
        <v>0</v>
      </c>
      <c r="H15" s="93">
        <f>IF(G15=0,VLOOKUP(C:C,[1]Inputs!$B$20:$H$25,7,FALSE)*F15,VLOOKUP(C:C,[1]Inputs!$B$20:$I$25,8,FALSE)*F15)</f>
        <v>51.630298810072496</v>
      </c>
      <c r="I15" s="93">
        <f>VLOOKUP(C:C,[1]Inputs!$C$54:$G$59,5,FALSE)*F15</f>
        <v>9.8662181441731587</v>
      </c>
      <c r="J15" s="93"/>
      <c r="K15" s="93"/>
      <c r="L15" s="93"/>
      <c r="M15" s="93">
        <f t="shared" si="20"/>
        <v>61.496516954245656</v>
      </c>
      <c r="N15" s="93">
        <f>[1]Inputs!$M$43*M15</f>
        <v>28.652863764574672</v>
      </c>
      <c r="O15" s="83">
        <f>[1]Inputs!$M$48*M15</f>
        <v>9.8626628823721081</v>
      </c>
      <c r="P15" s="83">
        <f>[1]Inputs!$H$13*SUM(M15:O15)</f>
        <v>6.3427638051876247</v>
      </c>
      <c r="Q15" s="83">
        <f t="shared" si="21"/>
        <v>106.35480740638006</v>
      </c>
      <c r="S15" s="68" t="s">
        <v>163</v>
      </c>
      <c r="T15" s="67" t="s">
        <v>133</v>
      </c>
      <c r="U15" s="85">
        <v>0.5</v>
      </c>
      <c r="V15" s="73">
        <v>2</v>
      </c>
      <c r="W15" s="182">
        <f t="shared" si="1"/>
        <v>1</v>
      </c>
      <c r="X15" s="93">
        <v>0</v>
      </c>
      <c r="Y15" s="93">
        <f>IF(X15=0,VLOOKUP(T:T,[1]Inputs!$B$20:$H$25,7,FALSE)*W15,VLOOKUP(T:T,[1]Inputs!$B$20:$I$25,8,FALSE)*W15)</f>
        <v>103.26059762014499</v>
      </c>
      <c r="Z15" s="93">
        <f>VLOOKUP(T:T,[1]Inputs!$C$54:$G$59,5,FALSE)*W15</f>
        <v>19.732436288346317</v>
      </c>
      <c r="AA15" s="93"/>
      <c r="AB15" s="93"/>
      <c r="AC15" s="93"/>
      <c r="AD15" s="93">
        <f t="shared" si="8"/>
        <v>122.99303390849131</v>
      </c>
      <c r="AE15" s="93">
        <f>[1]Inputs!$M$43*AD15</f>
        <v>57.305727529149344</v>
      </c>
      <c r="AF15" s="83">
        <f>[1]Inputs!$M$48*AD15</f>
        <v>19.725325764744216</v>
      </c>
      <c r="AG15" s="83">
        <f>[1]Inputs!$H$13*SUM(AD15:AF15)</f>
        <v>12.685527610375249</v>
      </c>
      <c r="AH15" s="83">
        <f t="shared" si="9"/>
        <v>212.70961481276012</v>
      </c>
      <c r="AJ15" s="68" t="s">
        <v>139</v>
      </c>
      <c r="AK15" s="67" t="s">
        <v>133</v>
      </c>
      <c r="AL15" s="83">
        <v>0.1</v>
      </c>
      <c r="AM15" s="112">
        <v>2</v>
      </c>
      <c r="AN15" s="93">
        <f t="shared" si="10"/>
        <v>0.2</v>
      </c>
      <c r="AO15" s="92">
        <v>0</v>
      </c>
      <c r="AP15" s="93">
        <f>IF(AO15=0,VLOOKUP(AK:AK,[1]Inputs!$B$20:$H$25,7,FALSE)*AN15,VLOOKUP(AK:AK,[1]Inputs!$B$20:$I$25,8,FALSE)*AN15)</f>
        <v>20.652119524029001</v>
      </c>
      <c r="AQ15" s="93">
        <f>VLOOKUP(AK:AK,[1]Inputs!$C$54:$G$59,5,FALSE)*AN15</f>
        <v>3.9464872576692636</v>
      </c>
      <c r="AR15" s="93"/>
      <c r="AS15" s="93"/>
      <c r="AT15" s="93"/>
      <c r="AU15" s="93">
        <f t="shared" si="11"/>
        <v>24.598606781698265</v>
      </c>
      <c r="AV15" s="93">
        <f>[1]Inputs!$M$43*AU15</f>
        <v>11.461145505829871</v>
      </c>
      <c r="AW15" s="184">
        <f>[1]Inputs!$M$48*AU15</f>
        <v>3.9450651529488439</v>
      </c>
      <c r="AX15" s="184">
        <f>[1]Inputs!$H$13*SUM(AU15:AW15)</f>
        <v>2.5371055220750502</v>
      </c>
      <c r="AY15" s="184">
        <f t="shared" si="12"/>
        <v>42.541922962552029</v>
      </c>
    </row>
    <row r="16" spans="1:69" x14ac:dyDescent="0.2">
      <c r="B16" s="68"/>
      <c r="C16" s="67"/>
      <c r="D16" s="85"/>
      <c r="E16" s="73"/>
      <c r="F16" s="92"/>
      <c r="G16" s="93"/>
      <c r="H16" s="93"/>
      <c r="I16" s="93"/>
      <c r="J16" s="93"/>
      <c r="K16" s="93"/>
      <c r="L16" s="93"/>
      <c r="M16" s="93"/>
      <c r="N16" s="93"/>
      <c r="O16" s="83"/>
      <c r="P16" s="83"/>
      <c r="Q16" s="83"/>
      <c r="S16" s="68"/>
      <c r="T16" s="67"/>
      <c r="U16" s="85"/>
      <c r="V16" s="73"/>
      <c r="W16" s="182"/>
      <c r="X16" s="93"/>
      <c r="Y16" s="93"/>
      <c r="Z16" s="93"/>
      <c r="AA16" s="93"/>
      <c r="AB16" s="93"/>
      <c r="AC16" s="93"/>
      <c r="AD16" s="93"/>
      <c r="AE16" s="93"/>
      <c r="AF16" s="83"/>
      <c r="AG16" s="83"/>
      <c r="AH16" s="83"/>
      <c r="AJ16" s="68" t="s">
        <v>140</v>
      </c>
      <c r="AK16" s="67" t="s">
        <v>133</v>
      </c>
      <c r="AL16" s="83">
        <v>0.1</v>
      </c>
      <c r="AM16" s="112">
        <v>1</v>
      </c>
      <c r="AN16" s="93">
        <f t="shared" si="10"/>
        <v>0.1</v>
      </c>
      <c r="AO16" s="92">
        <v>0</v>
      </c>
      <c r="AP16" s="93">
        <f>IF(AO16=0,VLOOKUP(AK:AK,[1]Inputs!$B$20:$H$25,7,FALSE)*AN16,VLOOKUP(AK:AK,[1]Inputs!$B$20:$I$25,8,FALSE)*AN16)</f>
        <v>10.3260597620145</v>
      </c>
      <c r="AQ16" s="93">
        <f>VLOOKUP(AK:AK,[1]Inputs!$C$54:$G$59,5,FALSE)*AN16</f>
        <v>1.9732436288346318</v>
      </c>
      <c r="AR16" s="93"/>
      <c r="AS16" s="93"/>
      <c r="AT16" s="93"/>
      <c r="AU16" s="93">
        <f t="shared" si="11"/>
        <v>12.299303390849133</v>
      </c>
      <c r="AV16" s="93">
        <f>[1]Inputs!$M$43*AU16</f>
        <v>5.7305727529149353</v>
      </c>
      <c r="AW16" s="184">
        <f>[1]Inputs!$M$48*AU16</f>
        <v>1.9725325764744219</v>
      </c>
      <c r="AX16" s="184">
        <f>[1]Inputs!$H$13*SUM(AU16:AW16)</f>
        <v>1.2685527610375251</v>
      </c>
      <c r="AY16" s="184">
        <f t="shared" si="12"/>
        <v>21.270961481276014</v>
      </c>
    </row>
    <row r="17" spans="2:68" x14ac:dyDescent="0.2">
      <c r="B17" s="68"/>
      <c r="C17" s="67"/>
      <c r="D17" s="83"/>
      <c r="E17" s="73"/>
      <c r="F17" s="92"/>
      <c r="G17" s="92"/>
      <c r="H17" s="92"/>
      <c r="I17" s="92"/>
      <c r="J17" s="92"/>
      <c r="K17" s="92"/>
      <c r="L17" s="92"/>
      <c r="M17" s="92"/>
      <c r="N17" s="92"/>
      <c r="O17" s="40"/>
      <c r="P17" s="41"/>
      <c r="Q17" s="41"/>
      <c r="S17" s="68"/>
      <c r="T17" s="67"/>
      <c r="U17" s="85"/>
      <c r="V17" s="73"/>
      <c r="W17" s="92"/>
      <c r="X17" s="92"/>
      <c r="Y17" s="92"/>
      <c r="Z17" s="92"/>
      <c r="AA17" s="92"/>
      <c r="AB17" s="92"/>
      <c r="AC17" s="92"/>
      <c r="AD17" s="92"/>
      <c r="AE17" s="92"/>
      <c r="AF17" s="39"/>
      <c r="AG17" s="40"/>
      <c r="AH17" s="40"/>
      <c r="AJ17" s="68"/>
      <c r="AK17" s="67"/>
      <c r="AL17" s="83"/>
      <c r="AM17" s="73"/>
      <c r="AN17" s="92"/>
      <c r="AO17" s="92"/>
      <c r="AP17" s="92"/>
      <c r="AQ17" s="92"/>
      <c r="AR17" s="92"/>
      <c r="AS17" s="92"/>
      <c r="AT17" s="92"/>
      <c r="AU17" s="92"/>
      <c r="AV17" s="92"/>
      <c r="AW17" s="40"/>
      <c r="AX17" s="41"/>
      <c r="AY17" s="41"/>
    </row>
    <row r="18" spans="2:68" x14ac:dyDescent="0.2">
      <c r="B18" s="296" t="s">
        <v>1</v>
      </c>
      <c r="C18" s="297"/>
      <c r="D18" s="297"/>
      <c r="E18" s="298"/>
      <c r="F18" s="94">
        <f t="shared" ref="F18:Q18" si="22">SUM(F7:F17)</f>
        <v>14</v>
      </c>
      <c r="G18" s="94">
        <f t="shared" si="22"/>
        <v>0</v>
      </c>
      <c r="H18" s="94">
        <f t="shared" si="22"/>
        <v>1445.6483666820297</v>
      </c>
      <c r="I18" s="94">
        <f t="shared" si="22"/>
        <v>118.39461773007791</v>
      </c>
      <c r="J18" s="94">
        <f t="shared" si="22"/>
        <v>0</v>
      </c>
      <c r="K18" s="94">
        <f t="shared" si="22"/>
        <v>0</v>
      </c>
      <c r="L18" s="94">
        <f t="shared" si="22"/>
        <v>0</v>
      </c>
      <c r="M18" s="94">
        <f t="shared" si="22"/>
        <v>1564.0429844121077</v>
      </c>
      <c r="N18" s="94">
        <f t="shared" si="22"/>
        <v>728.72924799369434</v>
      </c>
      <c r="O18" s="94">
        <f t="shared" si="22"/>
        <v>250.83743686285024</v>
      </c>
      <c r="P18" s="94">
        <f t="shared" si="22"/>
        <v>161.31572522501796</v>
      </c>
      <c r="Q18" s="94">
        <f t="shared" si="22"/>
        <v>2704.9253944936709</v>
      </c>
      <c r="R18" s="53"/>
      <c r="S18" s="296" t="s">
        <v>1</v>
      </c>
      <c r="T18" s="297"/>
      <c r="U18" s="297"/>
      <c r="V18" s="298"/>
      <c r="W18" s="94">
        <f t="shared" ref="W18:AH18" si="23">SUM(W7:W17)</f>
        <v>16</v>
      </c>
      <c r="X18" s="94">
        <f t="shared" si="23"/>
        <v>0</v>
      </c>
      <c r="Y18" s="94">
        <f t="shared" si="23"/>
        <v>1652.1695619223199</v>
      </c>
      <c r="Z18" s="94">
        <f t="shared" si="23"/>
        <v>138.12705401842422</v>
      </c>
      <c r="AA18" s="94">
        <f t="shared" si="23"/>
        <v>0</v>
      </c>
      <c r="AB18" s="94">
        <f t="shared" si="23"/>
        <v>0</v>
      </c>
      <c r="AC18" s="94">
        <f t="shared" si="23"/>
        <v>0</v>
      </c>
      <c r="AD18" s="94">
        <f t="shared" si="23"/>
        <v>1790.2966159407438</v>
      </c>
      <c r="AE18" s="94">
        <f t="shared" si="23"/>
        <v>834.14683587519323</v>
      </c>
      <c r="AF18" s="94">
        <f t="shared" si="23"/>
        <v>287.12344791189258</v>
      </c>
      <c r="AG18" s="94">
        <f t="shared" si="23"/>
        <v>184.65157278073903</v>
      </c>
      <c r="AH18" s="94">
        <f t="shared" si="23"/>
        <v>3096.2184725085694</v>
      </c>
      <c r="AJ18" s="296" t="s">
        <v>1</v>
      </c>
      <c r="AK18" s="297"/>
      <c r="AL18" s="297"/>
      <c r="AM18" s="298"/>
      <c r="AN18" s="94">
        <f t="shared" ref="AN18:AY18" si="24">SUM(AN7:AN17)</f>
        <v>5</v>
      </c>
      <c r="AO18" s="94">
        <f t="shared" si="24"/>
        <v>0</v>
      </c>
      <c r="AP18" s="94">
        <f t="shared" si="24"/>
        <v>516.30298810072497</v>
      </c>
      <c r="AQ18" s="94">
        <f t="shared" si="24"/>
        <v>67.090283380377485</v>
      </c>
      <c r="AR18" s="94">
        <f t="shared" si="24"/>
        <v>0</v>
      </c>
      <c r="AS18" s="94">
        <f t="shared" si="24"/>
        <v>0</v>
      </c>
      <c r="AT18" s="94">
        <f t="shared" si="24"/>
        <v>0</v>
      </c>
      <c r="AU18" s="94">
        <f t="shared" si="24"/>
        <v>583.39327148110249</v>
      </c>
      <c r="AV18" s="94">
        <f t="shared" si="24"/>
        <v>271.81845016286746</v>
      </c>
      <c r="AW18" s="94">
        <f t="shared" si="24"/>
        <v>93.563204055007319</v>
      </c>
      <c r="AX18" s="94">
        <f t="shared" si="24"/>
        <v>60.171305787829148</v>
      </c>
      <c r="AY18" s="94">
        <f t="shared" si="24"/>
        <v>1008.9462314868064</v>
      </c>
    </row>
    <row r="19" spans="2:68" x14ac:dyDescent="0.2">
      <c r="B19" s="42"/>
      <c r="C19" s="77"/>
      <c r="D19" s="90"/>
      <c r="E19" s="74"/>
      <c r="F19" s="86"/>
      <c r="G19" s="86"/>
      <c r="H19" s="86"/>
      <c r="I19" s="86"/>
      <c r="J19" s="86"/>
      <c r="K19" s="86"/>
      <c r="L19" s="86"/>
      <c r="M19" s="86"/>
      <c r="N19" s="86"/>
      <c r="O19" s="43"/>
      <c r="P19" s="44"/>
      <c r="Q19" s="44"/>
    </row>
    <row r="21" spans="2:68" x14ac:dyDescent="0.2">
      <c r="B21" s="303" t="s">
        <v>55</v>
      </c>
      <c r="C21" s="304"/>
      <c r="D21" s="304"/>
      <c r="E21" s="304"/>
      <c r="F21" s="304"/>
      <c r="G21" s="304"/>
      <c r="H21" s="304"/>
      <c r="I21" s="304"/>
      <c r="J21" s="304"/>
      <c r="K21" s="304"/>
      <c r="L21" s="304"/>
      <c r="M21" s="304"/>
      <c r="N21" s="304"/>
      <c r="O21" s="304"/>
      <c r="P21" s="304"/>
      <c r="Q21" s="226"/>
      <c r="S21" s="241" t="s">
        <v>49</v>
      </c>
      <c r="T21" s="242"/>
      <c r="U21" s="242"/>
      <c r="V21" s="242"/>
      <c r="W21" s="242"/>
      <c r="X21" s="242"/>
      <c r="Y21" s="242"/>
      <c r="Z21" s="242"/>
      <c r="AA21" s="242"/>
      <c r="AB21" s="242"/>
      <c r="AC21" s="242"/>
      <c r="AD21" s="242"/>
      <c r="AE21" s="242"/>
      <c r="AF21" s="242"/>
      <c r="AG21" s="242"/>
      <c r="AH21" s="243"/>
      <c r="AJ21" s="305" t="s">
        <v>55</v>
      </c>
      <c r="AK21" s="306"/>
      <c r="AL21" s="306"/>
      <c r="AM21" s="306"/>
      <c r="AN21" s="306"/>
      <c r="AO21" s="306"/>
      <c r="AP21" s="306"/>
      <c r="AQ21" s="306"/>
      <c r="AR21" s="306"/>
      <c r="AS21" s="306"/>
      <c r="AT21" s="306"/>
      <c r="AU21" s="306"/>
      <c r="AV21" s="306"/>
      <c r="AW21" s="306"/>
      <c r="AX21" s="116"/>
      <c r="AY21" s="116"/>
      <c r="BA21" s="241" t="s">
        <v>55</v>
      </c>
      <c r="BB21" s="242"/>
      <c r="BC21" s="242"/>
      <c r="BD21" s="242"/>
      <c r="BE21" s="242"/>
      <c r="BF21" s="242"/>
      <c r="BG21" s="292" t="s">
        <v>102</v>
      </c>
      <c r="BH21" s="292"/>
      <c r="BI21" s="292"/>
      <c r="BJ21" s="292"/>
      <c r="BK21" s="292"/>
      <c r="BL21" s="292"/>
      <c r="BM21" s="292"/>
      <c r="BN21" s="292"/>
      <c r="BO21" s="292"/>
      <c r="BP21" s="293"/>
    </row>
    <row r="22" spans="2:68" ht="15.75" x14ac:dyDescent="0.25">
      <c r="B22" s="64" t="s">
        <v>130</v>
      </c>
      <c r="C22" s="227"/>
      <c r="D22" s="228"/>
      <c r="E22" s="229"/>
      <c r="F22" s="230"/>
      <c r="G22" s="230"/>
      <c r="H22" s="230"/>
      <c r="I22" s="230"/>
      <c r="J22" s="230"/>
      <c r="K22" s="230"/>
      <c r="L22" s="230"/>
      <c r="M22" s="230"/>
      <c r="N22" s="230"/>
      <c r="O22" s="220"/>
      <c r="P22" s="220"/>
      <c r="Q22" s="231"/>
      <c r="R22" s="24"/>
      <c r="S22" s="244" t="s">
        <v>130</v>
      </c>
      <c r="T22" s="219"/>
      <c r="U22" s="219"/>
      <c r="V22" s="219"/>
      <c r="W22" s="219"/>
      <c r="X22" s="219"/>
      <c r="Y22" s="219"/>
      <c r="Z22" s="219"/>
      <c r="AA22" s="219"/>
      <c r="AB22" s="219"/>
      <c r="AC22" s="219"/>
      <c r="AD22" s="219"/>
      <c r="AE22" s="219"/>
      <c r="AF22" s="219"/>
      <c r="AG22" s="219"/>
      <c r="AH22" s="245"/>
      <c r="AJ22" s="64" t="s">
        <v>130</v>
      </c>
      <c r="AK22" s="115"/>
      <c r="AL22" s="115"/>
      <c r="AM22" s="115"/>
      <c r="AN22" s="115"/>
      <c r="AO22" s="120"/>
      <c r="AP22" s="120"/>
      <c r="AQ22" s="120"/>
      <c r="AR22" s="120"/>
      <c r="AS22" s="120"/>
      <c r="AT22" s="120"/>
      <c r="AU22" s="120"/>
      <c r="AV22" s="120"/>
      <c r="AW22" s="115"/>
      <c r="AX22" s="115"/>
      <c r="AY22" s="115"/>
      <c r="BA22" s="64" t="s">
        <v>130</v>
      </c>
      <c r="BB22" s="220"/>
      <c r="BC22" s="220"/>
      <c r="BD22" s="220"/>
      <c r="BE22" s="220"/>
      <c r="BF22" s="220"/>
      <c r="BG22" s="294" t="s">
        <v>103</v>
      </c>
      <c r="BH22" s="294"/>
      <c r="BI22" s="294"/>
      <c r="BJ22" s="294"/>
      <c r="BK22" s="294"/>
      <c r="BL22" s="294"/>
      <c r="BM22" s="294"/>
      <c r="BN22" s="294"/>
      <c r="BO22" s="294"/>
      <c r="BP22" s="295"/>
    </row>
    <row r="23" spans="2:68" ht="4.5" customHeight="1" x14ac:dyDescent="0.2">
      <c r="B23" s="232"/>
      <c r="C23" s="233"/>
      <c r="D23" s="234"/>
      <c r="E23" s="235"/>
      <c r="F23" s="236"/>
      <c r="G23" s="236"/>
      <c r="H23" s="236"/>
      <c r="I23" s="236"/>
      <c r="J23" s="236"/>
      <c r="K23" s="236"/>
      <c r="L23" s="236"/>
      <c r="M23" s="236"/>
      <c r="N23" s="236"/>
      <c r="O23" s="237"/>
      <c r="P23" s="237"/>
      <c r="Q23" s="238"/>
      <c r="S23" s="36"/>
      <c r="T23" s="36"/>
      <c r="U23" s="36"/>
      <c r="V23" s="36"/>
      <c r="W23" s="36"/>
      <c r="X23" s="36"/>
      <c r="Y23" s="36"/>
      <c r="Z23" s="36"/>
      <c r="AA23" s="36"/>
      <c r="AB23" s="36"/>
      <c r="AC23" s="36"/>
      <c r="AD23" s="36"/>
      <c r="AE23" s="36"/>
      <c r="AF23" s="36"/>
      <c r="AG23" s="36"/>
      <c r="AH23" s="36"/>
      <c r="AJ23" s="36"/>
      <c r="AK23" s="36"/>
      <c r="AL23" s="36"/>
      <c r="AM23" s="36"/>
      <c r="AN23" s="36"/>
      <c r="AO23" s="36"/>
      <c r="AP23" s="36"/>
      <c r="AQ23" s="36"/>
      <c r="AR23" s="36"/>
      <c r="AS23" s="36"/>
      <c r="AT23" s="36"/>
      <c r="AU23" s="36"/>
      <c r="AV23" s="36"/>
      <c r="AW23" s="36"/>
      <c r="AX23" s="36"/>
      <c r="AY23" s="36"/>
      <c r="BA23" s="246"/>
      <c r="BB23" s="247"/>
      <c r="BC23" s="247"/>
      <c r="BD23" s="247"/>
      <c r="BE23" s="247"/>
      <c r="BF23" s="247"/>
      <c r="BG23" s="247"/>
      <c r="BH23" s="247"/>
      <c r="BI23" s="247"/>
      <c r="BJ23" s="247"/>
      <c r="BK23" s="247"/>
      <c r="BL23" s="247"/>
      <c r="BM23" s="247"/>
      <c r="BN23" s="247"/>
      <c r="BO23" s="247"/>
      <c r="BP23" s="248"/>
    </row>
    <row r="24" spans="2:68" ht="76.5" x14ac:dyDescent="0.2">
      <c r="B24" s="37" t="s">
        <v>18</v>
      </c>
      <c r="C24" s="37" t="s">
        <v>31</v>
      </c>
      <c r="D24" s="176" t="s">
        <v>64</v>
      </c>
      <c r="E24" s="177" t="s">
        <v>33</v>
      </c>
      <c r="F24" s="176" t="s">
        <v>32</v>
      </c>
      <c r="G24" s="176" t="s">
        <v>91</v>
      </c>
      <c r="H24" s="176" t="s">
        <v>92</v>
      </c>
      <c r="I24" s="176" t="s">
        <v>93</v>
      </c>
      <c r="J24" s="176" t="s">
        <v>94</v>
      </c>
      <c r="K24" s="176" t="s">
        <v>95</v>
      </c>
      <c r="L24" s="176" t="s">
        <v>96</v>
      </c>
      <c r="M24" s="176" t="s">
        <v>97</v>
      </c>
      <c r="N24" s="176" t="s">
        <v>98</v>
      </c>
      <c r="O24" s="99" t="s">
        <v>99</v>
      </c>
      <c r="P24" s="100" t="s">
        <v>100</v>
      </c>
      <c r="Q24" s="100" t="s">
        <v>101</v>
      </c>
      <c r="S24" s="37" t="s">
        <v>18</v>
      </c>
      <c r="T24" s="37" t="s">
        <v>31</v>
      </c>
      <c r="U24" s="99" t="s">
        <v>64</v>
      </c>
      <c r="V24" s="99" t="s">
        <v>33</v>
      </c>
      <c r="W24" s="99" t="s">
        <v>32</v>
      </c>
      <c r="X24" s="99" t="s">
        <v>91</v>
      </c>
      <c r="Y24" s="99" t="s">
        <v>92</v>
      </c>
      <c r="Z24" s="99" t="s">
        <v>93</v>
      </c>
      <c r="AA24" s="99" t="s">
        <v>94</v>
      </c>
      <c r="AB24" s="99" t="s">
        <v>95</v>
      </c>
      <c r="AC24" s="99" t="s">
        <v>96</v>
      </c>
      <c r="AD24" s="99" t="s">
        <v>97</v>
      </c>
      <c r="AE24" s="99" t="s">
        <v>98</v>
      </c>
      <c r="AF24" s="99" t="s">
        <v>99</v>
      </c>
      <c r="AG24" s="100" t="s">
        <v>100</v>
      </c>
      <c r="AH24" s="100" t="s">
        <v>101</v>
      </c>
      <c r="AJ24" s="37" t="s">
        <v>18</v>
      </c>
      <c r="AK24" s="37" t="s">
        <v>31</v>
      </c>
      <c r="AL24" s="99" t="s">
        <v>64</v>
      </c>
      <c r="AM24" s="99" t="s">
        <v>33</v>
      </c>
      <c r="AN24" s="99" t="s">
        <v>32</v>
      </c>
      <c r="AO24" s="99" t="s">
        <v>91</v>
      </c>
      <c r="AP24" s="99" t="s">
        <v>92</v>
      </c>
      <c r="AQ24" s="99" t="s">
        <v>93</v>
      </c>
      <c r="AR24" s="99" t="s">
        <v>94</v>
      </c>
      <c r="AS24" s="99" t="s">
        <v>95</v>
      </c>
      <c r="AT24" s="99" t="s">
        <v>96</v>
      </c>
      <c r="AU24" s="99" t="s">
        <v>97</v>
      </c>
      <c r="AV24" s="99" t="s">
        <v>98</v>
      </c>
      <c r="AW24" s="99" t="s">
        <v>99</v>
      </c>
      <c r="AX24" s="100" t="s">
        <v>100</v>
      </c>
      <c r="AY24" s="100" t="s">
        <v>101</v>
      </c>
      <c r="BA24" s="37" t="s">
        <v>18</v>
      </c>
      <c r="BB24" s="37" t="s">
        <v>31</v>
      </c>
      <c r="BC24" s="99" t="s">
        <v>64</v>
      </c>
      <c r="BD24" s="99" t="s">
        <v>33</v>
      </c>
      <c r="BE24" s="99" t="s">
        <v>32</v>
      </c>
      <c r="BF24" s="99" t="s">
        <v>91</v>
      </c>
      <c r="BG24" s="99" t="s">
        <v>92</v>
      </c>
      <c r="BH24" s="99" t="s">
        <v>93</v>
      </c>
      <c r="BI24" s="99" t="s">
        <v>94</v>
      </c>
      <c r="BJ24" s="99" t="s">
        <v>95</v>
      </c>
      <c r="BK24" s="99" t="s">
        <v>96</v>
      </c>
      <c r="BL24" s="99" t="s">
        <v>97</v>
      </c>
      <c r="BM24" s="99" t="s">
        <v>98</v>
      </c>
      <c r="BN24" s="99" t="s">
        <v>99</v>
      </c>
      <c r="BO24" s="100" t="s">
        <v>100</v>
      </c>
      <c r="BP24" s="38" t="s">
        <v>101</v>
      </c>
    </row>
    <row r="25" spans="2:68" x14ac:dyDescent="0.2">
      <c r="B25" s="106" t="s">
        <v>132</v>
      </c>
      <c r="C25" s="107"/>
      <c r="D25" s="107"/>
      <c r="E25" s="107"/>
      <c r="F25" s="218"/>
      <c r="G25" s="107"/>
      <c r="H25" s="107"/>
      <c r="I25" s="107"/>
      <c r="J25" s="107"/>
      <c r="K25" s="107"/>
      <c r="L25" s="107"/>
      <c r="M25" s="107"/>
      <c r="N25" s="107"/>
      <c r="O25" s="107"/>
      <c r="P25" s="107"/>
      <c r="Q25" s="109"/>
      <c r="S25" s="106" t="s">
        <v>144</v>
      </c>
      <c r="T25" s="178"/>
      <c r="U25" s="178"/>
      <c r="V25" s="178"/>
      <c r="W25" s="178"/>
      <c r="X25" s="178"/>
      <c r="Y25" s="178"/>
      <c r="Z25" s="178"/>
      <c r="AA25" s="178"/>
      <c r="AB25" s="178"/>
      <c r="AC25" s="178"/>
      <c r="AD25" s="178"/>
      <c r="AE25" s="178"/>
      <c r="AF25" s="178"/>
      <c r="AG25" s="178"/>
      <c r="AH25" s="239"/>
      <c r="AJ25" s="106" t="s">
        <v>151</v>
      </c>
      <c r="AK25" s="107"/>
      <c r="AL25" s="107"/>
      <c r="AM25" s="107"/>
      <c r="AN25" s="107"/>
      <c r="AO25" s="107"/>
      <c r="AP25" s="107"/>
      <c r="AQ25" s="107"/>
      <c r="AR25" s="107"/>
      <c r="AS25" s="107"/>
      <c r="AT25" s="107"/>
      <c r="AU25" s="107"/>
      <c r="AV25" s="107"/>
      <c r="AW25" s="107"/>
      <c r="AX25" s="108"/>
      <c r="AY25" s="109"/>
      <c r="BA25" s="106" t="s">
        <v>153</v>
      </c>
      <c r="BB25" s="107"/>
      <c r="BC25" s="107"/>
      <c r="BD25" s="107"/>
      <c r="BE25" s="107"/>
      <c r="BF25" s="107"/>
      <c r="BG25" s="107"/>
      <c r="BH25" s="107"/>
      <c r="BI25" s="107"/>
      <c r="BJ25" s="107"/>
      <c r="BK25" s="107"/>
      <c r="BL25" s="107"/>
      <c r="BM25" s="107"/>
      <c r="BN25" s="107"/>
      <c r="BO25" s="179"/>
      <c r="BP25" s="96"/>
    </row>
    <row r="26" spans="2:68" ht="14.25" customHeight="1" x14ac:dyDescent="0.2">
      <c r="B26" s="101" t="s">
        <v>136</v>
      </c>
      <c r="C26" s="102" t="s">
        <v>73</v>
      </c>
      <c r="D26" s="103">
        <v>5</v>
      </c>
      <c r="E26" s="104">
        <v>1</v>
      </c>
      <c r="F26" s="93">
        <f>E26*D26</f>
        <v>5</v>
      </c>
      <c r="G26" s="216">
        <v>0</v>
      </c>
      <c r="H26" s="93">
        <f>IF(G26=0,VLOOKUP(C:C,[1]Inputs!$B$20:$H$25,7,FALSE)*F26,VLOOKUP(C:C,[1]Inputs!$B$20:$I$25,8,FALSE)*F26)</f>
        <v>516.30298810072497</v>
      </c>
      <c r="I26" s="93">
        <f>VLOOKUP(C:C,[1]Inputs!$C$54:$G$59,5,FALSE)*F26</f>
        <v>0</v>
      </c>
      <c r="J26" s="93"/>
      <c r="K26" s="93"/>
      <c r="L26" s="93"/>
      <c r="M26" s="93">
        <f>SUM(H26:J26)</f>
        <v>516.30298810072497</v>
      </c>
      <c r="N26" s="93">
        <f>[1]Inputs!$M$43*M26</f>
        <v>240.55930176174894</v>
      </c>
      <c r="O26" s="83">
        <f>[1]Inputs!$M$48*M26</f>
        <v>82.803426421490585</v>
      </c>
      <c r="P26" s="83">
        <f>[1]Inputs!$H$13*SUM(M26:O26)</f>
        <v>53.251599726729033</v>
      </c>
      <c r="Q26" s="83">
        <f t="shared" ref="Q26" si="25">SUM(M26:P26)</f>
        <v>892.91731601069364</v>
      </c>
      <c r="R26" s="34"/>
      <c r="S26" s="101" t="s">
        <v>136</v>
      </c>
      <c r="T26" s="102" t="s">
        <v>73</v>
      </c>
      <c r="U26" s="180">
        <v>6</v>
      </c>
      <c r="V26" s="181">
        <v>1</v>
      </c>
      <c r="W26" s="182">
        <f t="shared" ref="W26" si="26">V26*U26</f>
        <v>6</v>
      </c>
      <c r="X26" s="182">
        <v>0</v>
      </c>
      <c r="Y26" s="182">
        <f>IF(X26=0,VLOOKUP(T:T,[1]Inputs!$B$20:$H$25,7,FALSE)*W26,VLOOKUP(T:T,[1]Inputs!$B$20:$I$25,8,FALSE)*W26)</f>
        <v>619.56358572086992</v>
      </c>
      <c r="Z26" s="182">
        <f>VLOOKUP(T:T,[1]Inputs!$C$54:$G$59,5,FALSE)*W26</f>
        <v>0</v>
      </c>
      <c r="AA26" s="182"/>
      <c r="AB26" s="182"/>
      <c r="AC26" s="182"/>
      <c r="AD26" s="182">
        <f>SUM(Y26:AA26)</f>
        <v>619.56358572086992</v>
      </c>
      <c r="AE26" s="182">
        <f>[1]Inputs!$M$43*AD26</f>
        <v>288.67116211409871</v>
      </c>
      <c r="AF26" s="183">
        <f>[1]Inputs!$M$48*AD26</f>
        <v>99.364111705788687</v>
      </c>
      <c r="AG26" s="183">
        <f>[1]Inputs!$H$13*SUM(AD26:AF26)</f>
        <v>63.901919672074833</v>
      </c>
      <c r="AH26" s="183">
        <f t="shared" ref="AH26" si="27">SUM(AD26:AG26)</f>
        <v>1071.5007792128322</v>
      </c>
      <c r="AI26" s="34"/>
      <c r="AJ26" s="101" t="s">
        <v>136</v>
      </c>
      <c r="AK26" s="102" t="s">
        <v>73</v>
      </c>
      <c r="AL26" s="83">
        <v>0.1</v>
      </c>
      <c r="AM26" s="112">
        <v>1</v>
      </c>
      <c r="AN26" s="93">
        <f>AM26*AL26</f>
        <v>0.1</v>
      </c>
      <c r="AO26" s="93">
        <v>0</v>
      </c>
      <c r="AP26" s="93">
        <f>IF(AO26=0,VLOOKUP(AK:AK,[1]Inputs!$B$20:$H$25,7,FALSE)*AN26,VLOOKUP(AK:AK,[1]Inputs!$B$20:$I$25,8,FALSE)*AN26)</f>
        <v>10.3260597620145</v>
      </c>
      <c r="AQ26" s="93">
        <f>VLOOKUP(AK:AK,[1]Inputs!$C$54:$G$59,5,FALSE)*AN26</f>
        <v>0</v>
      </c>
      <c r="AR26" s="93"/>
      <c r="AS26" s="93"/>
      <c r="AT26" s="93"/>
      <c r="AU26" s="93">
        <f>SUM(AP26:AR26)</f>
        <v>10.3260597620145</v>
      </c>
      <c r="AV26" s="93">
        <f>[1]Inputs!$M$43*AU26</f>
        <v>4.8111860352349796</v>
      </c>
      <c r="AW26" s="184">
        <f>[1]Inputs!$M$48*AU26</f>
        <v>1.6560685284298118</v>
      </c>
      <c r="AX26" s="184">
        <f>[1]Inputs!$H$13*SUM(AU26:AW26)</f>
        <v>1.065031994534581</v>
      </c>
      <c r="AY26" s="184">
        <f t="shared" ref="AY26" si="28">SUM(AU26:AX26)</f>
        <v>17.858346320213876</v>
      </c>
      <c r="AZ26" s="34"/>
      <c r="BA26" s="101" t="s">
        <v>154</v>
      </c>
      <c r="BB26" s="102" t="s">
        <v>133</v>
      </c>
      <c r="BC26" s="103">
        <v>1</v>
      </c>
      <c r="BD26" s="104">
        <v>1</v>
      </c>
      <c r="BE26" s="105">
        <f>BD26*BC26</f>
        <v>1</v>
      </c>
      <c r="BF26" s="105">
        <v>1</v>
      </c>
      <c r="BG26" s="105">
        <f>IF(BF26=0,VLOOKUP(BB:BB,[1]Inputs!$B$20:$H$25,7,FALSE)*BE26,VLOOKUP(BB:BB,[1]Inputs!$B$20:$I$25,8,FALSE)*BE26)</f>
        <v>187.46251122675505</v>
      </c>
      <c r="BH26" s="105">
        <f>VLOOKUP(BB:BB,[1]Inputs!$C$54:$G$59,5,FALSE)*BE26</f>
        <v>19.732436288346317</v>
      </c>
      <c r="BI26" s="105"/>
      <c r="BJ26" s="105"/>
      <c r="BK26" s="105"/>
      <c r="BL26" s="105">
        <f>SUM(BG26:BI26)</f>
        <v>207.19494751510138</v>
      </c>
      <c r="BM26" s="105">
        <f>[1]Inputs!$M$43*BL26</f>
        <v>96.537639819104157</v>
      </c>
      <c r="BN26" s="183">
        <f>[1]Inputs!$M$48*BL26</f>
        <v>33.229425331399142</v>
      </c>
      <c r="BO26" s="183">
        <f>[1]Inputs!$H$13*SUM(BL26:BN26)</f>
        <v>21.37013084325265</v>
      </c>
      <c r="BP26" s="184">
        <f t="shared" ref="BP26" si="29">SUM(BL26:BO26)</f>
        <v>358.33214350885731</v>
      </c>
    </row>
    <row r="27" spans="2:68" ht="15" customHeight="1" x14ac:dyDescent="0.2">
      <c r="B27" s="68" t="s">
        <v>134</v>
      </c>
      <c r="C27" s="67" t="s">
        <v>73</v>
      </c>
      <c r="D27" s="82">
        <v>1</v>
      </c>
      <c r="E27" s="73">
        <v>1</v>
      </c>
      <c r="F27" s="93">
        <f t="shared" ref="F27:F34" si="30">E27*D27</f>
        <v>1</v>
      </c>
      <c r="G27" s="216">
        <v>0</v>
      </c>
      <c r="H27" s="93">
        <f>IF(G27=0,VLOOKUP(C:C,[1]Inputs!$B$20:$H$25,7,FALSE)*F27,VLOOKUP(C:C,[1]Inputs!$B$20:$I$25,8,FALSE)*F27)</f>
        <v>103.26059762014499</v>
      </c>
      <c r="I27" s="93">
        <f>VLOOKUP(C:C,[1]Inputs!$C$54:$G$59,5,FALSE)*F27</f>
        <v>0</v>
      </c>
      <c r="J27" s="93"/>
      <c r="K27" s="93"/>
      <c r="L27" s="93"/>
      <c r="M27" s="93">
        <f t="shared" ref="M27:M34" si="31">SUM(H27:J27)</f>
        <v>103.26059762014499</v>
      </c>
      <c r="N27" s="93">
        <f>[1]Inputs!$M$43*M27</f>
        <v>48.111860352349787</v>
      </c>
      <c r="O27" s="83">
        <f>[1]Inputs!$M$48*M27</f>
        <v>16.560685284298117</v>
      </c>
      <c r="P27" s="83">
        <f>[1]Inputs!$H$13*SUM(M27:O27)</f>
        <v>10.650319945345807</v>
      </c>
      <c r="Q27" s="83">
        <f t="shared" ref="Q27:Q34" si="32">SUM(M27:P27)</f>
        <v>178.58346320213872</v>
      </c>
      <c r="R27" s="24"/>
      <c r="S27" s="240" t="s">
        <v>134</v>
      </c>
      <c r="T27" s="110" t="s">
        <v>73</v>
      </c>
      <c r="U27" s="111">
        <v>1</v>
      </c>
      <c r="V27" s="113">
        <v>1</v>
      </c>
      <c r="W27" s="182">
        <f t="shared" ref="W27:W34" si="33">V27*U27</f>
        <v>1</v>
      </c>
      <c r="X27" s="182">
        <v>0</v>
      </c>
      <c r="Y27" s="182">
        <f>IF(X27=0,VLOOKUP(T:T,[1]Inputs!$B$20:$H$25,7,FALSE)*W27,VLOOKUP(T:T,[1]Inputs!$B$20:$I$25,8,FALSE)*W27)</f>
        <v>103.26059762014499</v>
      </c>
      <c r="Z27" s="182">
        <f>VLOOKUP(T:T,[1]Inputs!$C$54:$G$59,5,FALSE)*W27</f>
        <v>0</v>
      </c>
      <c r="AA27" s="182"/>
      <c r="AB27" s="182"/>
      <c r="AC27" s="182"/>
      <c r="AD27" s="182">
        <f t="shared" ref="AD27:AD34" si="34">SUM(Y27:AA27)</f>
        <v>103.26059762014499</v>
      </c>
      <c r="AE27" s="182">
        <f>[1]Inputs!$M$43*AD27</f>
        <v>48.111860352349787</v>
      </c>
      <c r="AF27" s="183">
        <f>[1]Inputs!$M$48*AD27</f>
        <v>16.560685284298117</v>
      </c>
      <c r="AG27" s="183">
        <f>[1]Inputs!$H$13*SUM(AD27:AF27)</f>
        <v>10.650319945345807</v>
      </c>
      <c r="AH27" s="183">
        <f t="shared" ref="AH27:AH34" si="35">SUM(AD27:AG27)</f>
        <v>178.58346320213872</v>
      </c>
      <c r="AJ27" s="68" t="s">
        <v>134</v>
      </c>
      <c r="AK27" s="67" t="s">
        <v>73</v>
      </c>
      <c r="AL27" s="83">
        <v>0.5</v>
      </c>
      <c r="AM27" s="113">
        <v>1</v>
      </c>
      <c r="AN27" s="93">
        <f t="shared" ref="AN27:AN35" si="36">AM27*AL27</f>
        <v>0.5</v>
      </c>
      <c r="AO27" s="93">
        <v>0</v>
      </c>
      <c r="AP27" s="93">
        <f>IF(AO27=0,VLOOKUP(AK:AK,[1]Inputs!$B$20:$H$25,7,FALSE)*AN27,VLOOKUP(AK:AK,[1]Inputs!$B$20:$I$25,8,FALSE)*AN27)</f>
        <v>51.630298810072496</v>
      </c>
      <c r="AQ27" s="93">
        <f>VLOOKUP(AK:AK,[1]Inputs!$C$54:$G$59,5,FALSE)*AN27</f>
        <v>0</v>
      </c>
      <c r="AR27" s="93"/>
      <c r="AS27" s="93"/>
      <c r="AT27" s="93"/>
      <c r="AU27" s="93">
        <f t="shared" ref="AU27:AU35" si="37">SUM(AP27:AR27)</f>
        <v>51.630298810072496</v>
      </c>
      <c r="AV27" s="93">
        <f>[1]Inputs!$M$43*AU27</f>
        <v>24.055930176174893</v>
      </c>
      <c r="AW27" s="184">
        <f>[1]Inputs!$M$48*AU27</f>
        <v>8.2803426421490585</v>
      </c>
      <c r="AX27" s="184">
        <f>[1]Inputs!$H$13*SUM(AU27:AW27)</f>
        <v>5.3251599726729033</v>
      </c>
      <c r="AY27" s="184">
        <f t="shared" ref="AY27:AY35" si="38">SUM(AU27:AX27)</f>
        <v>89.291731601069358</v>
      </c>
      <c r="BA27" s="68"/>
      <c r="BB27" s="67"/>
      <c r="BC27" s="85"/>
      <c r="BD27" s="73"/>
      <c r="BE27" s="92"/>
      <c r="BF27" s="92"/>
      <c r="BG27" s="92"/>
      <c r="BH27" s="92"/>
      <c r="BI27" s="92"/>
      <c r="BJ27" s="92"/>
      <c r="BK27" s="92"/>
      <c r="BL27" s="92"/>
      <c r="BM27" s="92"/>
      <c r="BN27" s="40"/>
      <c r="BO27" s="40"/>
      <c r="BP27" s="40"/>
    </row>
    <row r="28" spans="2:68" x14ac:dyDescent="0.2">
      <c r="B28" s="68" t="s">
        <v>141</v>
      </c>
      <c r="C28" s="67" t="s">
        <v>133</v>
      </c>
      <c r="D28" s="82">
        <v>1</v>
      </c>
      <c r="E28" s="73">
        <v>1</v>
      </c>
      <c r="F28" s="93">
        <f t="shared" si="30"/>
        <v>1</v>
      </c>
      <c r="G28" s="216">
        <v>0</v>
      </c>
      <c r="H28" s="93">
        <f>IF(G28=0,VLOOKUP(C:C,[1]Inputs!$B$20:$H$25,7,FALSE)*F28,VLOOKUP(C:C,[1]Inputs!$B$20:$I$25,8,FALSE)*F28)</f>
        <v>103.26059762014499</v>
      </c>
      <c r="I28" s="93">
        <f>VLOOKUP(C:C,[1]Inputs!$C$54:$G$59,5,FALSE)*F28</f>
        <v>19.732436288346317</v>
      </c>
      <c r="J28" s="93"/>
      <c r="K28" s="93"/>
      <c r="L28" s="93"/>
      <c r="M28" s="93">
        <f t="shared" si="31"/>
        <v>122.99303390849131</v>
      </c>
      <c r="N28" s="93">
        <f>[1]Inputs!$M$43*M28</f>
        <v>57.305727529149344</v>
      </c>
      <c r="O28" s="83">
        <f>[1]Inputs!$M$48*M28</f>
        <v>19.725325764744216</v>
      </c>
      <c r="P28" s="83">
        <f>[1]Inputs!$H$13*SUM(M28:O28)</f>
        <v>12.685527610375249</v>
      </c>
      <c r="Q28" s="83">
        <f t="shared" si="32"/>
        <v>212.70961481276012</v>
      </c>
      <c r="R28" s="24"/>
      <c r="S28" s="70" t="s">
        <v>141</v>
      </c>
      <c r="T28" s="67" t="s">
        <v>133</v>
      </c>
      <c r="U28" s="83">
        <v>1</v>
      </c>
      <c r="V28" s="112">
        <v>1</v>
      </c>
      <c r="W28" s="182">
        <f t="shared" si="33"/>
        <v>1</v>
      </c>
      <c r="X28" s="182">
        <v>0</v>
      </c>
      <c r="Y28" s="182">
        <f>IF(X28=0,VLOOKUP(T:T,[1]Inputs!$B$20:$H$25,7,FALSE)*W28,VLOOKUP(T:T,[1]Inputs!$B$20:$I$25,8,FALSE)*W28)</f>
        <v>103.26059762014499</v>
      </c>
      <c r="Z28" s="182">
        <f>VLOOKUP(T:T,[1]Inputs!$C$54:$G$59,5,FALSE)*W28</f>
        <v>19.732436288346317</v>
      </c>
      <c r="AA28" s="182"/>
      <c r="AB28" s="182"/>
      <c r="AC28" s="182"/>
      <c r="AD28" s="182">
        <f t="shared" si="34"/>
        <v>122.99303390849131</v>
      </c>
      <c r="AE28" s="182">
        <f>[1]Inputs!$M$43*AD28</f>
        <v>57.305727529149344</v>
      </c>
      <c r="AF28" s="183">
        <f>[1]Inputs!$M$48*AD28</f>
        <v>19.725325764744216</v>
      </c>
      <c r="AG28" s="183">
        <f>[1]Inputs!$H$13*SUM(AD28:AF28)</f>
        <v>12.685527610375249</v>
      </c>
      <c r="AH28" s="183">
        <f t="shared" si="35"/>
        <v>212.70961481276012</v>
      </c>
      <c r="AJ28" s="69" t="s">
        <v>141</v>
      </c>
      <c r="AK28" s="67" t="s">
        <v>133</v>
      </c>
      <c r="AL28" s="83">
        <v>0.5</v>
      </c>
      <c r="AM28" s="112">
        <v>1</v>
      </c>
      <c r="AN28" s="93">
        <f t="shared" si="36"/>
        <v>0.5</v>
      </c>
      <c r="AO28" s="93">
        <v>0</v>
      </c>
      <c r="AP28" s="93">
        <f>IF(AO28=0,VLOOKUP(AK:AK,[1]Inputs!$B$20:$H$25,7,FALSE)*AN28,VLOOKUP(AK:AK,[1]Inputs!$B$20:$I$25,8,FALSE)*AN28)</f>
        <v>51.630298810072496</v>
      </c>
      <c r="AQ28" s="93">
        <f>VLOOKUP(AK:AK,[1]Inputs!$C$54:$G$59,5,FALSE)*AN28</f>
        <v>9.8662181441731587</v>
      </c>
      <c r="AR28" s="93"/>
      <c r="AS28" s="93"/>
      <c r="AT28" s="93"/>
      <c r="AU28" s="93">
        <f t="shared" si="37"/>
        <v>61.496516954245656</v>
      </c>
      <c r="AV28" s="93">
        <f>[1]Inputs!$M$43*AU28</f>
        <v>28.652863764574672</v>
      </c>
      <c r="AW28" s="184">
        <f>[1]Inputs!$M$48*AU28</f>
        <v>9.8626628823721081</v>
      </c>
      <c r="AX28" s="184">
        <f>[1]Inputs!$H$13*SUM(AU28:AW28)</f>
        <v>6.3427638051876247</v>
      </c>
      <c r="AY28" s="184">
        <f t="shared" si="38"/>
        <v>106.35480740638006</v>
      </c>
      <c r="BA28" s="68"/>
      <c r="BB28" s="67"/>
      <c r="BC28" s="83"/>
      <c r="BD28" s="73"/>
      <c r="BE28" s="92"/>
      <c r="BF28" s="92"/>
      <c r="BG28" s="92"/>
      <c r="BH28" s="92"/>
      <c r="BI28" s="92"/>
      <c r="BJ28" s="92"/>
      <c r="BK28" s="92"/>
      <c r="BL28" s="92"/>
      <c r="BM28" s="92"/>
      <c r="BN28" s="40"/>
      <c r="BO28" s="40"/>
      <c r="BP28" s="40"/>
    </row>
    <row r="29" spans="2:68" x14ac:dyDescent="0.2">
      <c r="B29" s="68" t="s">
        <v>142</v>
      </c>
      <c r="C29" s="67" t="s">
        <v>73</v>
      </c>
      <c r="D29" s="82">
        <v>2</v>
      </c>
      <c r="E29" s="73">
        <v>1</v>
      </c>
      <c r="F29" s="93">
        <f t="shared" si="30"/>
        <v>2</v>
      </c>
      <c r="G29" s="216">
        <v>0</v>
      </c>
      <c r="H29" s="93">
        <f>IF(G29=0,VLOOKUP(C:C,[1]Inputs!$B$20:$H$25,7,FALSE)*F29,VLOOKUP(C:C,[1]Inputs!$B$20:$I$25,8,FALSE)*F29)</f>
        <v>206.52119524028998</v>
      </c>
      <c r="I29" s="93">
        <f>VLOOKUP(C:C,[1]Inputs!$C$54:$G$59,5,FALSE)*F29</f>
        <v>0</v>
      </c>
      <c r="J29" s="93"/>
      <c r="K29" s="93"/>
      <c r="L29" s="93"/>
      <c r="M29" s="93">
        <f t="shared" si="31"/>
        <v>206.52119524028998</v>
      </c>
      <c r="N29" s="93">
        <f>[1]Inputs!$M$43*M29</f>
        <v>96.223720704699574</v>
      </c>
      <c r="O29" s="83">
        <f>[1]Inputs!$M$48*M29</f>
        <v>33.121370568596234</v>
      </c>
      <c r="P29" s="83">
        <f>[1]Inputs!$H$13*SUM(M29:O29)</f>
        <v>21.300639890691613</v>
      </c>
      <c r="Q29" s="83">
        <f t="shared" si="32"/>
        <v>357.16692640427743</v>
      </c>
      <c r="S29" s="68" t="s">
        <v>142</v>
      </c>
      <c r="T29" s="67" t="s">
        <v>73</v>
      </c>
      <c r="U29" s="83">
        <v>2</v>
      </c>
      <c r="V29" s="112">
        <v>1</v>
      </c>
      <c r="W29" s="182">
        <f t="shared" si="33"/>
        <v>2</v>
      </c>
      <c r="X29" s="182">
        <v>0</v>
      </c>
      <c r="Y29" s="182">
        <f>IF(X29=0,VLOOKUP(T:T,[1]Inputs!$B$20:$H$25,7,FALSE)*W29,VLOOKUP(T:T,[1]Inputs!$B$20:$I$25,8,FALSE)*W29)</f>
        <v>206.52119524028998</v>
      </c>
      <c r="Z29" s="182">
        <f>VLOOKUP(T:T,[1]Inputs!$C$54:$G$59,5,FALSE)*W29</f>
        <v>0</v>
      </c>
      <c r="AA29" s="182"/>
      <c r="AB29" s="182"/>
      <c r="AC29" s="182"/>
      <c r="AD29" s="182">
        <f t="shared" si="34"/>
        <v>206.52119524028998</v>
      </c>
      <c r="AE29" s="182">
        <f>[1]Inputs!$M$43*AD29</f>
        <v>96.223720704699574</v>
      </c>
      <c r="AF29" s="183">
        <f>[1]Inputs!$M$48*AD29</f>
        <v>33.121370568596234</v>
      </c>
      <c r="AG29" s="183">
        <f>[1]Inputs!$H$13*SUM(AD29:AF29)</f>
        <v>21.300639890691613</v>
      </c>
      <c r="AH29" s="183">
        <f t="shared" si="35"/>
        <v>357.16692640427743</v>
      </c>
      <c r="AJ29" s="70" t="s">
        <v>142</v>
      </c>
      <c r="AK29" s="67" t="s">
        <v>73</v>
      </c>
      <c r="AL29" s="83">
        <v>1</v>
      </c>
      <c r="AM29" s="112">
        <v>1</v>
      </c>
      <c r="AN29" s="93">
        <f t="shared" si="36"/>
        <v>1</v>
      </c>
      <c r="AO29" s="93">
        <v>0</v>
      </c>
      <c r="AP29" s="93">
        <f>IF(AO29=0,VLOOKUP(AK:AK,[1]Inputs!$B$20:$H$25,7,FALSE)*AN29,VLOOKUP(AK:AK,[1]Inputs!$B$20:$I$25,8,FALSE)*AN29)</f>
        <v>103.26059762014499</v>
      </c>
      <c r="AQ29" s="93">
        <f>VLOOKUP(AK:AK,[1]Inputs!$C$54:$G$59,5,FALSE)*AN29</f>
        <v>0</v>
      </c>
      <c r="AR29" s="93"/>
      <c r="AS29" s="93"/>
      <c r="AT29" s="93"/>
      <c r="AU29" s="93">
        <f t="shared" si="37"/>
        <v>103.26059762014499</v>
      </c>
      <c r="AV29" s="93">
        <f>[1]Inputs!$M$43*AU29</f>
        <v>48.111860352349787</v>
      </c>
      <c r="AW29" s="184">
        <f>[1]Inputs!$M$48*AU29</f>
        <v>16.560685284298117</v>
      </c>
      <c r="AX29" s="184">
        <f>[1]Inputs!$H$13*SUM(AU29:AW29)</f>
        <v>10.650319945345807</v>
      </c>
      <c r="AY29" s="184">
        <f t="shared" si="38"/>
        <v>178.58346320213872</v>
      </c>
      <c r="BA29" s="296" t="s">
        <v>1</v>
      </c>
      <c r="BB29" s="297"/>
      <c r="BC29" s="297"/>
      <c r="BD29" s="298"/>
      <c r="BE29" s="94">
        <f t="shared" ref="BE29:BP29" si="39">SUM(BE26:BE28)</f>
        <v>1</v>
      </c>
      <c r="BF29" s="94">
        <f t="shared" si="39"/>
        <v>1</v>
      </c>
      <c r="BG29" s="94">
        <f t="shared" si="39"/>
        <v>187.46251122675505</v>
      </c>
      <c r="BH29" s="94">
        <f t="shared" si="39"/>
        <v>19.732436288346317</v>
      </c>
      <c r="BI29" s="94">
        <f t="shared" si="39"/>
        <v>0</v>
      </c>
      <c r="BJ29" s="94">
        <f t="shared" si="39"/>
        <v>0</v>
      </c>
      <c r="BK29" s="94">
        <f t="shared" si="39"/>
        <v>0</v>
      </c>
      <c r="BL29" s="94">
        <f t="shared" si="39"/>
        <v>207.19494751510138</v>
      </c>
      <c r="BM29" s="94">
        <f t="shared" si="39"/>
        <v>96.537639819104157</v>
      </c>
      <c r="BN29" s="94">
        <f t="shared" si="39"/>
        <v>33.229425331399142</v>
      </c>
      <c r="BO29" s="94">
        <f t="shared" si="39"/>
        <v>21.37013084325265</v>
      </c>
      <c r="BP29" s="94">
        <f t="shared" si="39"/>
        <v>358.33214350885731</v>
      </c>
    </row>
    <row r="30" spans="2:68" x14ac:dyDescent="0.2">
      <c r="B30" s="68" t="s">
        <v>135</v>
      </c>
      <c r="C30" s="67" t="s">
        <v>133</v>
      </c>
      <c r="D30" s="83">
        <v>1</v>
      </c>
      <c r="E30" s="73">
        <v>2</v>
      </c>
      <c r="F30" s="93">
        <f t="shared" si="30"/>
        <v>2</v>
      </c>
      <c r="G30" s="216">
        <v>1</v>
      </c>
      <c r="H30" s="93">
        <f>IF(G30=0,VLOOKUP(C:C,[1]Inputs!$B$20:$H$25,7,FALSE)*F30,VLOOKUP(C:C,[1]Inputs!$B$20:$I$25,8,FALSE)*F30)</f>
        <v>374.92502245351011</v>
      </c>
      <c r="I30" s="93">
        <f>VLOOKUP(C:C,[1]Inputs!$C$54:$G$59,5,FALSE)*F30</f>
        <v>39.464872576692635</v>
      </c>
      <c r="J30" s="93"/>
      <c r="K30" s="93"/>
      <c r="L30" s="93"/>
      <c r="M30" s="93">
        <f t="shared" si="31"/>
        <v>414.38989503020275</v>
      </c>
      <c r="N30" s="93">
        <f>[1]Inputs!$M$43*M30</f>
        <v>193.07527963820831</v>
      </c>
      <c r="O30" s="83">
        <f>[1]Inputs!$M$48*M30</f>
        <v>66.458850662798284</v>
      </c>
      <c r="P30" s="83">
        <f>[1]Inputs!$H$13*SUM(M30:O30)</f>
        <v>42.740261686505299</v>
      </c>
      <c r="Q30" s="83">
        <f t="shared" si="32"/>
        <v>716.66428701771463</v>
      </c>
      <c r="R30" s="24"/>
      <c r="S30" s="68" t="s">
        <v>135</v>
      </c>
      <c r="T30" s="67" t="s">
        <v>133</v>
      </c>
      <c r="U30" s="81">
        <v>1</v>
      </c>
      <c r="V30" s="73">
        <v>2</v>
      </c>
      <c r="W30" s="182">
        <f t="shared" si="33"/>
        <v>2</v>
      </c>
      <c r="X30" s="182">
        <v>1</v>
      </c>
      <c r="Y30" s="182">
        <f>IF(X30=0,VLOOKUP(T:T,[1]Inputs!$B$20:$H$25,7,FALSE)*W30,VLOOKUP(T:T,[1]Inputs!$B$20:$I$25,8,FALSE)*W30)</f>
        <v>374.92502245351011</v>
      </c>
      <c r="Z30" s="182">
        <f>VLOOKUP(T:T,[1]Inputs!$C$54:$G$59,5,FALSE)*W30</f>
        <v>39.464872576692635</v>
      </c>
      <c r="AA30" s="182"/>
      <c r="AB30" s="182"/>
      <c r="AC30" s="182"/>
      <c r="AD30" s="182">
        <f t="shared" si="34"/>
        <v>414.38989503020275</v>
      </c>
      <c r="AE30" s="182">
        <f>[1]Inputs!$M$43*AD30</f>
        <v>193.07527963820831</v>
      </c>
      <c r="AF30" s="183">
        <f>[1]Inputs!$M$48*AD30</f>
        <v>66.458850662798284</v>
      </c>
      <c r="AG30" s="183">
        <f>[1]Inputs!$H$13*SUM(AD30:AF30)</f>
        <v>42.740261686505299</v>
      </c>
      <c r="AH30" s="183">
        <f t="shared" si="35"/>
        <v>716.66428701771463</v>
      </c>
      <c r="AJ30" s="68" t="s">
        <v>135</v>
      </c>
      <c r="AK30" s="67" t="s">
        <v>133</v>
      </c>
      <c r="AL30" s="83">
        <v>1</v>
      </c>
      <c r="AM30" s="112">
        <v>2</v>
      </c>
      <c r="AN30" s="93">
        <f t="shared" si="36"/>
        <v>2</v>
      </c>
      <c r="AO30" s="93">
        <v>1</v>
      </c>
      <c r="AP30" s="93">
        <f>IF(AO30=0,VLOOKUP(AK:AK,[1]Inputs!$B$20:$H$25,7,FALSE)*AN30,VLOOKUP(AK:AK,[1]Inputs!$B$20:$I$25,8,FALSE)*AN30)</f>
        <v>374.92502245351011</v>
      </c>
      <c r="AQ30" s="93">
        <f>VLOOKUP(AK:AK,[1]Inputs!$C$54:$G$59,5,FALSE)*AN30</f>
        <v>39.464872576692635</v>
      </c>
      <c r="AR30" s="93"/>
      <c r="AS30" s="93"/>
      <c r="AT30" s="93"/>
      <c r="AU30" s="93">
        <f t="shared" si="37"/>
        <v>414.38989503020275</v>
      </c>
      <c r="AV30" s="93">
        <f>[1]Inputs!$M$43*AU30</f>
        <v>193.07527963820831</v>
      </c>
      <c r="AW30" s="184">
        <f>[1]Inputs!$M$48*AU30</f>
        <v>66.458850662798284</v>
      </c>
      <c r="AX30" s="184">
        <f>[1]Inputs!$H$13*SUM(AU30:AW30)</f>
        <v>42.740261686505299</v>
      </c>
      <c r="AY30" s="184">
        <f t="shared" si="38"/>
        <v>716.66428701771463</v>
      </c>
      <c r="AZ30" s="95"/>
    </row>
    <row r="31" spans="2:68" x14ac:dyDescent="0.2">
      <c r="B31" s="70" t="s">
        <v>137</v>
      </c>
      <c r="C31" s="67" t="s">
        <v>133</v>
      </c>
      <c r="D31" s="84">
        <v>0.5</v>
      </c>
      <c r="E31" s="73">
        <v>2</v>
      </c>
      <c r="F31" s="93">
        <f t="shared" si="30"/>
        <v>1</v>
      </c>
      <c r="G31" s="216">
        <v>1</v>
      </c>
      <c r="H31" s="93">
        <f>IF(G31=0,VLOOKUP(C:C,[1]Inputs!$B$20:$H$25,7,FALSE)*F31,VLOOKUP(C:C,[1]Inputs!$B$20:$I$25,8,FALSE)*F31)</f>
        <v>187.46251122675505</v>
      </c>
      <c r="I31" s="93">
        <f>VLOOKUP(C:C,[1]Inputs!$C$54:$G$59,5,FALSE)*F31</f>
        <v>19.732436288346317</v>
      </c>
      <c r="J31" s="93"/>
      <c r="K31" s="93"/>
      <c r="L31" s="93"/>
      <c r="M31" s="93">
        <f t="shared" si="31"/>
        <v>207.19494751510138</v>
      </c>
      <c r="N31" s="93">
        <f>[1]Inputs!$M$43*M31</f>
        <v>96.537639819104157</v>
      </c>
      <c r="O31" s="83">
        <f>[1]Inputs!$M$48*M31</f>
        <v>33.229425331399142</v>
      </c>
      <c r="P31" s="83">
        <f>[1]Inputs!$H$13*SUM(M31:O31)</f>
        <v>21.37013084325265</v>
      </c>
      <c r="Q31" s="83">
        <f t="shared" si="32"/>
        <v>358.33214350885731</v>
      </c>
      <c r="R31" s="24"/>
      <c r="S31" s="68" t="s">
        <v>137</v>
      </c>
      <c r="T31" s="67" t="s">
        <v>133</v>
      </c>
      <c r="U31" s="82">
        <v>0.5</v>
      </c>
      <c r="V31" s="73">
        <v>2</v>
      </c>
      <c r="W31" s="182">
        <f t="shared" si="33"/>
        <v>1</v>
      </c>
      <c r="X31" s="182">
        <v>1</v>
      </c>
      <c r="Y31" s="182">
        <f>IF(X31=0,VLOOKUP(T:T,[1]Inputs!$B$20:$H$25,7,FALSE)*W31,VLOOKUP(T:T,[1]Inputs!$B$20:$I$25,8,FALSE)*W31)</f>
        <v>187.46251122675505</v>
      </c>
      <c r="Z31" s="182">
        <f>VLOOKUP(T:T,[1]Inputs!$C$54:$G$59,5,FALSE)*W31</f>
        <v>19.732436288346317</v>
      </c>
      <c r="AA31" s="182"/>
      <c r="AB31" s="182"/>
      <c r="AC31" s="182"/>
      <c r="AD31" s="182">
        <f t="shared" si="34"/>
        <v>207.19494751510138</v>
      </c>
      <c r="AE31" s="182">
        <f>[1]Inputs!$M$43*AD31</f>
        <v>96.537639819104157</v>
      </c>
      <c r="AF31" s="183">
        <f>[1]Inputs!$M$48*AD31</f>
        <v>33.229425331399142</v>
      </c>
      <c r="AG31" s="183">
        <f>[1]Inputs!$H$13*SUM(AD31:AF31)</f>
        <v>21.37013084325265</v>
      </c>
      <c r="AH31" s="183">
        <f t="shared" si="35"/>
        <v>358.33214350885731</v>
      </c>
      <c r="AJ31" s="68" t="s">
        <v>137</v>
      </c>
      <c r="AK31" s="67" t="s">
        <v>133</v>
      </c>
      <c r="AL31" s="83">
        <v>0.1</v>
      </c>
      <c r="AM31" s="112">
        <v>2</v>
      </c>
      <c r="AN31" s="93">
        <f t="shared" si="36"/>
        <v>0.2</v>
      </c>
      <c r="AO31" s="93">
        <v>1</v>
      </c>
      <c r="AP31" s="93">
        <f>IF(AO31=0,VLOOKUP(AK:AK,[1]Inputs!$B$20:$H$25,7,FALSE)*AN31,VLOOKUP(AK:AK,[1]Inputs!$B$20:$I$25,8,FALSE)*AN31)</f>
        <v>37.492502245351012</v>
      </c>
      <c r="AQ31" s="93">
        <f>VLOOKUP(AK:AK,[1]Inputs!$C$54:$G$59,5,FALSE)*AN31</f>
        <v>3.9464872576692636</v>
      </c>
      <c r="AR31" s="93"/>
      <c r="AS31" s="93"/>
      <c r="AT31" s="93"/>
      <c r="AU31" s="93">
        <f t="shared" si="37"/>
        <v>41.438989503020274</v>
      </c>
      <c r="AV31" s="93">
        <f>[1]Inputs!$M$43*AU31</f>
        <v>19.307527963820831</v>
      </c>
      <c r="AW31" s="184">
        <f>[1]Inputs!$M$48*AU31</f>
        <v>6.6458850662798277</v>
      </c>
      <c r="AX31" s="184">
        <f>[1]Inputs!$H$13*SUM(AU31:AW31)</f>
        <v>4.2740261686505292</v>
      </c>
      <c r="AY31" s="184">
        <f t="shared" si="38"/>
        <v>71.666428701771451</v>
      </c>
      <c r="AZ31" s="95"/>
    </row>
    <row r="32" spans="2:68" x14ac:dyDescent="0.2">
      <c r="B32" s="68" t="s">
        <v>138</v>
      </c>
      <c r="C32" s="67" t="s">
        <v>133</v>
      </c>
      <c r="D32" s="85">
        <v>0.5</v>
      </c>
      <c r="E32" s="73">
        <v>2</v>
      </c>
      <c r="F32" s="93">
        <f t="shared" si="30"/>
        <v>1</v>
      </c>
      <c r="G32" s="217">
        <v>1</v>
      </c>
      <c r="H32" s="93">
        <f>IF(G32=0,VLOOKUP(C:C,[1]Inputs!$B$20:$H$25,7,FALSE)*F32,VLOOKUP(C:C,[1]Inputs!$B$20:$I$25,8,FALSE)*F32)</f>
        <v>187.46251122675505</v>
      </c>
      <c r="I32" s="93">
        <f>VLOOKUP(C:C,[1]Inputs!$C$54:$G$59,5,FALSE)*F32</f>
        <v>19.732436288346317</v>
      </c>
      <c r="J32" s="93"/>
      <c r="K32" s="93"/>
      <c r="L32" s="93"/>
      <c r="M32" s="93">
        <f t="shared" si="31"/>
        <v>207.19494751510138</v>
      </c>
      <c r="N32" s="93">
        <f>[1]Inputs!$M$43*M32</f>
        <v>96.537639819104157</v>
      </c>
      <c r="O32" s="83">
        <f>[1]Inputs!$M$48*M32</f>
        <v>33.229425331399142</v>
      </c>
      <c r="P32" s="83">
        <f>[1]Inputs!$H$13*SUM(M32:O32)</f>
        <v>21.37013084325265</v>
      </c>
      <c r="Q32" s="83">
        <f t="shared" si="32"/>
        <v>358.33214350885731</v>
      </c>
      <c r="S32" s="240" t="s">
        <v>138</v>
      </c>
      <c r="T32" s="222" t="s">
        <v>133</v>
      </c>
      <c r="U32" s="82">
        <v>0.5</v>
      </c>
      <c r="V32" s="73">
        <v>2</v>
      </c>
      <c r="W32" s="182">
        <f t="shared" si="33"/>
        <v>1</v>
      </c>
      <c r="X32" s="182">
        <v>1</v>
      </c>
      <c r="Y32" s="182">
        <f>IF(X32=0,VLOOKUP(T:T,[1]Inputs!$B$20:$H$25,7,FALSE)*W32,VLOOKUP(T:T,[1]Inputs!$B$20:$I$25,8,FALSE)*W32)</f>
        <v>187.46251122675505</v>
      </c>
      <c r="Z32" s="182">
        <f>VLOOKUP(T:T,[1]Inputs!$C$54:$G$59,5,FALSE)*W32</f>
        <v>19.732436288346317</v>
      </c>
      <c r="AA32" s="182"/>
      <c r="AB32" s="182"/>
      <c r="AC32" s="182"/>
      <c r="AD32" s="182">
        <f t="shared" si="34"/>
        <v>207.19494751510138</v>
      </c>
      <c r="AE32" s="182">
        <f>[1]Inputs!$M$43*AD32</f>
        <v>96.537639819104157</v>
      </c>
      <c r="AF32" s="183">
        <f>[1]Inputs!$M$48*AD32</f>
        <v>33.229425331399142</v>
      </c>
      <c r="AG32" s="183">
        <f>[1]Inputs!$H$13*SUM(AD32:AF32)</f>
        <v>21.37013084325265</v>
      </c>
      <c r="AH32" s="183">
        <f t="shared" si="35"/>
        <v>358.33214350885731</v>
      </c>
      <c r="AJ32" s="68" t="s">
        <v>138</v>
      </c>
      <c r="AK32" s="67" t="s">
        <v>133</v>
      </c>
      <c r="AL32" s="83">
        <v>0.1</v>
      </c>
      <c r="AM32" s="112">
        <v>2</v>
      </c>
      <c r="AN32" s="93">
        <f t="shared" si="36"/>
        <v>0.2</v>
      </c>
      <c r="AO32" s="93">
        <v>1</v>
      </c>
      <c r="AP32" s="93">
        <f>IF(AO32=0,VLOOKUP(AK:AK,[1]Inputs!$B$20:$H$25,7,FALSE)*AN32,VLOOKUP(AK:AK,[1]Inputs!$B$20:$I$25,8,FALSE)*AN32)</f>
        <v>37.492502245351012</v>
      </c>
      <c r="AQ32" s="93">
        <f>VLOOKUP(AK:AK,[1]Inputs!$C$54:$G$59,5,FALSE)*AN32</f>
        <v>3.9464872576692636</v>
      </c>
      <c r="AR32" s="93"/>
      <c r="AS32" s="93"/>
      <c r="AT32" s="93"/>
      <c r="AU32" s="93">
        <f t="shared" si="37"/>
        <v>41.438989503020274</v>
      </c>
      <c r="AV32" s="93">
        <f>[1]Inputs!$M$43*AU32</f>
        <v>19.307527963820831</v>
      </c>
      <c r="AW32" s="184">
        <f>[1]Inputs!$M$48*AU32</f>
        <v>6.6458850662798277</v>
      </c>
      <c r="AX32" s="184">
        <f>[1]Inputs!$H$13*SUM(AU32:AW32)</f>
        <v>4.2740261686505292</v>
      </c>
      <c r="AY32" s="184">
        <f t="shared" si="38"/>
        <v>71.666428701771451</v>
      </c>
    </row>
    <row r="33" spans="2:51" x14ac:dyDescent="0.2">
      <c r="B33" s="68" t="s">
        <v>68</v>
      </c>
      <c r="C33" s="67" t="s">
        <v>133</v>
      </c>
      <c r="D33" s="85">
        <v>0.25</v>
      </c>
      <c r="E33" s="73">
        <v>2</v>
      </c>
      <c r="F33" s="93">
        <f t="shared" si="30"/>
        <v>0.5</v>
      </c>
      <c r="G33" s="217">
        <v>1</v>
      </c>
      <c r="H33" s="93">
        <f>IF(G33=0,VLOOKUP(C:C,[1]Inputs!$B$20:$H$25,7,FALSE)*F33,VLOOKUP(C:C,[1]Inputs!$B$20:$I$25,8,FALSE)*F33)</f>
        <v>93.731255613377527</v>
      </c>
      <c r="I33" s="93">
        <f>VLOOKUP(C:C,[1]Inputs!$C$54:$G$59,5,FALSE)*F33</f>
        <v>9.8662181441731587</v>
      </c>
      <c r="J33" s="93"/>
      <c r="K33" s="93"/>
      <c r="L33" s="93"/>
      <c r="M33" s="93">
        <f t="shared" si="31"/>
        <v>103.59747375755069</v>
      </c>
      <c r="N33" s="93">
        <f>[1]Inputs!$M$43*M33</f>
        <v>48.268819909552079</v>
      </c>
      <c r="O33" s="83">
        <f>[1]Inputs!$M$48*M33</f>
        <v>16.614712665699571</v>
      </c>
      <c r="P33" s="83">
        <f>[1]Inputs!$H$13*SUM(M33:O33)</f>
        <v>10.685065421626325</v>
      </c>
      <c r="Q33" s="83">
        <f t="shared" si="32"/>
        <v>179.16607175442866</v>
      </c>
      <c r="S33" s="70" t="s">
        <v>68</v>
      </c>
      <c r="T33" s="67" t="s">
        <v>133</v>
      </c>
      <c r="U33" s="83">
        <v>0.5</v>
      </c>
      <c r="V33" s="224">
        <v>2</v>
      </c>
      <c r="W33" s="221">
        <f t="shared" si="33"/>
        <v>1</v>
      </c>
      <c r="X33" s="182">
        <v>1</v>
      </c>
      <c r="Y33" s="182">
        <f>IF(X33=0,VLOOKUP(T:T,[1]Inputs!$B$20:$H$25,7,FALSE)*W33,VLOOKUP(T:T,[1]Inputs!$B$20:$I$25,8,FALSE)*W33)</f>
        <v>187.46251122675505</v>
      </c>
      <c r="Z33" s="182">
        <f>VLOOKUP(T:T,[1]Inputs!$C$54:$G$59,5,FALSE)*W33</f>
        <v>19.732436288346317</v>
      </c>
      <c r="AA33" s="182"/>
      <c r="AB33" s="182"/>
      <c r="AC33" s="182"/>
      <c r="AD33" s="182">
        <f t="shared" si="34"/>
        <v>207.19494751510138</v>
      </c>
      <c r="AE33" s="182">
        <f>[1]Inputs!$M$43*AD33</f>
        <v>96.537639819104157</v>
      </c>
      <c r="AF33" s="183">
        <f>[1]Inputs!$M$48*AD33</f>
        <v>33.229425331399142</v>
      </c>
      <c r="AG33" s="183">
        <f>[1]Inputs!$H$13*SUM(AD33:AF33)</f>
        <v>21.37013084325265</v>
      </c>
      <c r="AH33" s="183">
        <f t="shared" si="35"/>
        <v>358.33214350885731</v>
      </c>
      <c r="AJ33" s="68" t="s">
        <v>68</v>
      </c>
      <c r="AK33" s="67" t="s">
        <v>133</v>
      </c>
      <c r="AL33" s="83">
        <v>0.1</v>
      </c>
      <c r="AM33" s="112">
        <v>2</v>
      </c>
      <c r="AN33" s="93">
        <f t="shared" si="36"/>
        <v>0.2</v>
      </c>
      <c r="AO33" s="93">
        <v>1</v>
      </c>
      <c r="AP33" s="93">
        <f>IF(AO33=0,VLOOKUP(AK:AK,[1]Inputs!$B$20:$H$25,7,FALSE)*AN33,VLOOKUP(AK:AK,[1]Inputs!$B$20:$I$25,8,FALSE)*AN33)</f>
        <v>37.492502245351012</v>
      </c>
      <c r="AQ33" s="93">
        <f>VLOOKUP(AK:AK,[1]Inputs!$C$54:$G$59,5,FALSE)*AN33</f>
        <v>3.9464872576692636</v>
      </c>
      <c r="AR33" s="93"/>
      <c r="AS33" s="93"/>
      <c r="AT33" s="93"/>
      <c r="AU33" s="93">
        <f t="shared" si="37"/>
        <v>41.438989503020274</v>
      </c>
      <c r="AV33" s="93">
        <f>[1]Inputs!$M$43*AU33</f>
        <v>19.307527963820831</v>
      </c>
      <c r="AW33" s="184">
        <f>[1]Inputs!$M$48*AU33</f>
        <v>6.6458850662798277</v>
      </c>
      <c r="AX33" s="184">
        <f>[1]Inputs!$H$13*SUM(AU33:AW33)</f>
        <v>4.2740261686505292</v>
      </c>
      <c r="AY33" s="184">
        <f t="shared" si="38"/>
        <v>71.666428701771451</v>
      </c>
    </row>
    <row r="34" spans="2:51" x14ac:dyDescent="0.2">
      <c r="B34" s="68" t="s">
        <v>163</v>
      </c>
      <c r="C34" s="67" t="s">
        <v>133</v>
      </c>
      <c r="D34" s="85">
        <v>0.25</v>
      </c>
      <c r="E34" s="73">
        <v>2</v>
      </c>
      <c r="F34" s="93">
        <f t="shared" si="30"/>
        <v>0.5</v>
      </c>
      <c r="G34" s="217">
        <v>1</v>
      </c>
      <c r="H34" s="93">
        <f>IF(G34=0,VLOOKUP(C:C,[1]Inputs!$B$20:$H$25,7,FALSE)*F34,VLOOKUP(C:C,[1]Inputs!$B$20:$I$25,8,FALSE)*F34)</f>
        <v>93.731255613377527</v>
      </c>
      <c r="I34" s="93">
        <f>VLOOKUP(C:C,[1]Inputs!$C$54:$G$59,5,FALSE)*F34</f>
        <v>9.8662181441731587</v>
      </c>
      <c r="J34" s="93"/>
      <c r="K34" s="93"/>
      <c r="L34" s="93"/>
      <c r="M34" s="93">
        <f t="shared" si="31"/>
        <v>103.59747375755069</v>
      </c>
      <c r="N34" s="93">
        <f>[1]Inputs!$M$43*M34</f>
        <v>48.268819909552079</v>
      </c>
      <c r="O34" s="83">
        <f>[1]Inputs!$M$48*M34</f>
        <v>16.614712665699571</v>
      </c>
      <c r="P34" s="83">
        <f>[1]Inputs!$H$13*SUM(M34:O34)</f>
        <v>10.685065421626325</v>
      </c>
      <c r="Q34" s="83">
        <f t="shared" si="32"/>
        <v>179.16607175442866</v>
      </c>
      <c r="R34" s="225"/>
      <c r="S34" s="70" t="s">
        <v>163</v>
      </c>
      <c r="T34" s="67" t="s">
        <v>133</v>
      </c>
      <c r="U34" s="83">
        <v>0.5</v>
      </c>
      <c r="V34" s="223">
        <v>2</v>
      </c>
      <c r="W34" s="221">
        <f t="shared" si="33"/>
        <v>1</v>
      </c>
      <c r="X34" s="182">
        <v>1</v>
      </c>
      <c r="Y34" s="182">
        <f>IF(X34=0,VLOOKUP(T:T,[1]Inputs!$B$20:$H$25,7,FALSE)*W34,VLOOKUP(T:T,[1]Inputs!$B$20:$I$25,8,FALSE)*W34)</f>
        <v>187.46251122675505</v>
      </c>
      <c r="Z34" s="182">
        <f>VLOOKUP(T:T,[1]Inputs!$C$54:$G$59,5,FALSE)*W34</f>
        <v>19.732436288346317</v>
      </c>
      <c r="AA34" s="182"/>
      <c r="AB34" s="182"/>
      <c r="AC34" s="182"/>
      <c r="AD34" s="182">
        <f t="shared" si="34"/>
        <v>207.19494751510138</v>
      </c>
      <c r="AE34" s="182">
        <f>[1]Inputs!$M$43*AD34</f>
        <v>96.537639819104157</v>
      </c>
      <c r="AF34" s="183">
        <f>[1]Inputs!$M$48*AD34</f>
        <v>33.229425331399142</v>
      </c>
      <c r="AG34" s="183">
        <f>[1]Inputs!$H$13*SUM(AD34:AF34)</f>
        <v>21.37013084325265</v>
      </c>
      <c r="AH34" s="183">
        <f t="shared" si="35"/>
        <v>358.33214350885731</v>
      </c>
      <c r="AJ34" s="68" t="s">
        <v>139</v>
      </c>
      <c r="AK34" s="67" t="s">
        <v>133</v>
      </c>
      <c r="AL34" s="83">
        <v>0.1</v>
      </c>
      <c r="AM34" s="112">
        <v>2</v>
      </c>
      <c r="AN34" s="93">
        <f t="shared" si="36"/>
        <v>0.2</v>
      </c>
      <c r="AO34" s="93">
        <v>1</v>
      </c>
      <c r="AP34" s="93">
        <f>IF(AO34=0,VLOOKUP(AK:AK,[1]Inputs!$B$20:$H$25,7,FALSE)*AN34,VLOOKUP(AK:AK,[1]Inputs!$B$20:$I$25,8,FALSE)*AN34)</f>
        <v>37.492502245351012</v>
      </c>
      <c r="AQ34" s="93">
        <f>VLOOKUP(AK:AK,[1]Inputs!$C$54:$G$59,5,FALSE)*AN34</f>
        <v>3.9464872576692636</v>
      </c>
      <c r="AR34" s="93"/>
      <c r="AS34" s="93"/>
      <c r="AT34" s="93"/>
      <c r="AU34" s="93">
        <f t="shared" si="37"/>
        <v>41.438989503020274</v>
      </c>
      <c r="AV34" s="93">
        <f>[1]Inputs!$M$43*AU34</f>
        <v>19.307527963820831</v>
      </c>
      <c r="AW34" s="184">
        <f>[1]Inputs!$M$48*AU34</f>
        <v>6.6458850662798277</v>
      </c>
      <c r="AX34" s="184">
        <f>[1]Inputs!$H$13*SUM(AU34:AW34)</f>
        <v>4.2740261686505292</v>
      </c>
      <c r="AY34" s="184">
        <f t="shared" si="38"/>
        <v>71.666428701771451</v>
      </c>
    </row>
    <row r="35" spans="2:51" x14ac:dyDescent="0.2">
      <c r="B35" s="68"/>
      <c r="C35" s="67"/>
      <c r="D35" s="85"/>
      <c r="E35" s="73"/>
      <c r="F35" s="93"/>
      <c r="G35" s="217"/>
      <c r="H35" s="93"/>
      <c r="I35" s="93"/>
      <c r="J35" s="93"/>
      <c r="K35" s="93"/>
      <c r="L35" s="93"/>
      <c r="M35" s="93"/>
      <c r="N35" s="93"/>
      <c r="O35" s="83"/>
      <c r="P35" s="83"/>
      <c r="Q35" s="83"/>
      <c r="S35" s="70"/>
      <c r="T35" s="67"/>
      <c r="U35" s="83"/>
      <c r="V35" s="223"/>
      <c r="W35" s="93"/>
      <c r="X35" s="182"/>
      <c r="Y35" s="182"/>
      <c r="Z35" s="182"/>
      <c r="AA35" s="182"/>
      <c r="AB35" s="182"/>
      <c r="AC35" s="182"/>
      <c r="AD35" s="182"/>
      <c r="AE35" s="182"/>
      <c r="AF35" s="183"/>
      <c r="AG35" s="183"/>
      <c r="AH35" s="183"/>
      <c r="AJ35" s="68" t="s">
        <v>140</v>
      </c>
      <c r="AK35" s="67" t="s">
        <v>133</v>
      </c>
      <c r="AL35" s="83">
        <v>0.1</v>
      </c>
      <c r="AM35" s="112">
        <v>1</v>
      </c>
      <c r="AN35" s="93">
        <f t="shared" si="36"/>
        <v>0.1</v>
      </c>
      <c r="AO35" s="93">
        <v>1</v>
      </c>
      <c r="AP35" s="93">
        <f>IF(AO35=0,VLOOKUP(AK:AK,[1]Inputs!$B$20:$H$25,7,FALSE)*AN35,VLOOKUP(AK:AK,[1]Inputs!$B$20:$I$25,8,FALSE)*AN35)</f>
        <v>18.746251122675506</v>
      </c>
      <c r="AQ35" s="93">
        <f>VLOOKUP(AK:AK,[1]Inputs!$C$54:$G$59,5,FALSE)*AN35</f>
        <v>1.9732436288346318</v>
      </c>
      <c r="AR35" s="93"/>
      <c r="AS35" s="93"/>
      <c r="AT35" s="93"/>
      <c r="AU35" s="93">
        <f t="shared" si="37"/>
        <v>20.719494751510137</v>
      </c>
      <c r="AV35" s="93">
        <f>[1]Inputs!$M$43*AU35</f>
        <v>9.6537639819104157</v>
      </c>
      <c r="AW35" s="184">
        <f>[1]Inputs!$M$48*AU35</f>
        <v>3.3229425331399138</v>
      </c>
      <c r="AX35" s="184">
        <f>[1]Inputs!$H$13*SUM(AU35:AW35)</f>
        <v>2.1370130843252646</v>
      </c>
      <c r="AY35" s="184">
        <f t="shared" si="38"/>
        <v>35.833214350885726</v>
      </c>
    </row>
    <row r="36" spans="2:51" x14ac:dyDescent="0.2">
      <c r="B36" s="68"/>
      <c r="C36" s="67"/>
      <c r="D36" s="85"/>
      <c r="E36" s="73"/>
      <c r="F36" s="105"/>
      <c r="G36" s="92"/>
      <c r="H36" s="92"/>
      <c r="I36" s="92"/>
      <c r="J36" s="92"/>
      <c r="K36" s="92"/>
      <c r="L36" s="92"/>
      <c r="M36" s="92"/>
      <c r="N36" s="92"/>
      <c r="O36" s="40"/>
      <c r="P36" s="41"/>
      <c r="Q36" s="41"/>
      <c r="S36" s="101"/>
      <c r="T36" s="102"/>
      <c r="U36" s="84"/>
      <c r="V36" s="104"/>
      <c r="W36" s="182"/>
      <c r="X36" s="92"/>
      <c r="Y36" s="92"/>
      <c r="Z36" s="92"/>
      <c r="AA36" s="92"/>
      <c r="AB36" s="92"/>
      <c r="AC36" s="92"/>
      <c r="AD36" s="92"/>
      <c r="AE36" s="92"/>
      <c r="AF36" s="184"/>
      <c r="AG36" s="184"/>
      <c r="AH36" s="184"/>
      <c r="AJ36" s="68"/>
      <c r="AK36" s="67"/>
      <c r="AL36" s="83"/>
      <c r="AM36" s="73"/>
      <c r="AN36" s="92"/>
      <c r="AO36" s="92"/>
      <c r="AP36" s="92"/>
      <c r="AQ36" s="92"/>
      <c r="AR36" s="92"/>
      <c r="AS36" s="92"/>
      <c r="AT36" s="92"/>
      <c r="AU36" s="92"/>
      <c r="AV36" s="92"/>
      <c r="AW36" s="40"/>
      <c r="AX36" s="41"/>
      <c r="AY36" s="41"/>
    </row>
    <row r="37" spans="2:51" x14ac:dyDescent="0.2">
      <c r="B37" s="296" t="s">
        <v>1</v>
      </c>
      <c r="C37" s="297"/>
      <c r="D37" s="297"/>
      <c r="E37" s="298"/>
      <c r="F37" s="94">
        <f t="shared" ref="F37:Q37" si="40">SUM(F26:F36)</f>
        <v>14</v>
      </c>
      <c r="G37" s="94">
        <f t="shared" si="40"/>
        <v>5</v>
      </c>
      <c r="H37" s="94">
        <f t="shared" si="40"/>
        <v>1866.65793471508</v>
      </c>
      <c r="I37" s="94">
        <f t="shared" si="40"/>
        <v>118.39461773007791</v>
      </c>
      <c r="J37" s="94">
        <f t="shared" si="40"/>
        <v>0</v>
      </c>
      <c r="K37" s="94">
        <f t="shared" si="40"/>
        <v>0</v>
      </c>
      <c r="L37" s="94">
        <f t="shared" si="40"/>
        <v>0</v>
      </c>
      <c r="M37" s="94">
        <f t="shared" si="40"/>
        <v>1985.0525524451582</v>
      </c>
      <c r="N37" s="94">
        <f t="shared" si="40"/>
        <v>924.88880944346852</v>
      </c>
      <c r="O37" s="94">
        <f t="shared" si="40"/>
        <v>318.35793469612486</v>
      </c>
      <c r="P37" s="94">
        <f t="shared" si="40"/>
        <v>204.73874138940491</v>
      </c>
      <c r="Q37" s="94">
        <f t="shared" si="40"/>
        <v>3433.0380379741569</v>
      </c>
      <c r="S37" s="296" t="s">
        <v>1</v>
      </c>
      <c r="T37" s="297"/>
      <c r="U37" s="297"/>
      <c r="V37" s="298"/>
      <c r="W37" s="94">
        <f t="shared" ref="W37:AH37" si="41">SUM(W26:W36)</f>
        <v>16</v>
      </c>
      <c r="X37" s="94">
        <f t="shared" si="41"/>
        <v>5</v>
      </c>
      <c r="Y37" s="94">
        <f t="shared" si="41"/>
        <v>2157.3810435619798</v>
      </c>
      <c r="Z37" s="94">
        <f t="shared" si="41"/>
        <v>138.12705401842422</v>
      </c>
      <c r="AA37" s="94">
        <f t="shared" si="41"/>
        <v>0</v>
      </c>
      <c r="AB37" s="94">
        <f t="shared" si="41"/>
        <v>0</v>
      </c>
      <c r="AC37" s="94">
        <f t="shared" si="41"/>
        <v>0</v>
      </c>
      <c r="AD37" s="94">
        <f t="shared" si="41"/>
        <v>2295.5080975804044</v>
      </c>
      <c r="AE37" s="94">
        <f t="shared" si="41"/>
        <v>1069.5383096149224</v>
      </c>
      <c r="AF37" s="94">
        <f t="shared" si="41"/>
        <v>368.14804531182222</v>
      </c>
      <c r="AG37" s="94">
        <f t="shared" si="41"/>
        <v>236.75919217800336</v>
      </c>
      <c r="AH37" s="94">
        <f t="shared" si="41"/>
        <v>3969.9536446851525</v>
      </c>
      <c r="AJ37" s="296" t="s">
        <v>1</v>
      </c>
      <c r="AK37" s="297"/>
      <c r="AL37" s="297"/>
      <c r="AM37" s="298"/>
      <c r="AN37" s="94">
        <f>SUM(AN26:AN36)</f>
        <v>5</v>
      </c>
      <c r="AO37" s="94">
        <f t="shared" ref="AO37:AY37" si="42">SUM(AO26:AO36)</f>
        <v>6</v>
      </c>
      <c r="AP37" s="94">
        <f t="shared" si="42"/>
        <v>760.48853755989433</v>
      </c>
      <c r="AQ37" s="94">
        <f t="shared" si="42"/>
        <v>67.090283380377485</v>
      </c>
      <c r="AR37" s="94">
        <f t="shared" si="42"/>
        <v>0</v>
      </c>
      <c r="AS37" s="94">
        <f t="shared" si="42"/>
        <v>0</v>
      </c>
      <c r="AT37" s="94">
        <f t="shared" si="42"/>
        <v>0</v>
      </c>
      <c r="AU37" s="94">
        <f t="shared" si="42"/>
        <v>827.57882094027161</v>
      </c>
      <c r="AV37" s="94">
        <f t="shared" si="42"/>
        <v>385.59099580373629</v>
      </c>
      <c r="AW37" s="94">
        <f t="shared" si="42"/>
        <v>132.72509279830663</v>
      </c>
      <c r="AX37" s="94">
        <f t="shared" si="42"/>
        <v>85.356655163173556</v>
      </c>
      <c r="AY37" s="94">
        <f t="shared" si="42"/>
        <v>1431.2515647054886</v>
      </c>
    </row>
    <row r="40" spans="2:51" x14ac:dyDescent="0.2">
      <c r="R40" s="53"/>
    </row>
    <row r="51" spans="18:18" x14ac:dyDescent="0.2">
      <c r="R51" s="53"/>
    </row>
  </sheetData>
  <mergeCells count="20">
    <mergeCell ref="B37:E37"/>
    <mergeCell ref="AJ37:AM37"/>
    <mergeCell ref="S37:V37"/>
    <mergeCell ref="B21:P21"/>
    <mergeCell ref="AJ21:AW21"/>
    <mergeCell ref="S18:V18"/>
    <mergeCell ref="AJ18:AM18"/>
    <mergeCell ref="BA10:BD10"/>
    <mergeCell ref="AP2:AY2"/>
    <mergeCell ref="B18:E18"/>
    <mergeCell ref="H2:Q2"/>
    <mergeCell ref="H3:Q3"/>
    <mergeCell ref="Y2:AH2"/>
    <mergeCell ref="Y3:AH3"/>
    <mergeCell ref="BG21:BP21"/>
    <mergeCell ref="BG22:BP22"/>
    <mergeCell ref="BA29:BD29"/>
    <mergeCell ref="AP3:AY3"/>
    <mergeCell ref="BG2:BP2"/>
    <mergeCell ref="BG3:BP3"/>
  </mergeCells>
  <pageMargins left="0.7" right="0.7" top="0.75" bottom="0.75" header="0.3" footer="0.3"/>
  <pageSetup paperSize="8"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6"/>
  <sheetViews>
    <sheetView showGridLines="0" workbookViewId="0">
      <selection activeCell="B37" sqref="B37"/>
    </sheetView>
  </sheetViews>
  <sheetFormatPr defaultColWidth="9.140625" defaultRowHeight="12.75" x14ac:dyDescent="0.2"/>
  <cols>
    <col min="1" max="1" width="3.140625" style="52" customWidth="1"/>
    <col min="2" max="2" width="80" style="52" bestFit="1" customWidth="1"/>
    <col min="3" max="3" width="65.140625" style="52" customWidth="1"/>
    <col min="4" max="4" width="12.85546875" style="52" customWidth="1"/>
    <col min="5" max="8" width="11.28515625" style="52" customWidth="1"/>
    <col min="9" max="9" width="12.7109375" style="52" customWidth="1"/>
    <col min="10" max="16384" width="9.140625" style="52"/>
  </cols>
  <sheetData>
    <row r="2" spans="2:9" x14ac:dyDescent="0.2">
      <c r="B2" s="25" t="s">
        <v>8</v>
      </c>
      <c r="C2" s="26"/>
      <c r="D2" s="26"/>
      <c r="E2" s="26"/>
      <c r="F2" s="26"/>
      <c r="G2" s="26"/>
      <c r="H2" s="26"/>
      <c r="I2" s="26"/>
    </row>
    <row r="3" spans="2:9" x14ac:dyDescent="0.2">
      <c r="B3" s="1"/>
      <c r="C3" s="1"/>
      <c r="D3" s="1"/>
      <c r="E3" s="1"/>
      <c r="F3" s="1"/>
      <c r="G3" s="1"/>
      <c r="H3" s="1"/>
      <c r="I3" s="1"/>
    </row>
    <row r="4" spans="2:9" x14ac:dyDescent="0.2">
      <c r="B4" s="25" t="s">
        <v>2</v>
      </c>
      <c r="C4" s="26"/>
      <c r="D4" s="26"/>
      <c r="E4" s="26"/>
      <c r="F4" s="26"/>
      <c r="G4" s="26"/>
      <c r="H4" s="26"/>
      <c r="I4" s="26"/>
    </row>
    <row r="5" spans="2:9" x14ac:dyDescent="0.2">
      <c r="B5" s="251" t="s">
        <v>75</v>
      </c>
      <c r="C5" s="251" t="s">
        <v>9</v>
      </c>
      <c r="D5" s="252" t="s">
        <v>59</v>
      </c>
      <c r="E5" s="252" t="s">
        <v>58</v>
      </c>
      <c r="F5" s="252" t="s">
        <v>57</v>
      </c>
      <c r="G5" s="252" t="s">
        <v>81</v>
      </c>
      <c r="H5" s="252" t="s">
        <v>82</v>
      </c>
      <c r="I5" s="253" t="s">
        <v>1</v>
      </c>
    </row>
    <row r="6" spans="2:9" ht="15" customHeight="1" x14ac:dyDescent="0.2">
      <c r="B6" s="117" t="s">
        <v>67</v>
      </c>
      <c r="C6" s="29" t="s">
        <v>85</v>
      </c>
      <c r="D6" s="28">
        <v>0</v>
      </c>
      <c r="E6" s="28">
        <v>0</v>
      </c>
      <c r="F6" s="28">
        <v>0</v>
      </c>
      <c r="G6" s="28">
        <v>0</v>
      </c>
      <c r="H6" s="28">
        <v>0</v>
      </c>
      <c r="I6" s="254">
        <f>SUM(D6:H6)</f>
        <v>0</v>
      </c>
    </row>
    <row r="7" spans="2:9" x14ac:dyDescent="0.2">
      <c r="B7" s="5"/>
      <c r="C7" s="27"/>
      <c r="D7" s="28"/>
      <c r="E7" s="28"/>
      <c r="F7" s="28"/>
      <c r="G7" s="28"/>
      <c r="H7" s="28"/>
      <c r="I7" s="254">
        <f t="shared" ref="I7:I9" si="0">SUM(D7:H7)</f>
        <v>0</v>
      </c>
    </row>
    <row r="8" spans="2:9" x14ac:dyDescent="0.2">
      <c r="B8" s="5"/>
      <c r="C8" s="27"/>
      <c r="D8" s="28"/>
      <c r="E8" s="28"/>
      <c r="F8" s="28"/>
      <c r="G8" s="28"/>
      <c r="H8" s="28"/>
      <c r="I8" s="254">
        <f t="shared" si="0"/>
        <v>0</v>
      </c>
    </row>
    <row r="9" spans="2:9" x14ac:dyDescent="0.2">
      <c r="B9" s="5"/>
      <c r="C9" s="27"/>
      <c r="D9" s="28"/>
      <c r="E9" s="28"/>
      <c r="F9" s="28"/>
      <c r="G9" s="28"/>
      <c r="H9" s="28"/>
      <c r="I9" s="254">
        <f t="shared" si="0"/>
        <v>0</v>
      </c>
    </row>
    <row r="10" spans="2:9" x14ac:dyDescent="0.2">
      <c r="B10" s="18" t="s">
        <v>1</v>
      </c>
      <c r="C10" s="18"/>
      <c r="D10" s="255">
        <f t="shared" ref="D10:I10" si="1">SUM(D6:D9)</f>
        <v>0</v>
      </c>
      <c r="E10" s="255">
        <f t="shared" si="1"/>
        <v>0</v>
      </c>
      <c r="F10" s="255">
        <f t="shared" si="1"/>
        <v>0</v>
      </c>
      <c r="G10" s="255">
        <f t="shared" ref="G10:H10" si="2">SUM(G6:G9)</f>
        <v>0</v>
      </c>
      <c r="H10" s="255">
        <f t="shared" si="2"/>
        <v>0</v>
      </c>
      <c r="I10" s="255">
        <f t="shared" si="1"/>
        <v>0</v>
      </c>
    </row>
    <row r="11" spans="2:9" x14ac:dyDescent="0.2">
      <c r="B11" s="1"/>
      <c r="C11" s="1"/>
      <c r="D11" s="1"/>
      <c r="E11" s="1"/>
      <c r="F11" s="1"/>
      <c r="G11" s="1"/>
      <c r="H11" s="1"/>
      <c r="I11" s="1"/>
    </row>
    <row r="12" spans="2:9" x14ac:dyDescent="0.2">
      <c r="B12" s="25" t="s">
        <v>10</v>
      </c>
      <c r="C12" s="26"/>
      <c r="D12" s="26"/>
      <c r="E12" s="26"/>
      <c r="F12" s="26"/>
      <c r="G12" s="26"/>
      <c r="H12" s="26"/>
      <c r="I12" s="26"/>
    </row>
    <row r="13" spans="2:9" x14ac:dyDescent="0.2">
      <c r="B13" s="251" t="s">
        <v>4</v>
      </c>
      <c r="C13" s="251" t="s">
        <v>9</v>
      </c>
      <c r="D13" s="252" t="s">
        <v>59</v>
      </c>
      <c r="E13" s="252" t="s">
        <v>58</v>
      </c>
      <c r="F13" s="252" t="s">
        <v>57</v>
      </c>
      <c r="G13" s="252" t="s">
        <v>81</v>
      </c>
      <c r="H13" s="252" t="s">
        <v>82</v>
      </c>
      <c r="I13" s="253" t="s">
        <v>1</v>
      </c>
    </row>
    <row r="14" spans="2:9" x14ac:dyDescent="0.2">
      <c r="B14" s="5" t="s">
        <v>19</v>
      </c>
      <c r="C14" s="5" t="s">
        <v>65</v>
      </c>
      <c r="D14" s="98">
        <v>0</v>
      </c>
      <c r="E14" s="98">
        <v>0</v>
      </c>
      <c r="F14" s="98">
        <v>0</v>
      </c>
      <c r="G14" s="98">
        <v>0</v>
      </c>
      <c r="H14" s="98">
        <v>0</v>
      </c>
      <c r="I14" s="173">
        <f>SUM(D14:H14)</f>
        <v>0</v>
      </c>
    </row>
    <row r="15" spans="2:9" x14ac:dyDescent="0.2">
      <c r="B15" s="5"/>
      <c r="C15" s="257"/>
      <c r="D15" s="12"/>
      <c r="E15" s="12"/>
      <c r="F15" s="12"/>
      <c r="G15" s="12"/>
      <c r="H15" s="12"/>
      <c r="I15" s="173">
        <f t="shared" ref="I15:I16" si="3">SUM(D15:H15)</f>
        <v>0</v>
      </c>
    </row>
    <row r="16" spans="2:9" x14ac:dyDescent="0.2">
      <c r="B16" s="5"/>
      <c r="C16" s="5"/>
      <c r="D16" s="12"/>
      <c r="E16" s="12"/>
      <c r="F16" s="12"/>
      <c r="G16" s="12"/>
      <c r="H16" s="12"/>
      <c r="I16" s="173">
        <f t="shared" si="3"/>
        <v>0</v>
      </c>
    </row>
    <row r="17" spans="2:9" x14ac:dyDescent="0.2">
      <c r="B17" s="258" t="s">
        <v>17</v>
      </c>
      <c r="C17" s="18"/>
      <c r="D17" s="250">
        <f t="shared" ref="D17:F17" si="4">SUM(D14:D16)</f>
        <v>0</v>
      </c>
      <c r="E17" s="250">
        <f t="shared" si="4"/>
        <v>0</v>
      </c>
      <c r="F17" s="250">
        <f t="shared" si="4"/>
        <v>0</v>
      </c>
      <c r="G17" s="250">
        <f t="shared" ref="G17:H17" si="5">SUM(G14:G16)</f>
        <v>0</v>
      </c>
      <c r="H17" s="250">
        <f t="shared" si="5"/>
        <v>0</v>
      </c>
      <c r="I17" s="250">
        <f>SUM(I14:I16)</f>
        <v>0</v>
      </c>
    </row>
    <row r="18" spans="2:9" x14ac:dyDescent="0.2">
      <c r="B18" s="1"/>
      <c r="C18" s="1"/>
      <c r="D18" s="13"/>
      <c r="E18" s="13"/>
      <c r="F18" s="13"/>
      <c r="G18" s="13"/>
      <c r="H18" s="13"/>
      <c r="I18" s="13"/>
    </row>
    <row r="19" spans="2:9" x14ac:dyDescent="0.2">
      <c r="B19" s="14" t="s">
        <v>6</v>
      </c>
      <c r="C19" s="1"/>
      <c r="D19" s="13"/>
      <c r="E19" s="13"/>
      <c r="F19" s="13"/>
      <c r="G19" s="13"/>
      <c r="H19" s="13"/>
      <c r="I19" s="13"/>
    </row>
    <row r="20" spans="2:9" x14ac:dyDescent="0.2">
      <c r="B20" s="285" t="s">
        <v>80</v>
      </c>
      <c r="C20" s="285"/>
      <c r="D20" s="285"/>
      <c r="E20" s="285"/>
      <c r="F20" s="285"/>
      <c r="G20" s="285"/>
      <c r="H20" s="285"/>
      <c r="I20" s="285"/>
    </row>
    <row r="21" spans="2:9" x14ac:dyDescent="0.2">
      <c r="B21" s="287"/>
      <c r="C21" s="287"/>
      <c r="D21" s="287"/>
      <c r="E21" s="287"/>
      <c r="F21" s="287"/>
      <c r="G21" s="287"/>
      <c r="H21" s="287"/>
      <c r="I21" s="287"/>
    </row>
    <row r="22" spans="2:9" x14ac:dyDescent="0.2">
      <c r="B22" s="1"/>
      <c r="C22" s="1"/>
      <c r="D22" s="13"/>
      <c r="E22" s="13"/>
      <c r="F22" s="13"/>
      <c r="G22" s="13"/>
      <c r="H22" s="13"/>
      <c r="I22" s="13"/>
    </row>
    <row r="23" spans="2:9" x14ac:dyDescent="0.2">
      <c r="B23" s="25" t="s">
        <v>2</v>
      </c>
      <c r="C23" s="26"/>
      <c r="D23" s="26"/>
      <c r="E23" s="26"/>
      <c r="F23" s="26"/>
      <c r="G23" s="26"/>
      <c r="H23" s="26"/>
      <c r="I23" s="26"/>
    </row>
    <row r="24" spans="2:9" x14ac:dyDescent="0.2">
      <c r="B24" s="15" t="s">
        <v>11</v>
      </c>
      <c r="C24" s="16"/>
      <c r="D24" s="16"/>
      <c r="E24" s="16"/>
      <c r="F24" s="16"/>
      <c r="G24" s="16"/>
      <c r="H24" s="16"/>
      <c r="I24" s="16"/>
    </row>
    <row r="25" spans="2:9" x14ac:dyDescent="0.2">
      <c r="B25" s="289"/>
      <c r="C25" s="289"/>
      <c r="D25" s="289"/>
      <c r="E25" s="289"/>
      <c r="F25" s="289"/>
      <c r="G25" s="289"/>
      <c r="H25" s="289"/>
      <c r="I25" s="289"/>
    </row>
    <row r="26" spans="2:9" x14ac:dyDescent="0.2">
      <c r="B26" s="291"/>
      <c r="C26" s="291"/>
      <c r="D26" s="291"/>
      <c r="E26" s="291"/>
      <c r="F26" s="291"/>
      <c r="G26" s="291"/>
      <c r="H26" s="291"/>
      <c r="I26" s="291"/>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81E0D-6E8F-4261-9932-E823A00BD58C}">
  <dimension ref="B1:O64"/>
  <sheetViews>
    <sheetView topLeftCell="A7" zoomScale="90" zoomScaleNormal="90" workbookViewId="0">
      <selection activeCell="D39" sqref="D39"/>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109</v>
      </c>
      <c r="D1" s="191">
        <f>[1]Inputs!H16</f>
        <v>1</v>
      </c>
      <c r="E1" s="191">
        <f>[1]Inputs!I16</f>
        <v>1</v>
      </c>
      <c r="F1" s="191">
        <f>[1]Inputs!J16</f>
        <v>1.0109999999999999</v>
      </c>
      <c r="G1" s="191">
        <f>[1]Inputs!K16</f>
        <v>1.0231319999999999</v>
      </c>
      <c r="H1" s="191">
        <f>[1]Inputs!L16</f>
        <v>1.0337725727999998</v>
      </c>
      <c r="K1" s="192">
        <f>D1</f>
        <v>1</v>
      </c>
      <c r="L1" s="192">
        <f t="shared" ref="L1:O5" si="0">E1</f>
        <v>1</v>
      </c>
      <c r="M1" s="192">
        <f t="shared" si="0"/>
        <v>1.0109999999999999</v>
      </c>
      <c r="N1" s="192">
        <f t="shared" si="0"/>
        <v>1.0231319999999999</v>
      </c>
      <c r="O1" s="192">
        <f t="shared" si="0"/>
        <v>1.0337725727999998</v>
      </c>
    </row>
    <row r="2" spans="2:15" x14ac:dyDescent="0.25">
      <c r="B2" t="s">
        <v>110</v>
      </c>
      <c r="D2" s="191">
        <f>[1]Inputs!H61</f>
        <v>0.04</v>
      </c>
      <c r="E2" s="191">
        <f>[1]Inputs!I61</f>
        <v>0.04</v>
      </c>
      <c r="F2" s="191">
        <f>[1]Inputs!J61</f>
        <v>0.04</v>
      </c>
      <c r="G2" s="191">
        <f>[1]Inputs!K61</f>
        <v>0.04</v>
      </c>
      <c r="H2" s="191">
        <f>[1]Inputs!L61</f>
        <v>0.04</v>
      </c>
      <c r="K2" s="192"/>
      <c r="L2" s="192"/>
      <c r="M2" s="192"/>
      <c r="N2" s="192"/>
      <c r="O2" s="192"/>
    </row>
    <row r="3" spans="2:15" x14ac:dyDescent="0.25">
      <c r="B3" t="s">
        <v>111</v>
      </c>
      <c r="D3" s="192">
        <f>[1]Inputs!$M$43</f>
        <v>0.46592661151676018</v>
      </c>
      <c r="E3" s="192">
        <f>[1]Inputs!$M$43</f>
        <v>0.46592661151676018</v>
      </c>
      <c r="F3" s="192">
        <f>[1]Inputs!$M$43</f>
        <v>0.46592661151676018</v>
      </c>
      <c r="G3" s="192">
        <f>[1]Inputs!$M$43</f>
        <v>0.46592661151676018</v>
      </c>
      <c r="H3" s="192">
        <f>[1]Inputs!$M$43</f>
        <v>0.46592661151676018</v>
      </c>
      <c r="K3" s="192">
        <f t="shared" ref="K3:K5" si="1">D3</f>
        <v>0.46592661151676018</v>
      </c>
      <c r="L3" s="192">
        <f t="shared" si="0"/>
        <v>0.46592661151676018</v>
      </c>
      <c r="M3" s="192">
        <f t="shared" si="0"/>
        <v>0.46592661151676018</v>
      </c>
      <c r="N3" s="192">
        <f t="shared" si="0"/>
        <v>0.46592661151676018</v>
      </c>
      <c r="O3" s="192">
        <f t="shared" si="0"/>
        <v>0.46592661151676018</v>
      </c>
    </row>
    <row r="4" spans="2:15" x14ac:dyDescent="0.25">
      <c r="B4" t="s">
        <v>112</v>
      </c>
      <c r="D4" s="192">
        <f>[1]Inputs!$M$48</f>
        <v>0.16037758511933414</v>
      </c>
      <c r="E4" s="192">
        <f>[1]Inputs!$M$48</f>
        <v>0.16037758511933414</v>
      </c>
      <c r="F4" s="192">
        <f>[1]Inputs!$M$48</f>
        <v>0.16037758511933414</v>
      </c>
      <c r="G4" s="192">
        <f>[1]Inputs!$M$48</f>
        <v>0.16037758511933414</v>
      </c>
      <c r="H4" s="192">
        <f>[1]Inputs!$M$48</f>
        <v>0.16037758511933414</v>
      </c>
      <c r="K4" s="192">
        <f t="shared" si="1"/>
        <v>0.16037758511933414</v>
      </c>
      <c r="L4" s="192">
        <f t="shared" si="0"/>
        <v>0.16037758511933414</v>
      </c>
      <c r="M4" s="192">
        <f t="shared" si="0"/>
        <v>0.16037758511933414</v>
      </c>
      <c r="N4" s="192">
        <f t="shared" si="0"/>
        <v>0.16037758511933414</v>
      </c>
      <c r="O4" s="192">
        <f t="shared" si="0"/>
        <v>0.16037758511933414</v>
      </c>
    </row>
    <row r="5" spans="2:15" x14ac:dyDescent="0.25">
      <c r="B5" t="s">
        <v>113</v>
      </c>
      <c r="D5" s="192">
        <f>[1]Inputs!$H$13</f>
        <v>6.3420000000000004E-2</v>
      </c>
      <c r="E5" s="192">
        <f>[1]Inputs!$H$13</f>
        <v>6.3420000000000004E-2</v>
      </c>
      <c r="F5" s="192">
        <f>[1]Inputs!$H$13</f>
        <v>6.3420000000000004E-2</v>
      </c>
      <c r="G5" s="192">
        <f>[1]Inputs!$H$13</f>
        <v>6.3420000000000004E-2</v>
      </c>
      <c r="H5" s="192">
        <f>[1]Inputs!$H$13</f>
        <v>6.3420000000000004E-2</v>
      </c>
      <c r="K5" s="192">
        <f t="shared" si="1"/>
        <v>6.3420000000000004E-2</v>
      </c>
      <c r="L5" s="192">
        <f t="shared" si="0"/>
        <v>6.3420000000000004E-2</v>
      </c>
      <c r="M5" s="192">
        <f t="shared" si="0"/>
        <v>6.3420000000000004E-2</v>
      </c>
      <c r="N5" s="192">
        <f t="shared" si="0"/>
        <v>6.3420000000000004E-2</v>
      </c>
      <c r="O5" s="192">
        <f t="shared" si="0"/>
        <v>6.3420000000000004E-2</v>
      </c>
    </row>
    <row r="6" spans="2:15" s="193" customFormat="1" ht="15.75" x14ac:dyDescent="0.25">
      <c r="D6" s="309" t="s">
        <v>114</v>
      </c>
      <c r="E6" s="309"/>
      <c r="F6" s="309"/>
      <c r="G6" s="309"/>
      <c r="H6" s="309"/>
      <c r="J6" s="310" t="s">
        <v>115</v>
      </c>
      <c r="K6" s="310"/>
      <c r="L6" s="310"/>
      <c r="M6" s="310"/>
      <c r="N6" s="310"/>
      <c r="O6" s="310"/>
    </row>
    <row r="7" spans="2:15" x14ac:dyDescent="0.25">
      <c r="B7" s="194" t="s">
        <v>128</v>
      </c>
      <c r="C7" s="195"/>
      <c r="D7" s="195" t="s">
        <v>116</v>
      </c>
      <c r="E7" s="195" t="s">
        <v>117</v>
      </c>
      <c r="F7" s="195" t="s">
        <v>118</v>
      </c>
      <c r="G7" s="195" t="s">
        <v>119</v>
      </c>
      <c r="H7" s="195" t="s">
        <v>120</v>
      </c>
      <c r="J7" s="195"/>
      <c r="K7" s="195" t="s">
        <v>116</v>
      </c>
      <c r="L7" s="195" t="s">
        <v>117</v>
      </c>
      <c r="M7" s="195" t="s">
        <v>118</v>
      </c>
      <c r="N7" s="195" t="s">
        <v>119</v>
      </c>
      <c r="O7" s="195" t="s">
        <v>120</v>
      </c>
    </row>
    <row r="8" spans="2:15" x14ac:dyDescent="0.25">
      <c r="B8" s="196" t="s">
        <v>92</v>
      </c>
      <c r="C8" s="197"/>
      <c r="D8" s="198">
        <f t="shared" ref="D8:D14" si="2">(D19*D$27)+(D31*D$39)+(D43*D$51)+(D55*D$63)</f>
        <v>11358.66573821595</v>
      </c>
      <c r="E8" s="198">
        <f t="shared" ref="E8:H8" si="3">(E19*E$27)+(E31*E$39)+(E43*E$51)+(E55*E$63)</f>
        <v>18586.9075716261</v>
      </c>
      <c r="F8" s="198">
        <f t="shared" si="3"/>
        <v>28187.045332370973</v>
      </c>
      <c r="G8" s="198">
        <f t="shared" si="3"/>
        <v>38452.090753332501</v>
      </c>
      <c r="H8" s="198">
        <f t="shared" si="3"/>
        <v>49688.395984514529</v>
      </c>
      <c r="J8" s="197"/>
      <c r="K8" s="198">
        <f t="shared" ref="K8:K14" si="4">(K19*K$27)+(K31*K$39)+(K43*K$51)+(K55*K$63)</f>
        <v>0</v>
      </c>
      <c r="L8" s="198">
        <f t="shared" ref="L8:O8" si="5">(L19*L$27)+(L31*L$39)+(L43*L$51)+(L55*L$63)</f>
        <v>0</v>
      </c>
      <c r="M8" s="198">
        <f t="shared" si="5"/>
        <v>0</v>
      </c>
      <c r="N8" s="198">
        <f t="shared" si="5"/>
        <v>0</v>
      </c>
      <c r="O8" s="198">
        <f t="shared" si="5"/>
        <v>0</v>
      </c>
    </row>
    <row r="9" spans="2:15" x14ac:dyDescent="0.25">
      <c r="B9" s="196" t="s">
        <v>93</v>
      </c>
      <c r="C9" s="197"/>
      <c r="D9" s="198">
        <f t="shared" si="2"/>
        <v>1436.521361791612</v>
      </c>
      <c r="E9" s="198">
        <f t="shared" ref="E9:H9" si="6">(E20*E$27)+(E32*E$39)+(E44*E$51)+(E56*E$63)</f>
        <v>2083.7452720493711</v>
      </c>
      <c r="F9" s="198">
        <f t="shared" si="6"/>
        <v>3125.6179080740567</v>
      </c>
      <c r="G9" s="198">
        <f t="shared" si="6"/>
        <v>4167.4905440987422</v>
      </c>
      <c r="H9" s="198">
        <f t="shared" si="6"/>
        <v>5209.3631801234278</v>
      </c>
      <c r="J9" s="197"/>
      <c r="K9" s="198">
        <f t="shared" si="4"/>
        <v>0</v>
      </c>
      <c r="L9" s="198">
        <f t="shared" ref="L9:O9" si="7">(L20*L$27)+(L32*L$39)+(L44*L$51)+(L56*L$63)</f>
        <v>0</v>
      </c>
      <c r="M9" s="198">
        <f t="shared" si="7"/>
        <v>0</v>
      </c>
      <c r="N9" s="198">
        <f t="shared" si="7"/>
        <v>0</v>
      </c>
      <c r="O9" s="198">
        <f t="shared" si="7"/>
        <v>0</v>
      </c>
    </row>
    <row r="10" spans="2:15" x14ac:dyDescent="0.25">
      <c r="B10" s="196" t="s">
        <v>94</v>
      </c>
      <c r="C10" s="197"/>
      <c r="D10" s="198">
        <f t="shared" si="2"/>
        <v>0</v>
      </c>
      <c r="E10" s="198">
        <f t="shared" ref="E10:H10" si="8">(E21*E$27)+(E33*E$39)+(E45*E$51)+(E57*E$63)</f>
        <v>0</v>
      </c>
      <c r="F10" s="198">
        <f t="shared" si="8"/>
        <v>0</v>
      </c>
      <c r="G10" s="198">
        <f t="shared" si="8"/>
        <v>0</v>
      </c>
      <c r="H10" s="198">
        <f t="shared" si="8"/>
        <v>0</v>
      </c>
      <c r="J10" s="197"/>
      <c r="K10" s="198">
        <f t="shared" si="4"/>
        <v>0</v>
      </c>
      <c r="L10" s="198">
        <f t="shared" ref="L10:O10" si="9">(L21*L$27)+(L33*L$39)+(L45*L$51)+(L57*L$63)</f>
        <v>0</v>
      </c>
      <c r="M10" s="198">
        <f t="shared" si="9"/>
        <v>0</v>
      </c>
      <c r="N10" s="198">
        <f t="shared" si="9"/>
        <v>0</v>
      </c>
      <c r="O10" s="198">
        <f t="shared" si="9"/>
        <v>0</v>
      </c>
    </row>
    <row r="11" spans="2:15" x14ac:dyDescent="0.25">
      <c r="B11" s="199" t="s">
        <v>121</v>
      </c>
      <c r="C11" s="199"/>
      <c r="D11" s="200">
        <f t="shared" si="2"/>
        <v>12795.187100007561</v>
      </c>
      <c r="E11" s="200">
        <f t="shared" ref="E11:H11" si="10">(E22*E$27)+(E34*E$39)+(E46*E$51)+(E58*E$63)</f>
        <v>20670.652843675467</v>
      </c>
      <c r="F11" s="200">
        <f t="shared" si="10"/>
        <v>31312.663240445036</v>
      </c>
      <c r="G11" s="200">
        <f t="shared" si="10"/>
        <v>42619.581297431243</v>
      </c>
      <c r="H11" s="200">
        <f t="shared" si="10"/>
        <v>54897.759164637959</v>
      </c>
      <c r="J11" s="199"/>
      <c r="K11" s="200">
        <f t="shared" si="4"/>
        <v>0</v>
      </c>
      <c r="L11" s="200">
        <f t="shared" ref="L11:O11" si="11">(L22*L$27)+(L34*L$39)+(L46*L$51)+(L58*L$63)</f>
        <v>0</v>
      </c>
      <c r="M11" s="200">
        <f t="shared" si="11"/>
        <v>0</v>
      </c>
      <c r="N11" s="200">
        <f t="shared" si="11"/>
        <v>0</v>
      </c>
      <c r="O11" s="200">
        <f t="shared" si="11"/>
        <v>0</v>
      </c>
    </row>
    <row r="12" spans="2:15" x14ac:dyDescent="0.25">
      <c r="B12" s="197" t="s">
        <v>98</v>
      </c>
      <c r="C12" s="197"/>
      <c r="D12" s="198">
        <f t="shared" si="2"/>
        <v>5961.618169229484</v>
      </c>
      <c r="E12" s="198">
        <f t="shared" ref="E12:H12" si="12">(E23*E$27)+(E35*E$39)+(E47*E$51)+(E59*E$63)</f>
        <v>9631.0072372929935</v>
      </c>
      <c r="F12" s="198">
        <f t="shared" si="12"/>
        <v>14589.403081185968</v>
      </c>
      <c r="G12" s="198">
        <f t="shared" si="12"/>
        <v>19857.597098175225</v>
      </c>
      <c r="H12" s="198">
        <f t="shared" si="12"/>
        <v>25578.32690744293</v>
      </c>
      <c r="J12" s="197"/>
      <c r="K12" s="198">
        <f t="shared" si="4"/>
        <v>0</v>
      </c>
      <c r="L12" s="198">
        <f t="shared" ref="L12:O12" si="13">(L23*L$27)+(L35*L$39)+(L47*L$51)+(L59*L$63)</f>
        <v>0</v>
      </c>
      <c r="M12" s="198">
        <f t="shared" si="13"/>
        <v>0</v>
      </c>
      <c r="N12" s="198">
        <f t="shared" si="13"/>
        <v>0</v>
      </c>
      <c r="O12" s="198">
        <f t="shared" si="13"/>
        <v>0</v>
      </c>
    </row>
    <row r="13" spans="2:15" x14ac:dyDescent="0.25">
      <c r="B13" s="197" t="s">
        <v>99</v>
      </c>
      <c r="C13" s="197"/>
      <c r="D13" s="198">
        <f t="shared" si="2"/>
        <v>2052.0612082492685</v>
      </c>
      <c r="E13" s="198">
        <f t="shared" ref="E13:H13" si="14">(E24*E$27)+(E36*E$39)+(E48*E$51)+(E60*E$63)</f>
        <v>3315.1093859087687</v>
      </c>
      <c r="F13" s="198">
        <f t="shared" si="14"/>
        <v>5021.8493141575182</v>
      </c>
      <c r="G13" s="198">
        <f t="shared" si="14"/>
        <v>6835.2255272791608</v>
      </c>
      <c r="H13" s="198">
        <f t="shared" si="14"/>
        <v>8804.3700432874302</v>
      </c>
      <c r="J13" s="197"/>
      <c r="K13" s="198">
        <f t="shared" si="4"/>
        <v>0</v>
      </c>
      <c r="L13" s="198">
        <f t="shared" ref="L13:O13" si="15">(L24*L$27)+(L36*L$39)+(L48*L$51)+(L60*L$63)</f>
        <v>0</v>
      </c>
      <c r="M13" s="198">
        <f t="shared" si="15"/>
        <v>0</v>
      </c>
      <c r="N13" s="198">
        <f t="shared" si="15"/>
        <v>0</v>
      </c>
      <c r="O13" s="198">
        <f t="shared" si="15"/>
        <v>0</v>
      </c>
    </row>
    <row r="14" spans="2:15" x14ac:dyDescent="0.25">
      <c r="B14" s="197" t="s">
        <v>108</v>
      </c>
      <c r="C14" s="197"/>
      <c r="D14" s="198">
        <f t="shared" si="2"/>
        <v>1319.6983120021821</v>
      </c>
      <c r="E14" s="198">
        <f t="shared" ref="E14:H14" si="16">(E25*E$27)+(E37*E$39)+(E49*E$51)+(E61*E$63)</f>
        <v>2131.975519589354</v>
      </c>
      <c r="F14" s="198">
        <f t="shared" si="16"/>
        <v>3229.5947296217082</v>
      </c>
      <c r="G14" s="198">
        <f t="shared" si="16"/>
        <v>4395.7926567894065</v>
      </c>
      <c r="H14" s="198">
        <f t="shared" si="16"/>
        <v>5662.1665268366596</v>
      </c>
      <c r="J14" s="197"/>
      <c r="K14" s="198">
        <f t="shared" si="4"/>
        <v>0</v>
      </c>
      <c r="L14" s="198">
        <f t="shared" ref="L14:O14" si="17">(L25*L$27)+(L37*L$39)+(L49*L$51)+(L61*L$63)</f>
        <v>0</v>
      </c>
      <c r="M14" s="198">
        <f t="shared" si="17"/>
        <v>0</v>
      </c>
      <c r="N14" s="198">
        <f t="shared" si="17"/>
        <v>0</v>
      </c>
      <c r="O14" s="198">
        <f t="shared" si="17"/>
        <v>0</v>
      </c>
    </row>
    <row r="15" spans="2:15" s="202" customFormat="1" x14ac:dyDescent="0.25">
      <c r="B15" s="201" t="s">
        <v>122</v>
      </c>
      <c r="C15" s="197"/>
      <c r="D15" s="200">
        <f>SUM(D11:D14)</f>
        <v>22128.564789488497</v>
      </c>
      <c r="E15" s="200">
        <f t="shared" ref="E15:H15" si="18">SUM(E11:E14)</f>
        <v>35748.744986466583</v>
      </c>
      <c r="F15" s="200">
        <f t="shared" si="18"/>
        <v>54153.510365410228</v>
      </c>
      <c r="G15" s="200">
        <f t="shared" si="18"/>
        <v>73708.19657967503</v>
      </c>
      <c r="H15" s="200">
        <f t="shared" si="18"/>
        <v>94942.62264220498</v>
      </c>
      <c r="J15" s="197"/>
      <c r="K15" s="200">
        <f>SUM(K11:K14)</f>
        <v>0</v>
      </c>
      <c r="L15" s="200">
        <f t="shared" ref="L15" si="19">SUM(L11:L14)</f>
        <v>0</v>
      </c>
      <c r="M15" s="200">
        <f t="shared" ref="M15" si="20">SUM(M11:M14)</f>
        <v>0</v>
      </c>
      <c r="N15" s="200">
        <f t="shared" ref="N15" si="21">SUM(N11:N14)</f>
        <v>0</v>
      </c>
      <c r="O15" s="200">
        <f t="shared" ref="O15" si="22">SUM(O11:O14)</f>
        <v>0</v>
      </c>
    </row>
    <row r="16" spans="2:15" s="188" customFormat="1" x14ac:dyDescent="0.25">
      <c r="B16" s="203" t="s">
        <v>123</v>
      </c>
      <c r="C16" s="199"/>
      <c r="D16" s="200">
        <f>D28+D40+D52+D64-D15</f>
        <v>0</v>
      </c>
      <c r="E16" s="200">
        <f t="shared" ref="E16:H16" si="23">E28+E40+E52+E64-E15</f>
        <v>0</v>
      </c>
      <c r="F16" s="200">
        <f t="shared" si="23"/>
        <v>0</v>
      </c>
      <c r="G16" s="200">
        <f t="shared" si="23"/>
        <v>0</v>
      </c>
      <c r="H16" s="200">
        <f t="shared" si="23"/>
        <v>0</v>
      </c>
      <c r="J16" s="199"/>
      <c r="K16" s="200">
        <f>K28+K40+K52+K64-K15</f>
        <v>0</v>
      </c>
      <c r="L16" s="200">
        <f t="shared" ref="L16" si="24">L28+L40+L52+L64-L15</f>
        <v>0</v>
      </c>
      <c r="M16" s="200">
        <f t="shared" ref="M16" si="25">M28+M40+M52+M64-M15</f>
        <v>0</v>
      </c>
      <c r="N16" s="200">
        <f t="shared" ref="N16" si="26">N28+N40+N52+N64-N15</f>
        <v>0</v>
      </c>
      <c r="O16" s="200">
        <f t="shared" ref="O16" si="27">O28+O40+O52+O64-O15</f>
        <v>0</v>
      </c>
    </row>
    <row r="17" spans="2:15" s="188" customFormat="1" x14ac:dyDescent="0.25">
      <c r="C17" s="204"/>
    </row>
    <row r="18" spans="2:15" x14ac:dyDescent="0.25">
      <c r="B18" s="205" t="s">
        <v>145</v>
      </c>
      <c r="C18" s="189"/>
      <c r="D18" s="307" t="s">
        <v>124</v>
      </c>
      <c r="E18" s="308"/>
      <c r="F18" s="308"/>
      <c r="G18" s="308"/>
      <c r="H18" s="308"/>
      <c r="J18" s="189"/>
      <c r="K18" s="307" t="s">
        <v>124</v>
      </c>
      <c r="L18" s="308"/>
      <c r="M18" s="308"/>
      <c r="N18" s="308"/>
      <c r="O18" s="308"/>
    </row>
    <row r="19" spans="2:15" x14ac:dyDescent="0.25">
      <c r="B19" s="206" t="s">
        <v>92</v>
      </c>
      <c r="C19" s="207">
        <f>'Proposed price'!H18</f>
        <v>1445.6483666820297</v>
      </c>
      <c r="D19" s="208">
        <f>C19*D$1</f>
        <v>1445.6483666820297</v>
      </c>
      <c r="E19" s="208">
        <f>D19*E1</f>
        <v>1445.6483666820297</v>
      </c>
      <c r="F19" s="208">
        <f>E19*F1</f>
        <v>1461.5504987155318</v>
      </c>
      <c r="G19" s="208">
        <f>F19*G1</f>
        <v>1495.3590848518195</v>
      </c>
      <c r="H19" s="208">
        <f>G19*H1</f>
        <v>1545.8612084071187</v>
      </c>
      <c r="J19" s="207">
        <f>'Proposed price'!H37</f>
        <v>1866.65793471508</v>
      </c>
      <c r="K19" s="208">
        <f>J19*K$1</f>
        <v>1866.65793471508</v>
      </c>
      <c r="L19" s="208">
        <f>K19*L1</f>
        <v>1866.65793471508</v>
      </c>
      <c r="M19" s="208">
        <f>L19*M1</f>
        <v>1887.1911719969457</v>
      </c>
      <c r="N19" s="208">
        <f>M19*N1</f>
        <v>1930.8456781875789</v>
      </c>
      <c r="O19" s="208">
        <f>N19*O1</f>
        <v>1996.0553044197338</v>
      </c>
    </row>
    <row r="20" spans="2:15" x14ac:dyDescent="0.25">
      <c r="B20" s="206" t="s">
        <v>93</v>
      </c>
      <c r="C20" s="207">
        <f>'Proposed price'!I18</f>
        <v>118.39461773007791</v>
      </c>
      <c r="D20" s="208">
        <f>C20</f>
        <v>118.39461773007791</v>
      </c>
      <c r="E20" s="208">
        <f t="shared" ref="E20:H21" si="28">D20</f>
        <v>118.39461773007791</v>
      </c>
      <c r="F20" s="208">
        <f t="shared" si="28"/>
        <v>118.39461773007791</v>
      </c>
      <c r="G20" s="208">
        <f t="shared" si="28"/>
        <v>118.39461773007791</v>
      </c>
      <c r="H20" s="208">
        <f t="shared" si="28"/>
        <v>118.39461773007791</v>
      </c>
      <c r="J20" s="207">
        <f>'Proposed price'!I37</f>
        <v>118.39461773007791</v>
      </c>
      <c r="K20" s="208">
        <f>J20</f>
        <v>118.39461773007791</v>
      </c>
      <c r="L20" s="208">
        <f t="shared" ref="L20:O21" si="29">K20</f>
        <v>118.39461773007791</v>
      </c>
      <c r="M20" s="208">
        <f t="shared" si="29"/>
        <v>118.39461773007791</v>
      </c>
      <c r="N20" s="208">
        <f t="shared" si="29"/>
        <v>118.39461773007791</v>
      </c>
      <c r="O20" s="208">
        <f t="shared" si="29"/>
        <v>118.39461773007791</v>
      </c>
    </row>
    <row r="21" spans="2:15" x14ac:dyDescent="0.25">
      <c r="B21" s="206" t="s">
        <v>94</v>
      </c>
      <c r="C21" s="207">
        <f>'Proposed price'!J18</f>
        <v>0</v>
      </c>
      <c r="D21" s="208">
        <f>C21</f>
        <v>0</v>
      </c>
      <c r="E21" s="208">
        <f t="shared" si="28"/>
        <v>0</v>
      </c>
      <c r="F21" s="208">
        <f t="shared" si="28"/>
        <v>0</v>
      </c>
      <c r="G21" s="208">
        <f t="shared" si="28"/>
        <v>0</v>
      </c>
      <c r="H21" s="208">
        <f t="shared" si="28"/>
        <v>0</v>
      </c>
      <c r="J21" s="207">
        <f>'Proposed price'!J37</f>
        <v>0</v>
      </c>
      <c r="K21" s="208">
        <f>J21</f>
        <v>0</v>
      </c>
      <c r="L21" s="208">
        <f t="shared" si="29"/>
        <v>0</v>
      </c>
      <c r="M21" s="208">
        <f t="shared" si="29"/>
        <v>0</v>
      </c>
      <c r="N21" s="208">
        <f t="shared" si="29"/>
        <v>0</v>
      </c>
      <c r="O21" s="208">
        <f t="shared" si="29"/>
        <v>0</v>
      </c>
    </row>
    <row r="22" spans="2:15" s="188" customFormat="1" x14ac:dyDescent="0.25">
      <c r="B22" s="209" t="s">
        <v>121</v>
      </c>
      <c r="C22" s="318">
        <f>'Proposed price'!M18</f>
        <v>1564.0429844121077</v>
      </c>
      <c r="D22" s="199">
        <f>SUM(D19:D21)</f>
        <v>1564.0429844121077</v>
      </c>
      <c r="E22" s="199">
        <f t="shared" ref="E22:H22" si="30">SUM(E19:E21)</f>
        <v>1564.0429844121077</v>
      </c>
      <c r="F22" s="199">
        <f t="shared" si="30"/>
        <v>1579.9451164456098</v>
      </c>
      <c r="G22" s="199">
        <f t="shared" si="30"/>
        <v>1613.7537025818974</v>
      </c>
      <c r="H22" s="199">
        <f t="shared" si="30"/>
        <v>1664.2558261371967</v>
      </c>
      <c r="J22" s="318">
        <f>'Proposed price'!M37</f>
        <v>1985.0525524451582</v>
      </c>
      <c r="K22" s="199">
        <f>SUM(K19:K21)</f>
        <v>1985.052552445158</v>
      </c>
      <c r="L22" s="199">
        <f t="shared" ref="L22:O22" si="31">SUM(L19:L21)</f>
        <v>1985.052552445158</v>
      </c>
      <c r="M22" s="199">
        <f t="shared" si="31"/>
        <v>2005.5857897270237</v>
      </c>
      <c r="N22" s="199">
        <f t="shared" si="31"/>
        <v>2049.2402959176566</v>
      </c>
      <c r="O22" s="199">
        <f t="shared" si="31"/>
        <v>2114.4499221498118</v>
      </c>
    </row>
    <row r="23" spans="2:15" x14ac:dyDescent="0.25">
      <c r="B23" s="206" t="s">
        <v>98</v>
      </c>
      <c r="C23" s="207">
        <f>'Proposed price'!N18</f>
        <v>728.72924799369434</v>
      </c>
      <c r="D23" s="208">
        <f>D22*D$3</f>
        <v>728.72924799369434</v>
      </c>
      <c r="E23" s="208">
        <f t="shared" ref="E23:H23" si="32">E22*E$3</f>
        <v>728.72924799369434</v>
      </c>
      <c r="F23" s="208">
        <f t="shared" si="32"/>
        <v>736.13847448795605</v>
      </c>
      <c r="G23" s="208">
        <f t="shared" si="32"/>
        <v>751.89079446660912</v>
      </c>
      <c r="H23" s="208">
        <f t="shared" si="32"/>
        <v>775.42107776913042</v>
      </c>
      <c r="J23" s="207">
        <f>'Proposed price'!N37</f>
        <v>924.88880944346852</v>
      </c>
      <c r="K23" s="208">
        <f>K22*K$3</f>
        <v>924.88880944346829</v>
      </c>
      <c r="L23" s="208">
        <f t="shared" ref="L23:O23" si="33">L22*L$3</f>
        <v>924.88880944346829</v>
      </c>
      <c r="M23" s="208">
        <f t="shared" si="33"/>
        <v>934.45579111367761</v>
      </c>
      <c r="N23" s="208">
        <f t="shared" si="33"/>
        <v>954.79558726051664</v>
      </c>
      <c r="O23" s="208">
        <f t="shared" si="33"/>
        <v>985.1784874491392</v>
      </c>
    </row>
    <row r="24" spans="2:15" x14ac:dyDescent="0.25">
      <c r="B24" s="206" t="s">
        <v>99</v>
      </c>
      <c r="C24" s="207">
        <f>'Proposed price'!O18</f>
        <v>250.83743686285024</v>
      </c>
      <c r="D24" s="208">
        <f>D22*D$4</f>
        <v>250.83743686285021</v>
      </c>
      <c r="E24" s="208">
        <f t="shared" ref="E24:H24" si="34">E22*E$4</f>
        <v>250.83743686285021</v>
      </c>
      <c r="F24" s="208">
        <f t="shared" si="34"/>
        <v>253.38778239663208</v>
      </c>
      <c r="G24" s="208">
        <f t="shared" si="34"/>
        <v>258.80992179746886</v>
      </c>
      <c r="H24" s="208">
        <f t="shared" si="34"/>
        <v>266.90933041666602</v>
      </c>
      <c r="J24" s="207">
        <f>'Proposed price'!O37</f>
        <v>318.35793469612486</v>
      </c>
      <c r="K24" s="208">
        <f>K22*K$4</f>
        <v>318.3579346961248</v>
      </c>
      <c r="L24" s="208">
        <f t="shared" ref="L24:O24" si="35">L22*L$4</f>
        <v>318.3579346961248</v>
      </c>
      <c r="M24" s="208">
        <f t="shared" si="35"/>
        <v>321.65100570607274</v>
      </c>
      <c r="N24" s="208">
        <f t="shared" si="35"/>
        <v>328.65220998850344</v>
      </c>
      <c r="O24" s="208">
        <f t="shared" si="35"/>
        <v>339.11037237015091</v>
      </c>
    </row>
    <row r="25" spans="2:15" x14ac:dyDescent="0.25">
      <c r="B25" s="206" t="s">
        <v>100</v>
      </c>
      <c r="C25" s="207">
        <f>'Proposed price'!P18</f>
        <v>161.31572522501796</v>
      </c>
      <c r="D25" s="208">
        <f>SUM(D22:D24)*D$5</f>
        <v>161.31572522501796</v>
      </c>
      <c r="E25" s="208">
        <f t="shared" ref="E25:H25" si="36">SUM(E22:E24)*E$5</f>
        <v>161.31572522501796</v>
      </c>
      <c r="F25" s="208">
        <f t="shared" si="36"/>
        <v>162.95587449660115</v>
      </c>
      <c r="G25" s="208">
        <f t="shared" si="36"/>
        <v>166.44289924321174</v>
      </c>
      <c r="H25" s="208">
        <f t="shared" si="36"/>
        <v>171.65169898076422</v>
      </c>
      <c r="J25" s="207">
        <f>'Proposed price'!P37</f>
        <v>204.73874138940491</v>
      </c>
      <c r="K25" s="208">
        <f>SUM(K22:K24)*K$5</f>
        <v>204.73874138940494</v>
      </c>
      <c r="L25" s="208">
        <f t="shared" ref="L25:O25" si="37">SUM(L22:L24)*L$5</f>
        <v>204.73874138940494</v>
      </c>
      <c r="M25" s="208">
        <f t="shared" si="37"/>
        <v>206.85654383879643</v>
      </c>
      <c r="N25" s="208">
        <f t="shared" si="37"/>
        <v>211.35907886863063</v>
      </c>
      <c r="O25" s="208">
        <f t="shared" si="37"/>
        <v>218.08481355248043</v>
      </c>
    </row>
    <row r="26" spans="2:15" s="188" customFormat="1" x14ac:dyDescent="0.25">
      <c r="B26" s="210" t="s">
        <v>125</v>
      </c>
      <c r="C26" s="207">
        <f>'Proposed price'!Q18</f>
        <v>2704.9253944936709</v>
      </c>
      <c r="D26" s="212">
        <f>SUM(D22:D25)</f>
        <v>2704.9253944936704</v>
      </c>
      <c r="E26" s="212">
        <f t="shared" ref="E26:H26" si="38">SUM(E22:E25)</f>
        <v>2704.9253944936704</v>
      </c>
      <c r="F26" s="212">
        <f t="shared" si="38"/>
        <v>2732.427247826799</v>
      </c>
      <c r="G26" s="212">
        <f t="shared" si="38"/>
        <v>2790.8973180891867</v>
      </c>
      <c r="H26" s="212">
        <f t="shared" si="38"/>
        <v>2878.237933303757</v>
      </c>
      <c r="J26" s="211">
        <f>'Proposed price'!Q37</f>
        <v>3433.0380379741569</v>
      </c>
      <c r="K26" s="212">
        <f>SUM(K22:K25)</f>
        <v>3433.0380379741559</v>
      </c>
      <c r="L26" s="212">
        <f t="shared" ref="L26:O26" si="39">SUM(L22:L25)</f>
        <v>3433.0380379741559</v>
      </c>
      <c r="M26" s="212">
        <f t="shared" si="39"/>
        <v>3468.5491303855706</v>
      </c>
      <c r="N26" s="212">
        <f t="shared" si="39"/>
        <v>3544.0471720353071</v>
      </c>
      <c r="O26" s="212">
        <f t="shared" si="39"/>
        <v>3656.8235955215819</v>
      </c>
    </row>
    <row r="27" spans="2:15" x14ac:dyDescent="0.25">
      <c r="B27" s="213" t="s">
        <v>126</v>
      </c>
      <c r="C27" s="208"/>
      <c r="D27" s="214">
        <f>'Forecast Revenue - Costs'!D13</f>
        <v>2</v>
      </c>
      <c r="E27" s="214">
        <f>'Forecast Revenue - Costs'!E13</f>
        <v>4</v>
      </c>
      <c r="F27" s="214">
        <f>'Forecast Revenue - Costs'!F13</f>
        <v>6</v>
      </c>
      <c r="G27" s="214">
        <f>'Forecast Revenue - Costs'!G13</f>
        <v>8</v>
      </c>
      <c r="H27" s="214">
        <f>'Forecast Revenue - Costs'!H13</f>
        <v>10</v>
      </c>
      <c r="J27" s="208"/>
      <c r="K27" s="214"/>
      <c r="L27" s="214"/>
      <c r="M27" s="214"/>
      <c r="N27" s="214"/>
      <c r="O27" s="214"/>
    </row>
    <row r="28" spans="2:15" s="188" customFormat="1" x14ac:dyDescent="0.25">
      <c r="B28" s="201" t="s">
        <v>127</v>
      </c>
      <c r="C28" s="199"/>
      <c r="D28" s="200">
        <f>D26*D27</f>
        <v>5409.8507889873408</v>
      </c>
      <c r="E28" s="200">
        <f t="shared" ref="E28:H28" si="40">E26*E27</f>
        <v>10819.701577974682</v>
      </c>
      <c r="F28" s="200">
        <f t="shared" si="40"/>
        <v>16394.563486960793</v>
      </c>
      <c r="G28" s="200">
        <f t="shared" si="40"/>
        <v>22327.178544713493</v>
      </c>
      <c r="H28" s="200">
        <f t="shared" si="40"/>
        <v>28782.37933303757</v>
      </c>
      <c r="J28" s="199"/>
      <c r="K28" s="200">
        <f>K27*K26</f>
        <v>0</v>
      </c>
      <c r="L28" s="200">
        <f t="shared" ref="L28:O28" si="41">L27*L26</f>
        <v>0</v>
      </c>
      <c r="M28" s="200">
        <f t="shared" si="41"/>
        <v>0</v>
      </c>
      <c r="N28" s="200">
        <f t="shared" si="41"/>
        <v>0</v>
      </c>
      <c r="O28" s="200">
        <f t="shared" si="41"/>
        <v>0</v>
      </c>
    </row>
    <row r="30" spans="2:15" x14ac:dyDescent="0.25">
      <c r="B30" s="205" t="s">
        <v>165</v>
      </c>
      <c r="C30" s="189"/>
      <c r="D30" s="307" t="s">
        <v>124</v>
      </c>
      <c r="E30" s="308"/>
      <c r="F30" s="308"/>
      <c r="G30" s="308"/>
      <c r="H30" s="308"/>
      <c r="J30" s="189"/>
      <c r="K30" s="307" t="s">
        <v>124</v>
      </c>
      <c r="L30" s="308"/>
      <c r="M30" s="308"/>
      <c r="N30" s="308"/>
      <c r="O30" s="308"/>
    </row>
    <row r="31" spans="2:15" x14ac:dyDescent="0.25">
      <c r="B31" s="206" t="s">
        <v>92</v>
      </c>
      <c r="C31" s="207">
        <f>'Proposed price'!Y18</f>
        <v>1652.1695619223199</v>
      </c>
      <c r="D31" s="208">
        <f>C31*D$1</f>
        <v>1652.1695619223199</v>
      </c>
      <c r="E31" s="208">
        <f t="shared" ref="E31:H31" si="42">D31*E$1</f>
        <v>1652.1695619223199</v>
      </c>
      <c r="F31" s="208">
        <f t="shared" si="42"/>
        <v>1670.3434271034653</v>
      </c>
      <c r="G31" s="208">
        <f t="shared" si="42"/>
        <v>1708.9818112592225</v>
      </c>
      <c r="H31" s="208">
        <f t="shared" si="42"/>
        <v>1766.6985238938501</v>
      </c>
      <c r="J31" s="207">
        <f>'Proposed price'!Y37</f>
        <v>2157.3810435619798</v>
      </c>
      <c r="K31" s="208">
        <f>J31*K$1</f>
        <v>2157.3810435619798</v>
      </c>
      <c r="L31" s="208">
        <f t="shared" ref="L31:O31" si="43">K31*L$1</f>
        <v>2157.3810435619798</v>
      </c>
      <c r="M31" s="208">
        <f t="shared" si="43"/>
        <v>2181.1122350411615</v>
      </c>
      <c r="N31" s="208">
        <f t="shared" si="43"/>
        <v>2231.5657232621334</v>
      </c>
      <c r="O31" s="208">
        <f t="shared" si="43"/>
        <v>2306.9314391089879</v>
      </c>
    </row>
    <row r="32" spans="2:15" x14ac:dyDescent="0.25">
      <c r="B32" s="206" t="s">
        <v>93</v>
      </c>
      <c r="C32" s="207">
        <f>'Proposed price'!Z18</f>
        <v>138.12705401842422</v>
      </c>
      <c r="D32" s="208">
        <f>C32</f>
        <v>138.12705401842422</v>
      </c>
      <c r="E32" s="208">
        <f>D32</f>
        <v>138.12705401842422</v>
      </c>
      <c r="F32" s="208">
        <f t="shared" ref="F32:H32" si="44">E32</f>
        <v>138.12705401842422</v>
      </c>
      <c r="G32" s="208">
        <f t="shared" si="44"/>
        <v>138.12705401842422</v>
      </c>
      <c r="H32" s="208">
        <f t="shared" si="44"/>
        <v>138.12705401842422</v>
      </c>
      <c r="J32" s="207">
        <f>'Proposed price'!Z37</f>
        <v>138.12705401842422</v>
      </c>
      <c r="K32" s="208">
        <f>J32</f>
        <v>138.12705401842422</v>
      </c>
      <c r="L32" s="208">
        <f t="shared" ref="L32:O33" si="45">K32</f>
        <v>138.12705401842422</v>
      </c>
      <c r="M32" s="208">
        <f t="shared" si="45"/>
        <v>138.12705401842422</v>
      </c>
      <c r="N32" s="208">
        <f t="shared" si="45"/>
        <v>138.12705401842422</v>
      </c>
      <c r="O32" s="208">
        <f t="shared" si="45"/>
        <v>138.12705401842422</v>
      </c>
    </row>
    <row r="33" spans="2:15" x14ac:dyDescent="0.25">
      <c r="B33" s="206" t="s">
        <v>94</v>
      </c>
      <c r="C33" s="207">
        <f>'Proposed price'!AA18</f>
        <v>0</v>
      </c>
      <c r="D33" s="208">
        <f>C33</f>
        <v>0</v>
      </c>
      <c r="E33" s="208">
        <f t="shared" ref="E33:H33" si="46">D33</f>
        <v>0</v>
      </c>
      <c r="F33" s="208">
        <f t="shared" si="46"/>
        <v>0</v>
      </c>
      <c r="G33" s="208">
        <f t="shared" si="46"/>
        <v>0</v>
      </c>
      <c r="H33" s="208">
        <f t="shared" si="46"/>
        <v>0</v>
      </c>
      <c r="J33" s="207">
        <f>'Proposed price'!AA37</f>
        <v>0</v>
      </c>
      <c r="K33" s="208">
        <f>J33</f>
        <v>0</v>
      </c>
      <c r="L33" s="208">
        <f t="shared" si="45"/>
        <v>0</v>
      </c>
      <c r="M33" s="208">
        <f t="shared" si="45"/>
        <v>0</v>
      </c>
      <c r="N33" s="208">
        <f t="shared" si="45"/>
        <v>0</v>
      </c>
      <c r="O33" s="208">
        <f t="shared" si="45"/>
        <v>0</v>
      </c>
    </row>
    <row r="34" spans="2:15" x14ac:dyDescent="0.25">
      <c r="B34" s="209" t="s">
        <v>121</v>
      </c>
      <c r="C34" s="318">
        <f>'Proposed price'!AD18</f>
        <v>1790.2966159407438</v>
      </c>
      <c r="D34" s="199">
        <f>SUM(D31:D33)</f>
        <v>1790.296615940744</v>
      </c>
      <c r="E34" s="199">
        <f t="shared" ref="E34:H34" si="47">SUM(E31:E33)</f>
        <v>1790.296615940744</v>
      </c>
      <c r="F34" s="199">
        <f t="shared" si="47"/>
        <v>1808.4704811218894</v>
      </c>
      <c r="G34" s="199">
        <f t="shared" si="47"/>
        <v>1847.1088652776466</v>
      </c>
      <c r="H34" s="199">
        <f t="shared" si="47"/>
        <v>1904.8255779122742</v>
      </c>
      <c r="I34" s="188"/>
      <c r="J34" s="318">
        <f>'Proposed price'!AD37</f>
        <v>2295.5080975804044</v>
      </c>
      <c r="K34" s="199">
        <f>SUM(K31:K33)</f>
        <v>2295.508097580404</v>
      </c>
      <c r="L34" s="199">
        <f t="shared" ref="L34:O34" si="48">SUM(L31:L33)</f>
        <v>2295.508097580404</v>
      </c>
      <c r="M34" s="199">
        <f t="shared" si="48"/>
        <v>2319.2392890595856</v>
      </c>
      <c r="N34" s="199">
        <f t="shared" si="48"/>
        <v>2369.6927772805575</v>
      </c>
      <c r="O34" s="199">
        <f t="shared" si="48"/>
        <v>2445.058493127412</v>
      </c>
    </row>
    <row r="35" spans="2:15" x14ac:dyDescent="0.25">
      <c r="B35" s="206" t="s">
        <v>98</v>
      </c>
      <c r="C35" s="207">
        <f>'Proposed price'!AE18</f>
        <v>834.14683587519323</v>
      </c>
      <c r="D35" s="208">
        <f>D34*D$3</f>
        <v>834.14683587519346</v>
      </c>
      <c r="E35" s="208">
        <f t="shared" ref="E35:H35" si="49">E34*E$3</f>
        <v>834.14683587519346</v>
      </c>
      <c r="F35" s="208">
        <f t="shared" si="49"/>
        <v>842.61452329720692</v>
      </c>
      <c r="G35" s="208">
        <f t="shared" si="49"/>
        <v>860.61717470138171</v>
      </c>
      <c r="H35" s="208">
        <f t="shared" si="49"/>
        <v>887.50892704712032</v>
      </c>
      <c r="J35" s="207">
        <f>'Proposed price'!AE37</f>
        <v>1069.5383096149224</v>
      </c>
      <c r="K35" s="208">
        <f>K34*K$3</f>
        <v>1069.5383096149221</v>
      </c>
      <c r="L35" s="208">
        <f t="shared" ref="L35:O35" si="50">L34*L$3</f>
        <v>1069.5383096149221</v>
      </c>
      <c r="M35" s="208">
        <f t="shared" si="50"/>
        <v>1080.5953032480727</v>
      </c>
      <c r="N35" s="208">
        <f t="shared" si="50"/>
        <v>1104.1029260540708</v>
      </c>
      <c r="O35" s="208">
        <f t="shared" si="50"/>
        <v>1139.2178186631309</v>
      </c>
    </row>
    <row r="36" spans="2:15" x14ac:dyDescent="0.25">
      <c r="B36" s="206" t="s">
        <v>99</v>
      </c>
      <c r="C36" s="207">
        <f>'Proposed price'!AF18</f>
        <v>287.12344791189258</v>
      </c>
      <c r="D36" s="208">
        <f>D34*D$4</f>
        <v>287.12344791189253</v>
      </c>
      <c r="E36" s="208">
        <f t="shared" ref="E36:H36" si="51">E34*E$4</f>
        <v>287.12344791189253</v>
      </c>
      <c r="F36" s="208">
        <f t="shared" si="51"/>
        <v>290.03812852192897</v>
      </c>
      <c r="G36" s="208">
        <f t="shared" si="51"/>
        <v>296.23485926574244</v>
      </c>
      <c r="H36" s="208">
        <f t="shared" si="51"/>
        <v>305.49132625911062</v>
      </c>
      <c r="J36" s="207">
        <f>'Proposed price'!AF37</f>
        <v>368.14804531182222</v>
      </c>
      <c r="K36" s="208">
        <f>K34*K$4</f>
        <v>368.14804531182205</v>
      </c>
      <c r="L36" s="208">
        <f t="shared" ref="L36:O36" si="52">L34*L$4</f>
        <v>368.14804531182205</v>
      </c>
      <c r="M36" s="208">
        <f t="shared" si="52"/>
        <v>371.9539964932577</v>
      </c>
      <c r="N36" s="208">
        <f t="shared" si="52"/>
        <v>380.04560509498396</v>
      </c>
      <c r="O36" s="208">
        <f t="shared" si="52"/>
        <v>392.13257660329242</v>
      </c>
    </row>
    <row r="37" spans="2:15" x14ac:dyDescent="0.25">
      <c r="B37" s="206" t="s">
        <v>100</v>
      </c>
      <c r="C37" s="207">
        <f>'Proposed price'!AG18</f>
        <v>184.65157278073903</v>
      </c>
      <c r="D37" s="208">
        <f>SUM(D34:D36)*D$5</f>
        <v>184.65157278073897</v>
      </c>
      <c r="E37" s="208">
        <f t="shared" ref="E37:H37" si="53">SUM(E34:E36)*E$5</f>
        <v>184.65157278073897</v>
      </c>
      <c r="F37" s="208">
        <f t="shared" si="53"/>
        <v>186.52602909111985</v>
      </c>
      <c r="G37" s="208">
        <f t="shared" si="53"/>
        <v>190.51120023010338</v>
      </c>
      <c r="H37" s="208">
        <f t="shared" si="53"/>
        <v>196.46411421587763</v>
      </c>
      <c r="J37" s="207">
        <f>'Proposed price'!AG37</f>
        <v>236.75919217800336</v>
      </c>
      <c r="K37" s="208">
        <f>SUM(K34:K36)*K$5</f>
        <v>236.75919217800336</v>
      </c>
      <c r="L37" s="208">
        <f t="shared" ref="L37:O37" si="54">SUM(L34:L36)*L$5</f>
        <v>236.75919217800336</v>
      </c>
      <c r="M37" s="208">
        <f t="shared" si="54"/>
        <v>239.20683230175413</v>
      </c>
      <c r="N37" s="208">
        <f t="shared" si="54"/>
        <v>244.41061578060601</v>
      </c>
      <c r="O37" s="208">
        <f t="shared" si="54"/>
        <v>252.18385170193704</v>
      </c>
    </row>
    <row r="38" spans="2:15" s="188" customFormat="1" x14ac:dyDescent="0.25">
      <c r="B38" s="210" t="s">
        <v>125</v>
      </c>
      <c r="C38" s="211">
        <f>'Proposed price'!AH18</f>
        <v>3096.2184725085694</v>
      </c>
      <c r="D38" s="212">
        <f>SUM(D34:D37)</f>
        <v>3096.218472508569</v>
      </c>
      <c r="E38" s="212">
        <f t="shared" ref="E38:H38" si="55">SUM(E34:E37)</f>
        <v>3096.218472508569</v>
      </c>
      <c r="F38" s="212">
        <f t="shared" si="55"/>
        <v>3127.6491620321453</v>
      </c>
      <c r="G38" s="212">
        <f t="shared" si="55"/>
        <v>3194.4720994748745</v>
      </c>
      <c r="H38" s="212">
        <f t="shared" si="55"/>
        <v>3294.2899454343828</v>
      </c>
      <c r="J38" s="211">
        <f>'Proposed price'!AH37</f>
        <v>3969.9536446851525</v>
      </c>
      <c r="K38" s="212">
        <f>SUM(K34:K37)</f>
        <v>3969.9536446851516</v>
      </c>
      <c r="L38" s="212">
        <f t="shared" ref="L38:O38" si="56">SUM(L34:L37)</f>
        <v>3969.9536446851516</v>
      </c>
      <c r="M38" s="212">
        <f t="shared" si="56"/>
        <v>4010.9954211026707</v>
      </c>
      <c r="N38" s="212">
        <f t="shared" si="56"/>
        <v>4098.251924210218</v>
      </c>
      <c r="O38" s="212">
        <f t="shared" si="56"/>
        <v>4228.5927400957726</v>
      </c>
    </row>
    <row r="39" spans="2:15" x14ac:dyDescent="0.25">
      <c r="B39" s="213" t="s">
        <v>126</v>
      </c>
      <c r="C39" s="208"/>
      <c r="D39" s="214">
        <f>'Forecast Revenue - Costs'!D$14</f>
        <v>2</v>
      </c>
      <c r="E39" s="214">
        <f>'Forecast Revenue - Costs'!E$14</f>
        <v>4</v>
      </c>
      <c r="F39" s="214">
        <f>'Forecast Revenue - Costs'!F$14</f>
        <v>6</v>
      </c>
      <c r="G39" s="214">
        <f>'Forecast Revenue - Costs'!G$14</f>
        <v>8</v>
      </c>
      <c r="H39" s="214">
        <f>'Forecast Revenue - Costs'!H$14</f>
        <v>10</v>
      </c>
      <c r="J39" s="208"/>
      <c r="K39" s="214"/>
      <c r="L39" s="214"/>
      <c r="M39" s="214"/>
      <c r="N39" s="214"/>
      <c r="O39" s="214"/>
    </row>
    <row r="40" spans="2:15" s="188" customFormat="1" x14ac:dyDescent="0.25">
      <c r="B40" s="201" t="s">
        <v>127</v>
      </c>
      <c r="C40" s="199"/>
      <c r="D40" s="200">
        <f>D38*D39</f>
        <v>6192.436945017138</v>
      </c>
      <c r="E40" s="200">
        <f t="shared" ref="E40:H40" si="57">E38*E39</f>
        <v>12384.873890034276</v>
      </c>
      <c r="F40" s="200">
        <f t="shared" si="57"/>
        <v>18765.894972192873</v>
      </c>
      <c r="G40" s="200">
        <f t="shared" si="57"/>
        <v>25555.776795798996</v>
      </c>
      <c r="H40" s="200">
        <f t="shared" si="57"/>
        <v>32942.899454343831</v>
      </c>
      <c r="J40" s="199"/>
      <c r="K40" s="200">
        <f>K39*K38</f>
        <v>0</v>
      </c>
      <c r="L40" s="200">
        <f t="shared" ref="L40:O40" si="58">L39*L38</f>
        <v>0</v>
      </c>
      <c r="M40" s="200">
        <f t="shared" si="58"/>
        <v>0</v>
      </c>
      <c r="N40" s="200">
        <f t="shared" si="58"/>
        <v>0</v>
      </c>
      <c r="O40" s="200">
        <f t="shared" si="58"/>
        <v>0</v>
      </c>
    </row>
    <row r="42" spans="2:15" x14ac:dyDescent="0.25">
      <c r="B42" s="205" t="s">
        <v>147</v>
      </c>
      <c r="C42" s="189"/>
      <c r="D42" s="307" t="s">
        <v>124</v>
      </c>
      <c r="E42" s="308"/>
      <c r="F42" s="308"/>
      <c r="G42" s="308"/>
      <c r="H42" s="308"/>
      <c r="J42" s="189"/>
      <c r="K42" s="307" t="s">
        <v>124</v>
      </c>
      <c r="L42" s="308"/>
      <c r="M42" s="308"/>
      <c r="N42" s="308"/>
      <c r="O42" s="308"/>
    </row>
    <row r="43" spans="2:15" x14ac:dyDescent="0.25">
      <c r="B43" s="206" t="s">
        <v>92</v>
      </c>
      <c r="C43" s="207">
        <f>'Proposed price'!AP18</f>
        <v>516.30298810072497</v>
      </c>
      <c r="D43" s="208">
        <f>C43*D$1</f>
        <v>516.30298810072497</v>
      </c>
      <c r="E43" s="208">
        <f t="shared" ref="E43:H43" si="59">D43*E$1</f>
        <v>516.30298810072497</v>
      </c>
      <c r="F43" s="208">
        <f t="shared" si="59"/>
        <v>521.98232096983293</v>
      </c>
      <c r="G43" s="208">
        <f t="shared" si="59"/>
        <v>534.05681601850711</v>
      </c>
      <c r="H43" s="208">
        <f t="shared" si="59"/>
        <v>552.09328871682828</v>
      </c>
      <c r="J43" s="207">
        <f>'Proposed price'!AP37</f>
        <v>760.48853755989433</v>
      </c>
      <c r="K43" s="208">
        <f>J43*K$1</f>
        <v>760.48853755989433</v>
      </c>
      <c r="L43" s="208">
        <f t="shared" ref="L43:O43" si="60">K43*L$1</f>
        <v>760.48853755989433</v>
      </c>
      <c r="M43" s="208">
        <f t="shared" si="60"/>
        <v>768.85391147305313</v>
      </c>
      <c r="N43" s="208">
        <f t="shared" si="60"/>
        <v>786.63904015324772</v>
      </c>
      <c r="O43" s="208">
        <f t="shared" si="60"/>
        <v>813.20586440414525</v>
      </c>
    </row>
    <row r="44" spans="2:15" x14ac:dyDescent="0.25">
      <c r="B44" s="206" t="s">
        <v>93</v>
      </c>
      <c r="C44" s="207">
        <f>'Proposed price'!AQ18</f>
        <v>67.090283380377485</v>
      </c>
      <c r="D44" s="208">
        <f>C44</f>
        <v>67.090283380377485</v>
      </c>
      <c r="E44" s="208">
        <f t="shared" ref="E44:H44" si="61">D44</f>
        <v>67.090283380377485</v>
      </c>
      <c r="F44" s="208">
        <f t="shared" si="61"/>
        <v>67.090283380377485</v>
      </c>
      <c r="G44" s="208">
        <f t="shared" si="61"/>
        <v>67.090283380377485</v>
      </c>
      <c r="H44" s="208">
        <f t="shared" si="61"/>
        <v>67.090283380377485</v>
      </c>
      <c r="J44" s="207">
        <f>'Proposed price'!AQ37</f>
        <v>67.090283380377485</v>
      </c>
      <c r="K44" s="208">
        <f>J44</f>
        <v>67.090283380377485</v>
      </c>
      <c r="L44" s="208">
        <f t="shared" ref="L44:O45" si="62">K44</f>
        <v>67.090283380377485</v>
      </c>
      <c r="M44" s="208">
        <f t="shared" si="62"/>
        <v>67.090283380377485</v>
      </c>
      <c r="N44" s="208">
        <f t="shared" si="62"/>
        <v>67.090283380377485</v>
      </c>
      <c r="O44" s="208">
        <f t="shared" si="62"/>
        <v>67.090283380377485</v>
      </c>
    </row>
    <row r="45" spans="2:15" x14ac:dyDescent="0.25">
      <c r="B45" s="206" t="s">
        <v>94</v>
      </c>
      <c r="C45" s="207">
        <f>'Proposed price'!AR18</f>
        <v>0</v>
      </c>
      <c r="D45" s="208">
        <f>C45</f>
        <v>0</v>
      </c>
      <c r="E45" s="208">
        <f t="shared" ref="E45:H45" si="63">D45</f>
        <v>0</v>
      </c>
      <c r="F45" s="208">
        <f t="shared" si="63"/>
        <v>0</v>
      </c>
      <c r="G45" s="208">
        <f t="shared" si="63"/>
        <v>0</v>
      </c>
      <c r="H45" s="208">
        <f t="shared" si="63"/>
        <v>0</v>
      </c>
      <c r="J45" s="207">
        <f>'Proposed price'!AR37</f>
        <v>0</v>
      </c>
      <c r="K45" s="208">
        <f>J45</f>
        <v>0</v>
      </c>
      <c r="L45" s="208">
        <f t="shared" si="62"/>
        <v>0</v>
      </c>
      <c r="M45" s="208">
        <f t="shared" si="62"/>
        <v>0</v>
      </c>
      <c r="N45" s="208">
        <f t="shared" si="62"/>
        <v>0</v>
      </c>
      <c r="O45" s="208">
        <f t="shared" si="62"/>
        <v>0</v>
      </c>
    </row>
    <row r="46" spans="2:15" x14ac:dyDescent="0.25">
      <c r="B46" s="209" t="s">
        <v>121</v>
      </c>
      <c r="C46" s="318">
        <f>'Proposed price'!AU18</f>
        <v>583.39327148110249</v>
      </c>
      <c r="D46" s="199">
        <f>SUM(D43:D45)</f>
        <v>583.39327148110249</v>
      </c>
      <c r="E46" s="199">
        <f t="shared" ref="E46:H46" si="64">SUM(E43:E45)</f>
        <v>583.39327148110249</v>
      </c>
      <c r="F46" s="199">
        <f t="shared" si="64"/>
        <v>589.07260435021044</v>
      </c>
      <c r="G46" s="199">
        <f t="shared" si="64"/>
        <v>601.14709939888462</v>
      </c>
      <c r="H46" s="199">
        <f t="shared" si="64"/>
        <v>619.1835720972058</v>
      </c>
      <c r="I46" s="188"/>
      <c r="J46" s="318">
        <f>'Proposed price'!AU37</f>
        <v>827.57882094027161</v>
      </c>
      <c r="K46" s="199">
        <f>SUM(K43:K45)</f>
        <v>827.57882094027184</v>
      </c>
      <c r="L46" s="199">
        <f t="shared" ref="L46:O46" si="65">SUM(L43:L45)</f>
        <v>827.57882094027184</v>
      </c>
      <c r="M46" s="199">
        <f t="shared" si="65"/>
        <v>835.94419485343064</v>
      </c>
      <c r="N46" s="199">
        <f t="shared" si="65"/>
        <v>853.72932353362523</v>
      </c>
      <c r="O46" s="199">
        <f t="shared" si="65"/>
        <v>880.29614778452276</v>
      </c>
    </row>
    <row r="47" spans="2:15" x14ac:dyDescent="0.25">
      <c r="B47" s="206" t="s">
        <v>98</v>
      </c>
      <c r="C47" s="207">
        <f>'Proposed price'!AV18</f>
        <v>271.81845016286746</v>
      </c>
      <c r="D47" s="208">
        <f>D46*D$3</f>
        <v>271.81845016286746</v>
      </c>
      <c r="E47" s="208">
        <f t="shared" ref="E47:H47" si="66">E46*E$3</f>
        <v>271.81845016286746</v>
      </c>
      <c r="F47" s="208">
        <f t="shared" si="66"/>
        <v>274.46460248224668</v>
      </c>
      <c r="G47" s="208">
        <f t="shared" si="66"/>
        <v>280.09043104605132</v>
      </c>
      <c r="H47" s="208">
        <f t="shared" si="66"/>
        <v>288.49410365409466</v>
      </c>
      <c r="J47" s="207">
        <f>'Proposed price'!AV37</f>
        <v>385.59099580373629</v>
      </c>
      <c r="K47" s="208">
        <f>K46*K$3</f>
        <v>385.59099580373646</v>
      </c>
      <c r="L47" s="208">
        <f t="shared" ref="L47:O47" si="67">L46*L$3</f>
        <v>385.59099580373646</v>
      </c>
      <c r="M47" s="208">
        <f t="shared" si="67"/>
        <v>389.48864612516525</v>
      </c>
      <c r="N47" s="208">
        <f t="shared" si="67"/>
        <v>397.77521086651785</v>
      </c>
      <c r="O47" s="208">
        <f t="shared" si="67"/>
        <v>410.15340126849986</v>
      </c>
    </row>
    <row r="48" spans="2:15" x14ac:dyDescent="0.25">
      <c r="B48" s="206" t="s">
        <v>99</v>
      </c>
      <c r="C48" s="207">
        <f>'Proposed price'!AW18</f>
        <v>93.563204055007319</v>
      </c>
      <c r="D48" s="208">
        <f>D46*D$4</f>
        <v>93.563204055007333</v>
      </c>
      <c r="E48" s="208">
        <f t="shared" ref="E48:H48" si="68">E46*E$4</f>
        <v>93.563204055007333</v>
      </c>
      <c r="F48" s="208">
        <f t="shared" si="68"/>
        <v>94.474041745643717</v>
      </c>
      <c r="G48" s="208">
        <f t="shared" si="68"/>
        <v>96.410520103085446</v>
      </c>
      <c r="H48" s="208">
        <f t="shared" si="68"/>
        <v>99.303166038512998</v>
      </c>
      <c r="J48" s="207">
        <f>'Proposed price'!AW37</f>
        <v>132.72509279830663</v>
      </c>
      <c r="K48" s="208">
        <f>K46*K$4</f>
        <v>132.72509279830663</v>
      </c>
      <c r="L48" s="208">
        <f t="shared" ref="L48:O48" si="69">L46*L$4</f>
        <v>132.72509279830663</v>
      </c>
      <c r="M48" s="208">
        <f t="shared" si="69"/>
        <v>134.06671126511932</v>
      </c>
      <c r="N48" s="208">
        <f t="shared" si="69"/>
        <v>136.91904725388554</v>
      </c>
      <c r="O48" s="208">
        <f t="shared" si="69"/>
        <v>141.17977037153426</v>
      </c>
    </row>
    <row r="49" spans="2:15" x14ac:dyDescent="0.25">
      <c r="B49" s="206" t="s">
        <v>100</v>
      </c>
      <c r="C49" s="207">
        <f>'Proposed price'!AX18</f>
        <v>60.171305787829148</v>
      </c>
      <c r="D49" s="208">
        <f>SUM(D46:D48)*D$5</f>
        <v>60.171305787829141</v>
      </c>
      <c r="E49" s="208">
        <f t="shared" ref="E49:H49" si="70">SUM(E46:E48)*E$5</f>
        <v>60.171305787829141</v>
      </c>
      <c r="F49" s="208">
        <f t="shared" si="70"/>
        <v>60.757073384823158</v>
      </c>
      <c r="G49" s="208">
        <f t="shared" si="70"/>
        <v>62.002439365755521</v>
      </c>
      <c r="H49" s="208">
        <f t="shared" si="70"/>
        <v>63.862724986309978</v>
      </c>
      <c r="J49" s="207">
        <f>'Proposed price'!AX37</f>
        <v>85.356655163173556</v>
      </c>
      <c r="K49" s="208">
        <f>SUM(K46:K48)*K$5</f>
        <v>85.356655163173627</v>
      </c>
      <c r="L49" s="208">
        <f t="shared" ref="L49:O49" si="71">SUM(L46:L48)*L$5</f>
        <v>85.356655163173627</v>
      </c>
      <c r="M49" s="208">
        <f t="shared" si="71"/>
        <v>86.219461603296409</v>
      </c>
      <c r="N49" s="208">
        <f t="shared" si="71"/>
        <v>88.053823548498499</v>
      </c>
      <c r="O49" s="208">
        <f t="shared" si="71"/>
        <v>90.7939314379054</v>
      </c>
    </row>
    <row r="50" spans="2:15" x14ac:dyDescent="0.25">
      <c r="B50" s="210" t="s">
        <v>125</v>
      </c>
      <c r="C50" s="211">
        <f>'Proposed price'!AY18</f>
        <v>1008.9462314868064</v>
      </c>
      <c r="D50" s="212">
        <f>SUM(D46:D49)</f>
        <v>1008.9462314868064</v>
      </c>
      <c r="E50" s="212">
        <f t="shared" ref="E50:H50" si="72">SUM(E46:E49)</f>
        <v>1008.9462314868064</v>
      </c>
      <c r="F50" s="212">
        <f t="shared" si="72"/>
        <v>1018.7683219629239</v>
      </c>
      <c r="G50" s="212">
        <f t="shared" si="72"/>
        <v>1039.6504899137769</v>
      </c>
      <c r="H50" s="212">
        <f t="shared" si="72"/>
        <v>1070.8435667761235</v>
      </c>
      <c r="J50" s="211">
        <f>'Proposed price'!AY37</f>
        <v>1431.2515647054886</v>
      </c>
      <c r="K50" s="212">
        <f>SUM(K46:K49)</f>
        <v>1431.2515647054886</v>
      </c>
      <c r="L50" s="212">
        <f t="shared" ref="L50:O50" si="73">SUM(L46:L49)</f>
        <v>1431.2515647054886</v>
      </c>
      <c r="M50" s="212">
        <f t="shared" si="73"/>
        <v>1445.7190138470114</v>
      </c>
      <c r="N50" s="212">
        <f t="shared" si="73"/>
        <v>1476.4774052025271</v>
      </c>
      <c r="O50" s="212">
        <f t="shared" si="73"/>
        <v>1522.4232508624623</v>
      </c>
    </row>
    <row r="51" spans="2:15" x14ac:dyDescent="0.25">
      <c r="B51" s="213" t="s">
        <v>126</v>
      </c>
      <c r="C51" s="208"/>
      <c r="D51" s="214">
        <f>'Forecast Revenue - Costs'!D15</f>
        <v>2</v>
      </c>
      <c r="E51" s="214">
        <f>'Forecast Revenue - Costs'!E15</f>
        <v>4</v>
      </c>
      <c r="F51" s="214">
        <f>'Forecast Revenue - Costs'!F15</f>
        <v>6</v>
      </c>
      <c r="G51" s="214">
        <f>'Forecast Revenue - Costs'!G15</f>
        <v>8</v>
      </c>
      <c r="H51" s="214">
        <f>'Forecast Revenue - Costs'!H15</f>
        <v>10</v>
      </c>
      <c r="J51" s="208"/>
      <c r="K51" s="214"/>
      <c r="L51" s="214"/>
      <c r="M51" s="214"/>
      <c r="N51" s="214"/>
      <c r="O51" s="214"/>
    </row>
    <row r="52" spans="2:15" x14ac:dyDescent="0.25">
      <c r="B52" s="201" t="s">
        <v>127</v>
      </c>
      <c r="C52" s="199"/>
      <c r="D52" s="200">
        <f>D50*D51</f>
        <v>2017.8924629736127</v>
      </c>
      <c r="E52" s="200">
        <f t="shared" ref="E52:H52" si="74">E50*E51</f>
        <v>4035.7849259472255</v>
      </c>
      <c r="F52" s="200">
        <f t="shared" si="74"/>
        <v>6112.6099317775434</v>
      </c>
      <c r="G52" s="200">
        <f t="shared" si="74"/>
        <v>8317.2039193102155</v>
      </c>
      <c r="H52" s="200">
        <f t="shared" si="74"/>
        <v>10708.435667761234</v>
      </c>
      <c r="J52" s="199"/>
      <c r="K52" s="200">
        <f>K51*K50</f>
        <v>0</v>
      </c>
      <c r="L52" s="200">
        <f t="shared" ref="L52:O52" si="75">L51*L50</f>
        <v>0</v>
      </c>
      <c r="M52" s="200">
        <f t="shared" si="75"/>
        <v>0</v>
      </c>
      <c r="N52" s="200">
        <f t="shared" si="75"/>
        <v>0</v>
      </c>
      <c r="O52" s="200">
        <f t="shared" si="75"/>
        <v>0</v>
      </c>
    </row>
    <row r="54" spans="2:15" x14ac:dyDescent="0.25">
      <c r="B54" s="205" t="s">
        <v>161</v>
      </c>
      <c r="C54" s="189"/>
      <c r="D54" s="307" t="s">
        <v>124</v>
      </c>
      <c r="E54" s="308"/>
      <c r="F54" s="308"/>
      <c r="G54" s="308"/>
      <c r="H54" s="308"/>
      <c r="J54" s="189"/>
      <c r="K54" s="307" t="s">
        <v>124</v>
      </c>
      <c r="L54" s="308"/>
      <c r="M54" s="308"/>
      <c r="N54" s="308"/>
      <c r="O54" s="308"/>
    </row>
    <row r="55" spans="2:15" x14ac:dyDescent="0.25">
      <c r="B55" s="206" t="s">
        <v>92</v>
      </c>
      <c r="C55" s="207">
        <f>'Proposed price'!BG10</f>
        <v>103.26059762014499</v>
      </c>
      <c r="D55" s="208">
        <f>C55*D$1</f>
        <v>103.26059762014499</v>
      </c>
      <c r="E55" s="208">
        <f t="shared" ref="E55:H55" si="76">D55*E$1</f>
        <v>103.26059762014499</v>
      </c>
      <c r="F55" s="208">
        <f t="shared" si="76"/>
        <v>104.39646419396658</v>
      </c>
      <c r="G55" s="208">
        <f t="shared" si="76"/>
        <v>106.8113632037014</v>
      </c>
      <c r="H55" s="208">
        <f t="shared" si="76"/>
        <v>110.41865774336563</v>
      </c>
      <c r="J55" s="207">
        <f>'Proposed price'!BG29</f>
        <v>187.46251122675505</v>
      </c>
      <c r="K55" s="208">
        <f>J55*K$1</f>
        <v>187.46251122675505</v>
      </c>
      <c r="L55" s="208">
        <f t="shared" ref="L55:O55" si="77">K55*L$1</f>
        <v>187.46251122675505</v>
      </c>
      <c r="M55" s="208">
        <f t="shared" si="77"/>
        <v>189.52459885024933</v>
      </c>
      <c r="N55" s="208">
        <f t="shared" si="77"/>
        <v>193.90868187085329</v>
      </c>
      <c r="O55" s="208">
        <f t="shared" si="77"/>
        <v>200.45747694588869</v>
      </c>
    </row>
    <row r="56" spans="2:15" x14ac:dyDescent="0.25">
      <c r="B56" s="206" t="s">
        <v>93</v>
      </c>
      <c r="C56" s="207">
        <f>'Proposed price'!BH10</f>
        <v>19.732436288346317</v>
      </c>
      <c r="D56" s="208">
        <f>C56</f>
        <v>19.732436288346317</v>
      </c>
      <c r="E56" s="208">
        <f t="shared" ref="E56:H56" si="78">D56</f>
        <v>19.732436288346317</v>
      </c>
      <c r="F56" s="208">
        <f t="shared" si="78"/>
        <v>19.732436288346317</v>
      </c>
      <c r="G56" s="208">
        <f t="shared" si="78"/>
        <v>19.732436288346317</v>
      </c>
      <c r="H56" s="208">
        <f t="shared" si="78"/>
        <v>19.732436288346317</v>
      </c>
      <c r="J56" s="207">
        <f>'Proposed price'!BH29</f>
        <v>19.732436288346317</v>
      </c>
      <c r="K56" s="208">
        <f>J56</f>
        <v>19.732436288346317</v>
      </c>
      <c r="L56" s="208">
        <f t="shared" ref="L56:O57" si="79">K56</f>
        <v>19.732436288346317</v>
      </c>
      <c r="M56" s="208">
        <f t="shared" si="79"/>
        <v>19.732436288346317</v>
      </c>
      <c r="N56" s="208">
        <f t="shared" si="79"/>
        <v>19.732436288346317</v>
      </c>
      <c r="O56" s="208">
        <f t="shared" si="79"/>
        <v>19.732436288346317</v>
      </c>
    </row>
    <row r="57" spans="2:15" x14ac:dyDescent="0.25">
      <c r="B57" s="206" t="s">
        <v>94</v>
      </c>
      <c r="C57" s="207">
        <f>'Proposed price'!BI10</f>
        <v>0</v>
      </c>
      <c r="D57" s="208">
        <f>C57</f>
        <v>0</v>
      </c>
      <c r="E57" s="208">
        <f t="shared" ref="E57:H57" si="80">D57</f>
        <v>0</v>
      </c>
      <c r="F57" s="208">
        <f t="shared" si="80"/>
        <v>0</v>
      </c>
      <c r="G57" s="208">
        <f t="shared" si="80"/>
        <v>0</v>
      </c>
      <c r="H57" s="208">
        <f t="shared" si="80"/>
        <v>0</v>
      </c>
      <c r="J57" s="207">
        <f>'Proposed price'!BJ29</f>
        <v>0</v>
      </c>
      <c r="K57" s="208">
        <f>J57</f>
        <v>0</v>
      </c>
      <c r="L57" s="208">
        <f t="shared" si="79"/>
        <v>0</v>
      </c>
      <c r="M57" s="208">
        <f t="shared" si="79"/>
        <v>0</v>
      </c>
      <c r="N57" s="208">
        <f t="shared" si="79"/>
        <v>0</v>
      </c>
      <c r="O57" s="208">
        <f t="shared" si="79"/>
        <v>0</v>
      </c>
    </row>
    <row r="58" spans="2:15" x14ac:dyDescent="0.25">
      <c r="B58" s="209" t="s">
        <v>121</v>
      </c>
      <c r="C58" s="318">
        <f>'Proposed price'!BL10</f>
        <v>122.99303390849131</v>
      </c>
      <c r="D58" s="199">
        <f>SUM(D55:D57)</f>
        <v>122.99303390849131</v>
      </c>
      <c r="E58" s="199">
        <f t="shared" ref="E58:H58" si="81">SUM(E55:E57)</f>
        <v>122.99303390849131</v>
      </c>
      <c r="F58" s="199">
        <f t="shared" si="81"/>
        <v>124.1289004823129</v>
      </c>
      <c r="G58" s="199">
        <f t="shared" si="81"/>
        <v>126.54379949204773</v>
      </c>
      <c r="H58" s="199">
        <f t="shared" si="81"/>
        <v>130.15109403171195</v>
      </c>
      <c r="I58" s="188"/>
      <c r="J58" s="318">
        <f>'Proposed price'!BL29</f>
        <v>207.19494751510138</v>
      </c>
      <c r="K58" s="199">
        <f>SUM(K55:K57)</f>
        <v>207.19494751510138</v>
      </c>
      <c r="L58" s="199">
        <f t="shared" ref="L58:O58" si="82">SUM(L55:L57)</f>
        <v>207.19494751510138</v>
      </c>
      <c r="M58" s="199">
        <f t="shared" si="82"/>
        <v>209.25703513859565</v>
      </c>
      <c r="N58" s="199">
        <f t="shared" si="82"/>
        <v>213.64111815919961</v>
      </c>
      <c r="O58" s="199">
        <f t="shared" si="82"/>
        <v>220.18991323423501</v>
      </c>
    </row>
    <row r="59" spans="2:15" x14ac:dyDescent="0.25">
      <c r="B59" s="206" t="s">
        <v>98</v>
      </c>
      <c r="C59" s="207">
        <f>'Proposed price'!BM10</f>
        <v>57.305727529149344</v>
      </c>
      <c r="D59" s="208">
        <f>D58*D$3</f>
        <v>57.305727529149344</v>
      </c>
      <c r="E59" s="208">
        <f t="shared" ref="E59:H59" si="83">E58*E$3</f>
        <v>57.305727529149344</v>
      </c>
      <c r="F59" s="208">
        <f t="shared" si="83"/>
        <v>57.834957993025185</v>
      </c>
      <c r="G59" s="208">
        <f t="shared" si="83"/>
        <v>58.960123705786117</v>
      </c>
      <c r="H59" s="208">
        <f t="shared" si="83"/>
        <v>60.64085822739478</v>
      </c>
      <c r="J59" s="207">
        <f>'Proposed price'!BM29</f>
        <v>96.537639819104157</v>
      </c>
      <c r="K59" s="208">
        <f>K58*K$3</f>
        <v>96.537639819104157</v>
      </c>
      <c r="L59" s="208">
        <f t="shared" ref="L59:O59" si="84">L58*L$3</f>
        <v>96.537639819104157</v>
      </c>
      <c r="M59" s="208">
        <f t="shared" si="84"/>
        <v>97.498421318169491</v>
      </c>
      <c r="N59" s="208">
        <f t="shared" si="84"/>
        <v>99.541082264567649</v>
      </c>
      <c r="O59" s="208">
        <f t="shared" si="84"/>
        <v>102.59234016339654</v>
      </c>
    </row>
    <row r="60" spans="2:15" x14ac:dyDescent="0.25">
      <c r="B60" s="206" t="s">
        <v>99</v>
      </c>
      <c r="C60" s="207">
        <f>'Proposed price'!BN10</f>
        <v>19.725325764744216</v>
      </c>
      <c r="D60" s="208">
        <f>D58*D$4</f>
        <v>19.725325764744216</v>
      </c>
      <c r="E60" s="208">
        <f t="shared" ref="E60:H60" si="85">E58*E$4</f>
        <v>19.725325764744216</v>
      </c>
      <c r="F60" s="208">
        <f t="shared" si="85"/>
        <v>19.907493302871494</v>
      </c>
      <c r="G60" s="208">
        <f t="shared" si="85"/>
        <v>20.294788974359836</v>
      </c>
      <c r="H60" s="208">
        <f t="shared" si="85"/>
        <v>20.873318161445344</v>
      </c>
      <c r="J60" s="207">
        <f>'Proposed price'!BN29</f>
        <v>33.229425331399142</v>
      </c>
      <c r="K60" s="208">
        <f>K58*K$4</f>
        <v>33.229425331399142</v>
      </c>
      <c r="L60" s="208">
        <f t="shared" ref="L60:O60" si="86">L58*L$4</f>
        <v>33.229425331399142</v>
      </c>
      <c r="M60" s="208">
        <f t="shared" si="86"/>
        <v>33.560137964759619</v>
      </c>
      <c r="N60" s="208">
        <f t="shared" si="86"/>
        <v>34.263246612566761</v>
      </c>
      <c r="O60" s="208">
        <f t="shared" si="86"/>
        <v>35.313526552142328</v>
      </c>
    </row>
    <row r="61" spans="2:15" x14ac:dyDescent="0.25">
      <c r="B61" s="206" t="s">
        <v>100</v>
      </c>
      <c r="C61" s="207">
        <f>'Proposed price'!BO10</f>
        <v>12.685527610375249</v>
      </c>
      <c r="D61" s="208">
        <f>SUM(D58:D60)*D$5</f>
        <v>12.685527610375249</v>
      </c>
      <c r="E61" s="208">
        <f t="shared" ref="E61:H61" si="87">SUM(E58:E60)*E$5</f>
        <v>12.685527610375249</v>
      </c>
      <c r="F61" s="208">
        <f t="shared" si="87"/>
        <v>12.802681129774054</v>
      </c>
      <c r="G61" s="208">
        <f t="shared" si="87"/>
        <v>13.051754325960525</v>
      </c>
      <c r="H61" s="208">
        <f t="shared" si="87"/>
        <v>13.423811450071414</v>
      </c>
      <c r="J61" s="207">
        <f>'Proposed price'!BO29</f>
        <v>21.37013084325265</v>
      </c>
      <c r="K61" s="208">
        <f>SUM(K58:K60)*K$5</f>
        <v>21.37013084325265</v>
      </c>
      <c r="L61" s="208">
        <f t="shared" ref="L61:O61" si="88">SUM(L58:L60)*L$5</f>
        <v>21.37013084325265</v>
      </c>
      <c r="M61" s="208">
        <f t="shared" si="88"/>
        <v>21.582814998213102</v>
      </c>
      <c r="N61" s="208">
        <f t="shared" si="88"/>
        <v>22.034990251044306</v>
      </c>
      <c r="O61" s="208">
        <f t="shared" si="88"/>
        <v>22.71043436441466</v>
      </c>
    </row>
    <row r="62" spans="2:15" x14ac:dyDescent="0.25">
      <c r="B62" s="210" t="s">
        <v>125</v>
      </c>
      <c r="C62" s="211">
        <f>'Proposed price'!BP10</f>
        <v>212.70961481276012</v>
      </c>
      <c r="D62" s="212">
        <f>SUM(D58:D61)</f>
        <v>212.70961481276012</v>
      </c>
      <c r="E62" s="212">
        <f t="shared" ref="E62:H62" si="89">SUM(E58:E61)</f>
        <v>212.70961481276012</v>
      </c>
      <c r="F62" s="212">
        <f t="shared" si="89"/>
        <v>214.67403290798364</v>
      </c>
      <c r="G62" s="212">
        <f t="shared" si="89"/>
        <v>218.85046649815422</v>
      </c>
      <c r="H62" s="212">
        <f t="shared" si="89"/>
        <v>225.08908187062349</v>
      </c>
      <c r="J62" s="211">
        <f>'Proposed price'!BP29</f>
        <v>358.33214350885731</v>
      </c>
      <c r="K62" s="212">
        <f>SUM(K58:K61)</f>
        <v>358.33214350885731</v>
      </c>
      <c r="L62" s="212">
        <f t="shared" ref="L62:O62" si="90">SUM(L58:L61)</f>
        <v>358.33214350885731</v>
      </c>
      <c r="M62" s="212">
        <f t="shared" si="90"/>
        <v>361.8984094197379</v>
      </c>
      <c r="N62" s="212">
        <f t="shared" si="90"/>
        <v>369.48043728737832</v>
      </c>
      <c r="O62" s="212">
        <f t="shared" si="90"/>
        <v>380.80621431418854</v>
      </c>
    </row>
    <row r="63" spans="2:15" x14ac:dyDescent="0.25">
      <c r="B63" s="213" t="s">
        <v>126</v>
      </c>
      <c r="C63" s="208"/>
      <c r="D63" s="214">
        <f>'Forecast Revenue - Costs'!D16</f>
        <v>40</v>
      </c>
      <c r="E63" s="214">
        <f>'Forecast Revenue - Costs'!E16</f>
        <v>40</v>
      </c>
      <c r="F63" s="214">
        <f>'Forecast Revenue - Costs'!F16</f>
        <v>60</v>
      </c>
      <c r="G63" s="214">
        <f>'Forecast Revenue - Costs'!G16</f>
        <v>80</v>
      </c>
      <c r="H63" s="214">
        <f>'Forecast Revenue - Costs'!H16</f>
        <v>100</v>
      </c>
      <c r="J63" s="208"/>
      <c r="K63" s="214"/>
      <c r="L63" s="214"/>
      <c r="M63" s="214"/>
      <c r="N63" s="214"/>
      <c r="O63" s="214"/>
    </row>
    <row r="64" spans="2:15" x14ac:dyDescent="0.25">
      <c r="B64" s="201" t="s">
        <v>127</v>
      </c>
      <c r="C64" s="199"/>
      <c r="D64" s="200">
        <f>D62*D63</f>
        <v>8508.3845925104051</v>
      </c>
      <c r="E64" s="200">
        <f t="shared" ref="E64:H64" si="91">E62*E63</f>
        <v>8508.3845925104051</v>
      </c>
      <c r="F64" s="200">
        <f t="shared" si="91"/>
        <v>12880.441974479019</v>
      </c>
      <c r="G64" s="200">
        <f t="shared" si="91"/>
        <v>17508.037319852338</v>
      </c>
      <c r="H64" s="200">
        <f t="shared" si="91"/>
        <v>22508.908187062349</v>
      </c>
      <c r="J64" s="199"/>
      <c r="K64" s="200">
        <f>K63*K62</f>
        <v>0</v>
      </c>
      <c r="L64" s="200">
        <f t="shared" ref="L64:O64" si="92">L63*L62</f>
        <v>0</v>
      </c>
      <c r="M64" s="200">
        <f t="shared" si="92"/>
        <v>0</v>
      </c>
      <c r="N64" s="200">
        <f t="shared" si="92"/>
        <v>0</v>
      </c>
      <c r="O64" s="200">
        <f t="shared" si="92"/>
        <v>0</v>
      </c>
    </row>
  </sheetData>
  <mergeCells count="10">
    <mergeCell ref="D42:H42"/>
    <mergeCell ref="K42:O42"/>
    <mergeCell ref="D54:H54"/>
    <mergeCell ref="K54:O54"/>
    <mergeCell ref="D6:H6"/>
    <mergeCell ref="J6:O6"/>
    <mergeCell ref="D18:H18"/>
    <mergeCell ref="K18:O18"/>
    <mergeCell ref="D30:H30"/>
    <mergeCell ref="K30:O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8"/>
  <sheetViews>
    <sheetView showGridLines="0" zoomScale="90" zoomScaleNormal="90" workbookViewId="0">
      <selection activeCell="B41" sqref="B41"/>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5" t="s">
        <v>51</v>
      </c>
      <c r="C2" s="26"/>
      <c r="D2" s="26"/>
      <c r="E2" s="26"/>
      <c r="F2" s="26"/>
      <c r="G2" s="26"/>
      <c r="H2" s="26"/>
      <c r="I2" s="26"/>
    </row>
    <row r="3" spans="2:9" x14ac:dyDescent="0.25">
      <c r="B3" s="1"/>
      <c r="C3" s="1"/>
      <c r="D3" s="1"/>
      <c r="E3" s="1"/>
      <c r="F3" s="1"/>
      <c r="G3" s="1"/>
      <c r="H3" s="1"/>
      <c r="I3" s="1"/>
    </row>
    <row r="4" spans="2:9" x14ac:dyDescent="0.25">
      <c r="B4" s="3" t="s">
        <v>75</v>
      </c>
      <c r="C4" s="3" t="s">
        <v>3</v>
      </c>
      <c r="D4" s="66" t="s">
        <v>60</v>
      </c>
      <c r="E4" s="66" t="s">
        <v>61</v>
      </c>
      <c r="F4" s="66" t="s">
        <v>62</v>
      </c>
      <c r="G4" s="66" t="s">
        <v>76</v>
      </c>
      <c r="H4" s="114" t="s">
        <v>63</v>
      </c>
      <c r="I4" s="4" t="s">
        <v>1</v>
      </c>
    </row>
    <row r="5" spans="2:9" x14ac:dyDescent="0.25">
      <c r="B5" s="118" t="s">
        <v>148</v>
      </c>
      <c r="C5" s="11" t="s">
        <v>145</v>
      </c>
      <c r="D5" s="28">
        <f>'Forecasts by year'!D$28</f>
        <v>5409.8507889873408</v>
      </c>
      <c r="E5" s="28">
        <f>'Forecasts by year'!E$28</f>
        <v>10819.701577974682</v>
      </c>
      <c r="F5" s="28">
        <f>'Forecasts by year'!F$28</f>
        <v>16394.563486960793</v>
      </c>
      <c r="G5" s="28">
        <f>'Forecasts by year'!G$28</f>
        <v>22327.178544713493</v>
      </c>
      <c r="H5" s="28">
        <f>'Forecasts by year'!H$28</f>
        <v>28782.37933303757</v>
      </c>
      <c r="I5" s="171">
        <f t="shared" ref="I5:I8" si="0">SUM(D5:H5)</f>
        <v>83733.673731673887</v>
      </c>
    </row>
    <row r="6" spans="2:9" x14ac:dyDescent="0.25">
      <c r="B6" s="11"/>
      <c r="C6" s="11" t="s">
        <v>146</v>
      </c>
      <c r="D6" s="6">
        <f>'Forecasts by year'!D$40</f>
        <v>6192.436945017138</v>
      </c>
      <c r="E6" s="6">
        <f>'Forecasts by year'!E$40</f>
        <v>12384.873890034276</v>
      </c>
      <c r="F6" s="6">
        <f>'Forecasts by year'!F$40</f>
        <v>18765.894972192873</v>
      </c>
      <c r="G6" s="6">
        <f>'Forecasts by year'!G$40</f>
        <v>25555.776795798996</v>
      </c>
      <c r="H6" s="6">
        <f>'Forecasts by year'!H$40</f>
        <v>32942.899454343831</v>
      </c>
      <c r="I6" s="171">
        <f t="shared" si="0"/>
        <v>95841.88205738712</v>
      </c>
    </row>
    <row r="7" spans="2:9" x14ac:dyDescent="0.25">
      <c r="B7" s="11"/>
      <c r="C7" s="11" t="s">
        <v>147</v>
      </c>
      <c r="D7" s="6">
        <f>'Forecasts by year'!D$52</f>
        <v>2017.8924629736127</v>
      </c>
      <c r="E7" s="6">
        <f>'Forecasts by year'!E$52</f>
        <v>4035.7849259472255</v>
      </c>
      <c r="F7" s="6">
        <f>'Forecasts by year'!F$52</f>
        <v>6112.6099317775434</v>
      </c>
      <c r="G7" s="6">
        <f>'Forecasts by year'!G$52</f>
        <v>8317.2039193102155</v>
      </c>
      <c r="H7" s="6">
        <f>'Forecasts by year'!H$52</f>
        <v>10708.435667761234</v>
      </c>
      <c r="I7" s="171">
        <f t="shared" si="0"/>
        <v>31191.92690776983</v>
      </c>
    </row>
    <row r="8" spans="2:9" x14ac:dyDescent="0.25">
      <c r="B8" s="11"/>
      <c r="C8" s="11" t="s">
        <v>160</v>
      </c>
      <c r="D8" s="6">
        <f>'Forecasts by year'!D$64</f>
        <v>8508.3845925104051</v>
      </c>
      <c r="E8" s="6">
        <f>'Forecasts by year'!E$64</f>
        <v>8508.3845925104051</v>
      </c>
      <c r="F8" s="6">
        <f>'Forecasts by year'!F$64</f>
        <v>12880.441974479019</v>
      </c>
      <c r="G8" s="6">
        <f>'Forecasts by year'!G$64</f>
        <v>17508.037319852338</v>
      </c>
      <c r="H8" s="6">
        <f>'Forecasts by year'!H$64</f>
        <v>22508.908187062349</v>
      </c>
      <c r="I8" s="171">
        <f t="shared" si="0"/>
        <v>69914.156666414521</v>
      </c>
    </row>
    <row r="9" spans="2:9" x14ac:dyDescent="0.25">
      <c r="B9" s="8" t="s">
        <v>1</v>
      </c>
      <c r="C9" s="9"/>
      <c r="D9" s="10">
        <f>SUM(D5:D8)</f>
        <v>22128.564789488497</v>
      </c>
      <c r="E9" s="10">
        <f>SUM(E5:E8)</f>
        <v>35748.74498646659</v>
      </c>
      <c r="F9" s="10">
        <f>SUM(F5:F8)</f>
        <v>54153.510365410235</v>
      </c>
      <c r="G9" s="10">
        <f>SUM(G5:G8)</f>
        <v>73708.196579675045</v>
      </c>
      <c r="H9" s="10">
        <f>SUM(H5:H8)</f>
        <v>94942.62264220498</v>
      </c>
      <c r="I9" s="10">
        <f>SUM(I5:I8)</f>
        <v>280681.63936324534</v>
      </c>
    </row>
    <row r="10" spans="2:9" x14ac:dyDescent="0.25">
      <c r="B10" s="1"/>
      <c r="C10" s="1"/>
      <c r="D10" s="1"/>
      <c r="E10" s="1"/>
      <c r="F10" s="1"/>
      <c r="G10" s="1"/>
      <c r="H10" s="1"/>
      <c r="I10" s="1"/>
    </row>
    <row r="11" spans="2:9" x14ac:dyDescent="0.25">
      <c r="B11" s="25" t="s">
        <v>27</v>
      </c>
      <c r="C11" s="26"/>
      <c r="D11" s="26"/>
      <c r="E11" s="26"/>
      <c r="F11" s="26"/>
      <c r="G11" s="26"/>
      <c r="H11" s="26"/>
      <c r="I11" s="26"/>
    </row>
    <row r="12" spans="2:9" x14ac:dyDescent="0.25">
      <c r="B12" s="3" t="s">
        <v>75</v>
      </c>
      <c r="C12" s="3" t="s">
        <v>3</v>
      </c>
      <c r="D12" s="66" t="s">
        <v>60</v>
      </c>
      <c r="E12" s="66" t="s">
        <v>61</v>
      </c>
      <c r="F12" s="66" t="s">
        <v>62</v>
      </c>
      <c r="G12" s="66" t="s">
        <v>76</v>
      </c>
      <c r="H12" s="114" t="s">
        <v>63</v>
      </c>
      <c r="I12" s="4" t="s">
        <v>1</v>
      </c>
    </row>
    <row r="13" spans="2:9" x14ac:dyDescent="0.25">
      <c r="B13" s="118" t="s">
        <v>148</v>
      </c>
      <c r="C13" s="11" t="s">
        <v>145</v>
      </c>
      <c r="D13" s="98">
        <v>2</v>
      </c>
      <c r="E13" s="98">
        <v>4</v>
      </c>
      <c r="F13" s="98">
        <v>6</v>
      </c>
      <c r="G13" s="98">
        <v>8</v>
      </c>
      <c r="H13" s="98">
        <v>10</v>
      </c>
      <c r="I13" s="172">
        <f>SUM(D13:H13)</f>
        <v>30</v>
      </c>
    </row>
    <row r="14" spans="2:9" x14ac:dyDescent="0.25">
      <c r="B14" s="11"/>
      <c r="C14" s="11" t="s">
        <v>146</v>
      </c>
      <c r="D14" s="98">
        <v>2</v>
      </c>
      <c r="E14" s="98">
        <v>4</v>
      </c>
      <c r="F14" s="98">
        <v>6</v>
      </c>
      <c r="G14" s="98">
        <v>8</v>
      </c>
      <c r="H14" s="98">
        <v>10</v>
      </c>
      <c r="I14" s="172">
        <f t="shared" ref="I14:I16" si="1">SUM(D14:H14)</f>
        <v>30</v>
      </c>
    </row>
    <row r="15" spans="2:9" x14ac:dyDescent="0.25">
      <c r="B15" s="11"/>
      <c r="C15" s="11" t="s">
        <v>147</v>
      </c>
      <c r="D15" s="98">
        <v>2</v>
      </c>
      <c r="E15" s="98">
        <v>4</v>
      </c>
      <c r="F15" s="98">
        <v>6</v>
      </c>
      <c r="G15" s="98">
        <v>8</v>
      </c>
      <c r="H15" s="98">
        <v>10</v>
      </c>
      <c r="I15" s="172">
        <f t="shared" si="1"/>
        <v>30</v>
      </c>
    </row>
    <row r="16" spans="2:9" x14ac:dyDescent="0.25">
      <c r="B16" s="11"/>
      <c r="C16" s="11" t="s">
        <v>166</v>
      </c>
      <c r="D16" s="12">
        <v>40</v>
      </c>
      <c r="E16" s="12">
        <v>40</v>
      </c>
      <c r="F16" s="12">
        <v>60</v>
      </c>
      <c r="G16" s="12">
        <v>80</v>
      </c>
      <c r="H16" s="12">
        <v>100</v>
      </c>
      <c r="I16" s="172">
        <f t="shared" si="1"/>
        <v>320</v>
      </c>
    </row>
    <row r="17" spans="2:9" x14ac:dyDescent="0.25">
      <c r="B17" s="18" t="s">
        <v>1</v>
      </c>
      <c r="C17" s="18"/>
      <c r="D17" s="250">
        <f>SUM(D13:D16)</f>
        <v>46</v>
      </c>
      <c r="E17" s="250">
        <f>SUM(E13:E16)</f>
        <v>52</v>
      </c>
      <c r="F17" s="250">
        <f>SUM(F13:F16)</f>
        <v>78</v>
      </c>
      <c r="G17" s="250">
        <f>SUM(G13:G16)</f>
        <v>104</v>
      </c>
      <c r="H17" s="250">
        <f>SUM(H13:H16)</f>
        <v>130</v>
      </c>
      <c r="I17" s="250">
        <f>SUM(I13:I16)</f>
        <v>410</v>
      </c>
    </row>
    <row r="18" spans="2:9" x14ac:dyDescent="0.25">
      <c r="B18" s="18" t="s">
        <v>17</v>
      </c>
      <c r="C18" s="18"/>
      <c r="D18" s="250">
        <v>8</v>
      </c>
      <c r="E18" s="250">
        <v>8</v>
      </c>
      <c r="F18" s="250">
        <v>8</v>
      </c>
      <c r="G18" s="250">
        <v>8</v>
      </c>
      <c r="H18" s="250">
        <v>8</v>
      </c>
      <c r="I18" s="250">
        <f>SUM(D18:H18)</f>
        <v>40</v>
      </c>
    </row>
    <row r="19" spans="2:9" x14ac:dyDescent="0.25">
      <c r="B19" s="1"/>
      <c r="C19" s="1"/>
      <c r="D19" s="13"/>
      <c r="E19" s="13"/>
      <c r="F19" s="13"/>
      <c r="G19" s="13"/>
      <c r="H19" s="13"/>
      <c r="I19" s="13"/>
    </row>
    <row r="20" spans="2:9" x14ac:dyDescent="0.25">
      <c r="B20" s="14" t="s">
        <v>6</v>
      </c>
      <c r="C20" s="1"/>
      <c r="D20" s="13"/>
      <c r="E20" s="13"/>
      <c r="F20" s="13"/>
      <c r="G20" s="13"/>
      <c r="H20" s="13"/>
      <c r="I20" s="13"/>
    </row>
    <row r="21" spans="2:9" x14ac:dyDescent="0.25">
      <c r="B21" s="311" t="s">
        <v>149</v>
      </c>
      <c r="C21" s="312"/>
      <c r="D21" s="312"/>
      <c r="E21" s="312"/>
      <c r="F21" s="312"/>
      <c r="G21" s="312"/>
      <c r="H21" s="312"/>
      <c r="I21" s="312"/>
    </row>
    <row r="22" spans="2:9" x14ac:dyDescent="0.25">
      <c r="B22" s="313"/>
      <c r="C22" s="313"/>
      <c r="D22" s="313"/>
      <c r="E22" s="313"/>
      <c r="F22" s="313"/>
      <c r="G22" s="313"/>
      <c r="H22" s="313"/>
      <c r="I22" s="313"/>
    </row>
    <row r="23" spans="2:9" x14ac:dyDescent="0.25">
      <c r="B23" s="1"/>
      <c r="C23" s="1"/>
      <c r="D23" s="13"/>
      <c r="E23" s="13"/>
      <c r="F23" s="13"/>
      <c r="G23" s="13"/>
      <c r="H23" s="13"/>
      <c r="I23" s="13"/>
    </row>
    <row r="24" spans="2:9" x14ac:dyDescent="0.25">
      <c r="B24" s="25" t="s">
        <v>28</v>
      </c>
      <c r="C24" s="26"/>
      <c r="D24" s="26"/>
      <c r="E24" s="26"/>
      <c r="F24" s="26"/>
      <c r="G24" s="26"/>
      <c r="H24" s="26"/>
      <c r="I24" s="26"/>
    </row>
    <row r="25" spans="2:9" x14ac:dyDescent="0.25">
      <c r="B25" s="15" t="s">
        <v>26</v>
      </c>
      <c r="C25" s="16"/>
      <c r="D25" s="16"/>
      <c r="E25" s="16"/>
      <c r="F25" s="16"/>
      <c r="G25" s="16"/>
      <c r="H25" s="16"/>
      <c r="I25" s="16"/>
    </row>
    <row r="26" spans="2:9" x14ac:dyDescent="0.25">
      <c r="B26" s="319" t="s">
        <v>169</v>
      </c>
      <c r="C26" s="289"/>
      <c r="D26" s="289"/>
      <c r="E26" s="289"/>
      <c r="F26" s="289"/>
      <c r="G26" s="289"/>
      <c r="H26" s="289"/>
      <c r="I26" s="289"/>
    </row>
    <row r="27" spans="2:9" x14ac:dyDescent="0.25">
      <c r="B27" s="291"/>
      <c r="C27" s="291"/>
      <c r="D27" s="291"/>
      <c r="E27" s="291"/>
      <c r="F27" s="291"/>
      <c r="G27" s="291"/>
      <c r="H27" s="291"/>
      <c r="I27" s="291"/>
    </row>
    <row r="28" spans="2:9" x14ac:dyDescent="0.25">
      <c r="B28" s="1"/>
      <c r="C28" s="1"/>
      <c r="D28" s="1"/>
      <c r="E28" s="1"/>
      <c r="F28" s="1"/>
      <c r="G28" s="1"/>
      <c r="H28" s="1"/>
      <c r="I28" s="1"/>
    </row>
    <row r="29" spans="2:9" x14ac:dyDescent="0.25">
      <c r="B29" s="30" t="s">
        <v>48</v>
      </c>
      <c r="C29" s="31"/>
      <c r="D29" s="314" t="s">
        <v>104</v>
      </c>
      <c r="E29" s="314"/>
      <c r="F29" s="314"/>
      <c r="G29" s="314"/>
      <c r="H29" s="314"/>
      <c r="I29" s="31"/>
    </row>
    <row r="30" spans="2:9" ht="15.75" customHeight="1" x14ac:dyDescent="0.25">
      <c r="B30" s="2" t="s">
        <v>20</v>
      </c>
      <c r="C30" s="18" t="s">
        <v>3</v>
      </c>
      <c r="D30" s="66" t="s">
        <v>60</v>
      </c>
      <c r="E30" s="66" t="s">
        <v>61</v>
      </c>
      <c r="F30" s="66" t="s">
        <v>62</v>
      </c>
      <c r="G30" s="66" t="s">
        <v>76</v>
      </c>
      <c r="H30" s="114" t="s">
        <v>63</v>
      </c>
      <c r="I30" s="19" t="s">
        <v>1</v>
      </c>
    </row>
    <row r="31" spans="2:9" s="188" customFormat="1" x14ac:dyDescent="0.25">
      <c r="B31" s="185" t="s">
        <v>105</v>
      </c>
      <c r="C31" s="186"/>
      <c r="D31" s="97">
        <f>'Forecasts by year'!D8</f>
        <v>11358.66573821595</v>
      </c>
      <c r="E31" s="97">
        <f>'Forecasts by year'!E8</f>
        <v>18586.9075716261</v>
      </c>
      <c r="F31" s="97">
        <f>'Forecasts by year'!F8</f>
        <v>28187.045332370973</v>
      </c>
      <c r="G31" s="97">
        <f>'Forecasts by year'!G8</f>
        <v>38452.090753332501</v>
      </c>
      <c r="H31" s="97">
        <f>'Forecasts by year'!H8</f>
        <v>49688.395984514529</v>
      </c>
      <c r="I31" s="187">
        <f t="shared" ref="I31:I33" si="2">SUM(D31:H31)</f>
        <v>146273.10538006006</v>
      </c>
    </row>
    <row r="32" spans="2:9" s="188" customFormat="1" x14ac:dyDescent="0.25">
      <c r="B32" s="185" t="s">
        <v>106</v>
      </c>
      <c r="C32" s="189"/>
      <c r="D32" s="97">
        <f>'Forecasts by year'!D9</f>
        <v>1436.521361791612</v>
      </c>
      <c r="E32" s="97">
        <f>'Forecasts by year'!E9</f>
        <v>2083.7452720493711</v>
      </c>
      <c r="F32" s="97">
        <f>'Forecasts by year'!F9</f>
        <v>3125.6179080740567</v>
      </c>
      <c r="G32" s="97">
        <f>'Forecasts by year'!G9</f>
        <v>4167.4905440987422</v>
      </c>
      <c r="H32" s="97">
        <f>'Forecasts by year'!H9</f>
        <v>5209.3631801234278</v>
      </c>
      <c r="I32" s="187">
        <f t="shared" si="2"/>
        <v>16022.73826613721</v>
      </c>
    </row>
    <row r="33" spans="2:9" s="188" customFormat="1" x14ac:dyDescent="0.25">
      <c r="B33" s="185" t="s">
        <v>94</v>
      </c>
      <c r="C33" s="189"/>
      <c r="D33" s="97">
        <f>'Forecasts by year'!D10</f>
        <v>0</v>
      </c>
      <c r="E33" s="97">
        <f>'Forecasts by year'!E10</f>
        <v>0</v>
      </c>
      <c r="F33" s="97">
        <f>'Forecasts by year'!F10</f>
        <v>0</v>
      </c>
      <c r="G33" s="97">
        <f>'Forecasts by year'!G10</f>
        <v>0</v>
      </c>
      <c r="H33" s="97">
        <f>'Forecasts by year'!H10</f>
        <v>0</v>
      </c>
      <c r="I33" s="187">
        <f t="shared" si="2"/>
        <v>0</v>
      </c>
    </row>
    <row r="34" spans="2:9" s="188" customFormat="1" x14ac:dyDescent="0.25">
      <c r="B34" s="190" t="s">
        <v>107</v>
      </c>
      <c r="C34" s="189"/>
      <c r="D34" s="249">
        <f>'Forecasts by year'!D11</f>
        <v>12795.187100007561</v>
      </c>
      <c r="E34" s="249">
        <f>'Forecasts by year'!E11</f>
        <v>20670.652843675467</v>
      </c>
      <c r="F34" s="249">
        <f>'Forecasts by year'!F11</f>
        <v>31312.663240445036</v>
      </c>
      <c r="G34" s="249">
        <f>'Forecasts by year'!G11</f>
        <v>42619.581297431243</v>
      </c>
      <c r="H34" s="249">
        <f>'Forecasts by year'!H11</f>
        <v>54897.759164637959</v>
      </c>
      <c r="I34" s="187">
        <f>SUM(D34:H34)</f>
        <v>162295.84364619729</v>
      </c>
    </row>
    <row r="35" spans="2:9" x14ac:dyDescent="0.25">
      <c r="B35" s="7" t="s">
        <v>98</v>
      </c>
      <c r="C35" s="11"/>
      <c r="D35" s="97">
        <f>'Forecasts by year'!D12</f>
        <v>5961.618169229484</v>
      </c>
      <c r="E35" s="97">
        <f>'Forecasts by year'!E12</f>
        <v>9631.0072372929935</v>
      </c>
      <c r="F35" s="97">
        <f>'Forecasts by year'!F12</f>
        <v>14589.403081185968</v>
      </c>
      <c r="G35" s="97">
        <f>'Forecasts by year'!G12</f>
        <v>19857.597098175225</v>
      </c>
      <c r="H35" s="97">
        <f>'Forecasts by year'!H12</f>
        <v>25578.32690744293</v>
      </c>
      <c r="I35" s="187">
        <f>SUM(D35:H35)</f>
        <v>75617.952493326608</v>
      </c>
    </row>
    <row r="36" spans="2:9" x14ac:dyDescent="0.25">
      <c r="B36" s="7" t="s">
        <v>99</v>
      </c>
      <c r="C36" s="5"/>
      <c r="D36" s="97">
        <f>'Forecasts by year'!D13</f>
        <v>2052.0612082492685</v>
      </c>
      <c r="E36" s="97">
        <f>'Forecasts by year'!E13</f>
        <v>3315.1093859087687</v>
      </c>
      <c r="F36" s="97">
        <f>'Forecasts by year'!F13</f>
        <v>5021.8493141575182</v>
      </c>
      <c r="G36" s="97">
        <f>'Forecasts by year'!G13</f>
        <v>6835.2255272791608</v>
      </c>
      <c r="H36" s="97">
        <f>'Forecasts by year'!H13</f>
        <v>8804.3700432874302</v>
      </c>
      <c r="I36" s="187">
        <f>SUM(D36:H36)</f>
        <v>26028.615478882144</v>
      </c>
    </row>
    <row r="37" spans="2:9" x14ac:dyDescent="0.25">
      <c r="B37" s="7" t="s">
        <v>108</v>
      </c>
      <c r="C37" s="5"/>
      <c r="D37" s="97">
        <f>'Forecasts by year'!D14</f>
        <v>1319.6983120021821</v>
      </c>
      <c r="E37" s="97">
        <f>'Forecasts by year'!E14</f>
        <v>2131.975519589354</v>
      </c>
      <c r="F37" s="97">
        <f>'Forecasts by year'!F14</f>
        <v>3229.5947296217082</v>
      </c>
      <c r="G37" s="97">
        <f>'Forecasts by year'!G14</f>
        <v>4395.7926567894065</v>
      </c>
      <c r="H37" s="97">
        <f>'Forecasts by year'!H14</f>
        <v>5662.1665268366596</v>
      </c>
      <c r="I37" s="187">
        <f>SUM(D37:H37)</f>
        <v>16739.227744839311</v>
      </c>
    </row>
    <row r="38" spans="2:9" x14ac:dyDescent="0.25">
      <c r="B38" s="20" t="s">
        <v>1</v>
      </c>
      <c r="C38" s="21"/>
      <c r="D38" s="22">
        <f>SUM(D34:D37)</f>
        <v>22128.564789488497</v>
      </c>
      <c r="E38" s="22">
        <f t="shared" ref="E38:H38" si="3">SUM(E34:E37)</f>
        <v>35748.744986466583</v>
      </c>
      <c r="F38" s="22">
        <f t="shared" si="3"/>
        <v>54153.510365410228</v>
      </c>
      <c r="G38" s="22">
        <f t="shared" si="3"/>
        <v>73708.19657967503</v>
      </c>
      <c r="H38" s="22">
        <f t="shared" si="3"/>
        <v>94942.62264220498</v>
      </c>
      <c r="I38" s="23">
        <f>SUM(I34:I37)</f>
        <v>280681.6393632454</v>
      </c>
    </row>
  </sheetData>
  <mergeCells count="3">
    <mergeCell ref="B21:I22"/>
    <mergeCell ref="B26:I27"/>
    <mergeCell ref="D29:H29"/>
  </mergeCells>
  <pageMargins left="0.7" right="0.7" top="0.75" bottom="0.75" header="0.3" footer="0.3"/>
  <ignoredErrors>
    <ignoredError sqref="I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2017-10-06T02:32:43Z</cp:lastPrinted>
  <dcterms:created xsi:type="dcterms:W3CDTF">2013-06-17T01:25:32Z</dcterms:created>
  <dcterms:modified xsi:type="dcterms:W3CDTF">2018-04-17T03:34:04Z</dcterms:modified>
</cp:coreProperties>
</file>