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Met Serv - 2019-24\2_Emergency Maint (Retailer Meter) - (NEW)\"/>
    </mc:Choice>
  </mc:AlternateContent>
  <xr:revisionPtr revIDLastSave="0" documentId="13_ncr:1_{C837302D-F0DB-4C47-8613-D8C33A60D81D}"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Historical Revenue" sheetId="13" r:id="rId4"/>
    <sheet name="Proposed Fee" sheetId="11" r:id="rId5"/>
    <sheet name="Forecast by year" sheetId="17" r:id="rId6"/>
    <sheet name="Forecast Revenue - Costs" sheetId="16" r:id="rId7"/>
  </sheets>
  <externalReferences>
    <externalReference r:id="rId8"/>
  </externalReferences>
  <calcPr calcId="171027"/>
</workbook>
</file>

<file path=xl/calcChain.xml><?xml version="1.0" encoding="utf-8"?>
<calcChain xmlns="http://schemas.openxmlformats.org/spreadsheetml/2006/main">
  <c r="I5" i="15" l="1"/>
  <c r="I6" i="15"/>
  <c r="I7" i="15"/>
  <c r="I8" i="15"/>
  <c r="I14" i="15"/>
  <c r="B20" i="9"/>
  <c r="H5" i="17" l="1"/>
  <c r="G5" i="17"/>
  <c r="F5" i="17"/>
  <c r="E5" i="17"/>
  <c r="D5" i="17"/>
  <c r="H2" i="17"/>
  <c r="G2" i="17"/>
  <c r="F2" i="17"/>
  <c r="E2" i="17"/>
  <c r="D2" i="17"/>
  <c r="H1" i="17"/>
  <c r="G1" i="17"/>
  <c r="F1" i="17"/>
  <c r="E1" i="17"/>
  <c r="D1" i="17"/>
  <c r="I24" i="11"/>
  <c r="H24" i="11"/>
  <c r="I23" i="11"/>
  <c r="H23" i="11"/>
  <c r="I22" i="11"/>
  <c r="H22" i="11"/>
  <c r="I21" i="11"/>
  <c r="H21" i="11"/>
  <c r="I20" i="11"/>
  <c r="H20" i="11"/>
  <c r="I19" i="11"/>
  <c r="H19" i="11"/>
  <c r="I12" i="11"/>
  <c r="H12" i="11"/>
  <c r="I11" i="11"/>
  <c r="H11" i="11"/>
  <c r="I10" i="11"/>
  <c r="H10" i="11"/>
  <c r="I9" i="11"/>
  <c r="H9" i="11"/>
  <c r="I8" i="11"/>
  <c r="H8" i="11"/>
  <c r="I7" i="11"/>
  <c r="H7" i="11"/>
  <c r="J21" i="17" l="1"/>
  <c r="K21" i="17" s="1"/>
  <c r="L21" i="17" s="1"/>
  <c r="K27" i="17"/>
  <c r="D27" i="17"/>
  <c r="C21" i="17"/>
  <c r="E12" i="16"/>
  <c r="L27" i="17" s="1"/>
  <c r="E11" i="16"/>
  <c r="F11" i="16" s="1"/>
  <c r="G11" i="16" s="1"/>
  <c r="H11" i="16" s="1"/>
  <c r="H27" i="17" s="1"/>
  <c r="D21" i="17"/>
  <c r="E21" i="17" s="1"/>
  <c r="O5" i="17"/>
  <c r="M5" i="17"/>
  <c r="K5" i="17"/>
  <c r="N1" i="17"/>
  <c r="L1" i="17"/>
  <c r="O1" i="17"/>
  <c r="M1" i="17"/>
  <c r="K1" i="17"/>
  <c r="G27" i="11"/>
  <c r="I27" i="11"/>
  <c r="J20" i="17" s="1"/>
  <c r="K20" i="17" s="1"/>
  <c r="J27" i="11"/>
  <c r="K27" i="11"/>
  <c r="L27" i="11"/>
  <c r="M21" i="11"/>
  <c r="M22" i="11"/>
  <c r="M23" i="11"/>
  <c r="M24" i="11"/>
  <c r="M20" i="11"/>
  <c r="M19" i="11"/>
  <c r="G15" i="11"/>
  <c r="I15" i="11"/>
  <c r="C20" i="17" s="1"/>
  <c r="D20" i="17" s="1"/>
  <c r="E20" i="17" s="1"/>
  <c r="J15" i="11"/>
  <c r="K15" i="11"/>
  <c r="L15" i="11"/>
  <c r="H15" i="11"/>
  <c r="C19" i="17" s="1"/>
  <c r="M11" i="11"/>
  <c r="M10" i="11"/>
  <c r="M9" i="11"/>
  <c r="M8" i="11"/>
  <c r="M7" i="11"/>
  <c r="G27" i="17" l="1"/>
  <c r="F12" i="16"/>
  <c r="F27" i="17"/>
  <c r="E27" i="17"/>
  <c r="E9" i="17" s="1"/>
  <c r="L20" i="17"/>
  <c r="L9" i="17" s="1"/>
  <c r="K9" i="17"/>
  <c r="F21" i="17"/>
  <c r="E10" i="17"/>
  <c r="F20" i="17"/>
  <c r="M21" i="17"/>
  <c r="L10" i="17"/>
  <c r="D19" i="17"/>
  <c r="K10" i="17"/>
  <c r="N5" i="17"/>
  <c r="D9" i="17"/>
  <c r="L5" i="17"/>
  <c r="D10" i="17"/>
  <c r="D29" i="16" s="1"/>
  <c r="M27" i="11"/>
  <c r="J22" i="17" s="1"/>
  <c r="H27" i="11"/>
  <c r="J19" i="17" s="1"/>
  <c r="K19" i="17" s="1"/>
  <c r="M12" i="11"/>
  <c r="L19" i="17" l="1"/>
  <c r="L22" i="17" s="1"/>
  <c r="K8" i="17"/>
  <c r="K22" i="17"/>
  <c r="M20" i="17"/>
  <c r="N20" i="17" s="1"/>
  <c r="G12" i="16"/>
  <c r="M27" i="17"/>
  <c r="D28" i="16"/>
  <c r="E28" i="16"/>
  <c r="E29" i="16"/>
  <c r="F9" i="17"/>
  <c r="G20" i="17"/>
  <c r="G21" i="17"/>
  <c r="F10" i="17"/>
  <c r="E19" i="17"/>
  <c r="D8" i="17"/>
  <c r="D22" i="17"/>
  <c r="N21" i="17"/>
  <c r="M10" i="17"/>
  <c r="M15" i="11"/>
  <c r="C22" i="17" s="1"/>
  <c r="L8" i="17" l="1"/>
  <c r="M9" i="17"/>
  <c r="M19" i="17"/>
  <c r="M22" i="17" s="1"/>
  <c r="K11" i="17"/>
  <c r="D27" i="16"/>
  <c r="F28" i="16"/>
  <c r="F29" i="16"/>
  <c r="H12" i="16"/>
  <c r="O27" i="17" s="1"/>
  <c r="N27" i="17"/>
  <c r="N9" i="17" s="1"/>
  <c r="O21" i="17"/>
  <c r="N10" i="17"/>
  <c r="O20" i="17"/>
  <c r="O9" i="17" s="1"/>
  <c r="D11" i="17"/>
  <c r="H21" i="17"/>
  <c r="H10" i="17" s="1"/>
  <c r="G10" i="17"/>
  <c r="F19" i="17"/>
  <c r="E22" i="17"/>
  <c r="E8" i="17"/>
  <c r="L11" i="17"/>
  <c r="H20" i="17"/>
  <c r="H9" i="17" s="1"/>
  <c r="G9" i="17"/>
  <c r="O10" i="17" l="1"/>
  <c r="E27" i="16"/>
  <c r="D30" i="16"/>
  <c r="C42" i="8" s="1"/>
  <c r="N19" i="17"/>
  <c r="O19" i="17" s="1"/>
  <c r="M8" i="17"/>
  <c r="G28" i="16"/>
  <c r="G29" i="16"/>
  <c r="H28" i="16"/>
  <c r="H29" i="16"/>
  <c r="M11" i="17"/>
  <c r="F22" i="17"/>
  <c r="G19" i="17"/>
  <c r="F8" i="17"/>
  <c r="E11" i="17"/>
  <c r="E30" i="16" s="1"/>
  <c r="D42" i="8" s="1"/>
  <c r="N8" i="17" l="1"/>
  <c r="N22" i="17"/>
  <c r="F27" i="16"/>
  <c r="I28" i="16"/>
  <c r="I29" i="16"/>
  <c r="H19" i="17"/>
  <c r="G8" i="17"/>
  <c r="G22" i="17"/>
  <c r="N11" i="17"/>
  <c r="O22" i="17"/>
  <c r="O8" i="17"/>
  <c r="F11" i="17"/>
  <c r="F30" i="16" s="1"/>
  <c r="E42" i="8" s="1"/>
  <c r="G27" i="16" l="1"/>
  <c r="O11" i="17"/>
  <c r="H8" i="17"/>
  <c r="H22" i="17"/>
  <c r="G11" i="17"/>
  <c r="G30" i="16" s="1"/>
  <c r="F42" i="8" s="1"/>
  <c r="H27" i="16" l="1"/>
  <c r="I27" i="16" s="1"/>
  <c r="H11" i="17"/>
  <c r="H30" i="16" l="1"/>
  <c r="I30" i="16" l="1"/>
  <c r="G42" i="8"/>
  <c r="I15" i="13" l="1"/>
  <c r="I16" i="13"/>
  <c r="I14" i="13"/>
  <c r="G17" i="13"/>
  <c r="H17" i="13"/>
  <c r="I7" i="13"/>
  <c r="I8" i="13"/>
  <c r="I9" i="13"/>
  <c r="I6" i="13"/>
  <c r="G10" i="13"/>
  <c r="H10" i="13"/>
  <c r="I13" i="15"/>
  <c r="G15" i="15"/>
  <c r="H15" i="15"/>
  <c r="I4" i="15"/>
  <c r="G9" i="15"/>
  <c r="H9" i="15"/>
  <c r="I12" i="16" l="1"/>
  <c r="I11" i="16"/>
  <c r="G13" i="16"/>
  <c r="F58" i="8" s="1"/>
  <c r="F24" i="11" l="1"/>
  <c r="F23" i="11"/>
  <c r="F22" i="11"/>
  <c r="F21" i="11"/>
  <c r="F20" i="11"/>
  <c r="F19" i="11"/>
  <c r="F12" i="11"/>
  <c r="F11" i="11"/>
  <c r="F10" i="11"/>
  <c r="F9" i="11"/>
  <c r="F8" i="11"/>
  <c r="F7" i="11"/>
  <c r="F27" i="11" l="1"/>
  <c r="F15" i="11"/>
  <c r="H13" i="16" l="1"/>
  <c r="G58" i="8" s="1"/>
  <c r="F15" i="15" l="1"/>
  <c r="E15" i="15"/>
  <c r="D15" i="15"/>
  <c r="I15" i="15" l="1"/>
  <c r="E9" i="15"/>
  <c r="D9" i="15"/>
  <c r="F13" i="16"/>
  <c r="E58" i="8" s="1"/>
  <c r="E13" i="16"/>
  <c r="D58" i="8" s="1"/>
  <c r="D13" i="16"/>
  <c r="C58" i="8" s="1"/>
  <c r="I13" i="16"/>
  <c r="F17" i="13"/>
  <c r="E17" i="13"/>
  <c r="D17" i="13"/>
  <c r="F10" i="13"/>
  <c r="E10" i="13"/>
  <c r="D10" i="13"/>
  <c r="I10" i="13" l="1"/>
  <c r="I17" i="13"/>
  <c r="F9" i="15"/>
  <c r="I9" i="15" l="1"/>
  <c r="D3" i="9" l="1"/>
  <c r="H58" i="8" l="1"/>
  <c r="H42" i="8" l="1"/>
  <c r="E4" i="17" l="1"/>
  <c r="O22" i="11"/>
  <c r="O12" i="11"/>
  <c r="O8" i="11"/>
  <c r="H4" i="17"/>
  <c r="D4" i="17"/>
  <c r="O23" i="11"/>
  <c r="O19" i="11"/>
  <c r="O9" i="11"/>
  <c r="O7" i="11"/>
  <c r="G4" i="17"/>
  <c r="O24" i="11"/>
  <c r="O20" i="11"/>
  <c r="O10" i="11"/>
  <c r="F4" i="17"/>
  <c r="O21" i="11"/>
  <c r="O11" i="11"/>
  <c r="O27" i="11" l="1"/>
  <c r="J24" i="17" s="1"/>
  <c r="M4" i="17"/>
  <c r="M24" i="17" s="1"/>
  <c r="M13" i="17" s="1"/>
  <c r="F24" i="17"/>
  <c r="F13" i="17" s="1"/>
  <c r="F32" i="16" s="1"/>
  <c r="N4" i="17"/>
  <c r="N24" i="17" s="1"/>
  <c r="N13" i="17" s="1"/>
  <c r="G24" i="17"/>
  <c r="G13" i="17" s="1"/>
  <c r="O15" i="11"/>
  <c r="C24" i="17" s="1"/>
  <c r="K4" i="17"/>
  <c r="K24" i="17" s="1"/>
  <c r="K13" i="17" s="1"/>
  <c r="D24" i="17"/>
  <c r="D13" i="17" s="1"/>
  <c r="O4" i="17"/>
  <c r="O24" i="17" s="1"/>
  <c r="O13" i="17" s="1"/>
  <c r="H24" i="17"/>
  <c r="H13" i="17" s="1"/>
  <c r="L4" i="17"/>
  <c r="L24" i="17" s="1"/>
  <c r="L13" i="17" s="1"/>
  <c r="E24" i="17"/>
  <c r="E13" i="17" s="1"/>
  <c r="H32" i="16" l="1"/>
  <c r="G32" i="16"/>
  <c r="E32" i="16"/>
  <c r="D32" i="16"/>
  <c r="I32" i="16" l="1"/>
  <c r="F3" i="17"/>
  <c r="N21" i="11"/>
  <c r="N11" i="11"/>
  <c r="N7" i="11"/>
  <c r="E3" i="17"/>
  <c r="N22" i="11"/>
  <c r="N12" i="11"/>
  <c r="N8" i="11"/>
  <c r="H3" i="17"/>
  <c r="D3" i="17"/>
  <c r="N23" i="11"/>
  <c r="N19" i="11"/>
  <c r="N9" i="11"/>
  <c r="G3" i="17"/>
  <c r="N24" i="11"/>
  <c r="N20" i="11"/>
  <c r="N10" i="11"/>
  <c r="P23" i="11" l="1"/>
  <c r="Q23" i="11" s="1"/>
  <c r="P12" i="11"/>
  <c r="Q12" i="11" s="1"/>
  <c r="N3" i="17"/>
  <c r="N23" i="17" s="1"/>
  <c r="G23" i="17"/>
  <c r="P21" i="11"/>
  <c r="Q21" i="11" s="1"/>
  <c r="P20" i="11"/>
  <c r="Q20" i="11" s="1"/>
  <c r="P19" i="11"/>
  <c r="N27" i="11"/>
  <c r="J23" i="17" s="1"/>
  <c r="P8" i="11"/>
  <c r="Q8" i="11" s="1"/>
  <c r="P7" i="11"/>
  <c r="N15" i="11"/>
  <c r="C23" i="17" s="1"/>
  <c r="Q7" i="11"/>
  <c r="P24" i="11"/>
  <c r="Q24" i="11" s="1"/>
  <c r="P11" i="11"/>
  <c r="Q11" i="11" s="1"/>
  <c r="D23" i="17"/>
  <c r="K3" i="17"/>
  <c r="K23" i="17" s="1"/>
  <c r="P22" i="11"/>
  <c r="Q22" i="11" s="1"/>
  <c r="P10" i="11"/>
  <c r="Q10" i="11" s="1"/>
  <c r="P9" i="11"/>
  <c r="Q9" i="11" s="1"/>
  <c r="O3" i="17"/>
  <c r="O23" i="17" s="1"/>
  <c r="H23" i="17"/>
  <c r="E23" i="17"/>
  <c r="L3" i="17"/>
  <c r="L23" i="17" s="1"/>
  <c r="M3" i="17"/>
  <c r="M23" i="17" s="1"/>
  <c r="F23" i="17"/>
  <c r="O12" i="17" l="1"/>
  <c r="O25" i="17"/>
  <c r="O14" i="17" s="1"/>
  <c r="P27" i="11"/>
  <c r="J25" i="17" s="1"/>
  <c r="G25" i="17"/>
  <c r="G14" i="17" s="1"/>
  <c r="G12" i="17"/>
  <c r="F12" i="17"/>
  <c r="F25" i="17"/>
  <c r="F14" i="17" s="1"/>
  <c r="H25" i="17"/>
  <c r="H14" i="17" s="1"/>
  <c r="H12" i="17"/>
  <c r="K25" i="17"/>
  <c r="K14" i="17" s="1"/>
  <c r="K12" i="17"/>
  <c r="P15" i="11"/>
  <c r="C25" i="17" s="1"/>
  <c r="M12" i="17"/>
  <c r="M25" i="17"/>
  <c r="M14" i="17" s="1"/>
  <c r="D25" i="17"/>
  <c r="D14" i="17" s="1"/>
  <c r="D12" i="17"/>
  <c r="L12" i="17"/>
  <c r="L25" i="17"/>
  <c r="L14" i="17" s="1"/>
  <c r="Q15" i="11"/>
  <c r="E12" i="17"/>
  <c r="E25" i="17"/>
  <c r="E14" i="17" s="1"/>
  <c r="Q19" i="11"/>
  <c r="Q27" i="11" s="1"/>
  <c r="N25" i="17"/>
  <c r="N14" i="17" s="1"/>
  <c r="N12" i="17"/>
  <c r="O26" i="17" l="1"/>
  <c r="O28" i="17" s="1"/>
  <c r="E31" i="16"/>
  <c r="G26" i="17"/>
  <c r="G15" i="17" s="1"/>
  <c r="N26" i="17"/>
  <c r="N28" i="17" s="1"/>
  <c r="E26" i="17"/>
  <c r="E15" i="17" s="1"/>
  <c r="L26" i="17"/>
  <c r="F26" i="17"/>
  <c r="F15" i="17" s="1"/>
  <c r="D26" i="17"/>
  <c r="D28" i="17" s="1"/>
  <c r="H31" i="16"/>
  <c r="G31" i="16"/>
  <c r="C26" i="17"/>
  <c r="D7" i="8"/>
  <c r="M26" i="17"/>
  <c r="K26" i="17"/>
  <c r="F31" i="16"/>
  <c r="D8" i="8"/>
  <c r="J26" i="17"/>
  <c r="L15" i="17"/>
  <c r="L28" i="17"/>
  <c r="D31" i="16"/>
  <c r="F28" i="17"/>
  <c r="H33" i="16"/>
  <c r="E33" i="16"/>
  <c r="D44" i="8" s="1"/>
  <c r="D46" i="8" s="1"/>
  <c r="D33" i="16"/>
  <c r="H26" i="17"/>
  <c r="F33" i="16"/>
  <c r="G33" i="16"/>
  <c r="F44" i="8" s="1"/>
  <c r="F46" i="8" s="1"/>
  <c r="E28" i="17" l="1"/>
  <c r="E16" i="17" s="1"/>
  <c r="O15" i="17"/>
  <c r="N15" i="17"/>
  <c r="D15" i="17"/>
  <c r="D16" i="17" s="1"/>
  <c r="G28" i="17"/>
  <c r="G16" i="17" s="1"/>
  <c r="E34" i="16"/>
  <c r="H34" i="16"/>
  <c r="G44" i="8"/>
  <c r="G46" i="8" s="1"/>
  <c r="G34" i="16"/>
  <c r="I33" i="16"/>
  <c r="H28" i="17"/>
  <c r="H15" i="17"/>
  <c r="I31" i="16"/>
  <c r="C44" i="8"/>
  <c r="D34" i="16"/>
  <c r="H6" i="16"/>
  <c r="O16" i="17"/>
  <c r="D5" i="16"/>
  <c r="L16" i="17"/>
  <c r="E6" i="16"/>
  <c r="G6" i="16"/>
  <c r="N16" i="17"/>
  <c r="K28" i="17"/>
  <c r="K15" i="17"/>
  <c r="F5" i="16"/>
  <c r="F16" i="17"/>
  <c r="E44" i="8"/>
  <c r="E46" i="8" s="1"/>
  <c r="F34" i="16"/>
  <c r="M15" i="17"/>
  <c r="M28" i="17"/>
  <c r="E5" i="16" l="1"/>
  <c r="G5" i="16"/>
  <c r="G7" i="16" s="1"/>
  <c r="I34" i="16"/>
  <c r="E7" i="16"/>
  <c r="D6" i="16"/>
  <c r="K16" i="17"/>
  <c r="C46" i="8"/>
  <c r="H44" i="8"/>
  <c r="H46" i="8" s="1"/>
  <c r="F6" i="16"/>
  <c r="F7" i="16" s="1"/>
  <c r="M16" i="17"/>
  <c r="H5" i="16"/>
  <c r="H7" i="16" s="1"/>
  <c r="H16" i="17"/>
  <c r="I5" i="16" l="1"/>
  <c r="I6" i="16"/>
  <c r="D7" i="16"/>
  <c r="I7" i="16" l="1"/>
</calcChain>
</file>

<file path=xl/sharedStrings.xml><?xml version="1.0" encoding="utf-8"?>
<sst xmlns="http://schemas.openxmlformats.org/spreadsheetml/2006/main" count="264" uniqueCount="145">
  <si>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</si>
  <si>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</si>
  <si>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</si>
  <si>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</si>
  <si>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</si>
  <si>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</si>
  <si>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</si>
  <si>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</si>
  <si>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</si>
  <si>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</si>
  <si>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</si>
  <si>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</si>
  <si>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</si>
  <si>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</si>
  <si>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</si>
  <si>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</si>
  <si>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</si>
  <si>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 xml:space="preserve">Existing Service Description (2009 - 14) </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</si>
  <si>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</si>
  <si>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</si>
  <si>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</si>
  <si>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</si>
  <si>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</si>
  <si>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</si>
  <si>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</si>
  <si>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</si>
  <si>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</si>
  <si>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</si>
  <si>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</si>
  <si>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</si>
  <si>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</si>
  <si>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</si>
  <si>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</si>
  <si>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</si>
  <si>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</si>
  <si>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</si>
  <si>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</si>
  <si>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</si>
  <si>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</si>
  <si>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</si>
  <si>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</si>
  <si>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</si>
  <si>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</si>
  <si>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</si>
  <si>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</si>
  <si>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Operating costs</t>
  </si>
  <si>
    <t>Bottum Up cost estimation</t>
  </si>
  <si>
    <t>Fee Methodology Structure Selected</t>
  </si>
  <si>
    <t>Forecast Cost Breakup</t>
  </si>
  <si>
    <t>Contestable Works Management System</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</si>
  <si>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</si>
  <si>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</si>
  <si>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</si>
  <si>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</si>
  <si>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Alternative Control Service - Bottom Up Estimation</t>
  </si>
  <si>
    <t>Network Service:</t>
  </si>
  <si>
    <t>FY16/17</t>
  </si>
  <si>
    <t>FY15/16</t>
  </si>
  <si>
    <t>FY14/15</t>
  </si>
  <si>
    <t>FY19/20</t>
  </si>
  <si>
    <t>FY20/21</t>
  </si>
  <si>
    <t>FY21/22</t>
  </si>
  <si>
    <t>FY23/24</t>
  </si>
  <si>
    <t>Time on Task (Hours)</t>
  </si>
  <si>
    <t>Fixed Fee</t>
  </si>
  <si>
    <t>New Service</t>
  </si>
  <si>
    <t>Bottom Up estimation</t>
  </si>
  <si>
    <t xml:space="preserve">
New Service</t>
  </si>
  <si>
    <t>Emergency Maintenance of Failed Metering Equipment Not Owned by the Distributor (Contestable Meters)
The distributor is called out by the customer or their agent (e.g. retailer, metering coordinator or metering provider) due to a power outage where an external metering provider's metering equipment has failed or an outage has been caused by the metering provider and the distributor has had to restore power to the customer's premises. This may result in an unmetered supply arrangement at this site. This fee will also be levied where a metering provider has requested the distributor to check a potentially faulty network connection and when tested by the distributor, no fault is found.</t>
  </si>
  <si>
    <t>Detailed Service Descriptions (2019-24)</t>
  </si>
  <si>
    <t>Unplanned Outage - Site attandance required - Meter Fault (Fixed Fee)</t>
  </si>
  <si>
    <t>Unplanned Outage - Site attandance required - Meter Fault NT - (Fixed Fee)</t>
  </si>
  <si>
    <t>Unplanned Outage - Site attandance required - Meter Fault OT - (Fixed Fee)</t>
  </si>
  <si>
    <t>R4</t>
  </si>
  <si>
    <t>Travel to / from site</t>
  </si>
  <si>
    <t>Unplanned Outage -  Site Attendance - Meter Fault (retailer owned meter) - (NEW)</t>
  </si>
  <si>
    <t xml:space="preserve"> - </t>
  </si>
  <si>
    <t>Normal Hrs</t>
  </si>
  <si>
    <t>After Hours</t>
  </si>
  <si>
    <t>R1a</t>
  </si>
  <si>
    <t>Unplanned outage information recorded and field resource assigned by Dispatch Officer</t>
  </si>
  <si>
    <t>Field technician recieves fault information</t>
  </si>
  <si>
    <t>Cause of fault diagnosed and temporary supply arrangements completed (bypass meter)</t>
  </si>
  <si>
    <t xml:space="preserve">Complete necessay reporting  and close job with Dispatch </t>
  </si>
  <si>
    <t>Log job to MC and update job complete status</t>
  </si>
  <si>
    <t>Projected Volumes for FY2019-24 Regulatory Period</t>
  </si>
  <si>
    <t>Operating Costs (on IO's, work orders, cost objects, cost centres)</t>
  </si>
  <si>
    <t>Project Code</t>
  </si>
  <si>
    <t>FY22/23</t>
  </si>
  <si>
    <t>Field Officer</t>
  </si>
  <si>
    <t xml:space="preserve">Operating Costs - </t>
  </si>
  <si>
    <t>New Service - Unplanned Outage - Meter fault (retailer owned)</t>
  </si>
  <si>
    <t>Increase in volume each year by 6.5% based on meter replacement values.</t>
  </si>
  <si>
    <t>New Service. No historical revenue available.</t>
  </si>
  <si>
    <t>New Service. No historical operating costs available.</t>
  </si>
  <si>
    <t>FY17/18</t>
  </si>
  <si>
    <t>FY18/19</t>
  </si>
  <si>
    <r>
      <t xml:space="preserve">
</t>
    </r>
    <r>
      <rPr>
        <b/>
        <sz val="10"/>
        <color theme="1"/>
        <rFont val="Arial"/>
        <family val="2"/>
      </rPr>
      <t>Unplanned Outage - Site Attendance Required - Meter Fault  (retailer owned meter)</t>
    </r>
    <r>
      <rPr>
        <sz val="10"/>
        <color theme="1"/>
        <rFont val="Arial"/>
        <family val="2"/>
      </rPr>
      <t xml:space="preserve">
Site attendance by Essential Energy to an unplanned outage. Where it is determined that the cause of the fault is directly related to failure or incorrect installation of metering equipment not owned by Essential Energy. 
Site attendance required by Essential Energy staff to determine the cause of the interruption.
Service may include the completion of temporary supply arrangements (bypass) and notification to retailer / metering coordinator. This may result in an unmetered supply arrangement at the site.
*Essential Energy will impose an overtime fee for services provided outside the hrs of 7:30am - 4:00pm Mon - Fri (ordinary hrs).
</t>
    </r>
  </si>
  <si>
    <t>Proposed Fee ($2018/19 - Excl GST)</t>
  </si>
  <si>
    <t>Total Direct Costs $2018/19</t>
  </si>
  <si>
    <t>Total Indirect Costs $2018/19</t>
  </si>
  <si>
    <t>TOTAL COSTS $2018/19</t>
  </si>
  <si>
    <t>Real $2018-19</t>
  </si>
  <si>
    <t>Per service</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</si>
  <si>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</si>
  <si>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</si>
  <si>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</si>
  <si>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</si>
  <si>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</si>
  <si>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</si>
  <si>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</si>
  <si>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</si>
  <si>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</si>
  <si>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</si>
  <si>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</si>
  <si>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Labour escalation</t>
  </si>
  <si>
    <t>Contractor rate increase</t>
  </si>
  <si>
    <t>Overhead rate</t>
  </si>
  <si>
    <t>Average non-system charge</t>
  </si>
  <si>
    <t>WACC rate</t>
  </si>
  <si>
    <t>ORDINARY LABOUR TIME</t>
  </si>
  <si>
    <t>OVERTIME LABOUR TIME</t>
  </si>
  <si>
    <t>2019-20</t>
  </si>
  <si>
    <t>2020-21</t>
  </si>
  <si>
    <t>2021-22</t>
  </si>
  <si>
    <t>2022-23</t>
  </si>
  <si>
    <t>2023-24</t>
  </si>
  <si>
    <t>Total before OHDs, non-system &amp; margin</t>
  </si>
  <si>
    <t>Profit margin</t>
  </si>
  <si>
    <t>Fully Loaded Costs</t>
  </si>
  <si>
    <t>Forecast revenue (check)</t>
  </si>
  <si>
    <t>Real 2018-19 including escalation</t>
  </si>
  <si>
    <t>Fully Loaded Cost per service</t>
  </si>
  <si>
    <t>Forecast volumes</t>
  </si>
  <si>
    <t>Forecast revenue</t>
  </si>
  <si>
    <t>2.1 Unplanned Outage - Meter Fault</t>
  </si>
  <si>
    <t>Unplanned Outage - Meter Fault - NT</t>
  </si>
  <si>
    <t xml:space="preserve">Unplanned Outage - Meter Fault </t>
  </si>
  <si>
    <t>Real 2018-19 (including labour escalation)</t>
  </si>
  <si>
    <t>Labour</t>
  </si>
  <si>
    <t>Fleet</t>
  </si>
  <si>
    <t>Total costs before OHDs, non-system and margin</t>
  </si>
  <si>
    <t>Unplanned Outage - Meter Fault - OT</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</si>
  <si>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</si>
  <si>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 xml:space="preserve">Estimates have been provided on the work effort that will be required to complete each service. Forecast volume based on historical information. EE estimated approx 8 No Supply  jobs per week are caused by failed metering equipment. Increase in meter replacement (retailer owned) will also increase volume of associated no supply faults due to installation errors.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</si>
</sst>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quot;$&quot;* #,##0.00_);_(&quot;$&quot;* \(#,##0.00\);_(&quot;$&quot;* &quot;-&quot;??_);_(@_)"/>
    <numFmt numFmtId="165" formatCode="_(* #,##0.00_);_(* \(#,##0.00\);_(* &quot;-&quot;??_);_(@_)"/>
    <numFmt numFmtId="166" formatCode="_-&quot;$&quot;* #,##0_-;\-&quot;$&quot;* #,##0_-;_-&quot;$&quot;* &quot;-&quot;??_-;_-@_-"/>
    <numFmt numFmtId="167" formatCode="_-* #,##0_-;\-* #,##0_-;_-* &quot;-&quot;??_-;_-@_-"/>
    <numFmt numFmtId="168" formatCode="&quot;$&quot;#,##0.00"/>
    <numFmt numFmtId="169" formatCode="#,##0.00\ ;\(#,##0.00\);\-\ "/>
    <numFmt numFmtId="170" formatCode="#,##0\ ;\(#,##0\);\-\ "/>
    <numFmt numFmtId="171" formatCode="_(* #,##0_);_(* \(#,##0\);_(* &quot;-&quot;??_);_(@_)"/>
  </numFmts>
  <fonts count="38"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b/>
      <sz val="10"/>
      <color theme="0"/>
      <name val="Arial"/>
      <family val="2"/>
    </font>
    <font>
      <sz val="10"/>
      <color theme="0"/>
      <name val="Arial"/>
      <family val="2"/>
    </font>
    <font>
      <sz val="11"/>
      <color theme="1"/>
      <name val="Calibri"/>
      <family val="2"/>
      <scheme val="minor"/>
    </font>
    <font>
      <sz val="10"/>
      <color theme="1"/>
      <name val="Arial"/>
      <family val="2"/>
    </font>
    <font>
      <b/>
      <sz val="10"/>
      <name val="Arial"/>
      <family val="2"/>
    </font>
    <font>
      <sz val="10"/>
      <color rgb="FFFF0000"/>
      <name val="Arial"/>
      <family val="2"/>
    </font>
    <font>
      <b/>
      <sz val="10"/>
      <color theme="1"/>
      <name val="Arial"/>
      <family val="2"/>
    </font>
    <font>
      <sz val="10"/>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7"/>
      <name val="Arial"/>
      <family val="2"/>
    </font>
    <font>
      <sz val="10"/>
      <name val="Arial"/>
      <family val="2"/>
    </font>
    <font>
      <sz val="10"/>
      <color rgb="FFFF0000"/>
      <name val="Arial"/>
      <family val="2"/>
    </font>
    <font>
      <sz val="10"/>
      <color rgb="FF0065A6"/>
      <name val="Arial"/>
      <family val="2"/>
    </font>
    <font>
      <b/>
      <sz val="11"/>
      <color theme="1"/>
      <name val="Calibri"/>
      <family val="2"/>
      <scheme val="minor"/>
    </font>
    <font>
      <b/>
      <sz val="8"/>
      <color theme="1"/>
      <name val="Arial"/>
      <family val="2"/>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7">
    <xf numFmtId="0" fontId="0" fillId="0" borderId="0"/>
    <xf numFmtId="9" fontId="4" fillId="0" borderId="0" applyFont="0" applyFill="0" applyBorder="0" applyAlignment="0" applyProtection="0"/>
    <xf numFmtId="164" fontId="4" fillId="0" borderId="0" applyFont="0" applyFill="0" applyBorder="0" applyAlignment="0" applyProtection="0"/>
    <xf numFmtId="165" fontId="4" fillId="0" borderId="0" applyFont="0" applyFill="0" applyBorder="0" applyAlignment="0" applyProtection="0"/>
    <xf numFmtId="164" fontId="4" fillId="0" borderId="0" applyFont="0" applyFill="0" applyBorder="0" applyAlignment="0" applyProtection="0"/>
    <xf numFmtId="0" fontId="5" fillId="0" borderId="0"/>
    <xf numFmtId="165" fontId="4" fillId="0" borderId="0" applyFont="0" applyFill="0" applyBorder="0" applyAlignment="0" applyProtection="0"/>
  </cellStyleXfs>
  <cellXfs count="301">
    <xf numFmtId="0" fontId="0" fillId="0" borderId="0" xfId="0"/>
    <xf numFmtId="0" fontId="3" fillId="0" borderId="0" xfId="0" applyFont="1"/>
    <xf numFmtId="0" fontId="8" fillId="5" borderId="3" xfId="0" applyFont="1" applyFill="1" applyBorder="1"/>
    <xf numFmtId="0" fontId="3" fillId="4" borderId="4" xfId="0" applyFont="1" applyFill="1" applyBorder="1"/>
    <xf numFmtId="0" fontId="3" fillId="4" borderId="3" xfId="0" applyFont="1" applyFill="1" applyBorder="1"/>
    <xf numFmtId="0" fontId="8" fillId="5" borderId="8" xfId="0" applyFont="1" applyFill="1" applyBorder="1"/>
    <xf numFmtId="0" fontId="8" fillId="5" borderId="0" xfId="0" applyFont="1" applyFill="1" applyBorder="1"/>
    <xf numFmtId="166" fontId="8" fillId="5" borderId="8" xfId="2" applyNumberFormat="1" applyFont="1" applyFill="1" applyBorder="1"/>
    <xf numFmtId="0" fontId="3" fillId="4" borderId="5" xfId="0" applyFont="1" applyFill="1" applyBorder="1"/>
    <xf numFmtId="3" fontId="3" fillId="4" borderId="4" xfId="0" applyNumberFormat="1" applyFont="1" applyFill="1" applyBorder="1"/>
    <xf numFmtId="0" fontId="3" fillId="4" borderId="5" xfId="0" quotePrefix="1" applyFont="1" applyFill="1" applyBorder="1"/>
    <xf numFmtId="3" fontId="8" fillId="5" borderId="8" xfId="0" applyNumberFormat="1" applyFont="1" applyFill="1" applyBorder="1"/>
    <xf numFmtId="0" fontId="7" fillId="0" borderId="0" xfId="0" applyFont="1"/>
    <xf numFmtId="0" fontId="8" fillId="5" borderId="6" xfId="0" applyFont="1" applyFill="1" applyBorder="1" applyAlignment="1">
      <alignment horizontal="left"/>
    </xf>
    <xf numFmtId="0" fontId="8" fillId="5" borderId="12" xfId="0" applyFont="1" applyFill="1" applyBorder="1"/>
    <xf numFmtId="0" fontId="5" fillId="5" borderId="12" xfId="0" applyFont="1" applyFill="1" applyBorder="1"/>
    <xf numFmtId="0" fontId="3" fillId="4" borderId="0" xfId="0" quotePrefix="1" applyFont="1" applyFill="1" applyBorder="1" applyAlignment="1">
      <alignment vertical="top"/>
    </xf>
    <xf numFmtId="0" fontId="3" fillId="4" borderId="0" xfId="0" applyFont="1" applyFill="1" applyBorder="1" applyAlignment="1">
      <alignment vertical="top"/>
    </xf>
    <xf numFmtId="0" fontId="8" fillId="5" borderId="4" xfId="0" applyFont="1" applyFill="1" applyBorder="1"/>
    <xf numFmtId="0" fontId="8" fillId="5" borderId="5" xfId="0" applyFont="1" applyFill="1" applyBorder="1" applyAlignment="1">
      <alignment horizontal="right"/>
    </xf>
    <xf numFmtId="0" fontId="5" fillId="5" borderId="1" xfId="0" applyFont="1" applyFill="1" applyBorder="1"/>
    <xf numFmtId="166" fontId="8" fillId="5" borderId="9" xfId="2" applyNumberFormat="1" applyFont="1" applyFill="1" applyBorder="1"/>
    <xf numFmtId="166" fontId="8" fillId="5" borderId="10" xfId="2" applyNumberFormat="1" applyFont="1" applyFill="1" applyBorder="1"/>
    <xf numFmtId="0" fontId="3" fillId="0" borderId="0" xfId="0" applyFont="1" applyBorder="1"/>
    <xf numFmtId="0" fontId="6" fillId="8" borderId="0" xfId="0" applyFont="1" applyFill="1"/>
    <xf numFmtId="0" fontId="9" fillId="8" borderId="0" xfId="0" applyFont="1" applyFill="1"/>
    <xf numFmtId="0" fontId="3" fillId="10" borderId="4" xfId="0" applyFont="1" applyFill="1" applyBorder="1"/>
    <xf numFmtId="166" fontId="3" fillId="10" borderId="4" xfId="2" applyNumberFormat="1" applyFont="1" applyFill="1" applyBorder="1"/>
    <xf numFmtId="0" fontId="3" fillId="10" borderId="4" xfId="0" applyFont="1" applyFill="1" applyBorder="1" applyAlignment="1">
      <alignment wrapText="1"/>
    </xf>
    <xf numFmtId="0" fontId="9" fillId="8" borderId="12" xfId="0" applyFont="1" applyFill="1" applyBorder="1"/>
    <xf numFmtId="0" fontId="8" fillId="11" borderId="8" xfId="0" applyFont="1" applyFill="1" applyBorder="1"/>
    <xf numFmtId="0" fontId="10" fillId="4" borderId="0" xfId="0" applyFont="1" applyFill="1" applyBorder="1" applyAlignment="1">
      <alignment horizontal="left" vertical="top" wrapText="1"/>
    </xf>
    <xf numFmtId="0" fontId="3" fillId="0" borderId="0" xfId="0" applyFont="1" applyAlignment="1">
      <alignment horizontal="left" indent="15"/>
    </xf>
    <xf numFmtId="0" fontId="3" fillId="0" borderId="0" xfId="0" applyFont="1" applyFill="1"/>
    <xf numFmtId="0" fontId="8" fillId="9" borderId="0" xfId="0" applyFont="1" applyFill="1" applyBorder="1" applyAlignment="1">
      <alignment horizontal="left"/>
    </xf>
    <xf numFmtId="0" fontId="6" fillId="0" borderId="0" xfId="0" applyFont="1" applyFill="1" applyAlignment="1">
      <alignment horizontal="left"/>
    </xf>
    <xf numFmtId="0" fontId="6" fillId="8" borderId="9" xfId="0" applyFont="1" applyFill="1" applyBorder="1" applyAlignment="1">
      <alignment horizontal="center" vertical="center"/>
    </xf>
    <xf numFmtId="168" fontId="5" fillId="10" borderId="10" xfId="0" applyNumberFormat="1" applyFont="1" applyFill="1" applyBorder="1" applyAlignment="1">
      <alignment horizontal="center"/>
    </xf>
    <xf numFmtId="168" fontId="5" fillId="10" borderId="4" xfId="0" applyNumberFormat="1" applyFont="1" applyFill="1" applyBorder="1" applyAlignment="1">
      <alignment horizontal="center"/>
    </xf>
    <xf numFmtId="168" fontId="5" fillId="10" borderId="9" xfId="0" applyNumberFormat="1" applyFont="1" applyFill="1" applyBorder="1" applyAlignment="1">
      <alignment horizontal="center"/>
    </xf>
    <xf numFmtId="0" fontId="9" fillId="0" borderId="0" xfId="0" applyFont="1"/>
    <xf numFmtId="0" fontId="9" fillId="0" borderId="2" xfId="0" applyFont="1" applyBorder="1"/>
    <xf numFmtId="168" fontId="9" fillId="0" borderId="1" xfId="0" applyNumberFormat="1" applyFont="1" applyBorder="1" applyAlignment="1">
      <alignment horizontal="center"/>
    </xf>
    <xf numFmtId="0" fontId="3" fillId="0" borderId="2" xfId="0" applyFont="1" applyBorder="1"/>
    <xf numFmtId="168" fontId="3" fillId="0" borderId="0" xfId="0" applyNumberFormat="1" applyFont="1" applyAlignment="1">
      <alignment horizontal="center"/>
    </xf>
    <xf numFmtId="0" fontId="3" fillId="0" borderId="1" xfId="0" applyFont="1" applyBorder="1"/>
    <xf numFmtId="0" fontId="6" fillId="8" borderId="0" xfId="0" applyFont="1" applyFill="1" applyAlignment="1">
      <alignment horizontal="left"/>
    </xf>
    <xf numFmtId="0" fontId="8" fillId="9" borderId="6" xfId="0" applyFont="1" applyFill="1" applyBorder="1" applyAlignment="1">
      <alignment horizontal="left"/>
    </xf>
    <xf numFmtId="0" fontId="6" fillId="8" borderId="11" xfId="0" applyFont="1" applyFill="1" applyBorder="1"/>
    <xf numFmtId="0" fontId="3" fillId="0" borderId="0" xfId="0" applyFont="1" applyAlignment="1">
      <alignment horizontal="left"/>
    </xf>
    <xf numFmtId="0" fontId="6" fillId="8" borderId="0" xfId="0" applyFont="1" applyFill="1" applyAlignment="1">
      <alignment horizontal="center"/>
    </xf>
    <xf numFmtId="0" fontId="3" fillId="0" borderId="0" xfId="0" applyFont="1" applyFill="1" applyAlignment="1">
      <alignment horizontal="left"/>
    </xf>
    <xf numFmtId="0" fontId="12" fillId="0" borderId="0" xfId="0" applyFont="1"/>
    <xf numFmtId="0" fontId="3" fillId="0" borderId="8" xfId="0" applyFont="1" applyBorder="1"/>
    <xf numFmtId="0" fontId="3" fillId="0" borderId="6" xfId="0" applyFont="1" applyBorder="1"/>
    <xf numFmtId="0" fontId="3" fillId="0" borderId="11" xfId="0" applyFont="1" applyBorder="1"/>
    <xf numFmtId="0" fontId="8" fillId="0" borderId="0" xfId="0" applyFont="1" applyFill="1" applyBorder="1"/>
    <xf numFmtId="0" fontId="5" fillId="0" borderId="0" xfId="0" applyFont="1" applyFill="1" applyBorder="1"/>
    <xf numFmtId="166" fontId="8" fillId="0" borderId="0" xfId="2" applyNumberFormat="1" applyFont="1" applyFill="1" applyBorder="1"/>
    <xf numFmtId="0" fontId="6" fillId="8" borderId="8" xfId="0" applyFont="1" applyFill="1" applyBorder="1"/>
    <xf numFmtId="0" fontId="8" fillId="5" borderId="10" xfId="0" applyFont="1" applyFill="1" applyBorder="1"/>
    <xf numFmtId="0" fontId="12" fillId="0" borderId="6" xfId="0" applyFont="1" applyBorder="1"/>
    <xf numFmtId="0" fontId="10" fillId="4" borderId="8" xfId="0" applyFont="1" applyFill="1" applyBorder="1" applyAlignment="1">
      <alignment horizontal="left" vertical="top" wrapText="1"/>
    </xf>
    <xf numFmtId="0" fontId="8" fillId="5" borderId="11" xfId="0" applyFont="1" applyFill="1" applyBorder="1"/>
    <xf numFmtId="0" fontId="3" fillId="4" borderId="8" xfId="0" quotePrefix="1" applyFont="1" applyFill="1" applyBorder="1" applyAlignment="1">
      <alignment vertical="top"/>
    </xf>
    <xf numFmtId="0" fontId="13" fillId="8" borderId="8" xfId="0" applyNumberFormat="1" applyFont="1" applyFill="1" applyBorder="1" applyAlignment="1">
      <alignment horizontal="left"/>
    </xf>
    <xf numFmtId="0" fontId="8" fillId="5" borderId="4" xfId="0" applyFont="1" applyFill="1" applyBorder="1" applyAlignment="1">
      <alignment horizontal="center"/>
    </xf>
    <xf numFmtId="0" fontId="8" fillId="5" borderId="7" xfId="0" applyFont="1" applyFill="1" applyBorder="1" applyAlignment="1">
      <alignment horizontal="center"/>
    </xf>
    <xf numFmtId="0" fontId="5" fillId="10" borderId="4" xfId="0" applyFont="1" applyFill="1" applyBorder="1" applyAlignment="1">
      <alignment horizontal="center"/>
    </xf>
    <xf numFmtId="0" fontId="5" fillId="10" borderId="4" xfId="0" applyFont="1" applyFill="1" applyBorder="1" applyAlignment="1">
      <alignment horizontal="left" vertical="center"/>
    </xf>
    <xf numFmtId="1" fontId="6" fillId="8" borderId="0" xfId="0" applyNumberFormat="1" applyFont="1" applyFill="1" applyAlignment="1">
      <alignment horizontal="left"/>
    </xf>
    <xf numFmtId="1" fontId="6" fillId="0" borderId="0" xfId="0" applyNumberFormat="1" applyFont="1" applyFill="1" applyAlignment="1">
      <alignment horizontal="left"/>
    </xf>
    <xf numFmtId="1" fontId="5" fillId="10" borderId="10" xfId="0" applyNumberFormat="1" applyFont="1" applyFill="1" applyBorder="1" applyAlignment="1">
      <alignment horizontal="center"/>
    </xf>
    <xf numFmtId="1" fontId="5" fillId="10" borderId="4" xfId="0" applyNumberFormat="1" applyFont="1" applyFill="1" applyBorder="1" applyAlignment="1">
      <alignment horizontal="center"/>
    </xf>
    <xf numFmtId="1" fontId="9" fillId="0" borderId="0" xfId="0" applyNumberFormat="1" applyFont="1"/>
    <xf numFmtId="1" fontId="3" fillId="0" borderId="0" xfId="0" applyNumberFormat="1" applyFont="1"/>
    <xf numFmtId="0" fontId="6" fillId="0" borderId="0" xfId="0" applyFont="1" applyFill="1" applyAlignment="1">
      <alignment horizontal="center"/>
    </xf>
    <xf numFmtId="0" fontId="9" fillId="0" borderId="0" xfId="0" applyFont="1" applyAlignment="1">
      <alignment horizontal="center"/>
    </xf>
    <xf numFmtId="0" fontId="3" fillId="0" borderId="0" xfId="0" applyFont="1" applyAlignment="1">
      <alignment horizontal="center"/>
    </xf>
    <xf numFmtId="2" fontId="6" fillId="8" borderId="0" xfId="0" applyNumberFormat="1" applyFont="1" applyFill="1" applyAlignment="1">
      <alignment horizontal="left"/>
    </xf>
    <xf numFmtId="2" fontId="6" fillId="0" borderId="0" xfId="0" applyNumberFormat="1" applyFont="1" applyFill="1" applyAlignment="1">
      <alignment horizontal="left"/>
    </xf>
    <xf numFmtId="2" fontId="5" fillId="10" borderId="4" xfId="0" applyNumberFormat="1" applyFont="1" applyFill="1" applyBorder="1" applyAlignment="1">
      <alignment horizontal="center"/>
    </xf>
    <xf numFmtId="2" fontId="5" fillId="10" borderId="10" xfId="0" applyNumberFormat="1" applyFont="1" applyFill="1" applyBorder="1" applyAlignment="1">
      <alignment horizontal="center"/>
    </xf>
    <xf numFmtId="2" fontId="9" fillId="0" borderId="0" xfId="0" applyNumberFormat="1" applyFont="1" applyBorder="1"/>
    <xf numFmtId="2" fontId="3" fillId="0" borderId="0" xfId="0" applyNumberFormat="1" applyFont="1"/>
    <xf numFmtId="2" fontId="6" fillId="8" borderId="0" xfId="0" applyNumberFormat="1" applyFont="1" applyFill="1" applyAlignment="1">
      <alignment horizontal="center"/>
    </xf>
    <xf numFmtId="2" fontId="6" fillId="0" borderId="0" xfId="0" applyNumberFormat="1" applyFont="1" applyFill="1" applyAlignment="1">
      <alignment horizontal="center"/>
    </xf>
    <xf numFmtId="2" fontId="9" fillId="0" borderId="0" xfId="0" applyNumberFormat="1" applyFont="1" applyBorder="1" applyAlignment="1">
      <alignment horizontal="center"/>
    </xf>
    <xf numFmtId="2" fontId="3" fillId="0" borderId="0" xfId="0" applyNumberFormat="1" applyFont="1" applyAlignment="1">
      <alignment horizontal="center"/>
    </xf>
    <xf numFmtId="2" fontId="5" fillId="10" borderId="10" xfId="3" applyNumberFormat="1" applyFont="1" applyFill="1" applyBorder="1" applyAlignment="1">
      <alignment horizontal="center"/>
    </xf>
    <xf numFmtId="2" fontId="8" fillId="11" borderId="4" xfId="0" applyNumberFormat="1" applyFont="1" applyFill="1" applyBorder="1" applyAlignment="1">
      <alignment horizontal="center"/>
    </xf>
    <xf numFmtId="0" fontId="3" fillId="0" borderId="7" xfId="0" applyFont="1" applyBorder="1"/>
    <xf numFmtId="166" fontId="3" fillId="10" borderId="5" xfId="2" applyNumberFormat="1" applyFont="1" applyFill="1" applyBorder="1" applyAlignment="1">
      <alignment horizontal="center"/>
    </xf>
    <xf numFmtId="3" fontId="3" fillId="10" borderId="4" xfId="0" applyNumberFormat="1" applyFont="1" applyFill="1" applyBorder="1"/>
    <xf numFmtId="1" fontId="5" fillId="10" borderId="10" xfId="0" applyNumberFormat="1" applyFont="1" applyFill="1" applyBorder="1" applyAlignment="1">
      <alignment horizontal="center" vertical="center"/>
    </xf>
    <xf numFmtId="2" fontId="5" fillId="10" borderId="10" xfId="3" applyNumberFormat="1" applyFont="1" applyFill="1" applyBorder="1" applyAlignment="1">
      <alignment horizontal="center" vertical="center"/>
    </xf>
    <xf numFmtId="2" fontId="5" fillId="10" borderId="4" xfId="3" applyNumberFormat="1" applyFont="1" applyFill="1" applyBorder="1" applyAlignment="1">
      <alignment horizontal="center"/>
    </xf>
    <xf numFmtId="1" fontId="5" fillId="10" borderId="5" xfId="0" applyNumberFormat="1" applyFont="1" applyFill="1" applyBorder="1" applyAlignment="1">
      <alignment horizontal="center"/>
    </xf>
    <xf numFmtId="0" fontId="5" fillId="10" borderId="4" xfId="0" applyFont="1" applyFill="1" applyBorder="1" applyAlignment="1">
      <alignment horizontal="left" vertical="center"/>
    </xf>
    <xf numFmtId="0" fontId="5" fillId="10" borderId="4" xfId="0" applyFont="1" applyFill="1" applyBorder="1" applyAlignment="1">
      <alignment horizontal="center"/>
    </xf>
    <xf numFmtId="0" fontId="5" fillId="10" borderId="4" xfId="0" applyFont="1" applyFill="1" applyBorder="1" applyAlignment="1">
      <alignment horizontal="left" vertical="center" wrapText="1"/>
    </xf>
    <xf numFmtId="2" fontId="5" fillId="10" borderId="9" xfId="0" applyNumberFormat="1" applyFont="1" applyFill="1" applyBorder="1" applyAlignment="1">
      <alignment horizontal="center"/>
    </xf>
    <xf numFmtId="0" fontId="5" fillId="10" borderId="1" xfId="0" applyFont="1" applyFill="1" applyBorder="1" applyAlignment="1">
      <alignment horizontal="left" vertical="center" wrapText="1"/>
    </xf>
    <xf numFmtId="2" fontId="5" fillId="10" borderId="4" xfId="0" applyNumberFormat="1" applyFont="1" applyFill="1" applyBorder="1" applyAlignment="1">
      <alignment horizontal="center"/>
    </xf>
    <xf numFmtId="2" fontId="5" fillId="10" borderId="8" xfId="0" applyNumberFormat="1" applyFont="1" applyFill="1" applyBorder="1" applyAlignment="1">
      <alignment horizontal="center"/>
    </xf>
    <xf numFmtId="2" fontId="5" fillId="10" borderId="10" xfId="0" applyNumberFormat="1" applyFont="1" applyFill="1" applyBorder="1" applyAlignment="1">
      <alignment horizontal="center"/>
    </xf>
    <xf numFmtId="0" fontId="5" fillId="10" borderId="4" xfId="0" applyFont="1" applyFill="1" applyBorder="1" applyAlignment="1">
      <alignment horizontal="left" vertical="center"/>
    </xf>
    <xf numFmtId="0" fontId="5" fillId="10" borderId="4" xfId="0" applyFont="1" applyFill="1" applyBorder="1" applyAlignment="1">
      <alignment horizontal="center"/>
    </xf>
    <xf numFmtId="0" fontId="5" fillId="10" borderId="4" xfId="0" applyFont="1" applyFill="1" applyBorder="1" applyAlignment="1">
      <alignment horizontal="left" vertical="center" wrapText="1"/>
    </xf>
    <xf numFmtId="2" fontId="5" fillId="10" borderId="9" xfId="0" applyNumberFormat="1" applyFont="1" applyFill="1" applyBorder="1" applyAlignment="1">
      <alignment horizontal="center"/>
    </xf>
    <xf numFmtId="0" fontId="5" fillId="10" borderId="1" xfId="0" applyFont="1" applyFill="1" applyBorder="1" applyAlignment="1">
      <alignment horizontal="left" vertical="center" wrapText="1"/>
    </xf>
    <xf numFmtId="2" fontId="5" fillId="10" borderId="4" xfId="0" applyNumberFormat="1" applyFont="1" applyFill="1" applyBorder="1" applyAlignment="1">
      <alignment horizontal="center"/>
    </xf>
    <xf numFmtId="2" fontId="5" fillId="10" borderId="8" xfId="0" applyNumberFormat="1" applyFont="1" applyFill="1" applyBorder="1" applyAlignment="1">
      <alignment horizontal="center"/>
    </xf>
    <xf numFmtId="2" fontId="5" fillId="10" borderId="10" xfId="0" applyNumberFormat="1" applyFont="1" applyFill="1" applyBorder="1" applyAlignment="1">
      <alignment horizontal="center"/>
    </xf>
    <xf numFmtId="0" fontId="8" fillId="11" borderId="7" xfId="0" applyFont="1" applyFill="1" applyBorder="1" applyAlignment="1">
      <alignment horizontal="left"/>
    </xf>
    <xf numFmtId="0" fontId="8" fillId="11" borderId="11" xfId="0" applyFont="1" applyFill="1" applyBorder="1" applyAlignment="1">
      <alignment horizontal="left"/>
    </xf>
    <xf numFmtId="0" fontId="8" fillId="11" borderId="7" xfId="0" applyFont="1" applyFill="1" applyBorder="1" applyAlignment="1">
      <alignment horizontal="center"/>
    </xf>
    <xf numFmtId="0" fontId="8" fillId="11" borderId="8" xfId="0" applyFont="1" applyFill="1" applyBorder="1" applyAlignment="1">
      <alignment horizontal="right"/>
    </xf>
    <xf numFmtId="0" fontId="3" fillId="10" borderId="4" xfId="0" applyFont="1" applyFill="1" applyBorder="1" applyAlignment="1">
      <alignment horizontal="left"/>
    </xf>
    <xf numFmtId="0" fontId="14" fillId="8" borderId="0" xfId="0" applyFont="1" applyFill="1"/>
    <xf numFmtId="0" fontId="15" fillId="8" borderId="0" xfId="0" applyFont="1" applyFill="1"/>
    <xf numFmtId="0" fontId="16" fillId="0" borderId="0" xfId="0" applyFont="1"/>
    <xf numFmtId="0" fontId="17" fillId="0" borderId="0" xfId="0" applyFont="1"/>
    <xf numFmtId="0" fontId="19" fillId="4" borderId="4" xfId="0" applyFont="1" applyFill="1" applyBorder="1" applyAlignment="1">
      <alignment horizontal="left"/>
    </xf>
    <xf numFmtId="0" fontId="17" fillId="4" borderId="4" xfId="0" applyFont="1" applyFill="1" applyBorder="1"/>
    <xf numFmtId="166" fontId="17" fillId="10" borderId="4" xfId="2" applyNumberFormat="1" applyFont="1" applyFill="1" applyBorder="1"/>
    <xf numFmtId="166" fontId="17" fillId="4" borderId="4" xfId="2" applyNumberFormat="1" applyFont="1" applyFill="1" applyBorder="1"/>
    <xf numFmtId="3" fontId="17" fillId="10" borderId="4" xfId="0" applyNumberFormat="1" applyFont="1" applyFill="1" applyBorder="1"/>
    <xf numFmtId="0" fontId="20" fillId="0" borderId="0" xfId="0" applyFont="1"/>
    <xf numFmtId="0" fontId="18" fillId="5" borderId="6" xfId="0" applyFont="1" applyFill="1" applyBorder="1" applyAlignment="1">
      <alignment horizontal="left"/>
    </xf>
    <xf numFmtId="0" fontId="18" fillId="5" borderId="12" xfId="0" applyFont="1" applyFill="1" applyBorder="1"/>
    <xf numFmtId="0" fontId="21" fillId="5" borderId="12" xfId="0" applyFont="1" applyFill="1" applyBorder="1"/>
    <xf numFmtId="0" fontId="17" fillId="4" borderId="0" xfId="0" quotePrefix="1" applyFont="1" applyFill="1" applyBorder="1" applyAlignment="1">
      <alignment vertical="top"/>
    </xf>
    <xf numFmtId="0" fontId="17" fillId="4" borderId="0" xfId="0" applyFont="1" applyFill="1" applyBorder="1" applyAlignment="1">
      <alignment vertical="top"/>
    </xf>
    <xf numFmtId="0" fontId="10" fillId="4" borderId="0" xfId="0" applyFont="1" applyFill="1" applyBorder="1" applyAlignment="1">
      <alignment horizontal="left" vertical="top" wrapText="1"/>
    </xf>
    <xf numFmtId="0" fontId="8" fillId="5" borderId="5" xfId="0" applyFont="1" applyFill="1" applyBorder="1" applyAlignment="1">
      <alignment horizontal="center"/>
    </xf>
    <xf numFmtId="0" fontId="8" fillId="5" borderId="8" xfId="0" applyFont="1" applyFill="1" applyBorder="1" applyAlignment="1">
      <alignment horizontal="center"/>
    </xf>
    <xf numFmtId="0" fontId="8" fillId="11" borderId="8" xfId="0" applyFont="1" applyFill="1" applyBorder="1" applyAlignment="1">
      <alignment horizontal="center"/>
    </xf>
    <xf numFmtId="0" fontId="22" fillId="8" borderId="11" xfId="0" applyFont="1" applyFill="1" applyBorder="1"/>
    <xf numFmtId="0" fontId="23" fillId="8" borderId="0" xfId="0" applyFont="1" applyFill="1"/>
    <xf numFmtId="0" fontId="24" fillId="0" borderId="0" xfId="0" applyFont="1"/>
    <xf numFmtId="0" fontId="24" fillId="0" borderId="0" xfId="0" applyFont="1" applyFill="1"/>
    <xf numFmtId="0" fontId="25" fillId="9" borderId="4" xfId="0" applyFont="1" applyFill="1" applyBorder="1"/>
    <xf numFmtId="0" fontId="24" fillId="6" borderId="0" xfId="0" applyFont="1" applyFill="1"/>
    <xf numFmtId="0" fontId="25" fillId="9" borderId="10" xfId="0" applyFont="1" applyFill="1" applyBorder="1"/>
    <xf numFmtId="0" fontId="27" fillId="7" borderId="0" xfId="0" applyFont="1" applyFill="1" applyBorder="1" applyAlignment="1">
      <alignment horizontal="center" vertical="center" wrapText="1"/>
    </xf>
    <xf numFmtId="0" fontId="25" fillId="9" borderId="5" xfId="0" applyFont="1" applyFill="1" applyBorder="1"/>
    <xf numFmtId="0" fontId="27" fillId="2" borderId="4" xfId="0" applyFont="1" applyFill="1" applyBorder="1" applyAlignment="1">
      <alignment vertical="center"/>
    </xf>
    <xf numFmtId="0" fontId="28" fillId="7" borderId="0" xfId="0" applyFont="1" applyFill="1" applyBorder="1" applyAlignment="1">
      <alignment horizontal="center" vertical="center"/>
    </xf>
    <xf numFmtId="0" fontId="25" fillId="9" borderId="10" xfId="0" applyFont="1" applyFill="1" applyBorder="1" applyAlignment="1">
      <alignment horizontal="left" vertical="center"/>
    </xf>
    <xf numFmtId="168" fontId="24" fillId="7" borderId="4" xfId="0" applyNumberFormat="1" applyFont="1" applyFill="1" applyBorder="1" applyAlignment="1"/>
    <xf numFmtId="168" fontId="24" fillId="7" borderId="4" xfId="0" applyNumberFormat="1" applyFont="1" applyFill="1" applyBorder="1" applyAlignment="1">
      <alignment horizontal="center"/>
    </xf>
    <xf numFmtId="0" fontId="24" fillId="7" borderId="0" xfId="0" applyFont="1" applyFill="1" applyBorder="1" applyAlignment="1">
      <alignment horizontal="center" vertical="center"/>
    </xf>
    <xf numFmtId="168" fontId="24" fillId="7" borderId="3" xfId="0" applyNumberFormat="1" applyFont="1" applyFill="1" applyBorder="1" applyAlignment="1">
      <alignment horizontal="left"/>
    </xf>
    <xf numFmtId="168" fontId="24" fillId="3" borderId="4" xfId="2" applyNumberFormat="1" applyFont="1" applyFill="1" applyBorder="1" applyAlignment="1">
      <alignment horizontal="center"/>
    </xf>
    <xf numFmtId="168" fontId="24" fillId="7" borderId="2" xfId="0" applyNumberFormat="1" applyFont="1" applyFill="1" applyBorder="1" applyAlignment="1">
      <alignment horizontal="left"/>
    </xf>
    <xf numFmtId="168" fontId="24" fillId="3" borderId="3" xfId="2" applyNumberFormat="1" applyFont="1" applyFill="1" applyBorder="1" applyAlignment="1">
      <alignment horizontal="center"/>
    </xf>
    <xf numFmtId="0" fontId="25" fillId="9" borderId="8" xfId="0" applyFont="1" applyFill="1" applyBorder="1" applyAlignment="1">
      <alignment horizontal="left" vertical="center"/>
    </xf>
    <xf numFmtId="0" fontId="26" fillId="7" borderId="0" xfId="0" applyFont="1" applyFill="1" applyBorder="1" applyAlignment="1">
      <alignment horizontal="left"/>
    </xf>
    <xf numFmtId="0" fontId="22" fillId="8" borderId="5" xfId="0" applyFont="1" applyFill="1" applyBorder="1"/>
    <xf numFmtId="0" fontId="23" fillId="8" borderId="12" xfId="0" applyFont="1" applyFill="1" applyBorder="1"/>
    <xf numFmtId="0" fontId="23" fillId="8" borderId="2" xfId="0" applyFont="1" applyFill="1" applyBorder="1"/>
    <xf numFmtId="0" fontId="23" fillId="8" borderId="3" xfId="0" applyFont="1" applyFill="1" applyBorder="1"/>
    <xf numFmtId="0" fontId="24" fillId="7" borderId="0" xfId="0" applyFont="1" applyFill="1" applyBorder="1" applyAlignment="1">
      <alignment horizontal="left" vertical="top" wrapText="1"/>
    </xf>
    <xf numFmtId="0" fontId="22" fillId="8" borderId="0" xfId="0" applyFont="1" applyFill="1"/>
    <xf numFmtId="0" fontId="24" fillId="7" borderId="0" xfId="0" applyFont="1" applyFill="1" applyBorder="1" applyAlignment="1">
      <alignment horizontal="left"/>
    </xf>
    <xf numFmtId="0" fontId="24" fillId="0" borderId="0" xfId="0" applyFont="1" applyAlignment="1">
      <alignment horizontal="left"/>
    </xf>
    <xf numFmtId="0" fontId="24" fillId="7" borderId="0" xfId="0" applyFont="1" applyFill="1" applyBorder="1" applyAlignment="1">
      <alignment horizontal="left" wrapText="1"/>
    </xf>
    <xf numFmtId="0" fontId="24" fillId="0" borderId="0" xfId="0" applyFont="1" applyFill="1" applyBorder="1" applyAlignment="1">
      <alignment horizontal="left"/>
    </xf>
    <xf numFmtId="0" fontId="25" fillId="2" borderId="3" xfId="0" applyFont="1" applyFill="1" applyBorder="1"/>
    <xf numFmtId="0" fontId="24" fillId="7" borderId="0" xfId="0" applyFont="1" applyFill="1" applyAlignment="1">
      <alignment horizontal="left"/>
    </xf>
    <xf numFmtId="0" fontId="25" fillId="2" borderId="1" xfId="0" applyFont="1" applyFill="1" applyBorder="1"/>
    <xf numFmtId="0" fontId="25" fillId="9" borderId="6" xfId="0" applyFont="1" applyFill="1" applyBorder="1" applyAlignment="1">
      <alignment horizontal="left"/>
    </xf>
    <xf numFmtId="0" fontId="25" fillId="9" borderId="7" xfId="0" applyFont="1" applyFill="1" applyBorder="1" applyAlignment="1">
      <alignment horizontal="right"/>
    </xf>
    <xf numFmtId="0" fontId="25" fillId="9" borderId="8" xfId="0" applyFont="1" applyFill="1" applyBorder="1" applyAlignment="1">
      <alignment horizontal="right"/>
    </xf>
    <xf numFmtId="166" fontId="29" fillId="0" borderId="0" xfId="2" applyNumberFormat="1" applyFont="1"/>
    <xf numFmtId="166" fontId="25" fillId="2" borderId="7" xfId="2" applyNumberFormat="1" applyFont="1" applyFill="1" applyBorder="1"/>
    <xf numFmtId="10" fontId="24" fillId="0" borderId="0" xfId="1" applyNumberFormat="1" applyFont="1"/>
    <xf numFmtId="10" fontId="24" fillId="0" borderId="0" xfId="0" applyNumberFormat="1" applyFont="1"/>
    <xf numFmtId="169" fontId="24" fillId="0" borderId="0" xfId="1" applyNumberFormat="1" applyFont="1"/>
    <xf numFmtId="0" fontId="22" fillId="8" borderId="6" xfId="0" applyFont="1" applyFill="1" applyBorder="1" applyAlignment="1">
      <alignment horizontal="left"/>
    </xf>
    <xf numFmtId="0" fontId="26" fillId="0" borderId="0" xfId="0" applyFont="1"/>
    <xf numFmtId="0" fontId="25" fillId="2" borderId="6" xfId="0" applyFont="1" applyFill="1" applyBorder="1" applyAlignment="1">
      <alignment horizontal="left"/>
    </xf>
    <xf numFmtId="0" fontId="25" fillId="2" borderId="7" xfId="0" applyFont="1" applyFill="1" applyBorder="1" applyAlignment="1">
      <alignment horizontal="right"/>
    </xf>
    <xf numFmtId="0" fontId="25" fillId="2" borderId="8" xfId="0" applyFont="1" applyFill="1" applyBorder="1" applyAlignment="1">
      <alignment horizontal="right"/>
    </xf>
    <xf numFmtId="167" fontId="29" fillId="0" borderId="0" xfId="3" applyNumberFormat="1" applyFont="1" applyAlignment="1"/>
    <xf numFmtId="170" fontId="25" fillId="2" borderId="7" xfId="2" applyNumberFormat="1" applyFont="1" applyFill="1" applyBorder="1" applyAlignment="1"/>
    <xf numFmtId="167" fontId="31" fillId="0" borderId="0" xfId="3" applyNumberFormat="1" applyFont="1" applyAlignment="1">
      <alignment horizontal="right"/>
    </xf>
    <xf numFmtId="167" fontId="31" fillId="0" borderId="0" xfId="3" applyNumberFormat="1" applyFont="1" applyAlignment="1">
      <alignment horizontal="center" vertical="center"/>
    </xf>
    <xf numFmtId="0" fontId="33" fillId="2" borderId="4" xfId="0" applyFont="1" applyFill="1" applyBorder="1" applyAlignment="1">
      <alignment horizontal="center" vertical="center"/>
    </xf>
    <xf numFmtId="0" fontId="8" fillId="2" borderId="6" xfId="0" applyFont="1" applyFill="1" applyBorder="1"/>
    <xf numFmtId="166" fontId="7" fillId="11" borderId="5" xfId="2" applyNumberFormat="1" applyFont="1" applyFill="1" applyBorder="1"/>
    <xf numFmtId="3" fontId="7" fillId="11" borderId="10" xfId="0" applyNumberFormat="1" applyFont="1" applyFill="1" applyBorder="1"/>
    <xf numFmtId="3" fontId="7" fillId="11" borderId="5" xfId="0" applyNumberFormat="1" applyFont="1" applyFill="1" applyBorder="1"/>
    <xf numFmtId="0" fontId="6" fillId="8" borderId="8" xfId="0" applyFont="1" applyFill="1" applyBorder="1" applyAlignment="1"/>
    <xf numFmtId="0" fontId="6" fillId="8" borderId="0" xfId="0" applyFont="1" applyFill="1" applyBorder="1" applyAlignment="1"/>
    <xf numFmtId="2" fontId="6" fillId="8" borderId="9" xfId="0" applyNumberFormat="1" applyFont="1" applyFill="1" applyBorder="1" applyAlignment="1">
      <alignment horizontal="center" vertical="center" wrapText="1"/>
    </xf>
    <xf numFmtId="1" fontId="6" fillId="8" borderId="9" xfId="0" applyNumberFormat="1" applyFont="1" applyFill="1" applyBorder="1" applyAlignment="1">
      <alignment horizontal="center" vertical="center" wrapText="1"/>
    </xf>
    <xf numFmtId="0" fontId="6" fillId="8" borderId="9" xfId="0" applyFont="1" applyFill="1" applyBorder="1" applyAlignment="1">
      <alignment horizontal="center" vertical="center" wrapText="1"/>
    </xf>
    <xf numFmtId="0" fontId="5" fillId="10" borderId="13" xfId="0" applyFont="1" applyFill="1" applyBorder="1" applyAlignment="1">
      <alignment horizontal="left" vertical="center"/>
    </xf>
    <xf numFmtId="0" fontId="5" fillId="10" borderId="13" xfId="0" applyFont="1" applyFill="1" applyBorder="1" applyAlignment="1">
      <alignment horizontal="center"/>
    </xf>
    <xf numFmtId="2" fontId="5" fillId="10" borderId="6" xfId="0" applyNumberFormat="1" applyFont="1" applyFill="1" applyBorder="1" applyAlignment="1">
      <alignment horizontal="center"/>
    </xf>
    <xf numFmtId="1" fontId="5" fillId="10" borderId="8" xfId="0" applyNumberFormat="1" applyFont="1" applyFill="1" applyBorder="1" applyAlignment="1">
      <alignment horizontal="center"/>
    </xf>
    <xf numFmtId="2" fontId="5" fillId="10" borderId="8" xfId="3" applyNumberFormat="1" applyFont="1" applyFill="1" applyBorder="1" applyAlignment="1">
      <alignment horizontal="center"/>
    </xf>
    <xf numFmtId="168" fontId="8" fillId="9" borderId="5" xfId="0" applyNumberFormat="1" applyFont="1" applyFill="1" applyBorder="1" applyAlignment="1"/>
    <xf numFmtId="168" fontId="8" fillId="9" borderId="2" xfId="0" applyNumberFormat="1" applyFont="1" applyFill="1" applyBorder="1" applyAlignment="1"/>
    <xf numFmtId="168" fontId="8" fillId="9" borderId="3" xfId="0" applyNumberFormat="1" applyFont="1" applyFill="1" applyBorder="1" applyAlignment="1">
      <alignment horizontal="left"/>
    </xf>
    <xf numFmtId="3" fontId="5" fillId="10" borderId="4" xfId="3" applyNumberFormat="1" applyFont="1" applyFill="1" applyBorder="1" applyAlignment="1">
      <alignment horizontal="center"/>
    </xf>
    <xf numFmtId="10" fontId="0" fillId="0" borderId="0" xfId="1" applyNumberFormat="1" applyFont="1"/>
    <xf numFmtId="10" fontId="0" fillId="0" borderId="0" xfId="0" applyNumberFormat="1"/>
    <xf numFmtId="0" fontId="34" fillId="0" borderId="0" xfId="0" applyFont="1"/>
    <xf numFmtId="165" fontId="6" fillId="15" borderId="4" xfId="3" applyFont="1" applyFill="1" applyBorder="1" applyAlignment="1">
      <alignment horizontal="left"/>
    </xf>
    <xf numFmtId="165" fontId="6" fillId="15" borderId="4" xfId="3" applyFont="1" applyFill="1" applyBorder="1" applyAlignment="1">
      <alignment horizontal="center"/>
    </xf>
    <xf numFmtId="165" fontId="3" fillId="5" borderId="4" xfId="3" applyFont="1" applyFill="1" applyBorder="1" applyAlignment="1">
      <alignment horizontal="left" indent="2"/>
    </xf>
    <xf numFmtId="165" fontId="3" fillId="5" borderId="4" xfId="3" applyFont="1" applyFill="1" applyBorder="1"/>
    <xf numFmtId="171" fontId="3" fillId="5" borderId="4" xfId="3" applyNumberFormat="1" applyFont="1" applyFill="1" applyBorder="1"/>
    <xf numFmtId="165" fontId="7" fillId="5" borderId="4" xfId="3" applyFont="1" applyFill="1" applyBorder="1"/>
    <xf numFmtId="0" fontId="7" fillId="5" borderId="5" xfId="0" applyFont="1" applyFill="1" applyBorder="1"/>
    <xf numFmtId="0" fontId="0" fillId="0" borderId="0" xfId="0" applyFont="1"/>
    <xf numFmtId="0" fontId="7" fillId="5" borderId="0" xfId="0" applyFont="1" applyFill="1" applyBorder="1"/>
    <xf numFmtId="171" fontId="7" fillId="5" borderId="4" xfId="3" applyNumberFormat="1" applyFont="1" applyFill="1" applyBorder="1"/>
    <xf numFmtId="0" fontId="32" fillId="0" borderId="0" xfId="0" applyFont="1"/>
    <xf numFmtId="0" fontId="8" fillId="0" borderId="8" xfId="0" applyFont="1" applyFill="1" applyBorder="1"/>
    <xf numFmtId="0" fontId="35" fillId="4" borderId="5" xfId="0" applyFont="1" applyFill="1" applyBorder="1"/>
    <xf numFmtId="0" fontId="7" fillId="4" borderId="5" xfId="0" applyFont="1" applyFill="1" applyBorder="1"/>
    <xf numFmtId="0" fontId="3" fillId="4" borderId="4" xfId="0" applyFont="1" applyFill="1" applyBorder="1" applyAlignment="1">
      <alignment horizontal="left"/>
    </xf>
    <xf numFmtId="165" fontId="36" fillId="10" borderId="4" xfId="3" applyFont="1" applyFill="1" applyBorder="1"/>
    <xf numFmtId="165" fontId="3" fillId="10" borderId="4" xfId="3" applyFont="1" applyFill="1" applyBorder="1"/>
    <xf numFmtId="165" fontId="7" fillId="5" borderId="4" xfId="3" applyFont="1" applyFill="1" applyBorder="1" applyAlignment="1">
      <alignment horizontal="left"/>
    </xf>
    <xf numFmtId="0" fontId="7" fillId="4" borderId="4" xfId="0" applyFont="1" applyFill="1" applyBorder="1" applyAlignment="1">
      <alignment horizontal="left"/>
    </xf>
    <xf numFmtId="165" fontId="37" fillId="10" borderId="4" xfId="3" applyFont="1" applyFill="1" applyBorder="1"/>
    <xf numFmtId="165" fontId="7" fillId="10" borderId="4" xfId="3" applyFont="1" applyFill="1" applyBorder="1"/>
    <xf numFmtId="0" fontId="3" fillId="4" borderId="7" xfId="0" applyFont="1" applyFill="1" applyBorder="1" applyAlignment="1">
      <alignment horizontal="left"/>
    </xf>
    <xf numFmtId="171" fontId="3" fillId="10" borderId="4" xfId="3" applyNumberFormat="1" applyFont="1" applyFill="1" applyBorder="1"/>
    <xf numFmtId="0" fontId="6" fillId="8" borderId="12" xfId="0" applyFont="1" applyFill="1" applyBorder="1"/>
    <xf numFmtId="0" fontId="3" fillId="4" borderId="3" xfId="0" applyFont="1" applyFill="1" applyBorder="1" applyAlignment="1">
      <alignment horizontal="left" indent="1"/>
    </xf>
    <xf numFmtId="0" fontId="7" fillId="4" borderId="4" xfId="0" applyFont="1" applyFill="1" applyBorder="1"/>
    <xf numFmtId="166" fontId="7" fillId="5" borderId="5" xfId="2" applyNumberFormat="1" applyFont="1" applyFill="1" applyBorder="1" applyAlignment="1">
      <alignment horizontal="center"/>
    </xf>
    <xf numFmtId="0" fontId="7" fillId="4" borderId="3" xfId="0" applyFont="1" applyFill="1" applyBorder="1"/>
    <xf numFmtId="166" fontId="7" fillId="10" borderId="5" xfId="2" applyNumberFormat="1" applyFont="1" applyFill="1" applyBorder="1" applyAlignment="1">
      <alignment horizontal="center"/>
    </xf>
    <xf numFmtId="0" fontId="8" fillId="5" borderId="1" xfId="0" applyFont="1" applyFill="1" applyBorder="1"/>
    <xf numFmtId="0" fontId="8" fillId="5" borderId="4" xfId="0" applyFont="1" applyFill="1" applyBorder="1" applyAlignment="1">
      <alignment horizontal="left"/>
    </xf>
    <xf numFmtId="0" fontId="8" fillId="5" borderId="4" xfId="0" applyFont="1" applyFill="1" applyBorder="1" applyAlignment="1">
      <alignment horizontal="right"/>
    </xf>
    <xf numFmtId="3" fontId="7" fillId="11" borderId="4" xfId="0" applyNumberFormat="1" applyFont="1" applyFill="1" applyBorder="1"/>
    <xf numFmtId="0" fontId="3" fillId="4" borderId="4" xfId="0" quotePrefix="1" applyFont="1" applyFill="1" applyBorder="1"/>
    <xf numFmtId="165" fontId="37" fillId="5" borderId="4" xfId="3" applyFont="1" applyFill="1" applyBorder="1"/>
    <xf numFmtId="3" fontId="20" fillId="11" borderId="4" xfId="0" applyNumberFormat="1" applyFont="1" applyFill="1" applyBorder="1"/>
    <xf numFmtId="0" fontId="18" fillId="5" borderId="4" xfId="0" applyFont="1" applyFill="1" applyBorder="1" applyAlignment="1">
      <alignment horizontal="left"/>
    </xf>
    <xf numFmtId="0" fontId="18" fillId="5" borderId="4" xfId="0" applyFont="1" applyFill="1" applyBorder="1" applyAlignment="1">
      <alignment horizontal="center"/>
    </xf>
    <xf numFmtId="0" fontId="18" fillId="5" borderId="4" xfId="0" applyFont="1" applyFill="1" applyBorder="1" applyAlignment="1">
      <alignment horizontal="right"/>
    </xf>
    <xf numFmtId="0" fontId="18" fillId="5" borderId="4" xfId="0" applyFont="1" applyFill="1" applyBorder="1"/>
    <xf numFmtId="3" fontId="18" fillId="5" borderId="4" xfId="0" applyNumberFormat="1" applyFont="1" applyFill="1" applyBorder="1"/>
    <xf numFmtId="166" fontId="20" fillId="11" borderId="4" xfId="2" applyNumberFormat="1" applyFont="1" applyFill="1" applyBorder="1"/>
    <xf numFmtId="166" fontId="18" fillId="5" borderId="4" xfId="2" applyNumberFormat="1" applyFont="1" applyFill="1" applyBorder="1"/>
    <xf numFmtId="0" fontId="26" fillId="7" borderId="10" xfId="0" applyNumberFormat="1" applyFont="1" applyFill="1" applyBorder="1" applyAlignment="1">
      <alignment horizontal="left" wrapText="1"/>
    </xf>
    <xf numFmtId="0" fontId="26" fillId="7" borderId="1" xfId="0" applyNumberFormat="1" applyFont="1" applyFill="1" applyBorder="1" applyAlignment="1">
      <alignment horizontal="left" wrapText="1"/>
    </xf>
    <xf numFmtId="0" fontId="24" fillId="7" borderId="0" xfId="0" applyFont="1" applyFill="1" applyBorder="1" applyAlignment="1">
      <alignment horizontal="left" wrapText="1"/>
    </xf>
    <xf numFmtId="0" fontId="24" fillId="7" borderId="1" xfId="0" applyFont="1" applyFill="1" applyBorder="1" applyAlignment="1">
      <alignment horizontal="left" vertical="top" wrapText="1"/>
    </xf>
    <xf numFmtId="0" fontId="3" fillId="7" borderId="0" xfId="0" quotePrefix="1" applyFont="1" applyFill="1" applyBorder="1" applyAlignment="1">
      <alignment horizontal="left" vertical="top" wrapText="1"/>
    </xf>
    <xf numFmtId="0" fontId="24" fillId="2" borderId="8" xfId="0" applyFont="1" applyFill="1" applyBorder="1" applyAlignment="1">
      <alignment horizontal="center"/>
    </xf>
    <xf numFmtId="0" fontId="24" fillId="2" borderId="0" xfId="0" applyFont="1" applyFill="1" applyBorder="1" applyAlignment="1">
      <alignment horizontal="center"/>
    </xf>
    <xf numFmtId="168" fontId="29" fillId="7" borderId="5" xfId="0" applyNumberFormat="1" applyFont="1" applyFill="1" applyBorder="1" applyAlignment="1">
      <alignment horizontal="left"/>
    </xf>
    <xf numFmtId="168" fontId="29" fillId="7" borderId="3" xfId="0" applyNumberFormat="1" applyFont="1" applyFill="1" applyBorder="1" applyAlignment="1">
      <alignment horizontal="left"/>
    </xf>
    <xf numFmtId="0" fontId="8" fillId="9" borderId="10" xfId="0" applyFont="1" applyFill="1" applyBorder="1" applyAlignment="1">
      <alignment horizontal="left" vertical="center"/>
    </xf>
    <xf numFmtId="0" fontId="25" fillId="9" borderId="11" xfId="0" applyFont="1" applyFill="1" applyBorder="1" applyAlignment="1">
      <alignment horizontal="left" vertical="center"/>
    </xf>
    <xf numFmtId="0" fontId="24" fillId="7" borderId="1" xfId="0" applyFont="1" applyFill="1" applyBorder="1" applyAlignment="1">
      <alignment horizontal="left" wrapText="1"/>
    </xf>
    <xf numFmtId="0" fontId="30" fillId="7" borderId="0" xfId="0" quotePrefix="1" applyFont="1" applyFill="1" applyBorder="1" applyAlignment="1">
      <alignment horizontal="left" vertical="top" wrapText="1"/>
    </xf>
    <xf numFmtId="0" fontId="24" fillId="7" borderId="0" xfId="0" quotePrefix="1" applyFont="1" applyFill="1" applyBorder="1" applyAlignment="1">
      <alignment horizontal="left" vertical="top" wrapText="1"/>
    </xf>
    <xf numFmtId="0" fontId="24" fillId="7" borderId="0" xfId="0" applyFont="1" applyFill="1" applyBorder="1" applyAlignment="1">
      <alignment horizontal="left" vertical="top" wrapText="1"/>
    </xf>
    <xf numFmtId="0" fontId="11" fillId="10" borderId="0" xfId="0" applyFont="1" applyFill="1" applyAlignment="1">
      <alignment horizontal="center"/>
    </xf>
    <xf numFmtId="0" fontId="3" fillId="4" borderId="1" xfId="0" applyFont="1" applyFill="1" applyBorder="1" applyAlignment="1">
      <alignment horizontal="left" vertical="top" wrapText="1"/>
    </xf>
    <xf numFmtId="0" fontId="7" fillId="4" borderId="8" xfId="0" applyFont="1" applyFill="1" applyBorder="1" applyAlignment="1">
      <alignment horizontal="left"/>
    </xf>
    <xf numFmtId="0" fontId="7" fillId="4" borderId="0" xfId="0" applyFont="1" applyFill="1" applyBorder="1" applyAlignment="1">
      <alignment horizontal="left"/>
    </xf>
    <xf numFmtId="0" fontId="6" fillId="8" borderId="12" xfId="0" applyFont="1" applyFill="1" applyBorder="1" applyAlignment="1">
      <alignment horizontal="left"/>
    </xf>
    <xf numFmtId="49" fontId="10" fillId="10" borderId="1" xfId="0" applyNumberFormat="1" applyFont="1" applyFill="1" applyBorder="1" applyAlignment="1">
      <alignment horizontal="left" vertical="top" wrapText="1"/>
    </xf>
    <xf numFmtId="0" fontId="3" fillId="10" borderId="1" xfId="0" applyFont="1" applyFill="1" applyBorder="1" applyAlignment="1">
      <alignment horizontal="left" vertical="top" wrapText="1"/>
    </xf>
    <xf numFmtId="0" fontId="3" fillId="4" borderId="0" xfId="0" applyFont="1" applyFill="1" applyBorder="1" applyAlignment="1">
      <alignment horizontal="left" vertical="top" wrapText="1"/>
    </xf>
    <xf numFmtId="0" fontId="10" fillId="4" borderId="10" xfId="0" applyFont="1" applyFill="1" applyBorder="1" applyAlignment="1">
      <alignment horizontal="left" vertical="top" wrapText="1"/>
    </xf>
    <xf numFmtId="0" fontId="10" fillId="4" borderId="1" xfId="0" applyFont="1" applyFill="1" applyBorder="1" applyAlignment="1">
      <alignment horizontal="left" vertical="top" wrapText="1"/>
    </xf>
    <xf numFmtId="0" fontId="10" fillId="4" borderId="8" xfId="0" applyFont="1" applyFill="1" applyBorder="1" applyAlignment="1">
      <alignment horizontal="left" vertical="top" wrapText="1"/>
    </xf>
    <xf numFmtId="0" fontId="10" fillId="4" borderId="0" xfId="0" applyFont="1" applyFill="1" applyBorder="1" applyAlignment="1">
      <alignment horizontal="left" vertical="top" wrapText="1"/>
    </xf>
    <xf numFmtId="0" fontId="3" fillId="4" borderId="10" xfId="0" quotePrefix="1" applyFont="1" applyFill="1" applyBorder="1" applyAlignment="1">
      <alignment horizontal="left" vertical="top" wrapText="1"/>
    </xf>
    <xf numFmtId="0" fontId="3" fillId="4" borderId="1" xfId="0" quotePrefix="1" applyFont="1" applyFill="1" applyBorder="1" applyAlignment="1">
      <alignment horizontal="left" vertical="top" wrapText="1"/>
    </xf>
    <xf numFmtId="0" fontId="3" fillId="4" borderId="8" xfId="0" quotePrefix="1" applyFont="1" applyFill="1" applyBorder="1" applyAlignment="1">
      <alignment horizontal="left" vertical="top" wrapText="1"/>
    </xf>
    <xf numFmtId="0" fontId="3" fillId="4" borderId="0" xfId="0" quotePrefix="1" applyFont="1" applyFill="1" applyBorder="1" applyAlignment="1">
      <alignment horizontal="left" vertical="top" wrapText="1"/>
    </xf>
    <xf numFmtId="0" fontId="8" fillId="11" borderId="5" xfId="0" applyFont="1" applyFill="1" applyBorder="1" applyAlignment="1">
      <alignment horizontal="left" vertical="center"/>
    </xf>
    <xf numFmtId="0" fontId="8" fillId="11" borderId="2" xfId="0" applyFont="1" applyFill="1" applyBorder="1" applyAlignment="1">
      <alignment horizontal="left" vertical="center"/>
    </xf>
    <xf numFmtId="0" fontId="8" fillId="11" borderId="3" xfId="0" applyFont="1" applyFill="1" applyBorder="1" applyAlignment="1">
      <alignment horizontal="left" vertical="center"/>
    </xf>
    <xf numFmtId="0" fontId="6" fillId="12" borderId="0" xfId="0" applyFont="1" applyFill="1" applyBorder="1" applyAlignment="1">
      <alignment horizontal="center"/>
    </xf>
    <xf numFmtId="2" fontId="6" fillId="13" borderId="0" xfId="0" applyNumberFormat="1" applyFont="1" applyFill="1" applyAlignment="1">
      <alignment horizontal="center"/>
    </xf>
    <xf numFmtId="10" fontId="34" fillId="14" borderId="12" xfId="0" applyNumberFormat="1" applyFont="1" applyFill="1" applyBorder="1" applyAlignment="1">
      <alignment horizontal="center"/>
    </xf>
    <xf numFmtId="10" fontId="34" fillId="14" borderId="0" xfId="0" applyNumberFormat="1" applyFont="1" applyFill="1" applyBorder="1" applyAlignment="1">
      <alignment horizontal="center"/>
    </xf>
    <xf numFmtId="0" fontId="7" fillId="4" borderId="5" xfId="0" applyFont="1" applyFill="1" applyBorder="1" applyAlignment="1">
      <alignment horizontal="center"/>
    </xf>
    <xf numFmtId="0" fontId="7" fillId="4" borderId="2" xfId="0" applyFont="1" applyFill="1" applyBorder="1" applyAlignment="1">
      <alignment horizontal="center"/>
    </xf>
    <xf numFmtId="0" fontId="10" fillId="4" borderId="1" xfId="0" applyFont="1" applyFill="1" applyBorder="1" applyAlignment="1">
      <alignment horizontal="left" vertical="top"/>
    </xf>
    <xf numFmtId="0" fontId="19" fillId="4" borderId="1" xfId="0" applyFont="1" applyFill="1" applyBorder="1" applyAlignment="1">
      <alignment horizontal="left" vertical="top"/>
    </xf>
    <xf numFmtId="0" fontId="19" fillId="4" borderId="0" xfId="0" applyFont="1" applyFill="1" applyBorder="1" applyAlignment="1">
      <alignment horizontal="left" vertical="top"/>
    </xf>
    <xf numFmtId="0" fontId="2" fillId="4" borderId="1" xfId="0" quotePrefix="1" applyFont="1" applyFill="1" applyBorder="1" applyAlignment="1">
      <alignment horizontal="left" vertical="top" wrapText="1"/>
    </xf>
    <xf numFmtId="0" fontId="17" fillId="4" borderId="1" xfId="0" quotePrefix="1" applyFont="1" applyFill="1" applyBorder="1" applyAlignment="1">
      <alignment horizontal="left" vertical="top" wrapText="1"/>
    </xf>
    <xf numFmtId="0" fontId="17" fillId="4" borderId="0" xfId="0" quotePrefix="1" applyFont="1" applyFill="1" applyBorder="1" applyAlignment="1">
      <alignment horizontal="left" vertical="top" wrapText="1"/>
    </xf>
    <xf numFmtId="0" fontId="6" fillId="8" borderId="12" xfId="0" applyFont="1" applyFill="1" applyBorder="1" applyAlignment="1">
      <alignment horizontal="center"/>
    </xf>
  </cellXfs>
  <cellStyles count="7">
    <cellStyle name="Comma" xfId="3" builtinId="3"/>
    <cellStyle name="Comma 2" xfId="6" xr:uid="{00000000-0005-0000-0000-000002000000}"/>
    <cellStyle name="Currency" xfId="2" builtinId="4"/>
    <cellStyle name="Currency 2" xfId="4" xr:uid="{00000000-0005-0000-0000-000004000000}"/>
    <cellStyle name="Normal" xfId="0" builtinId="0"/>
    <cellStyle name="Normal 2" xfId="5" xr:uid="{00000000-0005-0000-0000-000006000000}"/>
    <cellStyle name="Percent" xfId="1" builtinId="5"/>
  </cellStyles>
  <dxfs count="0"/>
  <tableStyles count="0" defaultTableStyle="TableStyleMedium9" defaultPivotStyle="PivotStyleLight16"/>
  <colors>
    <mruColors>
      <color rgb="FFD9D9D9"/>
      <color rgb="FFA6A6A6"/>
      <color rgb="FFEAEAEA"/>
      <color rgb="FF5E6A71"/>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59"/>
  <sheetViews>
    <sheetView showGridLines="0" tabSelected="1" zoomScale="90" zoomScaleNormal="90" workbookViewId="0">
      <selection activeCell="H58" sqref="H58"/>
    </sheetView>
  </sheetViews>
  <sheetFormatPr defaultRowHeight="12.75" x14ac:dyDescent="0.2"/>
  <cols>
    <col min="1" max="1" width="2.42578125" style="140" customWidth="1"/>
    <col min="2" max="2" width="41.85546875" style="140" customWidth="1"/>
    <col min="3" max="3" width="17.5703125" style="140" customWidth="1"/>
    <col min="4" max="4" width="16.42578125" style="140" customWidth="1"/>
    <col min="5" max="5" width="13.85546875" style="140" customWidth="1"/>
    <col min="6" max="6" width="14" style="140" customWidth="1"/>
    <col min="7" max="7" width="12.85546875" style="140" customWidth="1"/>
    <col min="8" max="8" width="13.28515625" style="140" customWidth="1"/>
    <col min="9" max="9" width="11.5703125" style="140" customWidth="1"/>
    <col min="10" max="16384" width="9.140625" style="140"/>
  </cols>
  <sheetData>
    <row r="2" spans="2:19" x14ac:dyDescent="0.2">
      <c r="B2" s="138" t="s">
        <v>7</v>
      </c>
      <c r="C2" s="139"/>
      <c r="D2" s="139"/>
      <c r="E2" s="139"/>
      <c r="F2" s="139"/>
      <c r="G2" s="139"/>
      <c r="H2" s="139"/>
      <c r="O2" s="141"/>
      <c r="P2" s="141"/>
      <c r="Q2" s="141"/>
      <c r="R2" s="141"/>
      <c r="S2" s="141"/>
    </row>
    <row r="3" spans="2:19" ht="75.75" customHeight="1" x14ac:dyDescent="0.2">
      <c r="B3" s="142" t="s">
        <v>55</v>
      </c>
      <c r="C3" s="254" t="s">
        <v>75</v>
      </c>
      <c r="D3" s="255"/>
      <c r="E3" s="255"/>
      <c r="F3" s="255"/>
      <c r="G3" s="255"/>
      <c r="H3" s="255"/>
      <c r="M3" s="143"/>
      <c r="N3" s="143"/>
      <c r="O3" s="141"/>
      <c r="P3" s="141"/>
      <c r="Q3" s="141"/>
      <c r="R3" s="141"/>
      <c r="S3" s="141"/>
    </row>
    <row r="4" spans="2:19" ht="55.5" customHeight="1" x14ac:dyDescent="0.2">
      <c r="B4" s="144"/>
      <c r="C4" s="259"/>
      <c r="D4" s="260"/>
      <c r="E4" s="145"/>
      <c r="F4" s="145"/>
      <c r="G4" s="145"/>
      <c r="H4" s="145"/>
      <c r="M4" s="143"/>
      <c r="N4" s="143"/>
      <c r="O4" s="141"/>
      <c r="P4" s="141"/>
      <c r="Q4" s="141"/>
      <c r="R4" s="141"/>
      <c r="S4" s="141"/>
    </row>
    <row r="5" spans="2:19" x14ac:dyDescent="0.2">
      <c r="B5" s="146" t="s">
        <v>13</v>
      </c>
      <c r="C5" s="147"/>
      <c r="D5" s="189" t="s">
        <v>64</v>
      </c>
      <c r="E5" s="148"/>
      <c r="F5" s="148"/>
      <c r="G5" s="148"/>
      <c r="H5" s="148"/>
      <c r="M5" s="143"/>
      <c r="N5" s="143"/>
      <c r="O5" s="141"/>
      <c r="P5" s="141"/>
      <c r="Q5" s="141"/>
      <c r="R5" s="141"/>
      <c r="S5" s="141"/>
    </row>
    <row r="6" spans="2:19" x14ac:dyDescent="0.2">
      <c r="B6" s="149" t="s">
        <v>42</v>
      </c>
      <c r="C6" s="150"/>
      <c r="D6" s="151" t="s">
        <v>76</v>
      </c>
      <c r="E6" s="152"/>
      <c r="F6" s="152"/>
      <c r="G6" s="152"/>
      <c r="H6" s="152"/>
      <c r="M6" s="143"/>
      <c r="N6" s="143"/>
      <c r="O6" s="141"/>
      <c r="P6" s="141"/>
      <c r="Q6" s="141"/>
      <c r="R6" s="141"/>
      <c r="S6" s="141"/>
    </row>
    <row r="7" spans="2:19" x14ac:dyDescent="0.2">
      <c r="B7" s="263" t="s">
        <v>98</v>
      </c>
      <c r="C7" s="153" t="s">
        <v>77</v>
      </c>
      <c r="D7" s="154">
        <f>'Proposed Fee'!Q15</f>
        <v>421.57126619466362</v>
      </c>
      <c r="E7" s="152"/>
      <c r="F7" s="152"/>
      <c r="G7" s="152"/>
      <c r="H7" s="152"/>
      <c r="O7" s="141"/>
      <c r="P7" s="141"/>
      <c r="Q7" s="141"/>
      <c r="R7" s="141"/>
      <c r="S7" s="141"/>
    </row>
    <row r="8" spans="2:19" x14ac:dyDescent="0.2">
      <c r="B8" s="264"/>
      <c r="C8" s="155" t="s">
        <v>78</v>
      </c>
      <c r="D8" s="156">
        <f>'Proposed Fee'!Q27</f>
        <v>680.53163429142035</v>
      </c>
      <c r="E8" s="152"/>
      <c r="F8" s="152"/>
      <c r="G8" s="152"/>
      <c r="H8" s="152"/>
      <c r="O8" s="141"/>
      <c r="P8" s="141"/>
      <c r="Q8" s="141"/>
      <c r="R8" s="141"/>
      <c r="S8" s="141"/>
    </row>
    <row r="9" spans="2:19" x14ac:dyDescent="0.2">
      <c r="B9" s="157" t="s">
        <v>47</v>
      </c>
      <c r="C9" s="261" t="s">
        <v>66</v>
      </c>
      <c r="D9" s="262"/>
      <c r="E9" s="158"/>
      <c r="F9" s="158"/>
      <c r="G9" s="158"/>
      <c r="H9" s="158"/>
      <c r="O9" s="141"/>
      <c r="P9" s="141"/>
      <c r="Q9" s="141"/>
      <c r="R9" s="141"/>
      <c r="S9" s="141"/>
    </row>
    <row r="10" spans="2:19" x14ac:dyDescent="0.2">
      <c r="B10" s="159" t="s">
        <v>5</v>
      </c>
      <c r="C10" s="160"/>
      <c r="D10" s="160"/>
      <c r="E10" s="161"/>
      <c r="F10" s="161"/>
      <c r="G10" s="161"/>
      <c r="H10" s="162"/>
      <c r="O10" s="141"/>
      <c r="P10" s="141"/>
      <c r="Q10" s="141"/>
      <c r="R10" s="141"/>
      <c r="S10" s="141"/>
    </row>
    <row r="11" spans="2:19" ht="151.5" customHeight="1" x14ac:dyDescent="0.2">
      <c r="B11" s="257" t="s">
        <v>97</v>
      </c>
      <c r="C11" s="257"/>
      <c r="D11" s="257"/>
      <c r="E11" s="257"/>
      <c r="F11" s="257"/>
      <c r="G11" s="257"/>
      <c r="H11" s="257"/>
      <c r="O11" s="141"/>
      <c r="P11" s="141"/>
      <c r="Q11" s="141"/>
      <c r="R11" s="141"/>
      <c r="S11" s="141"/>
    </row>
    <row r="12" spans="2:19" x14ac:dyDescent="0.2">
      <c r="B12" s="163"/>
      <c r="C12" s="163"/>
      <c r="D12" s="163"/>
      <c r="E12" s="163"/>
      <c r="F12" s="163"/>
      <c r="G12" s="163"/>
      <c r="H12" s="163"/>
      <c r="O12" s="141"/>
      <c r="P12" s="141"/>
      <c r="Q12" s="141"/>
      <c r="R12" s="141"/>
      <c r="S12" s="141"/>
    </row>
    <row r="13" spans="2:19" x14ac:dyDescent="0.2">
      <c r="O13" s="141"/>
      <c r="P13" s="141"/>
      <c r="Q13" s="141"/>
      <c r="R13" s="141"/>
      <c r="S13" s="141"/>
    </row>
    <row r="14" spans="2:19" x14ac:dyDescent="0.2">
      <c r="B14" s="164" t="s">
        <v>35</v>
      </c>
      <c r="C14" s="139"/>
      <c r="D14" s="139"/>
      <c r="E14" s="139"/>
      <c r="F14" s="139"/>
      <c r="G14" s="139"/>
      <c r="H14" s="139"/>
      <c r="O14" s="141"/>
      <c r="P14" s="141"/>
      <c r="Q14" s="141"/>
      <c r="R14" s="141"/>
      <c r="S14" s="141"/>
    </row>
    <row r="15" spans="2:19" x14ac:dyDescent="0.2">
      <c r="B15" s="256"/>
      <c r="C15" s="256"/>
      <c r="D15" s="256"/>
      <c r="E15" s="256"/>
      <c r="F15" s="256"/>
      <c r="G15" s="256"/>
      <c r="H15" s="256"/>
    </row>
    <row r="16" spans="2:19" ht="148.5" customHeight="1" x14ac:dyDescent="0.2">
      <c r="B16" s="258" t="s">
        <v>143</v>
      </c>
      <c r="C16" s="258"/>
      <c r="D16" s="258"/>
      <c r="E16" s="258"/>
      <c r="F16" s="258"/>
      <c r="G16" s="258"/>
      <c r="H16" s="258"/>
      <c r="I16" s="141"/>
    </row>
    <row r="17" spans="2:9" x14ac:dyDescent="0.2">
      <c r="B17" s="165"/>
      <c r="C17" s="165"/>
      <c r="D17" s="165"/>
      <c r="E17" s="165"/>
      <c r="F17" s="165"/>
      <c r="G17" s="165"/>
      <c r="H17" s="165"/>
    </row>
    <row r="18" spans="2:9" x14ac:dyDescent="0.2">
      <c r="B18" s="166"/>
      <c r="C18" s="166"/>
      <c r="D18" s="166"/>
      <c r="E18" s="166"/>
      <c r="F18" s="166"/>
      <c r="G18" s="166"/>
      <c r="H18" s="166"/>
    </row>
    <row r="19" spans="2:9" x14ac:dyDescent="0.2">
      <c r="B19" s="164" t="s">
        <v>43</v>
      </c>
      <c r="C19" s="139"/>
      <c r="D19" s="139"/>
      <c r="E19" s="139"/>
      <c r="F19" s="139"/>
      <c r="G19" s="139"/>
      <c r="H19" s="139"/>
    </row>
    <row r="20" spans="2:9" x14ac:dyDescent="0.2">
      <c r="B20" s="256"/>
      <c r="C20" s="256"/>
      <c r="D20" s="256"/>
      <c r="E20" s="256"/>
      <c r="F20" s="256"/>
      <c r="G20" s="256"/>
      <c r="H20" s="256"/>
    </row>
    <row r="21" spans="2:9" x14ac:dyDescent="0.2">
      <c r="B21" s="266" t="s">
        <v>65</v>
      </c>
      <c r="C21" s="266"/>
      <c r="D21" s="266"/>
      <c r="E21" s="266"/>
      <c r="F21" s="266"/>
      <c r="G21" s="266"/>
      <c r="H21" s="266"/>
    </row>
    <row r="22" spans="2:9" x14ac:dyDescent="0.2">
      <c r="B22" s="267"/>
      <c r="C22" s="267"/>
      <c r="D22" s="267"/>
      <c r="E22" s="267"/>
      <c r="F22" s="267"/>
      <c r="G22" s="267"/>
      <c r="H22" s="267"/>
    </row>
    <row r="23" spans="2:9" x14ac:dyDescent="0.2">
      <c r="B23" s="267"/>
      <c r="C23" s="268"/>
      <c r="D23" s="268"/>
      <c r="E23" s="268"/>
      <c r="F23" s="268"/>
      <c r="G23" s="268"/>
      <c r="H23" s="268"/>
    </row>
    <row r="24" spans="2:9" x14ac:dyDescent="0.2">
      <c r="B24" s="167"/>
      <c r="C24" s="167"/>
      <c r="D24" s="167"/>
      <c r="E24" s="167"/>
      <c r="F24" s="167"/>
      <c r="G24" s="167"/>
      <c r="H24" s="167"/>
    </row>
    <row r="25" spans="2:9" x14ac:dyDescent="0.2">
      <c r="B25" s="256"/>
      <c r="C25" s="256"/>
      <c r="D25" s="256"/>
      <c r="E25" s="256"/>
      <c r="F25" s="256"/>
      <c r="G25" s="256"/>
      <c r="H25" s="256"/>
    </row>
    <row r="26" spans="2:9" x14ac:dyDescent="0.2">
      <c r="B26" s="165"/>
      <c r="C26" s="165"/>
      <c r="D26" s="165"/>
      <c r="E26" s="165"/>
      <c r="F26" s="165"/>
      <c r="G26" s="165"/>
      <c r="H26" s="165"/>
    </row>
    <row r="27" spans="2:9" x14ac:dyDescent="0.2">
      <c r="B27" s="165"/>
      <c r="C27" s="165"/>
      <c r="D27" s="165"/>
      <c r="E27" s="165"/>
      <c r="F27" s="165"/>
      <c r="G27" s="165"/>
      <c r="H27" s="165"/>
    </row>
    <row r="28" spans="2:9" x14ac:dyDescent="0.2">
      <c r="B28" s="165"/>
      <c r="C28" s="165"/>
      <c r="D28" s="165"/>
      <c r="E28" s="165"/>
      <c r="F28" s="165"/>
      <c r="G28" s="165"/>
      <c r="H28" s="165"/>
    </row>
    <row r="29" spans="2:9" x14ac:dyDescent="0.2">
      <c r="B29" s="165"/>
      <c r="C29" s="165"/>
      <c r="D29" s="165"/>
      <c r="E29" s="165"/>
      <c r="F29" s="165"/>
      <c r="G29" s="165"/>
      <c r="H29" s="165"/>
    </row>
    <row r="30" spans="2:9" x14ac:dyDescent="0.2">
      <c r="B30" s="168"/>
      <c r="C30" s="168"/>
      <c r="D30" s="168"/>
      <c r="E30" s="168"/>
      <c r="F30" s="168"/>
      <c r="G30" s="168"/>
      <c r="H30" s="168"/>
      <c r="I30" s="141"/>
    </row>
    <row r="31" spans="2:9" x14ac:dyDescent="0.2">
      <c r="B31" s="164" t="s">
        <v>6</v>
      </c>
    </row>
    <row r="32" spans="2:9" x14ac:dyDescent="0.2">
      <c r="B32" s="169" t="s">
        <v>14</v>
      </c>
      <c r="C32" s="170" t="s">
        <v>30</v>
      </c>
      <c r="D32" s="170"/>
      <c r="E32" s="170"/>
      <c r="F32" s="170"/>
      <c r="G32" s="170"/>
      <c r="H32" s="170"/>
    </row>
    <row r="33" spans="2:8" x14ac:dyDescent="0.2">
      <c r="B33" s="171" t="s">
        <v>45</v>
      </c>
      <c r="C33" s="170" t="s">
        <v>51</v>
      </c>
      <c r="D33" s="170"/>
      <c r="E33" s="170"/>
      <c r="F33" s="170"/>
      <c r="G33" s="170"/>
      <c r="H33" s="170"/>
    </row>
    <row r="34" spans="2:8" x14ac:dyDescent="0.2">
      <c r="B34" s="171" t="s">
        <v>46</v>
      </c>
      <c r="C34" s="170" t="s">
        <v>52</v>
      </c>
      <c r="D34" s="170"/>
      <c r="E34" s="170"/>
      <c r="F34" s="170"/>
      <c r="G34" s="170"/>
      <c r="H34" s="170"/>
    </row>
    <row r="35" spans="2:8" x14ac:dyDescent="0.2">
      <c r="B35" s="171" t="s">
        <v>15</v>
      </c>
      <c r="C35" s="170" t="s">
        <v>31</v>
      </c>
      <c r="D35" s="170"/>
      <c r="E35" s="170"/>
      <c r="F35" s="170"/>
      <c r="G35" s="170"/>
      <c r="H35" s="170"/>
    </row>
    <row r="38" spans="2:8" x14ac:dyDescent="0.2">
      <c r="B38" s="164" t="s">
        <v>36</v>
      </c>
      <c r="C38" s="139"/>
      <c r="D38" s="139"/>
      <c r="E38" s="139"/>
      <c r="F38" s="139"/>
      <c r="G38" s="139"/>
      <c r="H38" s="139"/>
    </row>
    <row r="40" spans="2:8" x14ac:dyDescent="0.2">
      <c r="B40" s="172"/>
      <c r="C40" s="173" t="s">
        <v>37</v>
      </c>
      <c r="D40" s="173" t="s">
        <v>38</v>
      </c>
      <c r="E40" s="173" t="s">
        <v>39</v>
      </c>
      <c r="F40" s="173" t="s">
        <v>41</v>
      </c>
      <c r="G40" s="173" t="s">
        <v>40</v>
      </c>
      <c r="H40" s="174" t="s">
        <v>1</v>
      </c>
    </row>
    <row r="41" spans="2:8" x14ac:dyDescent="0.2">
      <c r="C41" s="175"/>
      <c r="D41" s="175"/>
      <c r="E41" s="175"/>
      <c r="F41" s="175"/>
      <c r="G41" s="175"/>
      <c r="H41" s="175"/>
    </row>
    <row r="42" spans="2:8" x14ac:dyDescent="0.2">
      <c r="B42" s="190" t="s">
        <v>99</v>
      </c>
      <c r="C42" s="176">
        <f>'Forecast Revenue - Costs'!D30</f>
        <v>16401.583571304709</v>
      </c>
      <c r="D42" s="176">
        <f>'Forecast Revenue - Costs'!E30</f>
        <v>17057.646914156896</v>
      </c>
      <c r="E42" s="176">
        <f>'Forecast Revenue - Costs'!F30</f>
        <v>17905.394039222123</v>
      </c>
      <c r="F42" s="176">
        <f>'Forecast Revenue - Costs'!G30</f>
        <v>18987.414088928675</v>
      </c>
      <c r="G42" s="176">
        <f>'Forecast Revenue - Costs'!H30</f>
        <v>20720.727132597691</v>
      </c>
      <c r="H42" s="176">
        <f>SUM(C42:G42)</f>
        <v>91072.765746210105</v>
      </c>
    </row>
    <row r="43" spans="2:8" x14ac:dyDescent="0.2">
      <c r="C43" s="177"/>
      <c r="D43" s="178"/>
      <c r="E43" s="177"/>
      <c r="F43" s="177"/>
      <c r="G43" s="177"/>
    </row>
    <row r="44" spans="2:8" x14ac:dyDescent="0.2">
      <c r="B44" s="190" t="s">
        <v>100</v>
      </c>
      <c r="C44" s="176">
        <f>SUM('Forecast Revenue - Costs'!D31:D33)</f>
        <v>11964.043431336926</v>
      </c>
      <c r="D44" s="176">
        <f>SUM('Forecast Revenue - Costs'!E31:E33)</f>
        <v>12442.6051685904</v>
      </c>
      <c r="E44" s="176">
        <f>SUM('Forecast Revenue - Costs'!F31:F33)</f>
        <v>13060.989569034278</v>
      </c>
      <c r="F44" s="176">
        <f>SUM('Forecast Revenue - Costs'!G31:G33)</f>
        <v>13850.263044487891</v>
      </c>
      <c r="G44" s="176">
        <f>SUM('Forecast Revenue - Costs'!H31:H33)</f>
        <v>15114.618552869406</v>
      </c>
      <c r="H44" s="176">
        <f>SUM(C44:G44)</f>
        <v>66432.519766318903</v>
      </c>
    </row>
    <row r="45" spans="2:8" x14ac:dyDescent="0.2">
      <c r="C45" s="177"/>
      <c r="D45" s="178"/>
      <c r="E45" s="177"/>
      <c r="F45" s="177"/>
      <c r="G45" s="177"/>
    </row>
    <row r="46" spans="2:8" x14ac:dyDescent="0.2">
      <c r="B46" s="190" t="s">
        <v>101</v>
      </c>
      <c r="C46" s="176">
        <f t="shared" ref="C46:H46" si="0">+C42+C44</f>
        <v>28365.627002641635</v>
      </c>
      <c r="D46" s="176">
        <f t="shared" si="0"/>
        <v>29500.252082747298</v>
      </c>
      <c r="E46" s="176">
        <f t="shared" si="0"/>
        <v>30966.383608256401</v>
      </c>
      <c r="F46" s="176">
        <f t="shared" si="0"/>
        <v>32837.677133416568</v>
      </c>
      <c r="G46" s="176">
        <f t="shared" si="0"/>
        <v>35835.345685467095</v>
      </c>
      <c r="H46" s="176">
        <f t="shared" si="0"/>
        <v>157505.28551252902</v>
      </c>
    </row>
    <row r="47" spans="2:8" x14ac:dyDescent="0.2">
      <c r="C47" s="179"/>
      <c r="D47" s="179"/>
      <c r="E47" s="179"/>
      <c r="F47" s="179"/>
      <c r="G47" s="179"/>
    </row>
    <row r="48" spans="2:8" x14ac:dyDescent="0.2">
      <c r="B48" s="180" t="s">
        <v>6</v>
      </c>
    </row>
    <row r="49" spans="2:9" ht="14.25" customHeight="1" x14ac:dyDescent="0.2">
      <c r="B49" s="265"/>
      <c r="C49" s="265"/>
      <c r="D49" s="265"/>
      <c r="E49" s="265"/>
      <c r="F49" s="265"/>
      <c r="G49" s="265"/>
      <c r="H49" s="265"/>
    </row>
    <row r="50" spans="2:9" x14ac:dyDescent="0.2">
      <c r="B50" s="256"/>
      <c r="C50" s="256"/>
      <c r="D50" s="256"/>
      <c r="E50" s="256"/>
      <c r="F50" s="256"/>
      <c r="G50" s="256"/>
      <c r="H50" s="256"/>
      <c r="I50" s="141"/>
    </row>
    <row r="51" spans="2:9" ht="27.75" customHeight="1" x14ac:dyDescent="0.2">
      <c r="B51" s="256"/>
      <c r="C51" s="256"/>
      <c r="D51" s="256"/>
      <c r="E51" s="256"/>
      <c r="F51" s="256"/>
      <c r="G51" s="256"/>
      <c r="H51" s="256"/>
    </row>
    <row r="54" spans="2:9" x14ac:dyDescent="0.2">
      <c r="B54" s="164" t="s">
        <v>85</v>
      </c>
      <c r="C54" s="139"/>
      <c r="D54" s="139"/>
      <c r="E54" s="139"/>
      <c r="F54" s="139"/>
      <c r="G54" s="139"/>
      <c r="H54" s="139"/>
    </row>
    <row r="55" spans="2:9" x14ac:dyDescent="0.2">
      <c r="B55" s="181"/>
    </row>
    <row r="56" spans="2:9" x14ac:dyDescent="0.2">
      <c r="B56" s="182"/>
      <c r="C56" s="183" t="s">
        <v>37</v>
      </c>
      <c r="D56" s="183" t="s">
        <v>38</v>
      </c>
      <c r="E56" s="183" t="s">
        <v>39</v>
      </c>
      <c r="F56" s="183" t="s">
        <v>41</v>
      </c>
      <c r="G56" s="183" t="s">
        <v>40</v>
      </c>
      <c r="H56" s="184" t="s">
        <v>1</v>
      </c>
    </row>
    <row r="57" spans="2:9" x14ac:dyDescent="0.2">
      <c r="C57" s="185"/>
      <c r="D57" s="185"/>
      <c r="E57" s="185"/>
      <c r="F57" s="185"/>
      <c r="G57" s="185"/>
      <c r="H57" s="185"/>
    </row>
    <row r="58" spans="2:9" x14ac:dyDescent="0.2">
      <c r="B58" s="182" t="s">
        <v>12</v>
      </c>
      <c r="C58" s="186">
        <f>'Forecast Revenue - Costs'!D13</f>
        <v>55</v>
      </c>
      <c r="D58" s="186">
        <f>'Forecast Revenue - Costs'!E13</f>
        <v>57.2</v>
      </c>
      <c r="E58" s="186">
        <f>'Forecast Revenue - Costs'!F13</f>
        <v>59.488</v>
      </c>
      <c r="F58" s="186">
        <f>'Forecast Revenue - Costs'!G13</f>
        <v>61.867519999999999</v>
      </c>
      <c r="G58" s="186">
        <f>'Forecast Revenue - Costs'!H13</f>
        <v>65.917030400000002</v>
      </c>
      <c r="H58" s="186">
        <f>SUM(C58:G58)</f>
        <v>299.47255039999999</v>
      </c>
    </row>
    <row r="59" spans="2:9" x14ac:dyDescent="0.2">
      <c r="C59" s="187"/>
      <c r="D59" s="187"/>
      <c r="E59" s="187"/>
      <c r="F59" s="187"/>
      <c r="G59" s="187"/>
      <c r="H59" s="188"/>
    </row>
  </sheetData>
  <mergeCells count="13">
    <mergeCell ref="B49:H51"/>
    <mergeCell ref="B20:H20"/>
    <mergeCell ref="B21:H21"/>
    <mergeCell ref="B22:H22"/>
    <mergeCell ref="B23:H23"/>
    <mergeCell ref="B25:H25"/>
    <mergeCell ref="C3:H3"/>
    <mergeCell ref="B15:H15"/>
    <mergeCell ref="B11:H11"/>
    <mergeCell ref="B16:H16"/>
    <mergeCell ref="C4:D4"/>
    <mergeCell ref="C9:D9"/>
    <mergeCell ref="B7:B8"/>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C24" sqref="C24"/>
    </sheetView>
  </sheetViews>
  <sheetFormatPr defaultRowHeight="12.75" x14ac:dyDescent="0.2"/>
  <cols>
    <col min="1" max="1" width="2.28515625" style="1" customWidth="1"/>
    <col min="2" max="2" width="2.42578125" style="49" customWidth="1"/>
    <col min="3" max="3" width="10.140625" style="49" customWidth="1"/>
    <col min="4" max="9" width="13.140625" style="49" customWidth="1"/>
    <col min="10" max="11" width="9.140625" style="49"/>
    <col min="12" max="12" width="5.28515625" style="49" customWidth="1"/>
    <col min="13" max="13" width="2.42578125" style="1" customWidth="1"/>
    <col min="14" max="16384" width="9.140625" style="1"/>
  </cols>
  <sheetData>
    <row r="1" spans="2:14" ht="9" customHeight="1" x14ac:dyDescent="0.2"/>
    <row r="2" spans="2:14" ht="18" customHeight="1" x14ac:dyDescent="0.2">
      <c r="B2" s="46" t="s">
        <v>16</v>
      </c>
      <c r="C2" s="46"/>
      <c r="D2" s="46"/>
      <c r="E2" s="46"/>
      <c r="F2" s="46"/>
      <c r="G2" s="46"/>
      <c r="H2" s="46"/>
      <c r="I2" s="46"/>
      <c r="J2" s="46"/>
      <c r="K2" s="46"/>
    </row>
    <row r="3" spans="2:14" x14ac:dyDescent="0.2">
      <c r="B3" s="34" t="s">
        <v>0</v>
      </c>
      <c r="C3" s="47"/>
      <c r="D3" s="271" t="str">
        <f>'AER Summary'!C3</f>
        <v>Unplanned Outage -  Site Attendance - Meter Fault (retailer owned meter) - (NEW)</v>
      </c>
      <c r="E3" s="272"/>
      <c r="F3" s="272"/>
      <c r="G3" s="272"/>
      <c r="H3" s="272"/>
      <c r="I3" s="272"/>
      <c r="J3" s="272"/>
      <c r="K3" s="272"/>
      <c r="N3" s="32"/>
    </row>
    <row r="4" spans="2:14" x14ac:dyDescent="0.2">
      <c r="N4" s="32"/>
    </row>
    <row r="5" spans="2:14" x14ac:dyDescent="0.2">
      <c r="B5" s="273" t="s">
        <v>17</v>
      </c>
      <c r="C5" s="273"/>
      <c r="D5" s="273"/>
      <c r="E5" s="273"/>
      <c r="F5" s="273"/>
      <c r="G5" s="273"/>
      <c r="H5" s="273"/>
      <c r="I5" s="273"/>
      <c r="J5" s="273"/>
      <c r="K5" s="273"/>
      <c r="N5" s="32"/>
    </row>
    <row r="6" spans="2:14" ht="43.5" customHeight="1" x14ac:dyDescent="0.2">
      <c r="B6" s="274" t="s">
        <v>67</v>
      </c>
      <c r="C6" s="275"/>
      <c r="D6" s="275"/>
      <c r="E6" s="275"/>
      <c r="F6" s="275"/>
      <c r="G6" s="275"/>
      <c r="H6" s="275"/>
      <c r="I6" s="275"/>
      <c r="J6" s="275"/>
      <c r="K6" s="275"/>
      <c r="N6" s="32"/>
    </row>
    <row r="9" spans="2:14" x14ac:dyDescent="0.2">
      <c r="B9" s="273" t="s">
        <v>44</v>
      </c>
      <c r="C9" s="273"/>
      <c r="D9" s="273"/>
      <c r="E9" s="273"/>
      <c r="F9" s="273"/>
      <c r="G9" s="273"/>
      <c r="H9" s="273"/>
      <c r="I9" s="273"/>
      <c r="J9" s="273"/>
      <c r="K9" s="273"/>
    </row>
    <row r="10" spans="2:14" ht="15" customHeight="1" x14ac:dyDescent="0.2">
      <c r="B10" s="270" t="s">
        <v>68</v>
      </c>
      <c r="C10" s="270"/>
      <c r="D10" s="270"/>
      <c r="E10" s="270"/>
      <c r="F10" s="270"/>
      <c r="G10" s="270"/>
      <c r="H10" s="270"/>
      <c r="I10" s="270"/>
      <c r="J10" s="270"/>
      <c r="K10" s="270"/>
    </row>
    <row r="11" spans="2:14" ht="24.75" customHeight="1" x14ac:dyDescent="0.2">
      <c r="B11" s="276"/>
      <c r="C11" s="276"/>
      <c r="D11" s="276"/>
      <c r="E11" s="276"/>
      <c r="F11" s="276"/>
      <c r="G11" s="276"/>
      <c r="H11" s="276"/>
      <c r="I11" s="276"/>
      <c r="J11" s="276"/>
      <c r="K11" s="276"/>
      <c r="L11" s="51"/>
      <c r="M11" s="33"/>
      <c r="N11" s="33"/>
    </row>
    <row r="12" spans="2:14" x14ac:dyDescent="0.2">
      <c r="B12" s="276"/>
      <c r="C12" s="276"/>
      <c r="D12" s="276"/>
      <c r="E12" s="276"/>
      <c r="F12" s="276"/>
      <c r="G12" s="276"/>
      <c r="H12" s="276"/>
      <c r="I12" s="276"/>
      <c r="J12" s="276"/>
      <c r="K12" s="276"/>
      <c r="L12" s="51"/>
      <c r="M12" s="33"/>
      <c r="N12" s="33"/>
    </row>
    <row r="13" spans="2:14" x14ac:dyDescent="0.2">
      <c r="B13" s="276"/>
      <c r="C13" s="276"/>
      <c r="D13" s="276"/>
      <c r="E13" s="276"/>
      <c r="F13" s="276"/>
      <c r="G13" s="276"/>
      <c r="H13" s="276"/>
      <c r="I13" s="276"/>
      <c r="J13" s="276"/>
      <c r="K13" s="276"/>
      <c r="L13" s="51"/>
      <c r="M13" s="33"/>
      <c r="N13" s="33"/>
    </row>
    <row r="14" spans="2:14" ht="48" customHeight="1" x14ac:dyDescent="0.2">
      <c r="B14" s="276"/>
      <c r="C14" s="276"/>
      <c r="D14" s="276"/>
      <c r="E14" s="276"/>
      <c r="F14" s="276"/>
      <c r="G14" s="276"/>
      <c r="H14" s="276"/>
      <c r="I14" s="276"/>
      <c r="J14" s="276"/>
      <c r="K14" s="276"/>
      <c r="L14" s="51"/>
      <c r="M14" s="33"/>
      <c r="N14" s="33"/>
    </row>
    <row r="15" spans="2:14" x14ac:dyDescent="0.2">
      <c r="B15" s="276"/>
      <c r="C15" s="276"/>
      <c r="D15" s="276"/>
      <c r="E15" s="276"/>
      <c r="F15" s="276"/>
      <c r="G15" s="276"/>
      <c r="H15" s="276"/>
      <c r="I15" s="276"/>
      <c r="J15" s="276"/>
      <c r="K15" s="276"/>
      <c r="L15" s="51"/>
      <c r="M15" s="33"/>
      <c r="N15" s="33"/>
    </row>
    <row r="16" spans="2:14" x14ac:dyDescent="0.2">
      <c r="B16" s="276"/>
      <c r="C16" s="276"/>
      <c r="D16" s="276"/>
      <c r="E16" s="276"/>
      <c r="F16" s="276"/>
      <c r="G16" s="276"/>
      <c r="H16" s="276"/>
      <c r="I16" s="276"/>
      <c r="J16" s="276"/>
      <c r="K16" s="276"/>
      <c r="L16" s="51"/>
      <c r="M16" s="33"/>
      <c r="N16" s="33"/>
    </row>
    <row r="17" spans="2:14" x14ac:dyDescent="0.2">
      <c r="L17" s="51"/>
      <c r="M17" s="33"/>
      <c r="N17" s="33"/>
    </row>
    <row r="18" spans="2:14" x14ac:dyDescent="0.2">
      <c r="L18" s="51"/>
      <c r="M18" s="33"/>
      <c r="N18" s="33"/>
    </row>
    <row r="19" spans="2:14" x14ac:dyDescent="0.2">
      <c r="B19" s="273" t="s">
        <v>69</v>
      </c>
      <c r="C19" s="273"/>
      <c r="D19" s="273"/>
      <c r="E19" s="273"/>
      <c r="F19" s="273"/>
      <c r="G19" s="273"/>
      <c r="H19" s="273"/>
      <c r="I19" s="273"/>
      <c r="J19" s="273"/>
      <c r="K19" s="273"/>
      <c r="L19" s="51"/>
      <c r="M19" s="33"/>
      <c r="N19" s="33"/>
    </row>
    <row r="20" spans="2:14" ht="135.75" customHeight="1" x14ac:dyDescent="0.2">
      <c r="B20" s="270" t="str">
        <f>'AER Summary'!B11:H11</f>
        <v xml:space="preserve">
Unplanned Outage - Site Attendance Required - Meter Fault  (retailer owned meter)
Site attendance by Essential Energy to an unplanned outage. Where it is determined that the cause of the fault is directly related to failure or incorrect installation of metering equipment not owned by Essential Energy. 
Site attendance required by Essential Energy staff to determine the cause of the interruption.
Service may include the completion of temporary supply arrangements (bypass) and notification to retailer / metering coordinator. This may result in an unmetered supply arrangement at the site.
*Essential Energy will impose an overtime fee for services provided outside the hrs of 7:30am - 4:00pm Mon - Fri (ordinary hrs).
</v>
      </c>
      <c r="C20" s="270"/>
      <c r="D20" s="270"/>
      <c r="E20" s="270"/>
      <c r="F20" s="270"/>
      <c r="G20" s="270"/>
      <c r="H20" s="270"/>
      <c r="I20" s="270"/>
      <c r="J20" s="270"/>
      <c r="K20" s="270"/>
    </row>
    <row r="21" spans="2:14" x14ac:dyDescent="0.2">
      <c r="B21" s="269"/>
      <c r="C21" s="269"/>
      <c r="D21" s="269"/>
      <c r="E21" s="269"/>
      <c r="F21" s="269"/>
      <c r="G21" s="269"/>
      <c r="H21" s="269"/>
      <c r="I21" s="269"/>
      <c r="J21" s="269"/>
      <c r="K21" s="269"/>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6"/>
  <sheetViews>
    <sheetView showGridLines="0" workbookViewId="0">
      <selection activeCell="I14" sqref="I14"/>
    </sheetView>
  </sheetViews>
  <sheetFormatPr defaultRowHeight="12.75" x14ac:dyDescent="0.2"/>
  <cols>
    <col min="1" max="1" width="3.5703125" style="52" customWidth="1"/>
    <col min="2" max="2" width="58.7109375" style="52" customWidth="1"/>
    <col min="3" max="3" width="65.140625" style="52" customWidth="1"/>
    <col min="4" max="4" width="12.85546875" style="52" customWidth="1"/>
    <col min="5" max="8" width="11.28515625" style="52" customWidth="1"/>
    <col min="9" max="9" width="12.7109375" style="52" customWidth="1"/>
    <col min="10" max="16384" width="9.140625" style="52"/>
  </cols>
  <sheetData>
    <row r="2" spans="1:9" x14ac:dyDescent="0.2">
      <c r="B2" s="48" t="s">
        <v>86</v>
      </c>
      <c r="C2" s="29"/>
      <c r="D2" s="29"/>
      <c r="E2" s="29"/>
      <c r="F2" s="29"/>
      <c r="G2" s="29"/>
      <c r="H2" s="29"/>
      <c r="I2" s="29"/>
    </row>
    <row r="3" spans="1:9" x14ac:dyDescent="0.2">
      <c r="B3" s="18" t="s">
        <v>21</v>
      </c>
      <c r="C3" s="18" t="s">
        <v>3</v>
      </c>
      <c r="D3" s="66" t="s">
        <v>58</v>
      </c>
      <c r="E3" s="66" t="s">
        <v>57</v>
      </c>
      <c r="F3" s="66" t="s">
        <v>56</v>
      </c>
      <c r="G3" s="135" t="s">
        <v>95</v>
      </c>
      <c r="H3" s="135" t="s">
        <v>96</v>
      </c>
      <c r="I3" s="19" t="s">
        <v>1</v>
      </c>
    </row>
    <row r="4" spans="1:9" x14ac:dyDescent="0.2">
      <c r="B4" s="3" t="s">
        <v>22</v>
      </c>
      <c r="C4" s="3" t="s">
        <v>89</v>
      </c>
      <c r="D4" s="92"/>
      <c r="E4" s="92"/>
      <c r="F4" s="92"/>
      <c r="G4" s="92"/>
      <c r="H4" s="92"/>
      <c r="I4" s="191">
        <f>SUM(D4:H4)</f>
        <v>0</v>
      </c>
    </row>
    <row r="5" spans="1:9" x14ac:dyDescent="0.2">
      <c r="B5" s="3" t="s">
        <v>24</v>
      </c>
      <c r="C5" s="8"/>
      <c r="D5" s="92"/>
      <c r="E5" s="92"/>
      <c r="F5" s="92"/>
      <c r="G5" s="92"/>
      <c r="H5" s="92"/>
      <c r="I5" s="191">
        <f t="shared" ref="I5:I8" si="0">SUM(D5:H5)</f>
        <v>0</v>
      </c>
    </row>
    <row r="6" spans="1:9" x14ac:dyDescent="0.2">
      <c r="B6" s="3" t="s">
        <v>25</v>
      </c>
      <c r="C6" s="3"/>
      <c r="D6" s="92">
        <v>0</v>
      </c>
      <c r="E6" s="92">
        <v>0</v>
      </c>
      <c r="F6" s="92">
        <v>0</v>
      </c>
      <c r="G6" s="92">
        <v>0</v>
      </c>
      <c r="H6" s="92">
        <v>0</v>
      </c>
      <c r="I6" s="191">
        <f t="shared" si="0"/>
        <v>0</v>
      </c>
    </row>
    <row r="7" spans="1:9" x14ac:dyDescent="0.2">
      <c r="B7" s="3" t="s">
        <v>26</v>
      </c>
      <c r="C7" s="3"/>
      <c r="D7" s="92"/>
      <c r="E7" s="92"/>
      <c r="F7" s="92"/>
      <c r="G7" s="92"/>
      <c r="H7" s="92"/>
      <c r="I7" s="191">
        <f t="shared" si="0"/>
        <v>0</v>
      </c>
    </row>
    <row r="8" spans="1:9" x14ac:dyDescent="0.2">
      <c r="B8" s="3" t="s">
        <v>23</v>
      </c>
      <c r="C8" s="3"/>
      <c r="D8" s="92"/>
      <c r="E8" s="92"/>
      <c r="F8" s="92"/>
      <c r="G8" s="92"/>
      <c r="H8" s="92"/>
      <c r="I8" s="191">
        <f t="shared" si="0"/>
        <v>0</v>
      </c>
    </row>
    <row r="9" spans="1:9" x14ac:dyDescent="0.2">
      <c r="B9" s="60" t="s">
        <v>1</v>
      </c>
      <c r="C9" s="20"/>
      <c r="D9" s="21">
        <f t="shared" ref="D9:I9" si="1">SUM(D4:D8)</f>
        <v>0</v>
      </c>
      <c r="E9" s="21">
        <f t="shared" si="1"/>
        <v>0</v>
      </c>
      <c r="F9" s="21">
        <f t="shared" si="1"/>
        <v>0</v>
      </c>
      <c r="G9" s="21">
        <f t="shared" ref="G9:H9" si="2">SUM(G4:G8)</f>
        <v>0</v>
      </c>
      <c r="H9" s="21">
        <f t="shared" si="2"/>
        <v>0</v>
      </c>
      <c r="I9" s="22">
        <f t="shared" si="1"/>
        <v>0</v>
      </c>
    </row>
    <row r="10" spans="1:9" x14ac:dyDescent="0.2">
      <c r="B10" s="56"/>
      <c r="C10" s="57"/>
      <c r="D10" s="58"/>
      <c r="E10" s="58"/>
      <c r="F10" s="58"/>
      <c r="G10" s="58"/>
      <c r="H10" s="58"/>
      <c r="I10" s="58"/>
    </row>
    <row r="11" spans="1:9" x14ac:dyDescent="0.2">
      <c r="B11" s="59" t="s">
        <v>10</v>
      </c>
      <c r="C11" s="25"/>
      <c r="D11" s="25"/>
      <c r="E11" s="25"/>
      <c r="F11" s="25"/>
      <c r="G11" s="25"/>
      <c r="H11" s="25"/>
      <c r="I11" s="25"/>
    </row>
    <row r="12" spans="1:9" x14ac:dyDescent="0.2">
      <c r="B12" s="241" t="s">
        <v>4</v>
      </c>
      <c r="C12" s="241" t="s">
        <v>9</v>
      </c>
      <c r="D12" s="66" t="s">
        <v>58</v>
      </c>
      <c r="E12" s="66" t="s">
        <v>57</v>
      </c>
      <c r="F12" s="66" t="s">
        <v>56</v>
      </c>
      <c r="G12" s="66" t="s">
        <v>95</v>
      </c>
      <c r="H12" s="66" t="s">
        <v>96</v>
      </c>
      <c r="I12" s="242" t="s">
        <v>1</v>
      </c>
    </row>
    <row r="13" spans="1:9" x14ac:dyDescent="0.2">
      <c r="B13" s="3" t="s">
        <v>20</v>
      </c>
      <c r="C13" s="3" t="s">
        <v>49</v>
      </c>
      <c r="D13" s="93"/>
      <c r="E13" s="93"/>
      <c r="F13" s="93"/>
      <c r="G13" s="93"/>
      <c r="H13" s="93"/>
      <c r="I13" s="243">
        <f>SUM(D13:H13)</f>
        <v>0</v>
      </c>
    </row>
    <row r="14" spans="1:9" x14ac:dyDescent="0.2">
      <c r="B14" s="3"/>
      <c r="C14" s="244"/>
      <c r="D14" s="9"/>
      <c r="E14" s="9"/>
      <c r="F14" s="9"/>
      <c r="G14" s="9"/>
      <c r="H14" s="9"/>
      <c r="I14" s="243">
        <f>SUM(D14:H14)</f>
        <v>0</v>
      </c>
    </row>
    <row r="15" spans="1:9" x14ac:dyDescent="0.2">
      <c r="A15" s="61"/>
      <c r="B15" s="30" t="s">
        <v>53</v>
      </c>
      <c r="C15" s="6"/>
      <c r="D15" s="11">
        <f t="shared" ref="D15:I15" si="3">SUM(D13:D14)</f>
        <v>0</v>
      </c>
      <c r="E15" s="11">
        <f t="shared" si="3"/>
        <v>0</v>
      </c>
      <c r="F15" s="11">
        <f t="shared" si="3"/>
        <v>0</v>
      </c>
      <c r="G15" s="11">
        <f t="shared" ref="G15:H15" si="4">SUM(G13:G14)</f>
        <v>0</v>
      </c>
      <c r="H15" s="11">
        <f t="shared" si="4"/>
        <v>0</v>
      </c>
      <c r="I15" s="11">
        <f t="shared" si="3"/>
        <v>0</v>
      </c>
    </row>
    <row r="17" spans="1:9" x14ac:dyDescent="0.2">
      <c r="A17" s="61"/>
      <c r="B17" s="13" t="s">
        <v>6</v>
      </c>
      <c r="C17" s="1"/>
      <c r="D17" s="12"/>
      <c r="E17" s="12"/>
      <c r="F17" s="12"/>
      <c r="G17" s="12"/>
      <c r="H17" s="12"/>
      <c r="I17" s="12"/>
    </row>
    <row r="18" spans="1:9" x14ac:dyDescent="0.2">
      <c r="B18" s="277" t="s">
        <v>94</v>
      </c>
      <c r="C18" s="278"/>
      <c r="D18" s="278"/>
      <c r="E18" s="278"/>
      <c r="F18" s="278"/>
      <c r="G18" s="278"/>
      <c r="H18" s="278"/>
      <c r="I18" s="278"/>
    </row>
    <row r="19" spans="1:9" x14ac:dyDescent="0.2">
      <c r="B19" s="279"/>
      <c r="C19" s="280"/>
      <c r="D19" s="280"/>
      <c r="E19" s="280"/>
      <c r="F19" s="280"/>
      <c r="G19" s="280"/>
      <c r="H19" s="280"/>
      <c r="I19" s="280"/>
    </row>
    <row r="20" spans="1:9" x14ac:dyDescent="0.2">
      <c r="B20" s="62"/>
      <c r="C20" s="31"/>
      <c r="D20" s="31"/>
      <c r="E20" s="31"/>
      <c r="F20" s="31"/>
      <c r="G20" s="134"/>
      <c r="H20" s="134"/>
      <c r="I20" s="31"/>
    </row>
    <row r="21" spans="1:9" x14ac:dyDescent="0.2">
      <c r="B21" s="1"/>
      <c r="C21" s="1"/>
      <c r="D21" s="12"/>
      <c r="E21" s="12"/>
      <c r="F21" s="12"/>
      <c r="G21" s="12"/>
      <c r="H21" s="12"/>
      <c r="I21" s="12"/>
    </row>
    <row r="22" spans="1:9" x14ac:dyDescent="0.2">
      <c r="B22" s="59" t="s">
        <v>90</v>
      </c>
      <c r="C22" s="25"/>
      <c r="D22" s="25"/>
      <c r="E22" s="25"/>
      <c r="F22" s="25"/>
      <c r="G22" s="25"/>
      <c r="H22" s="25"/>
      <c r="I22" s="25"/>
    </row>
    <row r="23" spans="1:9" x14ac:dyDescent="0.2">
      <c r="B23" s="63" t="s">
        <v>11</v>
      </c>
      <c r="C23" s="15"/>
      <c r="D23" s="15"/>
      <c r="E23" s="15"/>
      <c r="F23" s="15"/>
      <c r="G23" s="15"/>
      <c r="H23" s="15"/>
      <c r="I23" s="15"/>
    </row>
    <row r="24" spans="1:9" x14ac:dyDescent="0.2">
      <c r="B24" s="281"/>
      <c r="C24" s="282"/>
      <c r="D24" s="282"/>
      <c r="E24" s="282"/>
      <c r="F24" s="282"/>
      <c r="G24" s="282"/>
      <c r="H24" s="282"/>
      <c r="I24" s="282"/>
    </row>
    <row r="25" spans="1:9" x14ac:dyDescent="0.2">
      <c r="B25" s="283"/>
      <c r="C25" s="284"/>
      <c r="D25" s="284"/>
      <c r="E25" s="284"/>
      <c r="F25" s="284"/>
      <c r="G25" s="284"/>
      <c r="H25" s="284"/>
      <c r="I25" s="284"/>
    </row>
    <row r="26" spans="1:9" x14ac:dyDescent="0.2">
      <c r="B26" s="64"/>
      <c r="C26" s="17"/>
      <c r="D26" s="17"/>
      <c r="E26" s="17"/>
      <c r="F26" s="17"/>
      <c r="G26" s="17"/>
      <c r="H26" s="17"/>
      <c r="I26" s="17"/>
    </row>
  </sheetData>
  <mergeCells count="2">
    <mergeCell ref="B18:I19"/>
    <mergeCell ref="B24:I2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7"/>
  <sheetViews>
    <sheetView showGridLines="0" workbookViewId="0">
      <selection activeCell="I8" sqref="I8"/>
    </sheetView>
  </sheetViews>
  <sheetFormatPr defaultRowHeight="12.75" x14ac:dyDescent="0.2"/>
  <cols>
    <col min="1" max="1" width="3.140625" style="52" customWidth="1"/>
    <col min="2" max="2" width="80" style="52" bestFit="1" customWidth="1"/>
    <col min="3" max="3" width="65.140625" style="52" customWidth="1"/>
    <col min="4" max="4" width="12.85546875" style="52" customWidth="1"/>
    <col min="5" max="8" width="11.28515625" style="52" customWidth="1"/>
    <col min="9" max="9" width="12.7109375" style="52" customWidth="1"/>
    <col min="10" max="16384" width="9.140625" style="52"/>
  </cols>
  <sheetData>
    <row r="2" spans="2:9" x14ac:dyDescent="0.2">
      <c r="B2" s="24" t="s">
        <v>8</v>
      </c>
      <c r="C2" s="25"/>
      <c r="D2" s="25"/>
      <c r="E2" s="25"/>
      <c r="F2" s="25"/>
      <c r="G2" s="25"/>
      <c r="H2" s="25"/>
      <c r="I2" s="25"/>
    </row>
    <row r="3" spans="2:9" x14ac:dyDescent="0.2">
      <c r="B3" s="1"/>
      <c r="C3" s="1"/>
      <c r="D3" s="1"/>
      <c r="E3" s="1"/>
      <c r="F3" s="1"/>
      <c r="G3" s="1"/>
      <c r="H3" s="1"/>
      <c r="I3" s="1"/>
    </row>
    <row r="4" spans="2:9" x14ac:dyDescent="0.2">
      <c r="B4" s="24" t="s">
        <v>2</v>
      </c>
      <c r="C4" s="25"/>
      <c r="D4" s="25"/>
      <c r="E4" s="25"/>
      <c r="F4" s="25"/>
      <c r="G4" s="25"/>
      <c r="H4" s="25"/>
      <c r="I4" s="25"/>
    </row>
    <row r="5" spans="2:9" ht="13.5" customHeight="1" x14ac:dyDescent="0.2">
      <c r="B5" s="114" t="s">
        <v>87</v>
      </c>
      <c r="C5" s="114" t="s">
        <v>9</v>
      </c>
      <c r="D5" s="116" t="s">
        <v>58</v>
      </c>
      <c r="E5" s="116" t="s">
        <v>57</v>
      </c>
      <c r="F5" s="116" t="s">
        <v>56</v>
      </c>
      <c r="G5" s="137" t="s">
        <v>95</v>
      </c>
      <c r="H5" s="137" t="s">
        <v>96</v>
      </c>
      <c r="I5" s="117" t="s">
        <v>1</v>
      </c>
    </row>
    <row r="6" spans="2:9" ht="14.25" customHeight="1" x14ac:dyDescent="0.2">
      <c r="B6" s="118"/>
      <c r="C6" s="28"/>
      <c r="D6" s="27"/>
      <c r="E6" s="27"/>
      <c r="F6" s="27"/>
      <c r="G6" s="27"/>
      <c r="H6" s="27"/>
      <c r="I6" s="191">
        <f>SUM(D6:H6)</f>
        <v>0</v>
      </c>
    </row>
    <row r="7" spans="2:9" x14ac:dyDescent="0.2">
      <c r="B7" s="4"/>
      <c r="C7" s="26"/>
      <c r="D7" s="27"/>
      <c r="E7" s="27"/>
      <c r="F7" s="27"/>
      <c r="G7" s="27"/>
      <c r="H7" s="27"/>
      <c r="I7" s="191">
        <f t="shared" ref="I7:I9" si="0">SUM(D7:H7)</f>
        <v>0</v>
      </c>
    </row>
    <row r="8" spans="2:9" x14ac:dyDescent="0.2">
      <c r="B8" s="4"/>
      <c r="C8" s="26"/>
      <c r="D8" s="27"/>
      <c r="E8" s="27"/>
      <c r="F8" s="27"/>
      <c r="G8" s="27"/>
      <c r="H8" s="27"/>
      <c r="I8" s="191">
        <f t="shared" si="0"/>
        <v>0</v>
      </c>
    </row>
    <row r="9" spans="2:9" x14ac:dyDescent="0.2">
      <c r="B9" s="4"/>
      <c r="C9" s="26"/>
      <c r="D9" s="27"/>
      <c r="E9" s="27"/>
      <c r="F9" s="27"/>
      <c r="G9" s="27"/>
      <c r="H9" s="27"/>
      <c r="I9" s="191">
        <f t="shared" si="0"/>
        <v>0</v>
      </c>
    </row>
    <row r="10" spans="2:9" x14ac:dyDescent="0.2">
      <c r="B10" s="5" t="s">
        <v>1</v>
      </c>
      <c r="C10" s="6"/>
      <c r="D10" s="7">
        <f t="shared" ref="D10:I10" si="1">SUM(D6:D9)</f>
        <v>0</v>
      </c>
      <c r="E10" s="7">
        <f t="shared" si="1"/>
        <v>0</v>
      </c>
      <c r="F10" s="7">
        <f t="shared" si="1"/>
        <v>0</v>
      </c>
      <c r="G10" s="7">
        <f t="shared" ref="G10:H10" si="2">SUM(G6:G9)</f>
        <v>0</v>
      </c>
      <c r="H10" s="7">
        <f t="shared" si="2"/>
        <v>0</v>
      </c>
      <c r="I10" s="7">
        <f t="shared" si="1"/>
        <v>0</v>
      </c>
    </row>
    <row r="11" spans="2:9" x14ac:dyDescent="0.2">
      <c r="B11" s="1"/>
      <c r="C11" s="1"/>
      <c r="D11" s="1"/>
      <c r="E11" s="1"/>
      <c r="F11" s="1"/>
      <c r="G11" s="1"/>
      <c r="H11" s="1"/>
      <c r="I11" s="1"/>
    </row>
    <row r="12" spans="2:9" x14ac:dyDescent="0.2">
      <c r="B12" s="24" t="s">
        <v>10</v>
      </c>
      <c r="C12" s="25"/>
      <c r="D12" s="25"/>
      <c r="E12" s="25"/>
      <c r="F12" s="25"/>
      <c r="G12" s="25"/>
      <c r="H12" s="25"/>
      <c r="I12" s="25"/>
    </row>
    <row r="13" spans="2:9" x14ac:dyDescent="0.2">
      <c r="B13" s="114" t="s">
        <v>4</v>
      </c>
      <c r="C13" s="115" t="s">
        <v>9</v>
      </c>
      <c r="D13" s="116" t="s">
        <v>58</v>
      </c>
      <c r="E13" s="116" t="s">
        <v>57</v>
      </c>
      <c r="F13" s="116" t="s">
        <v>56</v>
      </c>
      <c r="G13" s="137" t="s">
        <v>95</v>
      </c>
      <c r="H13" s="137" t="s">
        <v>96</v>
      </c>
      <c r="I13" s="117" t="s">
        <v>1</v>
      </c>
    </row>
    <row r="14" spans="2:9" x14ac:dyDescent="0.2">
      <c r="B14" s="8" t="s">
        <v>20</v>
      </c>
      <c r="C14" s="8"/>
      <c r="D14" s="93"/>
      <c r="E14" s="93"/>
      <c r="F14" s="93"/>
      <c r="G14" s="93"/>
      <c r="H14" s="93"/>
      <c r="I14" s="192">
        <f>SUM(D14:H14)</f>
        <v>0</v>
      </c>
    </row>
    <row r="15" spans="2:9" x14ac:dyDescent="0.2">
      <c r="B15" s="8"/>
      <c r="C15" s="10"/>
      <c r="D15" s="9"/>
      <c r="E15" s="9"/>
      <c r="F15" s="9"/>
      <c r="G15" s="9"/>
      <c r="H15" s="9"/>
      <c r="I15" s="192">
        <f t="shared" ref="I15:I16" si="3">SUM(D15:H15)</f>
        <v>0</v>
      </c>
    </row>
    <row r="16" spans="2:9" x14ac:dyDescent="0.2">
      <c r="B16" s="8"/>
      <c r="C16" s="8"/>
      <c r="D16" s="9"/>
      <c r="E16" s="9"/>
      <c r="F16" s="9"/>
      <c r="G16" s="9"/>
      <c r="H16" s="9"/>
      <c r="I16" s="193">
        <f t="shared" si="3"/>
        <v>0</v>
      </c>
    </row>
    <row r="17" spans="2:9" x14ac:dyDescent="0.2">
      <c r="B17" s="30" t="s">
        <v>18</v>
      </c>
      <c r="C17" s="6"/>
      <c r="D17" s="11">
        <f t="shared" ref="D17:F17" si="4">SUM(D14:D16)</f>
        <v>0</v>
      </c>
      <c r="E17" s="11">
        <f t="shared" si="4"/>
        <v>0</v>
      </c>
      <c r="F17" s="11">
        <f t="shared" si="4"/>
        <v>0</v>
      </c>
      <c r="G17" s="11">
        <f t="shared" ref="G17:H17" si="5">SUM(G14:G16)</f>
        <v>0</v>
      </c>
      <c r="H17" s="11">
        <f t="shared" si="5"/>
        <v>0</v>
      </c>
      <c r="I17" s="11">
        <f>SUM(I14:I16)</f>
        <v>0</v>
      </c>
    </row>
    <row r="18" spans="2:9" x14ac:dyDescent="0.2">
      <c r="B18" s="1"/>
      <c r="C18" s="1"/>
      <c r="D18" s="12"/>
      <c r="E18" s="12"/>
      <c r="F18" s="12"/>
      <c r="G18" s="12"/>
      <c r="H18" s="12"/>
      <c r="I18" s="12"/>
    </row>
    <row r="19" spans="2:9" x14ac:dyDescent="0.2">
      <c r="B19" s="13" t="s">
        <v>6</v>
      </c>
      <c r="C19" s="1"/>
      <c r="D19" s="12"/>
      <c r="E19" s="12"/>
      <c r="F19" s="12"/>
      <c r="G19" s="12"/>
      <c r="H19" s="12"/>
      <c r="I19" s="12"/>
    </row>
    <row r="20" spans="2:9" x14ac:dyDescent="0.2">
      <c r="B20" s="278" t="s">
        <v>93</v>
      </c>
      <c r="C20" s="278"/>
      <c r="D20" s="278"/>
      <c r="E20" s="278"/>
      <c r="F20" s="278"/>
      <c r="G20" s="278"/>
      <c r="H20" s="278"/>
      <c r="I20" s="278"/>
    </row>
    <row r="21" spans="2:9" x14ac:dyDescent="0.2">
      <c r="B21" s="280"/>
      <c r="C21" s="280"/>
      <c r="D21" s="280"/>
      <c r="E21" s="280"/>
      <c r="F21" s="280"/>
      <c r="G21" s="280"/>
      <c r="H21" s="280"/>
      <c r="I21" s="280"/>
    </row>
    <row r="22" spans="2:9" x14ac:dyDescent="0.2">
      <c r="B22" s="1"/>
      <c r="C22" s="1"/>
      <c r="D22" s="12"/>
      <c r="E22" s="12"/>
      <c r="F22" s="12"/>
      <c r="G22" s="12"/>
      <c r="H22" s="12"/>
      <c r="I22" s="12"/>
    </row>
    <row r="23" spans="2:9" x14ac:dyDescent="0.2">
      <c r="B23" s="24" t="s">
        <v>2</v>
      </c>
      <c r="C23" s="25"/>
      <c r="D23" s="25"/>
      <c r="E23" s="25"/>
      <c r="F23" s="25"/>
      <c r="G23" s="25"/>
      <c r="H23" s="25"/>
      <c r="I23" s="25"/>
    </row>
    <row r="24" spans="2:9" x14ac:dyDescent="0.2">
      <c r="B24" s="14" t="s">
        <v>11</v>
      </c>
      <c r="C24" s="15"/>
      <c r="D24" s="15"/>
      <c r="E24" s="15"/>
      <c r="F24" s="15"/>
      <c r="G24" s="15"/>
      <c r="H24" s="15"/>
      <c r="I24" s="15"/>
    </row>
    <row r="25" spans="2:9" x14ac:dyDescent="0.2">
      <c r="B25" s="282"/>
      <c r="C25" s="282"/>
      <c r="D25" s="282"/>
      <c r="E25" s="282"/>
      <c r="F25" s="282"/>
      <c r="G25" s="282"/>
      <c r="H25" s="282"/>
      <c r="I25" s="282"/>
    </row>
    <row r="26" spans="2:9" x14ac:dyDescent="0.2">
      <c r="B26" s="284"/>
      <c r="C26" s="284"/>
      <c r="D26" s="284"/>
      <c r="E26" s="284"/>
      <c r="F26" s="284"/>
      <c r="G26" s="284"/>
      <c r="H26" s="284"/>
      <c r="I26" s="284"/>
    </row>
    <row r="27" spans="2:9" x14ac:dyDescent="0.2">
      <c r="B27" s="16"/>
      <c r="C27" s="17"/>
      <c r="D27" s="17"/>
      <c r="E27" s="17"/>
      <c r="F27" s="17"/>
      <c r="G27" s="17"/>
      <c r="H27" s="17"/>
      <c r="I27" s="17"/>
    </row>
  </sheetData>
  <mergeCells count="2">
    <mergeCell ref="B20:I21"/>
    <mergeCell ref="B25:I2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2:R45"/>
  <sheetViews>
    <sheetView showGridLines="0" workbookViewId="0">
      <selection activeCell="D29" sqref="D29"/>
    </sheetView>
  </sheetViews>
  <sheetFormatPr defaultRowHeight="12.75" x14ac:dyDescent="0.2"/>
  <cols>
    <col min="1" max="1" width="2.28515625" style="1" customWidth="1"/>
    <col min="2" max="2" width="78.28515625" style="1" customWidth="1"/>
    <col min="3" max="3" width="15.140625" style="78" bestFit="1" customWidth="1"/>
    <col min="4" max="4" width="9.140625" style="88"/>
    <col min="5" max="5" width="9.140625" style="75"/>
    <col min="6" max="14" width="9.140625" style="84"/>
    <col min="15" max="15" width="9.140625" style="1"/>
    <col min="16" max="17" width="9.140625" style="44"/>
    <col min="18" max="18" width="2.85546875" style="1" customWidth="1"/>
    <col min="19" max="19" width="9.140625" style="1" customWidth="1"/>
    <col min="20" max="16384" width="9.140625" style="1"/>
  </cols>
  <sheetData>
    <row r="2" spans="1:18" x14ac:dyDescent="0.2">
      <c r="B2" s="194" t="s">
        <v>54</v>
      </c>
      <c r="C2" s="195"/>
      <c r="D2" s="195"/>
      <c r="E2" s="195"/>
      <c r="F2" s="195"/>
      <c r="G2" s="195"/>
      <c r="H2" s="288" t="s">
        <v>102</v>
      </c>
      <c r="I2" s="288"/>
      <c r="J2" s="288"/>
      <c r="K2" s="288"/>
      <c r="L2" s="288"/>
      <c r="M2" s="288"/>
      <c r="N2" s="288"/>
      <c r="O2" s="288"/>
      <c r="P2" s="288"/>
      <c r="Q2" s="288"/>
      <c r="R2" s="91"/>
    </row>
    <row r="3" spans="1:18" ht="15.75" x14ac:dyDescent="0.25">
      <c r="B3" s="65" t="s">
        <v>70</v>
      </c>
      <c r="C3" s="50"/>
      <c r="D3" s="85"/>
      <c r="E3" s="70"/>
      <c r="F3" s="79"/>
      <c r="G3" s="79"/>
      <c r="H3" s="289" t="s">
        <v>103</v>
      </c>
      <c r="I3" s="289"/>
      <c r="J3" s="289"/>
      <c r="K3" s="289"/>
      <c r="L3" s="289"/>
      <c r="M3" s="289"/>
      <c r="N3" s="289"/>
      <c r="O3" s="289"/>
      <c r="P3" s="289"/>
      <c r="Q3" s="289"/>
      <c r="R3" s="91"/>
    </row>
    <row r="4" spans="1:18" s="33" customFormat="1" ht="3" customHeight="1" x14ac:dyDescent="0.2">
      <c r="B4" s="35"/>
      <c r="C4" s="76"/>
      <c r="D4" s="86"/>
      <c r="E4" s="71"/>
      <c r="F4" s="80"/>
      <c r="G4" s="80"/>
      <c r="H4" s="80"/>
      <c r="I4" s="80"/>
      <c r="J4" s="80"/>
      <c r="K4" s="80"/>
      <c r="L4" s="80"/>
      <c r="M4" s="80"/>
      <c r="N4" s="80"/>
      <c r="O4" s="35"/>
      <c r="P4" s="35"/>
      <c r="Q4" s="35"/>
    </row>
    <row r="5" spans="1:18" ht="76.5" x14ac:dyDescent="0.2">
      <c r="B5" s="36" t="s">
        <v>19</v>
      </c>
      <c r="C5" s="36" t="s">
        <v>32</v>
      </c>
      <c r="D5" s="196" t="s">
        <v>63</v>
      </c>
      <c r="E5" s="197" t="s">
        <v>34</v>
      </c>
      <c r="F5" s="196" t="s">
        <v>33</v>
      </c>
      <c r="G5" s="196" t="s">
        <v>104</v>
      </c>
      <c r="H5" s="196" t="s">
        <v>105</v>
      </c>
      <c r="I5" s="196" t="s">
        <v>106</v>
      </c>
      <c r="J5" s="196" t="s">
        <v>107</v>
      </c>
      <c r="K5" s="198" t="s">
        <v>108</v>
      </c>
      <c r="L5" s="198" t="s">
        <v>109</v>
      </c>
      <c r="M5" s="196" t="s">
        <v>110</v>
      </c>
      <c r="N5" s="196" t="s">
        <v>111</v>
      </c>
      <c r="O5" s="196" t="s">
        <v>112</v>
      </c>
      <c r="P5" s="196" t="s">
        <v>113</v>
      </c>
      <c r="Q5" s="196" t="s">
        <v>114</v>
      </c>
      <c r="R5" s="53"/>
    </row>
    <row r="6" spans="1:18" x14ac:dyDescent="0.2">
      <c r="B6" s="204" t="s">
        <v>71</v>
      </c>
      <c r="C6" s="205"/>
      <c r="D6" s="205"/>
      <c r="E6" s="205"/>
      <c r="F6" s="205"/>
      <c r="G6" s="205"/>
      <c r="H6" s="205"/>
      <c r="I6" s="205"/>
      <c r="J6" s="205"/>
      <c r="K6" s="205"/>
      <c r="L6" s="205"/>
      <c r="M6" s="205"/>
      <c r="N6" s="205"/>
      <c r="O6" s="205"/>
      <c r="P6" s="205"/>
      <c r="Q6" s="206"/>
      <c r="R6" s="23"/>
    </row>
    <row r="7" spans="1:18" x14ac:dyDescent="0.2">
      <c r="B7" s="199" t="s">
        <v>80</v>
      </c>
      <c r="C7" s="200" t="s">
        <v>79</v>
      </c>
      <c r="D7" s="201">
        <v>0.1</v>
      </c>
      <c r="E7" s="202">
        <v>1</v>
      </c>
      <c r="F7" s="203">
        <f>E7*D7</f>
        <v>0.1</v>
      </c>
      <c r="G7" s="207">
        <v>0</v>
      </c>
      <c r="H7" s="96">
        <f>IF(G7=0,VLOOKUP(C:C,[1]Inputs!$B$20:$H$25,7,FALSE)*F7,VLOOKUP(C:C,[1]Inputs!$B$20:$I$25,8,FALSE)*F7)</f>
        <v>7.3741483017720002</v>
      </c>
      <c r="I7" s="96">
        <f>VLOOKUP(C:C,[1]Inputs!$C$54:$G$59,5,FALSE)*F7</f>
        <v>0</v>
      </c>
      <c r="J7" s="96"/>
      <c r="K7" s="96"/>
      <c r="L7" s="96"/>
      <c r="M7" s="96">
        <f>SUM(H7:J7)</f>
        <v>7.3741483017720002</v>
      </c>
      <c r="N7" s="96">
        <f>[1]Inputs!$M$43*M7</f>
        <v>3.4358119310666995</v>
      </c>
      <c r="O7" s="96">
        <f>[1]Inputs!$M$48*M7</f>
        <v>1.1826480969500324</v>
      </c>
      <c r="P7" s="96">
        <f>[1]Inputs!$H$13*SUM(M7:O7)</f>
        <v>0.76057122027520141</v>
      </c>
      <c r="Q7" s="96">
        <f t="shared" ref="Q7:Q11" si="0">SUM(M7:P7)</f>
        <v>12.753179550063933</v>
      </c>
    </row>
    <row r="8" spans="1:18" x14ac:dyDescent="0.2">
      <c r="B8" s="98" t="s">
        <v>81</v>
      </c>
      <c r="C8" s="99" t="s">
        <v>73</v>
      </c>
      <c r="D8" s="101">
        <v>0.1</v>
      </c>
      <c r="E8" s="97">
        <v>1</v>
      </c>
      <c r="F8" s="96">
        <f t="shared" ref="F8:F12" si="1">E8*D8</f>
        <v>0.1</v>
      </c>
      <c r="G8" s="207">
        <v>0</v>
      </c>
      <c r="H8" s="96">
        <f>IF(G8=0,VLOOKUP(C:C,[1]Inputs!$B$20:$H$25,7,FALSE)*F8,VLOOKUP(C:C,[1]Inputs!$B$20:$I$25,8,FALSE)*F8)</f>
        <v>7.9838346469665016</v>
      </c>
      <c r="I8" s="96">
        <f>VLOOKUP(C:C,[1]Inputs!$C$54:$G$59,5,FALSE)*F8</f>
        <v>1.9732436288346318</v>
      </c>
      <c r="J8" s="96"/>
      <c r="K8" s="96"/>
      <c r="L8" s="96"/>
      <c r="M8" s="96">
        <f t="shared" ref="M8:M11" si="2">SUM(H8:J8)</f>
        <v>9.957078275801134</v>
      </c>
      <c r="N8" s="96">
        <f>[1]Inputs!$M$43*M8</f>
        <v>4.6392677416511674</v>
      </c>
      <c r="O8" s="96">
        <f>[1]Inputs!$M$48*M8</f>
        <v>1.5968921687171693</v>
      </c>
      <c r="P8" s="96">
        <f>[1]Inputs!$H$13*SUM(M8:O8)</f>
        <v>1.0269751657668678</v>
      </c>
      <c r="Q8" s="96">
        <f t="shared" si="0"/>
        <v>17.220213351936337</v>
      </c>
      <c r="R8" s="53"/>
    </row>
    <row r="9" spans="1:18" x14ac:dyDescent="0.2">
      <c r="A9" s="54"/>
      <c r="B9" s="102" t="s">
        <v>74</v>
      </c>
      <c r="C9" s="99" t="s">
        <v>73</v>
      </c>
      <c r="D9" s="103">
        <v>1</v>
      </c>
      <c r="E9" s="72">
        <v>1</v>
      </c>
      <c r="F9" s="96">
        <f t="shared" si="1"/>
        <v>1</v>
      </c>
      <c r="G9" s="207">
        <v>0</v>
      </c>
      <c r="H9" s="96">
        <f>IF(G9=0,VLOOKUP(C:C,[1]Inputs!$B$20:$H$25,7,FALSE)*F9,VLOOKUP(C:C,[1]Inputs!$B$20:$I$25,8,FALSE)*F9)</f>
        <v>79.838346469665012</v>
      </c>
      <c r="I9" s="96">
        <f>VLOOKUP(C:C,[1]Inputs!$C$54:$G$59,5,FALSE)*F9</f>
        <v>19.732436288346317</v>
      </c>
      <c r="J9" s="96"/>
      <c r="K9" s="96"/>
      <c r="L9" s="96"/>
      <c r="M9" s="96">
        <f t="shared" si="2"/>
        <v>99.570782758011333</v>
      </c>
      <c r="N9" s="96">
        <f>[1]Inputs!$M$43*M9</f>
        <v>46.392677416511667</v>
      </c>
      <c r="O9" s="96">
        <f>[1]Inputs!$M$48*M9</f>
        <v>15.968921687171692</v>
      </c>
      <c r="P9" s="96">
        <f>[1]Inputs!$H$13*SUM(M9:O9)</f>
        <v>10.269751657668678</v>
      </c>
      <c r="Q9" s="96">
        <f t="shared" si="0"/>
        <v>172.20213351936337</v>
      </c>
      <c r="R9" s="53"/>
    </row>
    <row r="10" spans="1:18" x14ac:dyDescent="0.2">
      <c r="B10" s="100" t="s">
        <v>82</v>
      </c>
      <c r="C10" s="99" t="s">
        <v>73</v>
      </c>
      <c r="D10" s="104">
        <v>1</v>
      </c>
      <c r="E10" s="94">
        <v>1</v>
      </c>
      <c r="F10" s="95">
        <f t="shared" si="1"/>
        <v>1</v>
      </c>
      <c r="G10" s="207">
        <v>0</v>
      </c>
      <c r="H10" s="96">
        <f>IF(G10=0,VLOOKUP(C:C,[1]Inputs!$B$20:$H$25,7,FALSE)*F10,VLOOKUP(C:C,[1]Inputs!$B$20:$I$25,8,FALSE)*F10)</f>
        <v>79.838346469665012</v>
      </c>
      <c r="I10" s="96">
        <f>VLOOKUP(C:C,[1]Inputs!$C$54:$G$59,5,FALSE)*F10</f>
        <v>19.732436288346317</v>
      </c>
      <c r="J10" s="96"/>
      <c r="K10" s="96"/>
      <c r="L10" s="96"/>
      <c r="M10" s="96">
        <f t="shared" si="2"/>
        <v>99.570782758011333</v>
      </c>
      <c r="N10" s="96">
        <f>[1]Inputs!$M$43*M10</f>
        <v>46.392677416511667</v>
      </c>
      <c r="O10" s="96">
        <f>[1]Inputs!$M$48*M10</f>
        <v>15.968921687171692</v>
      </c>
      <c r="P10" s="96">
        <f>[1]Inputs!$H$13*SUM(M10:O10)</f>
        <v>10.269751657668678</v>
      </c>
      <c r="Q10" s="96">
        <f t="shared" si="0"/>
        <v>172.20213351936337</v>
      </c>
    </row>
    <row r="11" spans="1:18" x14ac:dyDescent="0.2">
      <c r="B11" s="98" t="s">
        <v>83</v>
      </c>
      <c r="C11" s="99" t="s">
        <v>73</v>
      </c>
      <c r="D11" s="105">
        <v>0.2</v>
      </c>
      <c r="E11" s="72">
        <v>1</v>
      </c>
      <c r="F11" s="89">
        <f t="shared" si="1"/>
        <v>0.2</v>
      </c>
      <c r="G11" s="207">
        <v>0</v>
      </c>
      <c r="H11" s="96">
        <f>IF(G11=0,VLOOKUP(C:C,[1]Inputs!$B$20:$H$25,7,FALSE)*F11,VLOOKUP(C:C,[1]Inputs!$B$20:$I$25,8,FALSE)*F11)</f>
        <v>15.967669293933003</v>
      </c>
      <c r="I11" s="96">
        <f>VLOOKUP(C:C,[1]Inputs!$C$54:$G$59,5,FALSE)*F11</f>
        <v>3.9464872576692636</v>
      </c>
      <c r="J11" s="96"/>
      <c r="K11" s="96"/>
      <c r="L11" s="96"/>
      <c r="M11" s="96">
        <f t="shared" si="2"/>
        <v>19.914156551602268</v>
      </c>
      <c r="N11" s="96">
        <f>[1]Inputs!$M$43*M11</f>
        <v>9.2785354833023348</v>
      </c>
      <c r="O11" s="96">
        <f>[1]Inputs!$M$48*M11</f>
        <v>3.1937843374343386</v>
      </c>
      <c r="P11" s="96">
        <f>[1]Inputs!$H$13*SUM(M11:O11)</f>
        <v>2.0539503315337355</v>
      </c>
      <c r="Q11" s="96">
        <f t="shared" si="0"/>
        <v>34.440426703872674</v>
      </c>
    </row>
    <row r="12" spans="1:18" x14ac:dyDescent="0.2">
      <c r="B12" s="98" t="s">
        <v>84</v>
      </c>
      <c r="C12" s="99" t="s">
        <v>79</v>
      </c>
      <c r="D12" s="105">
        <v>0.1</v>
      </c>
      <c r="E12" s="72">
        <v>1</v>
      </c>
      <c r="F12" s="89">
        <f t="shared" si="1"/>
        <v>0.1</v>
      </c>
      <c r="G12" s="207">
        <v>0</v>
      </c>
      <c r="H12" s="96">
        <f>IF(G12=0,VLOOKUP(C:C,[1]Inputs!$B$20:$H$25,7,FALSE)*F12,VLOOKUP(C:C,[1]Inputs!$B$20:$I$25,8,FALSE)*F12)</f>
        <v>7.3741483017720002</v>
      </c>
      <c r="I12" s="96">
        <f>VLOOKUP(C:C,[1]Inputs!$C$54:$G$59,5,FALSE)*F12</f>
        <v>0</v>
      </c>
      <c r="J12" s="96"/>
      <c r="K12" s="96"/>
      <c r="L12" s="96"/>
      <c r="M12" s="96">
        <f t="shared" ref="M12" si="3">SUM(H12:J12)</f>
        <v>7.3741483017720002</v>
      </c>
      <c r="N12" s="96">
        <f>[1]Inputs!$M$43*M12</f>
        <v>3.4358119310666995</v>
      </c>
      <c r="O12" s="96">
        <f>[1]Inputs!$M$48*M12</f>
        <v>1.1826480969500324</v>
      </c>
      <c r="P12" s="96">
        <f>[1]Inputs!$H$13*SUM(M12:O12)</f>
        <v>0.76057122027520141</v>
      </c>
      <c r="Q12" s="96">
        <f t="shared" ref="Q12" si="4">SUM(M12:P12)</f>
        <v>12.753179550063933</v>
      </c>
      <c r="R12" s="55"/>
    </row>
    <row r="13" spans="1:18" x14ac:dyDescent="0.2">
      <c r="B13" s="69"/>
      <c r="C13" s="68"/>
      <c r="D13" s="82"/>
      <c r="E13" s="72"/>
      <c r="F13" s="89"/>
      <c r="G13" s="89"/>
      <c r="H13" s="89"/>
      <c r="I13" s="89"/>
      <c r="J13" s="89"/>
      <c r="K13" s="89"/>
      <c r="L13" s="89"/>
      <c r="M13" s="89"/>
      <c r="N13" s="89"/>
      <c r="O13" s="38"/>
      <c r="P13" s="38"/>
      <c r="Q13" s="38"/>
    </row>
    <row r="14" spans="1:18" x14ac:dyDescent="0.2">
      <c r="B14" s="69"/>
      <c r="C14" s="68"/>
      <c r="D14" s="81"/>
      <c r="E14" s="72"/>
      <c r="F14" s="89"/>
      <c r="G14" s="89"/>
      <c r="H14" s="89"/>
      <c r="I14" s="89"/>
      <c r="J14" s="89"/>
      <c r="K14" s="89"/>
      <c r="L14" s="89"/>
      <c r="M14" s="89"/>
      <c r="N14" s="89"/>
      <c r="O14" s="38"/>
      <c r="P14" s="38"/>
      <c r="Q14" s="38"/>
    </row>
    <row r="15" spans="1:18" x14ac:dyDescent="0.2">
      <c r="B15" s="285" t="s">
        <v>1</v>
      </c>
      <c r="C15" s="286"/>
      <c r="D15" s="286"/>
      <c r="E15" s="287"/>
      <c r="F15" s="90">
        <f>SUM(F7:F14)</f>
        <v>2.5000000000000004</v>
      </c>
      <c r="G15" s="90">
        <f t="shared" ref="G15:Q15" si="5">SUM(G7:G14)</f>
        <v>0</v>
      </c>
      <c r="H15" s="90">
        <f t="shared" si="5"/>
        <v>198.37649348377354</v>
      </c>
      <c r="I15" s="90">
        <f t="shared" si="5"/>
        <v>45.384603463196527</v>
      </c>
      <c r="J15" s="90">
        <f t="shared" si="5"/>
        <v>0</v>
      </c>
      <c r="K15" s="90">
        <f t="shared" si="5"/>
        <v>0</v>
      </c>
      <c r="L15" s="90">
        <f t="shared" si="5"/>
        <v>0</v>
      </c>
      <c r="M15" s="90">
        <f t="shared" si="5"/>
        <v>243.76109694697007</v>
      </c>
      <c r="N15" s="90">
        <f t="shared" si="5"/>
        <v>113.57478192011024</v>
      </c>
      <c r="O15" s="90">
        <f t="shared" si="5"/>
        <v>39.093816074394958</v>
      </c>
      <c r="P15" s="90">
        <f t="shared" si="5"/>
        <v>25.141571253188363</v>
      </c>
      <c r="Q15" s="90">
        <f t="shared" si="5"/>
        <v>421.57126619466362</v>
      </c>
      <c r="R15" s="53"/>
    </row>
    <row r="16" spans="1:18" x14ac:dyDescent="0.2">
      <c r="B16" s="40"/>
      <c r="C16" s="77"/>
      <c r="D16" s="87"/>
      <c r="E16" s="74"/>
      <c r="F16" s="83"/>
      <c r="G16" s="83"/>
      <c r="H16" s="83"/>
      <c r="I16" s="83"/>
      <c r="J16" s="83"/>
      <c r="K16" s="83"/>
      <c r="L16" s="83"/>
      <c r="M16" s="83"/>
      <c r="N16" s="83"/>
      <c r="O16" s="41"/>
      <c r="P16" s="42"/>
      <c r="Q16" s="42"/>
    </row>
    <row r="17" spans="2:18" ht="76.5" x14ac:dyDescent="0.2">
      <c r="B17" s="36" t="s">
        <v>19</v>
      </c>
      <c r="C17" s="36" t="s">
        <v>32</v>
      </c>
      <c r="D17" s="196" t="s">
        <v>63</v>
      </c>
      <c r="E17" s="197" t="s">
        <v>34</v>
      </c>
      <c r="F17" s="196" t="s">
        <v>33</v>
      </c>
      <c r="G17" s="196" t="s">
        <v>104</v>
      </c>
      <c r="H17" s="196" t="s">
        <v>105</v>
      </c>
      <c r="I17" s="196" t="s">
        <v>106</v>
      </c>
      <c r="J17" s="196" t="s">
        <v>107</v>
      </c>
      <c r="K17" s="198" t="s">
        <v>108</v>
      </c>
      <c r="L17" s="198" t="s">
        <v>109</v>
      </c>
      <c r="M17" s="196" t="s">
        <v>110</v>
      </c>
      <c r="N17" s="196" t="s">
        <v>111</v>
      </c>
      <c r="O17" s="196" t="s">
        <v>112</v>
      </c>
      <c r="P17" s="196" t="s">
        <v>113</v>
      </c>
      <c r="Q17" s="196" t="s">
        <v>114</v>
      </c>
    </row>
    <row r="18" spans="2:18" x14ac:dyDescent="0.2">
      <c r="B18" s="204" t="s">
        <v>72</v>
      </c>
      <c r="C18" s="205"/>
      <c r="D18" s="205"/>
      <c r="E18" s="205"/>
      <c r="F18" s="205"/>
      <c r="G18" s="205"/>
      <c r="H18" s="205"/>
      <c r="I18" s="205"/>
      <c r="J18" s="205"/>
      <c r="K18" s="205"/>
      <c r="L18" s="205"/>
      <c r="M18" s="205"/>
      <c r="N18" s="205"/>
      <c r="O18" s="205"/>
      <c r="P18" s="205"/>
      <c r="Q18" s="206"/>
    </row>
    <row r="19" spans="2:18" x14ac:dyDescent="0.2">
      <c r="B19" s="199" t="s">
        <v>80</v>
      </c>
      <c r="C19" s="200" t="s">
        <v>79</v>
      </c>
      <c r="D19" s="201">
        <v>0.1</v>
      </c>
      <c r="E19" s="202">
        <v>1</v>
      </c>
      <c r="F19" s="203">
        <f>E19*D19</f>
        <v>0.1</v>
      </c>
      <c r="G19" s="207">
        <v>0</v>
      </c>
      <c r="H19" s="96">
        <f>IF(G19=0,VLOOKUP(C:C,[1]Inputs!$B$20:$H$25,7,FALSE)*F19,VLOOKUP(C:C,[1]Inputs!$B$20:$I$25,8,FALSE)*F19)</f>
        <v>7.3741483017720002</v>
      </c>
      <c r="I19" s="96">
        <f>VLOOKUP(C:C,[1]Inputs!$C$54:$G$59,5,FALSE)*F19</f>
        <v>0</v>
      </c>
      <c r="J19" s="96"/>
      <c r="K19" s="96"/>
      <c r="L19" s="96"/>
      <c r="M19" s="96">
        <f>SUM(H19:J19)</f>
        <v>7.3741483017720002</v>
      </c>
      <c r="N19" s="96">
        <f>[1]Inputs!$M$43*M19</f>
        <v>3.4358119310666995</v>
      </c>
      <c r="O19" s="96">
        <f>[1]Inputs!$M$48*M19</f>
        <v>1.1826480969500324</v>
      </c>
      <c r="P19" s="96">
        <f>[1]Inputs!$H$13*SUM(M19:O19)</f>
        <v>0.76057122027520141</v>
      </c>
      <c r="Q19" s="96">
        <f t="shared" ref="Q19:Q20" si="6">SUM(M19:P19)</f>
        <v>12.753179550063933</v>
      </c>
    </row>
    <row r="20" spans="2:18" x14ac:dyDescent="0.2">
      <c r="B20" s="106" t="s">
        <v>81</v>
      </c>
      <c r="C20" s="107" t="s">
        <v>73</v>
      </c>
      <c r="D20" s="109">
        <v>0.1</v>
      </c>
      <c r="E20" s="72">
        <v>1</v>
      </c>
      <c r="F20" s="89">
        <f t="shared" ref="F20:F24" si="7">E20*D20</f>
        <v>0.1</v>
      </c>
      <c r="G20" s="207">
        <v>1</v>
      </c>
      <c r="H20" s="96">
        <f>IF(G20=0,VLOOKUP(C:C,[1]Inputs!$B$20:$H$25,7,FALSE)*F20,VLOOKUP(C:C,[1]Inputs!$B$20:$I$25,8,FALSE)*F20)</f>
        <v>14.494102558317273</v>
      </c>
      <c r="I20" s="96">
        <f>VLOOKUP(C:C,[1]Inputs!$C$54:$G$59,5,FALSE)*F20</f>
        <v>1.9732436288346318</v>
      </c>
      <c r="J20" s="96"/>
      <c r="K20" s="96"/>
      <c r="L20" s="96"/>
      <c r="M20" s="96">
        <f t="shared" ref="M20" si="8">SUM(H20:J20)</f>
        <v>16.467346187151904</v>
      </c>
      <c r="N20" s="96">
        <f>[1]Inputs!$M$43*M20</f>
        <v>7.6725748096531268</v>
      </c>
      <c r="O20" s="96">
        <f>[1]Inputs!$M$48*M20</f>
        <v>2.6409932148194968</v>
      </c>
      <c r="P20" s="96">
        <f>[1]Inputs!$H$13*SUM(M20:O20)</f>
        <v>1.6984455793012276</v>
      </c>
      <c r="Q20" s="96">
        <f t="shared" si="6"/>
        <v>28.479359790925756</v>
      </c>
      <c r="R20" s="53"/>
    </row>
    <row r="21" spans="2:18" x14ac:dyDescent="0.2">
      <c r="B21" s="110" t="s">
        <v>74</v>
      </c>
      <c r="C21" s="107" t="s">
        <v>73</v>
      </c>
      <c r="D21" s="111">
        <v>1</v>
      </c>
      <c r="E21" s="72">
        <v>1</v>
      </c>
      <c r="F21" s="89">
        <f t="shared" si="7"/>
        <v>1</v>
      </c>
      <c r="G21" s="207">
        <v>1</v>
      </c>
      <c r="H21" s="96">
        <f>IF(G21=0,VLOOKUP(C:C,[1]Inputs!$B$20:$H$25,7,FALSE)*F21,VLOOKUP(C:C,[1]Inputs!$B$20:$I$25,8,FALSE)*F21)</f>
        <v>144.94102558317272</v>
      </c>
      <c r="I21" s="96">
        <f>VLOOKUP(C:C,[1]Inputs!$C$54:$G$59,5,FALSE)*F21</f>
        <v>19.732436288346317</v>
      </c>
      <c r="J21" s="96"/>
      <c r="K21" s="96"/>
      <c r="L21" s="96"/>
      <c r="M21" s="96">
        <f t="shared" ref="M21:M24" si="9">SUM(H21:J21)</f>
        <v>164.67346187151904</v>
      </c>
      <c r="N21" s="96">
        <f>[1]Inputs!$M$43*M21</f>
        <v>76.725748096531277</v>
      </c>
      <c r="O21" s="96">
        <f>[1]Inputs!$M$48*M21</f>
        <v>26.409932148194969</v>
      </c>
      <c r="P21" s="96">
        <f>[1]Inputs!$H$13*SUM(M21:O21)</f>
        <v>16.98445579301228</v>
      </c>
      <c r="Q21" s="96">
        <f t="shared" ref="Q21:Q24" si="10">SUM(M21:P21)</f>
        <v>284.79359790925758</v>
      </c>
      <c r="R21" s="91"/>
    </row>
    <row r="22" spans="2:18" x14ac:dyDescent="0.2">
      <c r="B22" s="108" t="s">
        <v>82</v>
      </c>
      <c r="C22" s="107" t="s">
        <v>73</v>
      </c>
      <c r="D22" s="112">
        <v>1</v>
      </c>
      <c r="E22" s="94">
        <v>1</v>
      </c>
      <c r="F22" s="95">
        <f t="shared" si="7"/>
        <v>1</v>
      </c>
      <c r="G22" s="207">
        <v>1</v>
      </c>
      <c r="H22" s="96">
        <f>IF(G22=0,VLOOKUP(C:C,[1]Inputs!$B$20:$H$25,7,FALSE)*F22,VLOOKUP(C:C,[1]Inputs!$B$20:$I$25,8,FALSE)*F22)</f>
        <v>144.94102558317272</v>
      </c>
      <c r="I22" s="96">
        <f>VLOOKUP(C:C,[1]Inputs!$C$54:$G$59,5,FALSE)*F22</f>
        <v>19.732436288346317</v>
      </c>
      <c r="J22" s="96"/>
      <c r="K22" s="96"/>
      <c r="L22" s="96"/>
      <c r="M22" s="96">
        <f t="shared" si="9"/>
        <v>164.67346187151904</v>
      </c>
      <c r="N22" s="96">
        <f>[1]Inputs!$M$43*M22</f>
        <v>76.725748096531277</v>
      </c>
      <c r="O22" s="96">
        <f>[1]Inputs!$M$48*M22</f>
        <v>26.409932148194969</v>
      </c>
      <c r="P22" s="96">
        <f>[1]Inputs!$H$13*SUM(M22:O22)</f>
        <v>16.98445579301228</v>
      </c>
      <c r="Q22" s="96">
        <f t="shared" si="10"/>
        <v>284.79359790925758</v>
      </c>
    </row>
    <row r="23" spans="2:18" x14ac:dyDescent="0.2">
      <c r="B23" s="106" t="s">
        <v>83</v>
      </c>
      <c r="C23" s="107" t="s">
        <v>73</v>
      </c>
      <c r="D23" s="113">
        <v>0.2</v>
      </c>
      <c r="E23" s="72">
        <v>1</v>
      </c>
      <c r="F23" s="89">
        <f t="shared" si="7"/>
        <v>0.2</v>
      </c>
      <c r="G23" s="207">
        <v>1</v>
      </c>
      <c r="H23" s="96">
        <f>IF(G23=0,VLOOKUP(C:C,[1]Inputs!$B$20:$H$25,7,FALSE)*F23,VLOOKUP(C:C,[1]Inputs!$B$20:$I$25,8,FALSE)*F23)</f>
        <v>28.988205116634546</v>
      </c>
      <c r="I23" s="96">
        <f>VLOOKUP(C:C,[1]Inputs!$C$54:$G$59,5,FALSE)*F23</f>
        <v>3.9464872576692636</v>
      </c>
      <c r="J23" s="96"/>
      <c r="K23" s="96"/>
      <c r="L23" s="96"/>
      <c r="M23" s="96">
        <f t="shared" si="9"/>
        <v>32.934692374303808</v>
      </c>
      <c r="N23" s="96">
        <f>[1]Inputs!$M$43*M23</f>
        <v>15.345149619306254</v>
      </c>
      <c r="O23" s="96">
        <f>[1]Inputs!$M$48*M23</f>
        <v>5.2819864296389936</v>
      </c>
      <c r="P23" s="96">
        <f>[1]Inputs!$H$13*SUM(M23:O23)</f>
        <v>3.3968911586024553</v>
      </c>
      <c r="Q23" s="96">
        <f t="shared" si="10"/>
        <v>56.958719581851511</v>
      </c>
    </row>
    <row r="24" spans="2:18" x14ac:dyDescent="0.2">
      <c r="B24" s="106" t="s">
        <v>84</v>
      </c>
      <c r="C24" s="107" t="s">
        <v>79</v>
      </c>
      <c r="D24" s="113">
        <v>0.1</v>
      </c>
      <c r="E24" s="72">
        <v>1</v>
      </c>
      <c r="F24" s="89">
        <f t="shared" si="7"/>
        <v>0.1</v>
      </c>
      <c r="G24" s="207">
        <v>0</v>
      </c>
      <c r="H24" s="96">
        <f>IF(G24=0,VLOOKUP(C:C,[1]Inputs!$B$20:$H$25,7,FALSE)*F24,VLOOKUP(C:C,[1]Inputs!$B$20:$I$25,8,FALSE)*F24)</f>
        <v>7.3741483017720002</v>
      </c>
      <c r="I24" s="96">
        <f>VLOOKUP(C:C,[1]Inputs!$C$54:$G$59,5,FALSE)*F24</f>
        <v>0</v>
      </c>
      <c r="J24" s="96"/>
      <c r="K24" s="96"/>
      <c r="L24" s="96"/>
      <c r="M24" s="96">
        <f t="shared" si="9"/>
        <v>7.3741483017720002</v>
      </c>
      <c r="N24" s="96">
        <f>[1]Inputs!$M$43*M24</f>
        <v>3.4358119310666995</v>
      </c>
      <c r="O24" s="96">
        <f>[1]Inputs!$M$48*M24</f>
        <v>1.1826480969500324</v>
      </c>
      <c r="P24" s="96">
        <f>[1]Inputs!$H$13*SUM(M24:O24)</f>
        <v>0.76057122027520141</v>
      </c>
      <c r="Q24" s="96">
        <f t="shared" si="10"/>
        <v>12.753179550063933</v>
      </c>
    </row>
    <row r="25" spans="2:18" x14ac:dyDescent="0.2">
      <c r="B25" s="69"/>
      <c r="C25" s="68"/>
      <c r="D25" s="82"/>
      <c r="E25" s="72"/>
      <c r="F25" s="89"/>
      <c r="G25" s="89"/>
      <c r="H25" s="89"/>
      <c r="I25" s="89"/>
      <c r="J25" s="89"/>
      <c r="K25" s="89"/>
      <c r="L25" s="89"/>
      <c r="M25" s="89"/>
      <c r="N25" s="89"/>
      <c r="O25" s="38"/>
      <c r="P25" s="38"/>
      <c r="Q25" s="38"/>
    </row>
    <row r="26" spans="2:18" x14ac:dyDescent="0.2">
      <c r="B26" s="69"/>
      <c r="C26" s="68"/>
      <c r="D26" s="82"/>
      <c r="E26" s="73"/>
      <c r="F26" s="89"/>
      <c r="G26" s="89"/>
      <c r="H26" s="89"/>
      <c r="I26" s="89"/>
      <c r="J26" s="89"/>
      <c r="K26" s="89"/>
      <c r="L26" s="89"/>
      <c r="M26" s="89"/>
      <c r="N26" s="89"/>
      <c r="O26" s="37"/>
      <c r="P26" s="39"/>
      <c r="Q26" s="39"/>
    </row>
    <row r="27" spans="2:18" x14ac:dyDescent="0.2">
      <c r="B27" s="285" t="s">
        <v>1</v>
      </c>
      <c r="C27" s="286"/>
      <c r="D27" s="286"/>
      <c r="E27" s="287"/>
      <c r="F27" s="90">
        <f>SUM(F19:F26)</f>
        <v>2.5000000000000004</v>
      </c>
      <c r="G27" s="90">
        <f t="shared" ref="G27:Q27" si="11">SUM(G19:G26)</f>
        <v>4</v>
      </c>
      <c r="H27" s="90">
        <f t="shared" si="11"/>
        <v>348.11265544484127</v>
      </c>
      <c r="I27" s="90">
        <f t="shared" si="11"/>
        <v>45.384603463196527</v>
      </c>
      <c r="J27" s="90">
        <f t="shared" si="11"/>
        <v>0</v>
      </c>
      <c r="K27" s="90">
        <f t="shared" si="11"/>
        <v>0</v>
      </c>
      <c r="L27" s="90">
        <f t="shared" si="11"/>
        <v>0</v>
      </c>
      <c r="M27" s="90">
        <f t="shared" si="11"/>
        <v>393.49725890803774</v>
      </c>
      <c r="N27" s="90">
        <f t="shared" si="11"/>
        <v>183.34084448415533</v>
      </c>
      <c r="O27" s="90">
        <f t="shared" si="11"/>
        <v>63.108140134748488</v>
      </c>
      <c r="P27" s="90">
        <f t="shared" si="11"/>
        <v>40.585390764478653</v>
      </c>
      <c r="Q27" s="90">
        <f t="shared" si="11"/>
        <v>680.53163429142035</v>
      </c>
    </row>
    <row r="28" spans="2:18" x14ac:dyDescent="0.2">
      <c r="O28" s="43"/>
    </row>
    <row r="29" spans="2:18" x14ac:dyDescent="0.2">
      <c r="O29" s="45"/>
    </row>
    <row r="32" spans="2:18" x14ac:dyDescent="0.2">
      <c r="R32" s="53"/>
    </row>
    <row r="45" spans="18:18" x14ac:dyDescent="0.2">
      <c r="R45" s="53"/>
    </row>
  </sheetData>
  <mergeCells count="4">
    <mergeCell ref="B27:E27"/>
    <mergeCell ref="B15:E15"/>
    <mergeCell ref="H2:Q2"/>
    <mergeCell ref="H3:Q3"/>
  </mergeCells>
  <pageMargins left="0.70866141732283472" right="0.70866141732283472" top="0.74803149606299213" bottom="0.74803149606299213" header="0.31496062992125984" footer="0.31496062992125984"/>
  <pageSetup paperSize="9" scale="2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EE7F29-E5C1-43D5-87A5-446C2E4DC07E}">
  <dimension ref="B1:O28"/>
  <sheetViews>
    <sheetView workbookViewId="0">
      <selection activeCell="B29" sqref="B29"/>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115</v>
      </c>
      <c r="D1" s="208">
        <f>[1]Inputs!H16</f>
        <v>1</v>
      </c>
      <c r="E1" s="208">
        <f>[1]Inputs!I16</f>
        <v>1</v>
      </c>
      <c r="F1" s="208">
        <f>[1]Inputs!J16</f>
        <v>1.0109999999999999</v>
      </c>
      <c r="G1" s="208">
        <f>[1]Inputs!K16</f>
        <v>1.0231319999999999</v>
      </c>
      <c r="H1" s="208">
        <f>[1]Inputs!L16</f>
        <v>1.0337725727999998</v>
      </c>
      <c r="K1" s="209">
        <f>D1</f>
        <v>1</v>
      </c>
      <c r="L1" s="209">
        <f t="shared" ref="L1:O5" si="0">E1</f>
        <v>1</v>
      </c>
      <c r="M1" s="209">
        <f t="shared" si="0"/>
        <v>1.0109999999999999</v>
      </c>
      <c r="N1" s="209">
        <f t="shared" si="0"/>
        <v>1.0231319999999999</v>
      </c>
      <c r="O1" s="209">
        <f t="shared" si="0"/>
        <v>1.0337725727999998</v>
      </c>
    </row>
    <row r="2" spans="2:15" x14ac:dyDescent="0.25">
      <c r="B2" t="s">
        <v>116</v>
      </c>
      <c r="D2" s="208">
        <f>[1]Inputs!H61</f>
        <v>0.04</v>
      </c>
      <c r="E2" s="208">
        <f>[1]Inputs!I61</f>
        <v>0.04</v>
      </c>
      <c r="F2" s="208">
        <f>[1]Inputs!J61</f>
        <v>0.04</v>
      </c>
      <c r="G2" s="208">
        <f>[1]Inputs!K61</f>
        <v>0.04</v>
      </c>
      <c r="H2" s="208">
        <f>[1]Inputs!L61</f>
        <v>0.04</v>
      </c>
      <c r="K2" s="209"/>
      <c r="L2" s="209"/>
      <c r="M2" s="209"/>
      <c r="N2" s="209"/>
      <c r="O2" s="209"/>
    </row>
    <row r="3" spans="2:15" x14ac:dyDescent="0.25">
      <c r="B3" t="s">
        <v>117</v>
      </c>
      <c r="D3" s="209">
        <f>[1]Inputs!$M$43</f>
        <v>0.46592661151676018</v>
      </c>
      <c r="E3" s="209">
        <f>[1]Inputs!$M$43</f>
        <v>0.46592661151676018</v>
      </c>
      <c r="F3" s="209">
        <f>[1]Inputs!$M$43</f>
        <v>0.46592661151676018</v>
      </c>
      <c r="G3" s="209">
        <f>[1]Inputs!$M$43</f>
        <v>0.46592661151676018</v>
      </c>
      <c r="H3" s="209">
        <f>[1]Inputs!$M$43</f>
        <v>0.46592661151676018</v>
      </c>
      <c r="K3" s="209">
        <f t="shared" ref="K3:K5" si="1">D3</f>
        <v>0.46592661151676018</v>
      </c>
      <c r="L3" s="209">
        <f t="shared" si="0"/>
        <v>0.46592661151676018</v>
      </c>
      <c r="M3" s="209">
        <f t="shared" si="0"/>
        <v>0.46592661151676018</v>
      </c>
      <c r="N3" s="209">
        <f t="shared" si="0"/>
        <v>0.46592661151676018</v>
      </c>
      <c r="O3" s="209">
        <f t="shared" si="0"/>
        <v>0.46592661151676018</v>
      </c>
    </row>
    <row r="4" spans="2:15" x14ac:dyDescent="0.25">
      <c r="B4" t="s">
        <v>118</v>
      </c>
      <c r="D4" s="209">
        <f>[1]Inputs!$M$48</f>
        <v>0.16037758511933414</v>
      </c>
      <c r="E4" s="209">
        <f>[1]Inputs!$M$48</f>
        <v>0.16037758511933414</v>
      </c>
      <c r="F4" s="209">
        <f>[1]Inputs!$M$48</f>
        <v>0.16037758511933414</v>
      </c>
      <c r="G4" s="209">
        <f>[1]Inputs!$M$48</f>
        <v>0.16037758511933414</v>
      </c>
      <c r="H4" s="209">
        <f>[1]Inputs!$M$48</f>
        <v>0.16037758511933414</v>
      </c>
      <c r="K4" s="209">
        <f t="shared" si="1"/>
        <v>0.16037758511933414</v>
      </c>
      <c r="L4" s="209">
        <f t="shared" si="0"/>
        <v>0.16037758511933414</v>
      </c>
      <c r="M4" s="209">
        <f t="shared" si="0"/>
        <v>0.16037758511933414</v>
      </c>
      <c r="N4" s="209">
        <f t="shared" si="0"/>
        <v>0.16037758511933414</v>
      </c>
      <c r="O4" s="209">
        <f t="shared" si="0"/>
        <v>0.16037758511933414</v>
      </c>
    </row>
    <row r="5" spans="2:15" x14ac:dyDescent="0.25">
      <c r="B5" t="s">
        <v>119</v>
      </c>
      <c r="D5" s="209">
        <f>[1]Inputs!$H$13</f>
        <v>6.3420000000000004E-2</v>
      </c>
      <c r="E5" s="209">
        <f>[1]Inputs!$H$13</f>
        <v>6.3420000000000004E-2</v>
      </c>
      <c r="F5" s="209">
        <f>[1]Inputs!$H$13</f>
        <v>6.3420000000000004E-2</v>
      </c>
      <c r="G5" s="209">
        <f>[1]Inputs!$H$13</f>
        <v>6.3420000000000004E-2</v>
      </c>
      <c r="H5" s="209">
        <f>[1]Inputs!$H$13</f>
        <v>6.3420000000000004E-2</v>
      </c>
      <c r="K5" s="209">
        <f t="shared" si="1"/>
        <v>6.3420000000000004E-2</v>
      </c>
      <c r="L5" s="209">
        <f t="shared" si="0"/>
        <v>6.3420000000000004E-2</v>
      </c>
      <c r="M5" s="209">
        <f t="shared" si="0"/>
        <v>6.3420000000000004E-2</v>
      </c>
      <c r="N5" s="209">
        <f t="shared" si="0"/>
        <v>6.3420000000000004E-2</v>
      </c>
      <c r="O5" s="209">
        <f t="shared" si="0"/>
        <v>6.3420000000000004E-2</v>
      </c>
    </row>
    <row r="6" spans="2:15" s="210" customFormat="1" ht="15.75" x14ac:dyDescent="0.25">
      <c r="D6" s="290" t="s">
        <v>120</v>
      </c>
      <c r="E6" s="290"/>
      <c r="F6" s="290"/>
      <c r="G6" s="290"/>
      <c r="H6" s="290"/>
      <c r="J6" s="291" t="s">
        <v>121</v>
      </c>
      <c r="K6" s="291"/>
      <c r="L6" s="291"/>
      <c r="M6" s="291"/>
      <c r="N6" s="291"/>
      <c r="O6" s="291"/>
    </row>
    <row r="7" spans="2:15" x14ac:dyDescent="0.25">
      <c r="B7" s="211" t="s">
        <v>135</v>
      </c>
      <c r="C7" s="212"/>
      <c r="D7" s="212" t="s">
        <v>122</v>
      </c>
      <c r="E7" s="212" t="s">
        <v>123</v>
      </c>
      <c r="F7" s="212" t="s">
        <v>124</v>
      </c>
      <c r="G7" s="212" t="s">
        <v>125</v>
      </c>
      <c r="H7" s="212" t="s">
        <v>126</v>
      </c>
      <c r="J7" s="212"/>
      <c r="K7" s="212" t="s">
        <v>122</v>
      </c>
      <c r="L7" s="212" t="s">
        <v>123</v>
      </c>
      <c r="M7" s="212" t="s">
        <v>124</v>
      </c>
      <c r="N7" s="212" t="s">
        <v>125</v>
      </c>
      <c r="O7" s="212" t="s">
        <v>126</v>
      </c>
    </row>
    <row r="8" spans="2:15" x14ac:dyDescent="0.25">
      <c r="B8" s="213" t="s">
        <v>105</v>
      </c>
      <c r="C8" s="214"/>
      <c r="D8" s="215">
        <f>(D19*D$27)</f>
        <v>6943.1772719320743</v>
      </c>
      <c r="E8" s="215">
        <f t="shared" ref="E8:H8" si="2">(E19*E$27)</f>
        <v>7220.9043628093568</v>
      </c>
      <c r="F8" s="215">
        <f t="shared" si="2"/>
        <v>7592.3476832322704</v>
      </c>
      <c r="G8" s="215">
        <f t="shared" si="2"/>
        <v>8078.6928246344305</v>
      </c>
      <c r="H8" s="215">
        <f t="shared" si="2"/>
        <v>9019.6535514778898</v>
      </c>
      <c r="J8" s="214"/>
      <c r="K8" s="215">
        <f>(K19*K$27)</f>
        <v>6962.2531088968253</v>
      </c>
      <c r="L8" s="215">
        <f t="shared" ref="L8:O8" si="3">(L19*L$27)</f>
        <v>7240.7432332526987</v>
      </c>
      <c r="M8" s="215">
        <f t="shared" si="3"/>
        <v>7613.2070651712165</v>
      </c>
      <c r="N8" s="215">
        <f t="shared" si="3"/>
        <v>8100.8884018428662</v>
      </c>
      <c r="O8" s="215">
        <f t="shared" si="3"/>
        <v>8709.4552949443296</v>
      </c>
    </row>
    <row r="9" spans="2:15" x14ac:dyDescent="0.25">
      <c r="B9" s="213" t="s">
        <v>106</v>
      </c>
      <c r="C9" s="214"/>
      <c r="D9" s="215">
        <f t="shared" ref="D9:H15" si="4">(D20*D$27)</f>
        <v>1588.4611212118784</v>
      </c>
      <c r="E9" s="215">
        <f t="shared" si="4"/>
        <v>1651.9995660603536</v>
      </c>
      <c r="F9" s="215">
        <f t="shared" si="4"/>
        <v>1718.0795487027679</v>
      </c>
      <c r="G9" s="215">
        <f t="shared" si="4"/>
        <v>1786.8027306508786</v>
      </c>
      <c r="H9" s="215">
        <f t="shared" si="4"/>
        <v>1929.7469491029487</v>
      </c>
      <c r="J9" s="214"/>
      <c r="K9" s="215">
        <f t="shared" ref="K9:O15" si="5">(K20*K$27)</f>
        <v>907.69206926393053</v>
      </c>
      <c r="L9" s="215">
        <f t="shared" si="5"/>
        <v>943.99975203448776</v>
      </c>
      <c r="M9" s="215">
        <f t="shared" si="5"/>
        <v>981.75974211586731</v>
      </c>
      <c r="N9" s="215">
        <f t="shared" si="5"/>
        <v>1021.030131800502</v>
      </c>
      <c r="O9" s="215">
        <f t="shared" si="5"/>
        <v>1061.871337072522</v>
      </c>
    </row>
    <row r="10" spans="2:15" x14ac:dyDescent="0.25">
      <c r="B10" s="213" t="s">
        <v>107</v>
      </c>
      <c r="C10" s="214"/>
      <c r="D10" s="215">
        <f t="shared" si="4"/>
        <v>0</v>
      </c>
      <c r="E10" s="215">
        <f t="shared" si="4"/>
        <v>0</v>
      </c>
      <c r="F10" s="215">
        <f t="shared" si="4"/>
        <v>0</v>
      </c>
      <c r="G10" s="215">
        <f t="shared" si="4"/>
        <v>0</v>
      </c>
      <c r="H10" s="215">
        <f t="shared" si="4"/>
        <v>0</v>
      </c>
      <c r="J10" s="214"/>
      <c r="K10" s="215">
        <f t="shared" si="5"/>
        <v>0</v>
      </c>
      <c r="L10" s="215">
        <f t="shared" si="5"/>
        <v>0</v>
      </c>
      <c r="M10" s="215">
        <f t="shared" si="5"/>
        <v>0</v>
      </c>
      <c r="N10" s="215">
        <f t="shared" si="5"/>
        <v>0</v>
      </c>
      <c r="O10" s="215">
        <f t="shared" si="5"/>
        <v>0</v>
      </c>
    </row>
    <row r="11" spans="2:15" x14ac:dyDescent="0.25">
      <c r="B11" s="216" t="s">
        <v>127</v>
      </c>
      <c r="C11" s="216"/>
      <c r="D11" s="220">
        <f t="shared" si="4"/>
        <v>8531.6383931439523</v>
      </c>
      <c r="E11" s="220">
        <f t="shared" si="4"/>
        <v>8872.9039288697095</v>
      </c>
      <c r="F11" s="220">
        <f t="shared" si="4"/>
        <v>9310.4272319350384</v>
      </c>
      <c r="G11" s="220">
        <f t="shared" si="4"/>
        <v>9865.495555285308</v>
      </c>
      <c r="H11" s="220">
        <f t="shared" si="4"/>
        <v>10949.400500580841</v>
      </c>
      <c r="I11" s="221"/>
      <c r="J11" s="216"/>
      <c r="K11" s="220">
        <f t="shared" si="5"/>
        <v>7869.9451781607559</v>
      </c>
      <c r="L11" s="220">
        <f t="shared" si="5"/>
        <v>8184.7429852871865</v>
      </c>
      <c r="M11" s="220">
        <f t="shared" si="5"/>
        <v>8594.9668072870845</v>
      </c>
      <c r="N11" s="220">
        <f t="shared" si="5"/>
        <v>9121.9185336433675</v>
      </c>
      <c r="O11" s="220">
        <f t="shared" si="5"/>
        <v>9771.3266320168514</v>
      </c>
    </row>
    <row r="12" spans="2:15" x14ac:dyDescent="0.25">
      <c r="B12" s="214" t="s">
        <v>111</v>
      </c>
      <c r="C12" s="214"/>
      <c r="D12" s="215">
        <f t="shared" si="4"/>
        <v>3975.1173672038585</v>
      </c>
      <c r="E12" s="215">
        <f t="shared" si="4"/>
        <v>4134.1220618920124</v>
      </c>
      <c r="F12" s="215">
        <f t="shared" si="4"/>
        <v>4337.9758119488615</v>
      </c>
      <c r="G12" s="215">
        <f t="shared" si="4"/>
        <v>4596.5969150077417</v>
      </c>
      <c r="H12" s="215">
        <f t="shared" si="4"/>
        <v>5101.6170733755489</v>
      </c>
      <c r="J12" s="214"/>
      <c r="K12" s="215">
        <f t="shared" si="5"/>
        <v>3666.8168896831066</v>
      </c>
      <c r="L12" s="215">
        <f t="shared" si="5"/>
        <v>3813.4895652704308</v>
      </c>
      <c r="M12" s="215">
        <f t="shared" si="5"/>
        <v>4004.6237606182976</v>
      </c>
      <c r="N12" s="215">
        <f t="shared" si="5"/>
        <v>4250.1445929123884</v>
      </c>
      <c r="O12" s="215">
        <f t="shared" si="5"/>
        <v>4552.7211076790882</v>
      </c>
    </row>
    <row r="13" spans="2:15" x14ac:dyDescent="0.25">
      <c r="B13" s="214" t="s">
        <v>112</v>
      </c>
      <c r="C13" s="214"/>
      <c r="D13" s="215">
        <f t="shared" si="4"/>
        <v>1368.2835626038236</v>
      </c>
      <c r="E13" s="215">
        <f t="shared" si="4"/>
        <v>1423.0149051079763</v>
      </c>
      <c r="F13" s="215">
        <f t="shared" si="4"/>
        <v>1493.1838358870282</v>
      </c>
      <c r="G13" s="215">
        <f t="shared" si="4"/>
        <v>1582.2043531621823</v>
      </c>
      <c r="H13" s="215">
        <f t="shared" si="4"/>
        <v>1756.0384107875836</v>
      </c>
      <c r="J13" s="214"/>
      <c r="K13" s="215">
        <f t="shared" si="5"/>
        <v>1262.16280269497</v>
      </c>
      <c r="L13" s="215">
        <f t="shared" si="5"/>
        <v>1312.6493148027687</v>
      </c>
      <c r="M13" s="215">
        <f t="shared" si="5"/>
        <v>1378.4400207335359</v>
      </c>
      <c r="N13" s="215">
        <f t="shared" si="5"/>
        <v>1462.951266081021</v>
      </c>
      <c r="O13" s="215">
        <f t="shared" si="5"/>
        <v>1567.1017686550992</v>
      </c>
    </row>
    <row r="14" spans="2:15" x14ac:dyDescent="0.25">
      <c r="B14" s="214" t="s">
        <v>128</v>
      </c>
      <c r="C14" s="214"/>
      <c r="D14" s="215">
        <f t="shared" si="4"/>
        <v>879.9549938615927</v>
      </c>
      <c r="E14" s="215">
        <f t="shared" si="4"/>
        <v>915.15319361605634</v>
      </c>
      <c r="F14" s="215">
        <f t="shared" si="4"/>
        <v>960.27943991507232</v>
      </c>
      <c r="G14" s="215">
        <f t="shared" si="4"/>
        <v>1017.529304543531</v>
      </c>
      <c r="H14" s="215">
        <f t="shared" si="4"/>
        <v>1129.323490552463</v>
      </c>
      <c r="J14" s="214"/>
      <c r="K14" s="215">
        <f t="shared" si="5"/>
        <v>811.70781528957286</v>
      </c>
      <c r="L14" s="215">
        <f t="shared" si="5"/>
        <v>844.17612790115584</v>
      </c>
      <c r="M14" s="215">
        <f t="shared" si="5"/>
        <v>886.48669993148019</v>
      </c>
      <c r="N14" s="215">
        <f t="shared" si="5"/>
        <v>940.83661278102443</v>
      </c>
      <c r="O14" s="215">
        <f t="shared" si="5"/>
        <v>1007.8167018196228</v>
      </c>
    </row>
    <row r="15" spans="2:15" s="218" customFormat="1" x14ac:dyDescent="0.25">
      <c r="B15" s="217" t="s">
        <v>129</v>
      </c>
      <c r="C15" s="214"/>
      <c r="D15" s="220">
        <f t="shared" si="4"/>
        <v>14754.994316813227</v>
      </c>
      <c r="E15" s="220">
        <f t="shared" si="4"/>
        <v>15345.194089485754</v>
      </c>
      <c r="F15" s="220">
        <f t="shared" si="4"/>
        <v>16101.866319686</v>
      </c>
      <c r="G15" s="220">
        <f t="shared" si="4"/>
        <v>17061.826127998764</v>
      </c>
      <c r="H15" s="220">
        <f t="shared" si="4"/>
        <v>18936.379475296435</v>
      </c>
      <c r="I15" s="221"/>
      <c r="J15" s="216"/>
      <c r="K15" s="220">
        <f t="shared" si="5"/>
        <v>13610.632685828406</v>
      </c>
      <c r="L15" s="220">
        <f t="shared" si="5"/>
        <v>14155.057993261544</v>
      </c>
      <c r="M15" s="220">
        <f t="shared" si="5"/>
        <v>14864.5172885704</v>
      </c>
      <c r="N15" s="220">
        <f t="shared" si="5"/>
        <v>15775.851005417802</v>
      </c>
      <c r="O15" s="220">
        <f t="shared" si="5"/>
        <v>16898.96621017066</v>
      </c>
    </row>
    <row r="16" spans="2:15" s="221" customFormat="1" x14ac:dyDescent="0.25">
      <c r="B16" s="219" t="s">
        <v>130</v>
      </c>
      <c r="C16" s="216"/>
      <c r="D16" s="220">
        <f>D28-D15</f>
        <v>0</v>
      </c>
      <c r="E16" s="220">
        <f t="shared" ref="E16:H16" si="6">E28-E15</f>
        <v>0</v>
      </c>
      <c r="F16" s="220">
        <f t="shared" si="6"/>
        <v>0</v>
      </c>
      <c r="G16" s="220">
        <f t="shared" si="6"/>
        <v>0</v>
      </c>
      <c r="H16" s="220">
        <f t="shared" si="6"/>
        <v>0</v>
      </c>
      <c r="J16" s="216"/>
      <c r="K16" s="220">
        <f>K28-K15</f>
        <v>0</v>
      </c>
      <c r="L16" s="220">
        <f t="shared" ref="L16:O16" si="7">L28-L15</f>
        <v>0</v>
      </c>
      <c r="M16" s="220">
        <f t="shared" si="7"/>
        <v>0</v>
      </c>
      <c r="N16" s="220">
        <f t="shared" si="7"/>
        <v>0</v>
      </c>
      <c r="O16" s="220">
        <f t="shared" si="7"/>
        <v>0</v>
      </c>
    </row>
    <row r="17" spans="2:15" s="221" customFormat="1" x14ac:dyDescent="0.25">
      <c r="C17" s="222"/>
    </row>
    <row r="18" spans="2:15" x14ac:dyDescent="0.25">
      <c r="B18" s="223" t="s">
        <v>137</v>
      </c>
      <c r="C18" s="224"/>
      <c r="D18" s="292" t="s">
        <v>131</v>
      </c>
      <c r="E18" s="293"/>
      <c r="F18" s="293"/>
      <c r="G18" s="293"/>
      <c r="H18" s="293"/>
      <c r="J18" s="224"/>
      <c r="K18" s="292" t="s">
        <v>131</v>
      </c>
      <c r="L18" s="293"/>
      <c r="M18" s="293"/>
      <c r="N18" s="293"/>
      <c r="O18" s="293"/>
    </row>
    <row r="19" spans="2:15" x14ac:dyDescent="0.25">
      <c r="B19" s="225" t="s">
        <v>105</v>
      </c>
      <c r="C19" s="226">
        <f>'Proposed Fee'!H15</f>
        <v>198.37649348377354</v>
      </c>
      <c r="D19" s="227">
        <f>C19*D$1</f>
        <v>198.37649348377354</v>
      </c>
      <c r="E19" s="227">
        <f>D19*E1</f>
        <v>198.37649348377354</v>
      </c>
      <c r="F19" s="227">
        <f>E19*F1</f>
        <v>200.55863491209504</v>
      </c>
      <c r="G19" s="227">
        <f>F19*G1</f>
        <v>205.1979572548816</v>
      </c>
      <c r="H19" s="227">
        <f>G19*H1</f>
        <v>212.12802020468334</v>
      </c>
      <c r="J19" s="226">
        <f>'Proposed Fee'!H27</f>
        <v>348.11265544484127</v>
      </c>
      <c r="K19" s="227">
        <f>J19*K$1</f>
        <v>348.11265544484127</v>
      </c>
      <c r="L19" s="227">
        <f>K19*L1</f>
        <v>348.11265544484127</v>
      </c>
      <c r="M19" s="227">
        <f>L19*M1</f>
        <v>351.94189465473448</v>
      </c>
      <c r="N19" s="227">
        <f>M19*N1</f>
        <v>360.08301456188775</v>
      </c>
      <c r="O19" s="227">
        <f>N19*O1</f>
        <v>372.24394438522251</v>
      </c>
    </row>
    <row r="20" spans="2:15" x14ac:dyDescent="0.25">
      <c r="B20" s="225" t="s">
        <v>106</v>
      </c>
      <c r="C20" s="226">
        <f>'Proposed Fee'!I15</f>
        <v>45.384603463196527</v>
      </c>
      <c r="D20" s="227">
        <f>C20</f>
        <v>45.384603463196527</v>
      </c>
      <c r="E20" s="227">
        <f t="shared" ref="E20:H21" si="8">D20</f>
        <v>45.384603463196527</v>
      </c>
      <c r="F20" s="227">
        <f t="shared" si="8"/>
        <v>45.384603463196527</v>
      </c>
      <c r="G20" s="227">
        <f t="shared" si="8"/>
        <v>45.384603463196527</v>
      </c>
      <c r="H20" s="227">
        <f t="shared" si="8"/>
        <v>45.384603463196527</v>
      </c>
      <c r="J20" s="226">
        <f>'Proposed Fee'!I27</f>
        <v>45.384603463196527</v>
      </c>
      <c r="K20" s="227">
        <f>J20</f>
        <v>45.384603463196527</v>
      </c>
      <c r="L20" s="227">
        <f t="shared" ref="L20:O21" si="9">K20</f>
        <v>45.384603463196527</v>
      </c>
      <c r="M20" s="227">
        <f t="shared" si="9"/>
        <v>45.384603463196527</v>
      </c>
      <c r="N20" s="227">
        <f t="shared" si="9"/>
        <v>45.384603463196527</v>
      </c>
      <c r="O20" s="227">
        <f t="shared" si="9"/>
        <v>45.384603463196527</v>
      </c>
    </row>
    <row r="21" spans="2:15" x14ac:dyDescent="0.25">
      <c r="B21" s="225" t="s">
        <v>107</v>
      </c>
      <c r="C21" s="226">
        <f>'Proposed Fee'!J15</f>
        <v>0</v>
      </c>
      <c r="D21" s="227">
        <f>C21</f>
        <v>0</v>
      </c>
      <c r="E21" s="227">
        <f t="shared" si="8"/>
        <v>0</v>
      </c>
      <c r="F21" s="227">
        <f t="shared" si="8"/>
        <v>0</v>
      </c>
      <c r="G21" s="227">
        <f t="shared" si="8"/>
        <v>0</v>
      </c>
      <c r="H21" s="227">
        <f t="shared" si="8"/>
        <v>0</v>
      </c>
      <c r="J21" s="226">
        <f>'Proposed Fee'!J27</f>
        <v>0</v>
      </c>
      <c r="K21" s="227">
        <f>J21</f>
        <v>0</v>
      </c>
      <c r="L21" s="227">
        <f t="shared" si="9"/>
        <v>0</v>
      </c>
      <c r="M21" s="227">
        <f t="shared" si="9"/>
        <v>0</v>
      </c>
      <c r="N21" s="227">
        <f t="shared" si="9"/>
        <v>0</v>
      </c>
      <c r="O21" s="227">
        <f t="shared" si="9"/>
        <v>0</v>
      </c>
    </row>
    <row r="22" spans="2:15" s="221" customFormat="1" x14ac:dyDescent="0.25">
      <c r="B22" s="228" t="s">
        <v>127</v>
      </c>
      <c r="C22" s="245">
        <f>'Proposed Fee'!M15</f>
        <v>243.76109694697007</v>
      </c>
      <c r="D22" s="216">
        <f>SUM(D19:D21)</f>
        <v>243.76109694697007</v>
      </c>
      <c r="E22" s="216">
        <f t="shared" ref="E22:H22" si="10">SUM(E19:E21)</f>
        <v>243.76109694697007</v>
      </c>
      <c r="F22" s="216">
        <f t="shared" si="10"/>
        <v>245.94323837529157</v>
      </c>
      <c r="G22" s="216">
        <f t="shared" si="10"/>
        <v>250.58256071807813</v>
      </c>
      <c r="H22" s="216">
        <f t="shared" si="10"/>
        <v>257.51262366787989</v>
      </c>
      <c r="J22" s="245">
        <f>'Proposed Fee'!M27</f>
        <v>393.49725890803774</v>
      </c>
      <c r="K22" s="216">
        <f>SUM(K19:K21)</f>
        <v>393.49725890803779</v>
      </c>
      <c r="L22" s="216">
        <f t="shared" ref="L22:O22" si="11">SUM(L19:L21)</f>
        <v>393.49725890803779</v>
      </c>
      <c r="M22" s="216">
        <f t="shared" si="11"/>
        <v>397.32649811793101</v>
      </c>
      <c r="N22" s="216">
        <f t="shared" si="11"/>
        <v>405.46761802508428</v>
      </c>
      <c r="O22" s="216">
        <f t="shared" si="11"/>
        <v>417.62854784841903</v>
      </c>
    </row>
    <row r="23" spans="2:15" x14ac:dyDescent="0.25">
      <c r="B23" s="225" t="s">
        <v>111</v>
      </c>
      <c r="C23" s="226">
        <f>'Proposed Fee'!N15</f>
        <v>113.57478192011024</v>
      </c>
      <c r="D23" s="227">
        <f>D22*D$3</f>
        <v>113.57478192011024</v>
      </c>
      <c r="E23" s="227">
        <f t="shared" ref="E23:H23" si="12">E22*E$3</f>
        <v>113.57478192011024</v>
      </c>
      <c r="F23" s="227">
        <f t="shared" si="12"/>
        <v>114.59149968165842</v>
      </c>
      <c r="G23" s="227">
        <f t="shared" si="12"/>
        <v>116.75308342056695</v>
      </c>
      <c r="H23" s="227">
        <f t="shared" si="12"/>
        <v>119.98198416836594</v>
      </c>
      <c r="J23" s="226">
        <f>'Proposed Fee'!N27</f>
        <v>183.34084448415533</v>
      </c>
      <c r="K23" s="227">
        <f>K22*K$3</f>
        <v>183.34084448415533</v>
      </c>
      <c r="L23" s="227">
        <f t="shared" ref="L23:O23" si="13">L22*L$3</f>
        <v>183.34084448415533</v>
      </c>
      <c r="M23" s="227">
        <f t="shared" si="13"/>
        <v>185.12498893390799</v>
      </c>
      <c r="N23" s="227">
        <f t="shared" si="13"/>
        <v>188.91815334619955</v>
      </c>
      <c r="O23" s="227">
        <f t="shared" si="13"/>
        <v>194.58425417167902</v>
      </c>
    </row>
    <row r="24" spans="2:15" x14ac:dyDescent="0.25">
      <c r="B24" s="225" t="s">
        <v>112</v>
      </c>
      <c r="C24" s="226">
        <f>'Proposed Fee'!O15</f>
        <v>39.093816074394958</v>
      </c>
      <c r="D24" s="227">
        <f>D22*D$4</f>
        <v>39.093816074394958</v>
      </c>
      <c r="E24" s="227">
        <f t="shared" ref="E24:H24" si="14">E22*E$4</f>
        <v>39.093816074394958</v>
      </c>
      <c r="F24" s="227">
        <f t="shared" si="14"/>
        <v>39.443782647058015</v>
      </c>
      <c r="G24" s="227">
        <f t="shared" si="14"/>
        <v>40.187825960984291</v>
      </c>
      <c r="H24" s="227">
        <f t="shared" si="14"/>
        <v>41.299252721598471</v>
      </c>
      <c r="J24" s="226">
        <f>'Proposed Fee'!O27</f>
        <v>63.108140134748488</v>
      </c>
      <c r="K24" s="227">
        <f>K22*K$4</f>
        <v>63.108140134748496</v>
      </c>
      <c r="L24" s="227">
        <f t="shared" ref="L24:O24" si="15">L22*L$4</f>
        <v>63.108140134748496</v>
      </c>
      <c r="M24" s="227">
        <f t="shared" si="15"/>
        <v>63.722264272075435</v>
      </c>
      <c r="N24" s="227">
        <f t="shared" si="15"/>
        <v>65.027917422951617</v>
      </c>
      <c r="O24" s="227">
        <f t="shared" si="15"/>
        <v>66.978257980823741</v>
      </c>
    </row>
    <row r="25" spans="2:15" x14ac:dyDescent="0.25">
      <c r="B25" s="225" t="s">
        <v>113</v>
      </c>
      <c r="C25" s="226">
        <f>'Proposed Fee'!P15</f>
        <v>25.141571253188363</v>
      </c>
      <c r="D25" s="227">
        <f>SUM(D22:D24)*D$5</f>
        <v>25.141571253188363</v>
      </c>
      <c r="E25" s="227">
        <f t="shared" ref="E25:H25" si="16">SUM(E22:E24)*E$5</f>
        <v>25.141571253188363</v>
      </c>
      <c r="F25" s="227">
        <f t="shared" si="16"/>
        <v>25.366637783048191</v>
      </c>
      <c r="G25" s="227">
        <f t="shared" si="16"/>
        <v>25.845138473718496</v>
      </c>
      <c r="H25" s="227">
        <f t="shared" si="16"/>
        <v>26.559906636578489</v>
      </c>
      <c r="J25" s="226">
        <f>'Proposed Fee'!P27</f>
        <v>40.585390764478653</v>
      </c>
      <c r="K25" s="227">
        <f>SUM(K22:K24)*K$5</f>
        <v>40.585390764478646</v>
      </c>
      <c r="L25" s="227">
        <f t="shared" ref="L25:O25" si="17">SUM(L22:L24)*L$5</f>
        <v>40.585390764478646</v>
      </c>
      <c r="M25" s="227">
        <f t="shared" si="17"/>
        <v>40.980339308962655</v>
      </c>
      <c r="N25" s="227">
        <f t="shared" si="17"/>
        <v>41.820016143330413</v>
      </c>
      <c r="O25" s="227">
        <f t="shared" si="17"/>
        <v>43.07429702525846</v>
      </c>
    </row>
    <row r="26" spans="2:15" s="221" customFormat="1" x14ac:dyDescent="0.25">
      <c r="B26" s="229" t="s">
        <v>132</v>
      </c>
      <c r="C26" s="230">
        <f>'Proposed Fee'!Q15</f>
        <v>421.57126619466362</v>
      </c>
      <c r="D26" s="231">
        <f>SUM(D22:D25)</f>
        <v>421.57126619466362</v>
      </c>
      <c r="E26" s="231">
        <f t="shared" ref="E26:H26" si="18">SUM(E22:E25)</f>
        <v>421.57126619466362</v>
      </c>
      <c r="F26" s="231">
        <f t="shared" si="18"/>
        <v>425.34515848705621</v>
      </c>
      <c r="G26" s="231">
        <f t="shared" si="18"/>
        <v>433.3686085733479</v>
      </c>
      <c r="H26" s="231">
        <f t="shared" si="18"/>
        <v>445.3537671944228</v>
      </c>
      <c r="J26" s="230">
        <f>'Proposed Fee'!Q27</f>
        <v>680.53163429142035</v>
      </c>
      <c r="K26" s="231">
        <f>SUM(K22:K25)</f>
        <v>680.53163429142035</v>
      </c>
      <c r="L26" s="231">
        <f t="shared" ref="L26:O26" si="19">SUM(L22:L25)</f>
        <v>680.53163429142035</v>
      </c>
      <c r="M26" s="231">
        <f t="shared" si="19"/>
        <v>687.15409063287711</v>
      </c>
      <c r="N26" s="231">
        <f t="shared" si="19"/>
        <v>701.2337049375659</v>
      </c>
      <c r="O26" s="231">
        <f t="shared" si="19"/>
        <v>722.26535702618025</v>
      </c>
    </row>
    <row r="27" spans="2:15" x14ac:dyDescent="0.25">
      <c r="B27" s="232" t="s">
        <v>133</v>
      </c>
      <c r="C27" s="227"/>
      <c r="D27" s="233">
        <f>'Forecast Revenue - Costs'!D11</f>
        <v>35</v>
      </c>
      <c r="E27" s="233">
        <f>'Forecast Revenue - Costs'!E11</f>
        <v>36.4</v>
      </c>
      <c r="F27" s="233">
        <f>'Forecast Revenue - Costs'!F11</f>
        <v>37.856000000000002</v>
      </c>
      <c r="G27" s="233">
        <f>'Forecast Revenue - Costs'!G11</f>
        <v>39.370240000000003</v>
      </c>
      <c r="H27" s="233">
        <f>'Forecast Revenue - Costs'!H11</f>
        <v>42.519859199999999</v>
      </c>
      <c r="J27" s="227"/>
      <c r="K27" s="233">
        <f>'Forecast Revenue - Costs'!D12</f>
        <v>20</v>
      </c>
      <c r="L27" s="233">
        <f>'Forecast Revenue - Costs'!E12</f>
        <v>20.8</v>
      </c>
      <c r="M27" s="233">
        <f>'Forecast Revenue - Costs'!F12</f>
        <v>21.632000000000001</v>
      </c>
      <c r="N27" s="233">
        <f>'Forecast Revenue - Costs'!G12</f>
        <v>22.49728</v>
      </c>
      <c r="O27" s="233">
        <f>'Forecast Revenue - Costs'!H12</f>
        <v>23.397171199999999</v>
      </c>
    </row>
    <row r="28" spans="2:15" s="221" customFormat="1" x14ac:dyDescent="0.25">
      <c r="B28" s="217" t="s">
        <v>134</v>
      </c>
      <c r="C28" s="216"/>
      <c r="D28" s="220">
        <f>D26*D27</f>
        <v>14754.994316813227</v>
      </c>
      <c r="E28" s="220">
        <f t="shared" ref="E28:H28" si="20">E26*E27</f>
        <v>15345.194089485754</v>
      </c>
      <c r="F28" s="220">
        <f t="shared" si="20"/>
        <v>16101.866319686</v>
      </c>
      <c r="G28" s="220">
        <f t="shared" si="20"/>
        <v>17061.826127998764</v>
      </c>
      <c r="H28" s="220">
        <f t="shared" si="20"/>
        <v>18936.379475296435</v>
      </c>
      <c r="J28" s="216"/>
      <c r="K28" s="220">
        <f>K27*K26</f>
        <v>13610.632685828406</v>
      </c>
      <c r="L28" s="220">
        <f t="shared" ref="L28:O28" si="21">L27*L26</f>
        <v>14155.057993261544</v>
      </c>
      <c r="M28" s="220">
        <f t="shared" si="21"/>
        <v>14864.5172885704</v>
      </c>
      <c r="N28" s="220">
        <f t="shared" si="21"/>
        <v>15775.851005417802</v>
      </c>
      <c r="O28" s="220">
        <f t="shared" si="21"/>
        <v>16898.96621017066</v>
      </c>
    </row>
  </sheetData>
  <mergeCells count="4">
    <mergeCell ref="D6:H6"/>
    <mergeCell ref="J6:O6"/>
    <mergeCell ref="D18:H18"/>
    <mergeCell ref="K18:O1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4"/>
  <sheetViews>
    <sheetView showGridLines="0" zoomScale="90" zoomScaleNormal="90" workbookViewId="0">
      <selection activeCell="B39" sqref="B39"/>
    </sheetView>
  </sheetViews>
  <sheetFormatPr defaultRowHeight="15" x14ac:dyDescent="0.25"/>
  <cols>
    <col min="1" max="1" width="3.28515625" style="121" customWidth="1"/>
    <col min="2" max="2" width="69.140625" style="121" customWidth="1"/>
    <col min="3" max="3" width="76.42578125" style="121" customWidth="1"/>
    <col min="4" max="4" width="11.85546875" style="121" customWidth="1"/>
    <col min="5" max="8" width="11.28515625" style="121" customWidth="1"/>
    <col min="9" max="9" width="12.7109375" style="121" customWidth="1"/>
    <col min="10" max="16384" width="9.140625" style="121"/>
  </cols>
  <sheetData>
    <row r="2" spans="2:9" x14ac:dyDescent="0.25">
      <c r="B2" s="119" t="s">
        <v>50</v>
      </c>
      <c r="C2" s="120"/>
      <c r="D2" s="120"/>
      <c r="E2" s="120"/>
      <c r="F2" s="120"/>
      <c r="G2" s="120"/>
      <c r="H2" s="120"/>
      <c r="I2" s="120"/>
    </row>
    <row r="3" spans="2:9" x14ac:dyDescent="0.25">
      <c r="B3" s="122"/>
      <c r="C3" s="122"/>
      <c r="D3" s="122"/>
      <c r="E3" s="122"/>
      <c r="F3" s="122"/>
      <c r="G3" s="122"/>
      <c r="H3" s="122"/>
      <c r="I3" s="122"/>
    </row>
    <row r="4" spans="2:9" x14ac:dyDescent="0.25">
      <c r="B4" s="247" t="s">
        <v>87</v>
      </c>
      <c r="C4" s="247" t="s">
        <v>3</v>
      </c>
      <c r="D4" s="248" t="s">
        <v>59</v>
      </c>
      <c r="E4" s="248" t="s">
        <v>60</v>
      </c>
      <c r="F4" s="248" t="s">
        <v>61</v>
      </c>
      <c r="G4" s="248" t="s">
        <v>88</v>
      </c>
      <c r="H4" s="248" t="s">
        <v>62</v>
      </c>
      <c r="I4" s="249" t="s">
        <v>1</v>
      </c>
    </row>
    <row r="5" spans="2:9" x14ac:dyDescent="0.25">
      <c r="B5" s="123" t="s">
        <v>91</v>
      </c>
      <c r="C5" s="3" t="s">
        <v>136</v>
      </c>
      <c r="D5" s="125">
        <f>'Forecast by year'!D28</f>
        <v>14754.994316813227</v>
      </c>
      <c r="E5" s="125">
        <f>'Forecast by year'!E28</f>
        <v>15345.194089485754</v>
      </c>
      <c r="F5" s="125">
        <f>'Forecast by year'!F28</f>
        <v>16101.866319686</v>
      </c>
      <c r="G5" s="125">
        <f>'Forecast by year'!G28</f>
        <v>17061.826127998764</v>
      </c>
      <c r="H5" s="125">
        <f>'Forecast by year'!H28</f>
        <v>18936.379475296435</v>
      </c>
      <c r="I5" s="252">
        <f>SUM(D5:H5)</f>
        <v>82200.26032928018</v>
      </c>
    </row>
    <row r="6" spans="2:9" x14ac:dyDescent="0.25">
      <c r="B6" s="124"/>
      <c r="C6" s="3" t="s">
        <v>142</v>
      </c>
      <c r="D6" s="126">
        <f>'Forecast by year'!K28</f>
        <v>13610.632685828406</v>
      </c>
      <c r="E6" s="126">
        <f>'Forecast by year'!L28</f>
        <v>14155.057993261544</v>
      </c>
      <c r="F6" s="126">
        <f>'Forecast by year'!M28</f>
        <v>14864.5172885704</v>
      </c>
      <c r="G6" s="126">
        <f>'Forecast by year'!N28</f>
        <v>15775.851005417802</v>
      </c>
      <c r="H6" s="126">
        <f>'Forecast by year'!O28</f>
        <v>16898.96621017066</v>
      </c>
      <c r="I6" s="252">
        <f t="shared" ref="I6" si="0">SUM(D6:H6)</f>
        <v>75305.025183248814</v>
      </c>
    </row>
    <row r="7" spans="2:9" x14ac:dyDescent="0.25">
      <c r="B7" s="250" t="s">
        <v>1</v>
      </c>
      <c r="C7" s="250"/>
      <c r="D7" s="253">
        <f t="shared" ref="D7:I7" si="1">SUM(D5:D6)</f>
        <v>28365.627002641631</v>
      </c>
      <c r="E7" s="253">
        <f t="shared" si="1"/>
        <v>29500.252082747298</v>
      </c>
      <c r="F7" s="253">
        <f t="shared" si="1"/>
        <v>30966.383608256401</v>
      </c>
      <c r="G7" s="253">
        <f t="shared" si="1"/>
        <v>32837.677133416568</v>
      </c>
      <c r="H7" s="253">
        <f t="shared" si="1"/>
        <v>35835.345685467095</v>
      </c>
      <c r="I7" s="253">
        <f t="shared" si="1"/>
        <v>157505.28551252899</v>
      </c>
    </row>
    <row r="8" spans="2:9" x14ac:dyDescent="0.25">
      <c r="B8" s="122"/>
      <c r="C8" s="122"/>
      <c r="D8" s="122"/>
      <c r="E8" s="122"/>
      <c r="F8" s="122"/>
      <c r="G8" s="122"/>
      <c r="H8" s="122"/>
      <c r="I8" s="122"/>
    </row>
    <row r="9" spans="2:9" x14ac:dyDescent="0.25">
      <c r="B9" s="119" t="s">
        <v>28</v>
      </c>
      <c r="C9" s="120"/>
      <c r="D9" s="120"/>
      <c r="E9" s="120"/>
      <c r="F9" s="120"/>
      <c r="G9" s="120"/>
      <c r="H9" s="120"/>
      <c r="I9" s="120"/>
    </row>
    <row r="10" spans="2:9" x14ac:dyDescent="0.25">
      <c r="B10" s="247" t="s">
        <v>87</v>
      </c>
      <c r="C10" s="247" t="s">
        <v>3</v>
      </c>
      <c r="D10" s="248" t="s">
        <v>59</v>
      </c>
      <c r="E10" s="248" t="s">
        <v>60</v>
      </c>
      <c r="F10" s="248" t="s">
        <v>61</v>
      </c>
      <c r="G10" s="248" t="s">
        <v>88</v>
      </c>
      <c r="H10" s="248" t="s">
        <v>62</v>
      </c>
      <c r="I10" s="249" t="s">
        <v>1</v>
      </c>
    </row>
    <row r="11" spans="2:9" x14ac:dyDescent="0.25">
      <c r="B11" s="123" t="s">
        <v>91</v>
      </c>
      <c r="C11" s="3" t="s">
        <v>136</v>
      </c>
      <c r="D11" s="127">
        <v>35</v>
      </c>
      <c r="E11" s="127">
        <f t="shared" ref="E11:G12" si="2">D11+ (D11*4%)</f>
        <v>36.4</v>
      </c>
      <c r="F11" s="127">
        <f t="shared" si="2"/>
        <v>37.856000000000002</v>
      </c>
      <c r="G11" s="127">
        <f t="shared" si="2"/>
        <v>39.370240000000003</v>
      </c>
      <c r="H11" s="127">
        <f>G11+ (G11*8%)</f>
        <v>42.519859199999999</v>
      </c>
      <c r="I11" s="246">
        <f>SUM(D11:H11)</f>
        <v>191.14609919999998</v>
      </c>
    </row>
    <row r="12" spans="2:9" x14ac:dyDescent="0.25">
      <c r="B12" s="124"/>
      <c r="C12" s="3" t="s">
        <v>142</v>
      </c>
      <c r="D12" s="127">
        <v>20</v>
      </c>
      <c r="E12" s="127">
        <f t="shared" si="2"/>
        <v>20.8</v>
      </c>
      <c r="F12" s="127">
        <f t="shared" si="2"/>
        <v>21.632000000000001</v>
      </c>
      <c r="G12" s="127">
        <f t="shared" si="2"/>
        <v>22.49728</v>
      </c>
      <c r="H12" s="127">
        <f>G12+ (G12*4%)</f>
        <v>23.397171199999999</v>
      </c>
      <c r="I12" s="246">
        <f t="shared" ref="I12" si="3">SUM(D12:H12)</f>
        <v>108.32645120000001</v>
      </c>
    </row>
    <row r="13" spans="2:9" x14ac:dyDescent="0.25">
      <c r="B13" s="250" t="s">
        <v>18</v>
      </c>
      <c r="C13" s="250"/>
      <c r="D13" s="251">
        <f t="shared" ref="D13:I13" si="4">SUM(D11:D12)</f>
        <v>55</v>
      </c>
      <c r="E13" s="251">
        <f t="shared" si="4"/>
        <v>57.2</v>
      </c>
      <c r="F13" s="251">
        <f t="shared" si="4"/>
        <v>59.488</v>
      </c>
      <c r="G13" s="251">
        <f t="shared" si="4"/>
        <v>61.867519999999999</v>
      </c>
      <c r="H13" s="251">
        <f t="shared" si="4"/>
        <v>65.917030400000002</v>
      </c>
      <c r="I13" s="251">
        <f t="shared" si="4"/>
        <v>299.47255039999999</v>
      </c>
    </row>
    <row r="14" spans="2:9" x14ac:dyDescent="0.25">
      <c r="B14" s="122"/>
      <c r="C14" s="122"/>
      <c r="D14" s="128"/>
      <c r="E14" s="128"/>
      <c r="F14" s="128"/>
      <c r="G14" s="128"/>
      <c r="H14" s="128"/>
      <c r="I14" s="128"/>
    </row>
    <row r="15" spans="2:9" x14ac:dyDescent="0.25">
      <c r="B15" s="129" t="s">
        <v>6</v>
      </c>
      <c r="C15" s="122"/>
      <c r="D15" s="128"/>
      <c r="E15" s="128"/>
      <c r="F15" s="128"/>
      <c r="G15" s="128"/>
      <c r="H15" s="128"/>
      <c r="I15" s="128"/>
    </row>
    <row r="16" spans="2:9" x14ac:dyDescent="0.25">
      <c r="B16" s="294" t="s">
        <v>92</v>
      </c>
      <c r="C16" s="295"/>
      <c r="D16" s="295"/>
      <c r="E16" s="295"/>
      <c r="F16" s="295"/>
      <c r="G16" s="295"/>
      <c r="H16" s="295"/>
      <c r="I16" s="295"/>
    </row>
    <row r="17" spans="2:9" x14ac:dyDescent="0.25">
      <c r="B17" s="296"/>
      <c r="C17" s="296"/>
      <c r="D17" s="296"/>
      <c r="E17" s="296"/>
      <c r="F17" s="296"/>
      <c r="G17" s="296"/>
      <c r="H17" s="296"/>
      <c r="I17" s="296"/>
    </row>
    <row r="18" spans="2:9" x14ac:dyDescent="0.25">
      <c r="B18" s="122"/>
      <c r="C18" s="122"/>
      <c r="D18" s="128"/>
      <c r="E18" s="128"/>
      <c r="F18" s="128"/>
      <c r="G18" s="128"/>
      <c r="H18" s="128"/>
      <c r="I18" s="128"/>
    </row>
    <row r="19" spans="2:9" x14ac:dyDescent="0.25">
      <c r="B19" s="119" t="s">
        <v>29</v>
      </c>
      <c r="C19" s="120"/>
      <c r="D19" s="120"/>
      <c r="E19" s="120"/>
      <c r="F19" s="120"/>
      <c r="G19" s="120"/>
      <c r="H19" s="120"/>
      <c r="I19" s="120"/>
    </row>
    <row r="20" spans="2:9" x14ac:dyDescent="0.25">
      <c r="B20" s="130" t="s">
        <v>27</v>
      </c>
      <c r="C20" s="131"/>
      <c r="D20" s="131"/>
      <c r="E20" s="131"/>
      <c r="F20" s="131"/>
      <c r="G20" s="131"/>
      <c r="H20" s="131"/>
      <c r="I20" s="131"/>
    </row>
    <row r="21" spans="2:9" x14ac:dyDescent="0.25">
      <c r="B21" s="297" t="s">
        <v>144</v>
      </c>
      <c r="C21" s="298"/>
      <c r="D21" s="298"/>
      <c r="E21" s="298"/>
      <c r="F21" s="298"/>
      <c r="G21" s="298"/>
      <c r="H21" s="298"/>
      <c r="I21" s="298"/>
    </row>
    <row r="22" spans="2:9" x14ac:dyDescent="0.25">
      <c r="B22" s="299"/>
      <c r="C22" s="299"/>
      <c r="D22" s="299"/>
      <c r="E22" s="299"/>
      <c r="F22" s="299"/>
      <c r="G22" s="299"/>
      <c r="H22" s="299"/>
      <c r="I22" s="299"/>
    </row>
    <row r="23" spans="2:9" x14ac:dyDescent="0.25">
      <c r="B23" s="132"/>
      <c r="C23" s="133"/>
      <c r="D23" s="133"/>
      <c r="E23" s="133"/>
      <c r="F23" s="133"/>
      <c r="G23" s="133"/>
      <c r="H23" s="133"/>
      <c r="I23" s="133"/>
    </row>
    <row r="24" spans="2:9" x14ac:dyDescent="0.25">
      <c r="B24" s="122"/>
      <c r="C24" s="122"/>
      <c r="D24" s="122"/>
      <c r="E24" s="122"/>
      <c r="F24" s="122"/>
      <c r="G24" s="122"/>
      <c r="H24" s="122"/>
      <c r="I24" s="122"/>
    </row>
    <row r="25" spans="2:9" customFormat="1" x14ac:dyDescent="0.25">
      <c r="B25" s="234" t="s">
        <v>48</v>
      </c>
      <c r="C25" s="29"/>
      <c r="D25" s="300" t="s">
        <v>138</v>
      </c>
      <c r="E25" s="300"/>
      <c r="F25" s="300"/>
      <c r="G25" s="300"/>
      <c r="H25" s="300"/>
      <c r="I25" s="29"/>
    </row>
    <row r="26" spans="2:9" customFormat="1" ht="15.75" customHeight="1" x14ac:dyDescent="0.25">
      <c r="B26" s="2" t="s">
        <v>21</v>
      </c>
      <c r="C26" s="18" t="s">
        <v>3</v>
      </c>
      <c r="D26" s="67" t="s">
        <v>59</v>
      </c>
      <c r="E26" s="67" t="s">
        <v>60</v>
      </c>
      <c r="F26" s="67" t="s">
        <v>61</v>
      </c>
      <c r="G26" s="67" t="s">
        <v>88</v>
      </c>
      <c r="H26" s="136" t="s">
        <v>62</v>
      </c>
      <c r="I26" s="19" t="s">
        <v>1</v>
      </c>
    </row>
    <row r="27" spans="2:9" s="221" customFormat="1" x14ac:dyDescent="0.25">
      <c r="B27" s="235" t="s">
        <v>139</v>
      </c>
      <c r="C27" s="236"/>
      <c r="D27" s="92">
        <f>'Forecast by year'!D8+'Forecast by year'!K8</f>
        <v>13905.430380828901</v>
      </c>
      <c r="E27" s="92">
        <f>'Forecast by year'!E8+'Forecast by year'!L8</f>
        <v>14461.647596062056</v>
      </c>
      <c r="F27" s="92">
        <f>'Forecast by year'!F8+'Forecast by year'!M8</f>
        <v>15205.554748403487</v>
      </c>
      <c r="G27" s="92">
        <f>'Forecast by year'!G8+'Forecast by year'!N8</f>
        <v>16179.581226477298</v>
      </c>
      <c r="H27" s="92">
        <f>'Forecast by year'!H8+'Forecast by year'!O8</f>
        <v>17729.108846422219</v>
      </c>
      <c r="I27" s="237">
        <f t="shared" ref="I27:I29" si="5">SUM(D27:H27)</f>
        <v>77481.322798193956</v>
      </c>
    </row>
    <row r="28" spans="2:9" s="221" customFormat="1" x14ac:dyDescent="0.25">
      <c r="B28" s="235" t="s">
        <v>140</v>
      </c>
      <c r="C28" s="224"/>
      <c r="D28" s="92">
        <f>'Forecast by year'!D9+'Forecast by year'!K9</f>
        <v>2496.153190475809</v>
      </c>
      <c r="E28" s="92">
        <f>'Forecast by year'!E9+'Forecast by year'!L9</f>
        <v>2595.9993180948413</v>
      </c>
      <c r="F28" s="92">
        <f>'Forecast by year'!F9+'Forecast by year'!M9</f>
        <v>2699.8392908186352</v>
      </c>
      <c r="G28" s="92">
        <f>'Forecast by year'!G9+'Forecast by year'!N9</f>
        <v>2807.8328624513806</v>
      </c>
      <c r="H28" s="92">
        <f>'Forecast by year'!H9+'Forecast by year'!O9</f>
        <v>2991.6182861754705</v>
      </c>
      <c r="I28" s="237">
        <f t="shared" si="5"/>
        <v>13591.442948016138</v>
      </c>
    </row>
    <row r="29" spans="2:9" s="221" customFormat="1" x14ac:dyDescent="0.25">
      <c r="B29" s="235" t="s">
        <v>107</v>
      </c>
      <c r="C29" s="224"/>
      <c r="D29" s="92">
        <f>'Forecast by year'!D10+'Forecast by year'!K10</f>
        <v>0</v>
      </c>
      <c r="E29" s="92">
        <f>'Forecast by year'!E10+'Forecast by year'!L10</f>
        <v>0</v>
      </c>
      <c r="F29" s="92">
        <f>'Forecast by year'!F10+'Forecast by year'!M10</f>
        <v>0</v>
      </c>
      <c r="G29" s="92">
        <f>'Forecast by year'!G10+'Forecast by year'!N10</f>
        <v>0</v>
      </c>
      <c r="H29" s="92">
        <f>'Forecast by year'!H10+'Forecast by year'!O10</f>
        <v>0</v>
      </c>
      <c r="I29" s="237">
        <f t="shared" si="5"/>
        <v>0</v>
      </c>
    </row>
    <row r="30" spans="2:9" s="221" customFormat="1" x14ac:dyDescent="0.25">
      <c r="B30" s="238" t="s">
        <v>141</v>
      </c>
      <c r="C30" s="224"/>
      <c r="D30" s="239">
        <f>'Forecast by year'!D11+'Forecast by year'!K11</f>
        <v>16401.583571304709</v>
      </c>
      <c r="E30" s="239">
        <f>'Forecast by year'!E11+'Forecast by year'!L11</f>
        <v>17057.646914156896</v>
      </c>
      <c r="F30" s="239">
        <f>'Forecast by year'!F11+'Forecast by year'!M11</f>
        <v>17905.394039222123</v>
      </c>
      <c r="G30" s="239">
        <f>'Forecast by year'!G11+'Forecast by year'!N11</f>
        <v>18987.414088928675</v>
      </c>
      <c r="H30" s="239">
        <f>'Forecast by year'!H11+'Forecast by year'!O11</f>
        <v>20720.727132597691</v>
      </c>
      <c r="I30" s="237">
        <f>SUM(D30:H30)</f>
        <v>91072.765746210105</v>
      </c>
    </row>
    <row r="31" spans="2:9" customFormat="1" x14ac:dyDescent="0.25">
      <c r="B31" s="4" t="s">
        <v>111</v>
      </c>
      <c r="C31" s="8"/>
      <c r="D31" s="92">
        <f>'Forecast by year'!D12+'Forecast by year'!K12</f>
        <v>7641.9342568869652</v>
      </c>
      <c r="E31" s="92">
        <f>'Forecast by year'!E12+'Forecast by year'!L12</f>
        <v>7947.6116271624433</v>
      </c>
      <c r="F31" s="92">
        <f>'Forecast by year'!F12+'Forecast by year'!M12</f>
        <v>8342.5995725671601</v>
      </c>
      <c r="G31" s="92">
        <f>'Forecast by year'!G12+'Forecast by year'!N12</f>
        <v>8846.741507920131</v>
      </c>
      <c r="H31" s="92">
        <f>'Forecast by year'!H12+'Forecast by year'!O12</f>
        <v>9654.338181054638</v>
      </c>
      <c r="I31" s="237">
        <f>SUM(D31:H31)</f>
        <v>42433.225145591336</v>
      </c>
    </row>
    <row r="32" spans="2:9" customFormat="1" x14ac:dyDescent="0.25">
      <c r="B32" s="4" t="s">
        <v>112</v>
      </c>
      <c r="C32" s="3"/>
      <c r="D32" s="92">
        <f>'Forecast by year'!D13+'Forecast by year'!K13</f>
        <v>2630.4463652987934</v>
      </c>
      <c r="E32" s="92">
        <f>'Forecast by year'!E13+'Forecast by year'!L13</f>
        <v>2735.664219910745</v>
      </c>
      <c r="F32" s="92">
        <f>'Forecast by year'!F13+'Forecast by year'!M13</f>
        <v>2871.6238566205639</v>
      </c>
      <c r="G32" s="92">
        <f>'Forecast by year'!G13+'Forecast by year'!N13</f>
        <v>3045.1556192432035</v>
      </c>
      <c r="H32" s="92">
        <f>'Forecast by year'!H13+'Forecast by year'!O13</f>
        <v>3323.1401794426829</v>
      </c>
      <c r="I32" s="237">
        <f>SUM(D32:H32)</f>
        <v>14606.030240515989</v>
      </c>
    </row>
    <row r="33" spans="2:9" customFormat="1" x14ac:dyDescent="0.25">
      <c r="B33" s="4" t="s">
        <v>128</v>
      </c>
      <c r="C33" s="3"/>
      <c r="D33" s="92">
        <f>'Forecast by year'!D14+'Forecast by year'!K14</f>
        <v>1691.6628091511657</v>
      </c>
      <c r="E33" s="92">
        <f>'Forecast by year'!E14+'Forecast by year'!L14</f>
        <v>1759.3293215172121</v>
      </c>
      <c r="F33" s="92">
        <f>'Forecast by year'!F14+'Forecast by year'!M14</f>
        <v>1846.7661398465525</v>
      </c>
      <c r="G33" s="92">
        <f>'Forecast by year'!G14+'Forecast by year'!N14</f>
        <v>1958.3659173245555</v>
      </c>
      <c r="H33" s="92">
        <f>'Forecast by year'!H14+'Forecast by year'!O14</f>
        <v>2137.1401923720859</v>
      </c>
      <c r="I33" s="237">
        <f>SUM(D33:H33)</f>
        <v>9393.2643802115726</v>
      </c>
    </row>
    <row r="34" spans="2:9" customFormat="1" x14ac:dyDescent="0.25">
      <c r="B34" s="240" t="s">
        <v>1</v>
      </c>
      <c r="C34" s="20"/>
      <c r="D34" s="21">
        <f>SUM(D30:D33)</f>
        <v>28365.627002641635</v>
      </c>
      <c r="E34" s="21">
        <f t="shared" ref="E34:H34" si="6">SUM(E30:E33)</f>
        <v>29500.252082747294</v>
      </c>
      <c r="F34" s="21">
        <f t="shared" si="6"/>
        <v>30966.383608256401</v>
      </c>
      <c r="G34" s="21">
        <f t="shared" si="6"/>
        <v>32837.677133416568</v>
      </c>
      <c r="H34" s="21">
        <f t="shared" si="6"/>
        <v>35835.345685467095</v>
      </c>
      <c r="I34" s="22">
        <f>SUM(I30:I33)</f>
        <v>157505.28551252899</v>
      </c>
    </row>
  </sheetData>
  <mergeCells count="3">
    <mergeCell ref="B16:I17"/>
    <mergeCell ref="B21:I22"/>
    <mergeCell ref="D25:H25"/>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Proposed Fee</vt:lpstr>
      <vt:lpstr>Forecast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2017-09-13T03:49:33Z</cp:lastPrinted>
  <dcterms:created xsi:type="dcterms:W3CDTF">2013-06-17T01:25:32Z</dcterms:created>
  <dcterms:modified xsi:type="dcterms:W3CDTF">2018-04-18T03:06:24Z</dcterms:modified>
</cp:coreProperties>
</file>