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1_Planned Interruption - Customer Request\"/>
    </mc:Choice>
  </mc:AlternateContent>
  <xr:revisionPtr revIDLastSave="0" documentId="13_ncr:1_{C5F6B1D9-A029-40A7-8D8F-5C298CE8C235}"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fileRecoveryPr autoRecover="0"/>
</workbook>
</file>

<file path=xl/calcChain.xml><?xml version="1.0" encoding="utf-8"?>
<calcChain xmlns="http://schemas.openxmlformats.org/spreadsheetml/2006/main">
  <c r="B20" i="9" l="1"/>
  <c r="I41" i="16" l="1"/>
  <c r="H5" i="17" l="1"/>
  <c r="G5" i="17"/>
  <c r="F5" i="17"/>
  <c r="E5" i="17"/>
  <c r="D5" i="17"/>
  <c r="H2" i="17"/>
  <c r="G2" i="17"/>
  <c r="F2" i="17"/>
  <c r="E2" i="17"/>
  <c r="D2" i="17"/>
  <c r="H1" i="17"/>
  <c r="G1" i="17"/>
  <c r="F1" i="17"/>
  <c r="E1" i="17"/>
  <c r="D1" i="17"/>
  <c r="P25" i="11"/>
  <c r="I24" i="11"/>
  <c r="H24" i="11"/>
  <c r="I23" i="11"/>
  <c r="H23" i="11"/>
  <c r="I22" i="11"/>
  <c r="H22" i="11"/>
  <c r="I21" i="11"/>
  <c r="H21" i="11"/>
  <c r="I20" i="11"/>
  <c r="H20" i="11"/>
  <c r="P12" i="11"/>
  <c r="I11" i="11"/>
  <c r="H11" i="11"/>
  <c r="I10" i="11"/>
  <c r="H10" i="11"/>
  <c r="I9" i="11"/>
  <c r="H9" i="11"/>
  <c r="I8" i="11"/>
  <c r="H8" i="11"/>
  <c r="I7" i="11"/>
  <c r="H7" i="11"/>
  <c r="D64" i="8" l="1"/>
  <c r="E64" i="8"/>
  <c r="F64" i="8"/>
  <c r="G64" i="8"/>
  <c r="C64" i="8"/>
  <c r="I23" i="16"/>
  <c r="S84" i="17"/>
  <c r="T84" i="17"/>
  <c r="U84" i="17"/>
  <c r="V84" i="17"/>
  <c r="R84" i="17"/>
  <c r="S83" i="17"/>
  <c r="T83" i="17" s="1"/>
  <c r="U83" i="17" s="1"/>
  <c r="V83" i="17" s="1"/>
  <c r="R82" i="17"/>
  <c r="L84" i="17"/>
  <c r="M84" i="17"/>
  <c r="N84" i="17"/>
  <c r="O84" i="17"/>
  <c r="K84" i="17"/>
  <c r="L83" i="17"/>
  <c r="M83" i="17" s="1"/>
  <c r="N83" i="17" s="1"/>
  <c r="O83" i="17" s="1"/>
  <c r="K82" i="17"/>
  <c r="L82" i="17" s="1"/>
  <c r="M82" i="17" s="1"/>
  <c r="N82" i="17" s="1"/>
  <c r="O82" i="17" s="1"/>
  <c r="S82" i="17" l="1"/>
  <c r="T82" i="17" s="1"/>
  <c r="U82" i="17" s="1"/>
  <c r="V82" i="17" s="1"/>
  <c r="Q71" i="17"/>
  <c r="R71" i="17"/>
  <c r="S71" i="17" s="1"/>
  <c r="T71" i="17" s="1"/>
  <c r="U71" i="17" s="1"/>
  <c r="V71" i="17" s="1"/>
  <c r="E41" i="16"/>
  <c r="G41" i="16"/>
  <c r="H41" i="16"/>
  <c r="D41" i="16"/>
  <c r="F41" i="16"/>
  <c r="S77" i="17"/>
  <c r="T77" i="17"/>
  <c r="U77" i="17"/>
  <c r="V77" i="17"/>
  <c r="R77" i="17"/>
  <c r="L77" i="17"/>
  <c r="M77" i="17"/>
  <c r="N77" i="17"/>
  <c r="O77" i="17"/>
  <c r="K77" i="17"/>
  <c r="L12" i="17"/>
  <c r="M12" i="17"/>
  <c r="N12" i="17"/>
  <c r="O12" i="17"/>
  <c r="J71" i="17"/>
  <c r="C59" i="17"/>
  <c r="Q59" i="17" s="1"/>
  <c r="S65" i="17"/>
  <c r="T65" i="17"/>
  <c r="U65" i="17"/>
  <c r="V65" i="17"/>
  <c r="R65" i="17"/>
  <c r="L65" i="17"/>
  <c r="M65" i="17"/>
  <c r="N65" i="17"/>
  <c r="O65" i="17"/>
  <c r="K65" i="17"/>
  <c r="J59" i="17"/>
  <c r="S53" i="17"/>
  <c r="T53" i="17"/>
  <c r="U53" i="17"/>
  <c r="V53" i="17"/>
  <c r="R53" i="17"/>
  <c r="Q47" i="17"/>
  <c r="N11" i="17" l="1"/>
  <c r="M11" i="17"/>
  <c r="L11" i="17"/>
  <c r="O11" i="17"/>
  <c r="L53" i="17"/>
  <c r="M53" i="17"/>
  <c r="N53" i="17"/>
  <c r="O53" i="17"/>
  <c r="K53" i="17"/>
  <c r="J47" i="17"/>
  <c r="S41" i="17"/>
  <c r="T41" i="17"/>
  <c r="U41" i="17"/>
  <c r="V41" i="17"/>
  <c r="R41" i="17"/>
  <c r="Q35" i="17"/>
  <c r="L41" i="17"/>
  <c r="M41" i="17"/>
  <c r="N41" i="17"/>
  <c r="O41" i="17"/>
  <c r="K41" i="17"/>
  <c r="J35" i="17"/>
  <c r="K35" i="17" s="1"/>
  <c r="L35" i="17" s="1"/>
  <c r="M35" i="17" s="1"/>
  <c r="N35" i="17" s="1"/>
  <c r="O35" i="17" s="1"/>
  <c r="D29" i="17"/>
  <c r="K29" i="17"/>
  <c r="R29" i="17"/>
  <c r="Q23" i="17"/>
  <c r="J23" i="17"/>
  <c r="S29" i="17"/>
  <c r="T29" i="17"/>
  <c r="U29" i="17"/>
  <c r="V29" i="17"/>
  <c r="R59" i="17"/>
  <c r="S59" i="17" s="1"/>
  <c r="T59" i="17" s="1"/>
  <c r="U59" i="17" s="1"/>
  <c r="V59" i="17" s="1"/>
  <c r="R47" i="17"/>
  <c r="S47" i="17" s="1"/>
  <c r="T47" i="17" s="1"/>
  <c r="U47" i="17" s="1"/>
  <c r="V47" i="17" s="1"/>
  <c r="R35" i="17"/>
  <c r="S35" i="17" s="1"/>
  <c r="T35" i="17" s="1"/>
  <c r="U35" i="17" s="1"/>
  <c r="V35" i="17" s="1"/>
  <c r="R23" i="17"/>
  <c r="L29" i="17"/>
  <c r="M29" i="17"/>
  <c r="N29" i="17"/>
  <c r="O29" i="17"/>
  <c r="K12" i="17"/>
  <c r="F24" i="11"/>
  <c r="J70" i="17" s="1"/>
  <c r="K70" i="17" s="1"/>
  <c r="L70" i="17" s="1"/>
  <c r="M70" i="17" s="1"/>
  <c r="N70" i="17" s="1"/>
  <c r="O70" i="17" s="1"/>
  <c r="F23" i="11"/>
  <c r="J58" i="17" s="1"/>
  <c r="F22" i="11"/>
  <c r="J46" i="17" s="1"/>
  <c r="F21" i="11"/>
  <c r="J34" i="17" s="1"/>
  <c r="F20" i="11"/>
  <c r="J22" i="17" s="1"/>
  <c r="C71" i="17"/>
  <c r="D71" i="17" s="1"/>
  <c r="E71" i="17" s="1"/>
  <c r="F71" i="17" s="1"/>
  <c r="G71" i="17" s="1"/>
  <c r="H71" i="17" s="1"/>
  <c r="C47" i="17"/>
  <c r="D47" i="17" s="1"/>
  <c r="E47" i="17" s="1"/>
  <c r="F47" i="17" s="1"/>
  <c r="G47" i="17" s="1"/>
  <c r="H47" i="17" s="1"/>
  <c r="C35" i="17"/>
  <c r="D35" i="17" s="1"/>
  <c r="E35" i="17" s="1"/>
  <c r="F35" i="17" s="1"/>
  <c r="G35" i="17" s="1"/>
  <c r="H35" i="17" s="1"/>
  <c r="C23" i="17"/>
  <c r="D23" i="17" s="1"/>
  <c r="E77" i="17"/>
  <c r="F77" i="17"/>
  <c r="G77" i="17"/>
  <c r="H77" i="17"/>
  <c r="D77" i="17"/>
  <c r="E65" i="17"/>
  <c r="F65" i="17"/>
  <c r="G65" i="17"/>
  <c r="H65" i="17"/>
  <c r="D65" i="17"/>
  <c r="E53" i="17"/>
  <c r="F53" i="17"/>
  <c r="G53" i="17"/>
  <c r="H53" i="17"/>
  <c r="D53" i="17"/>
  <c r="E41" i="17"/>
  <c r="F41" i="17"/>
  <c r="G41" i="17"/>
  <c r="H41" i="17"/>
  <c r="D41" i="17"/>
  <c r="E84" i="17"/>
  <c r="F84" i="17"/>
  <c r="G84" i="17"/>
  <c r="H84" i="17"/>
  <c r="H12" i="17" s="1"/>
  <c r="D84" i="17"/>
  <c r="D12" i="17" s="1"/>
  <c r="E22" i="16"/>
  <c r="F22" i="16"/>
  <c r="G22" i="16"/>
  <c r="H22" i="16"/>
  <c r="D22" i="16"/>
  <c r="I21" i="16"/>
  <c r="E29" i="17"/>
  <c r="F29" i="17"/>
  <c r="G29" i="17"/>
  <c r="H29" i="17"/>
  <c r="G12" i="17"/>
  <c r="E12" i="17"/>
  <c r="E83" i="17"/>
  <c r="F83" i="17" s="1"/>
  <c r="G83" i="17" s="1"/>
  <c r="H83" i="17" s="1"/>
  <c r="D82" i="17"/>
  <c r="E82" i="17" s="1"/>
  <c r="F82" i="17" s="1"/>
  <c r="G82" i="17" s="1"/>
  <c r="H82" i="17" s="1"/>
  <c r="K71" i="17"/>
  <c r="L71" i="17" s="1"/>
  <c r="M71" i="17" s="1"/>
  <c r="N71" i="17" s="1"/>
  <c r="O71" i="17" s="1"/>
  <c r="K59" i="17"/>
  <c r="L59" i="17" s="1"/>
  <c r="M59" i="17" s="1"/>
  <c r="N59" i="17" s="1"/>
  <c r="O59" i="17" s="1"/>
  <c r="K47" i="17"/>
  <c r="L47" i="17" s="1"/>
  <c r="M47" i="17" s="1"/>
  <c r="N47" i="17" s="1"/>
  <c r="O47" i="17" s="1"/>
  <c r="K23" i="17"/>
  <c r="L23" i="17" s="1"/>
  <c r="M23" i="17" s="1"/>
  <c r="N23" i="17" s="1"/>
  <c r="O23" i="17" s="1"/>
  <c r="F12" i="17"/>
  <c r="O5" i="17"/>
  <c r="V5" i="17" s="1"/>
  <c r="K5" i="17"/>
  <c r="R5" i="17" s="1"/>
  <c r="O1" i="17"/>
  <c r="V1" i="17" s="1"/>
  <c r="N1" i="17"/>
  <c r="U1" i="17" s="1"/>
  <c r="M1" i="17"/>
  <c r="T1" i="17" s="1"/>
  <c r="L1" i="17"/>
  <c r="S1" i="17" s="1"/>
  <c r="K58" i="17" l="1"/>
  <c r="L58" i="17" s="1"/>
  <c r="M58" i="17" s="1"/>
  <c r="N58" i="17" s="1"/>
  <c r="O58" i="17" s="1"/>
  <c r="K46" i="17"/>
  <c r="L46" i="17" s="1"/>
  <c r="M46" i="17" s="1"/>
  <c r="N46" i="17" s="1"/>
  <c r="O46" i="17" s="1"/>
  <c r="K22" i="17"/>
  <c r="L22" i="17" s="1"/>
  <c r="K34" i="17"/>
  <c r="L34" i="17" s="1"/>
  <c r="M34" i="17" s="1"/>
  <c r="N34" i="17" s="1"/>
  <c r="O34" i="17" s="1"/>
  <c r="S23" i="17"/>
  <c r="D14" i="8"/>
  <c r="E23" i="17"/>
  <c r="K1" i="17"/>
  <c r="D81" i="17"/>
  <c r="L5" i="17"/>
  <c r="N5" i="17"/>
  <c r="U5" i="17" s="1"/>
  <c r="M5" i="17"/>
  <c r="T5" i="17" s="1"/>
  <c r="F8" i="11"/>
  <c r="C34" i="17" s="1"/>
  <c r="D34" i="17" s="1"/>
  <c r="E34" i="17" s="1"/>
  <c r="F34" i="17" s="1"/>
  <c r="G34" i="17" s="1"/>
  <c r="H34" i="17" s="1"/>
  <c r="F9" i="11"/>
  <c r="C46" i="17" s="1"/>
  <c r="D46" i="17" s="1"/>
  <c r="E46" i="17" s="1"/>
  <c r="F46" i="17" s="1"/>
  <c r="G46" i="17" s="1"/>
  <c r="H46" i="17" s="1"/>
  <c r="F10" i="11"/>
  <c r="C58" i="17" s="1"/>
  <c r="D58" i="17" s="1"/>
  <c r="E58" i="17" s="1"/>
  <c r="F58" i="17" s="1"/>
  <c r="G58" i="17" s="1"/>
  <c r="H58" i="17" s="1"/>
  <c r="F11" i="11"/>
  <c r="C70" i="17" s="1"/>
  <c r="D70" i="17" s="1"/>
  <c r="E70" i="17" s="1"/>
  <c r="F70" i="17" s="1"/>
  <c r="G70" i="17" s="1"/>
  <c r="H70" i="17" s="1"/>
  <c r="F7" i="11"/>
  <c r="C21" i="17" s="1"/>
  <c r="D21" i="17" s="1"/>
  <c r="S5" i="17" l="1"/>
  <c r="R1" i="17"/>
  <c r="R81" i="17" s="1"/>
  <c r="K81" i="17"/>
  <c r="Q34" i="17"/>
  <c r="R34" i="17" s="1"/>
  <c r="S34" i="17" s="1"/>
  <c r="T34" i="17" s="1"/>
  <c r="U34" i="17" s="1"/>
  <c r="V34" i="17" s="1"/>
  <c r="M23" i="11"/>
  <c r="J57" i="17"/>
  <c r="K57" i="17" s="1"/>
  <c r="M22" i="17"/>
  <c r="L10" i="17"/>
  <c r="Q70" i="17"/>
  <c r="R70" i="17" s="1"/>
  <c r="S70" i="17" s="1"/>
  <c r="T70" i="17" s="1"/>
  <c r="U70" i="17" s="1"/>
  <c r="M24" i="11"/>
  <c r="J69" i="17"/>
  <c r="K69" i="17" s="1"/>
  <c r="K72" i="17" s="1"/>
  <c r="Q46" i="17"/>
  <c r="R46" i="17" s="1"/>
  <c r="S46" i="17" s="1"/>
  <c r="T46" i="17" s="1"/>
  <c r="U46" i="17" s="1"/>
  <c r="V46" i="17" s="1"/>
  <c r="Q58" i="17"/>
  <c r="R58" i="17" s="1"/>
  <c r="S58" i="17" s="1"/>
  <c r="T58" i="17" s="1"/>
  <c r="U58" i="17" s="1"/>
  <c r="V58" i="17" s="1"/>
  <c r="M21" i="11"/>
  <c r="J33" i="17"/>
  <c r="K33" i="17" s="1"/>
  <c r="M20" i="11"/>
  <c r="J21" i="17"/>
  <c r="Q21" i="17" s="1"/>
  <c r="M22" i="11"/>
  <c r="J45" i="17"/>
  <c r="T23" i="17"/>
  <c r="C22" i="17"/>
  <c r="M9" i="11"/>
  <c r="E21" i="17"/>
  <c r="D85" i="17"/>
  <c r="E81" i="17"/>
  <c r="F23" i="17"/>
  <c r="I15" i="13"/>
  <c r="I16" i="13"/>
  <c r="I14" i="13"/>
  <c r="G17" i="13"/>
  <c r="H17" i="13"/>
  <c r="I7" i="13"/>
  <c r="I8" i="13"/>
  <c r="I9" i="13"/>
  <c r="I6" i="13"/>
  <c r="G10" i="13"/>
  <c r="H10" i="13"/>
  <c r="I14" i="15"/>
  <c r="I13" i="15"/>
  <c r="G15" i="15"/>
  <c r="H15" i="15"/>
  <c r="I5" i="15"/>
  <c r="I6" i="15"/>
  <c r="I7" i="15"/>
  <c r="I8" i="15"/>
  <c r="I4" i="15"/>
  <c r="G9" i="15"/>
  <c r="H9" i="15"/>
  <c r="J24" i="17" l="1"/>
  <c r="J48" i="17"/>
  <c r="J36" i="17"/>
  <c r="J72" i="17"/>
  <c r="J60" i="17"/>
  <c r="M7" i="11"/>
  <c r="R21" i="17"/>
  <c r="S21" i="17" s="1"/>
  <c r="N22" i="17"/>
  <c r="M10" i="17"/>
  <c r="S81" i="17"/>
  <c r="R85" i="17"/>
  <c r="K85" i="17"/>
  <c r="L81" i="17"/>
  <c r="K45" i="17"/>
  <c r="L45" i="17" s="1"/>
  <c r="V70" i="17"/>
  <c r="C45" i="17"/>
  <c r="D45" i="17" s="1"/>
  <c r="E45" i="17" s="1"/>
  <c r="E48" i="17" s="1"/>
  <c r="K21" i="17"/>
  <c r="K24" i="17" s="1"/>
  <c r="D22" i="17"/>
  <c r="Q22" i="17"/>
  <c r="R22" i="17" s="1"/>
  <c r="S22" i="17" s="1"/>
  <c r="T22" i="17" s="1"/>
  <c r="U22" i="17" s="1"/>
  <c r="V22" i="17" s="1"/>
  <c r="U23" i="17"/>
  <c r="F21" i="17"/>
  <c r="M11" i="11"/>
  <c r="C69" i="17"/>
  <c r="D69" i="17" s="1"/>
  <c r="M8" i="11"/>
  <c r="C33" i="17"/>
  <c r="D33" i="17" s="1"/>
  <c r="C48" i="17"/>
  <c r="Q48" i="17" s="1"/>
  <c r="M10" i="11"/>
  <c r="C57" i="17"/>
  <c r="D57" i="17" s="1"/>
  <c r="K36" i="17"/>
  <c r="L33" i="17"/>
  <c r="K60" i="17"/>
  <c r="L57" i="17"/>
  <c r="G23" i="17"/>
  <c r="F81" i="17"/>
  <c r="E85" i="17"/>
  <c r="L69" i="17"/>
  <c r="L72" i="17" s="1"/>
  <c r="I17" i="16"/>
  <c r="I18" i="16"/>
  <c r="I19" i="16"/>
  <c r="I20" i="16"/>
  <c r="I16" i="16"/>
  <c r="C24" i="17" l="1"/>
  <c r="Q24" i="17" s="1"/>
  <c r="C60" i="17"/>
  <c r="Q60" i="17" s="1"/>
  <c r="D48" i="17"/>
  <c r="Q69" i="17"/>
  <c r="R69" i="17" s="1"/>
  <c r="R72" i="17" s="1"/>
  <c r="L21" i="17"/>
  <c r="L24" i="17" s="1"/>
  <c r="K48" i="17"/>
  <c r="Q57" i="17"/>
  <c r="R57" i="17" s="1"/>
  <c r="Q45" i="17"/>
  <c r="R45" i="17" s="1"/>
  <c r="M81" i="17"/>
  <c r="L85" i="17"/>
  <c r="T81" i="17"/>
  <c r="S85" i="17"/>
  <c r="O22" i="17"/>
  <c r="O10" i="17" s="1"/>
  <c r="N10" i="17"/>
  <c r="R11" i="17"/>
  <c r="D40" i="16" s="1"/>
  <c r="E22" i="17"/>
  <c r="D24" i="17"/>
  <c r="D10" i="17"/>
  <c r="S24" i="17"/>
  <c r="T21" i="17"/>
  <c r="F45" i="17"/>
  <c r="F48" i="17" s="1"/>
  <c r="Q33" i="17"/>
  <c r="R33" i="17" s="1"/>
  <c r="R24" i="17"/>
  <c r="V23" i="17"/>
  <c r="G21" i="17"/>
  <c r="H21" i="17" s="1"/>
  <c r="D59" i="17"/>
  <c r="E33" i="17"/>
  <c r="D9" i="17"/>
  <c r="D36" i="17"/>
  <c r="C36" i="17"/>
  <c r="Q36" i="17" s="1"/>
  <c r="D72" i="17"/>
  <c r="E69" i="17"/>
  <c r="E57" i="17"/>
  <c r="C72" i="17"/>
  <c r="Q72" i="17" s="1"/>
  <c r="I22" i="16"/>
  <c r="H23" i="17"/>
  <c r="M69" i="17"/>
  <c r="M72" i="17" s="1"/>
  <c r="L60" i="17"/>
  <c r="M57" i="17"/>
  <c r="M45" i="17"/>
  <c r="L48" i="17"/>
  <c r="G81" i="17"/>
  <c r="F85" i="17"/>
  <c r="L36" i="17"/>
  <c r="M33" i="17"/>
  <c r="L13" i="17" l="1"/>
  <c r="K13" i="17"/>
  <c r="S69" i="17"/>
  <c r="T69" i="17" s="1"/>
  <c r="G45" i="17"/>
  <c r="H45" i="17" s="1"/>
  <c r="H48" i="17" s="1"/>
  <c r="M21" i="17"/>
  <c r="M9" i="17" s="1"/>
  <c r="L9" i="17"/>
  <c r="R48" i="17"/>
  <c r="S45" i="17"/>
  <c r="U81" i="17"/>
  <c r="T85" i="17"/>
  <c r="R60" i="17"/>
  <c r="S57" i="17"/>
  <c r="N81" i="17"/>
  <c r="M85" i="17"/>
  <c r="R10" i="17"/>
  <c r="D39" i="16" s="1"/>
  <c r="S33" i="17"/>
  <c r="R36" i="17"/>
  <c r="E10" i="17"/>
  <c r="F22" i="17"/>
  <c r="E24" i="17"/>
  <c r="R9" i="17"/>
  <c r="D38" i="16" s="1"/>
  <c r="U21" i="17"/>
  <c r="T24" i="17"/>
  <c r="E72" i="17"/>
  <c r="F69" i="17"/>
  <c r="E59" i="17"/>
  <c r="E60" i="17" s="1"/>
  <c r="D11" i="17"/>
  <c r="F57" i="17"/>
  <c r="D60" i="17"/>
  <c r="D13" i="17" s="1"/>
  <c r="E9" i="17"/>
  <c r="E36" i="17"/>
  <c r="F33" i="17"/>
  <c r="M36" i="17"/>
  <c r="N33" i="17"/>
  <c r="G85" i="17"/>
  <c r="H81" i="17"/>
  <c r="H85" i="17" s="1"/>
  <c r="M60" i="17"/>
  <c r="N57" i="17"/>
  <c r="N45" i="17"/>
  <c r="M48" i="17"/>
  <c r="N69" i="17"/>
  <c r="N72" i="17" s="1"/>
  <c r="F15" i="15"/>
  <c r="E15" i="15"/>
  <c r="D15" i="15"/>
  <c r="R13" i="17" l="1"/>
  <c r="S72" i="17"/>
  <c r="E13" i="17"/>
  <c r="G48" i="17"/>
  <c r="N21" i="17"/>
  <c r="N24" i="17" s="1"/>
  <c r="M24" i="17"/>
  <c r="M13" i="17" s="1"/>
  <c r="T72" i="17"/>
  <c r="U69" i="17"/>
  <c r="N85" i="17"/>
  <c r="O81" i="17"/>
  <c r="O85" i="17" s="1"/>
  <c r="U85" i="17"/>
  <c r="V81" i="17"/>
  <c r="V85" i="17" s="1"/>
  <c r="T57" i="17"/>
  <c r="S60" i="17"/>
  <c r="S48" i="17"/>
  <c r="T45" i="17"/>
  <c r="K9" i="17"/>
  <c r="K10" i="17"/>
  <c r="K11" i="17"/>
  <c r="T33" i="17"/>
  <c r="S36" i="17"/>
  <c r="F10" i="17"/>
  <c r="G22" i="17"/>
  <c r="F24" i="17"/>
  <c r="V21" i="17"/>
  <c r="V24" i="17" s="1"/>
  <c r="U24" i="17"/>
  <c r="S10" i="17"/>
  <c r="E39" i="16" s="1"/>
  <c r="S11" i="17"/>
  <c r="E40" i="16" s="1"/>
  <c r="S9" i="17"/>
  <c r="E38" i="16" s="1"/>
  <c r="G69" i="17"/>
  <c r="F72" i="17"/>
  <c r="G57" i="17"/>
  <c r="F9" i="17"/>
  <c r="F36" i="17"/>
  <c r="G33" i="17"/>
  <c r="F59" i="17"/>
  <c r="E11" i="17"/>
  <c r="N36" i="17"/>
  <c r="O33" i="17"/>
  <c r="O36" i="17" s="1"/>
  <c r="O69" i="17"/>
  <c r="O72" i="17" s="1"/>
  <c r="N48" i="17"/>
  <c r="O45" i="17"/>
  <c r="O48" i="17" s="1"/>
  <c r="N60" i="17"/>
  <c r="O57" i="17"/>
  <c r="O60" i="17" s="1"/>
  <c r="I15" i="15"/>
  <c r="E9" i="15"/>
  <c r="D9" i="15"/>
  <c r="F17" i="13"/>
  <c r="E17" i="13"/>
  <c r="D17" i="13"/>
  <c r="F10" i="13"/>
  <c r="E10" i="13"/>
  <c r="D10" i="13"/>
  <c r="S13" i="17" l="1"/>
  <c r="N13" i="17"/>
  <c r="O21" i="17"/>
  <c r="O9" i="17" s="1"/>
  <c r="N9" i="17"/>
  <c r="U72" i="17"/>
  <c r="V69" i="17"/>
  <c r="V72" i="17" s="1"/>
  <c r="U57" i="17"/>
  <c r="T60" i="17"/>
  <c r="U45" i="17"/>
  <c r="T48" i="17"/>
  <c r="U33" i="17"/>
  <c r="T36" i="17"/>
  <c r="V11" i="17"/>
  <c r="H40" i="16" s="1"/>
  <c r="U11" i="17"/>
  <c r="G40" i="16" s="1"/>
  <c r="G10" i="17"/>
  <c r="H22" i="17"/>
  <c r="G24" i="17"/>
  <c r="V10" i="17"/>
  <c r="H39" i="16" s="1"/>
  <c r="T10" i="17"/>
  <c r="F39" i="16" s="1"/>
  <c r="T11" i="17"/>
  <c r="F40" i="16" s="1"/>
  <c r="T9" i="17"/>
  <c r="F38" i="16" s="1"/>
  <c r="G9" i="17"/>
  <c r="G36" i="17"/>
  <c r="H33" i="17"/>
  <c r="G59" i="17"/>
  <c r="G60" i="17" s="1"/>
  <c r="F11" i="17"/>
  <c r="F60" i="17"/>
  <c r="F13" i="17" s="1"/>
  <c r="G72" i="17"/>
  <c r="H69" i="17"/>
  <c r="H72" i="17" s="1"/>
  <c r="H57" i="17"/>
  <c r="I10" i="13"/>
  <c r="I17" i="13"/>
  <c r="F9" i="15"/>
  <c r="T13" i="17" l="1"/>
  <c r="O24" i="17"/>
  <c r="O13" i="17" s="1"/>
  <c r="G13" i="17"/>
  <c r="U48" i="17"/>
  <c r="V45" i="17"/>
  <c r="V48" i="17" s="1"/>
  <c r="U60" i="17"/>
  <c r="V57" i="17"/>
  <c r="V60" i="17" s="1"/>
  <c r="U9" i="17"/>
  <c r="G38" i="16" s="1"/>
  <c r="U10" i="17"/>
  <c r="G39" i="16" s="1"/>
  <c r="I39" i="16" s="1"/>
  <c r="H10" i="17"/>
  <c r="H24" i="17"/>
  <c r="U36" i="17"/>
  <c r="V33" i="17"/>
  <c r="H36" i="17"/>
  <c r="H9" i="17"/>
  <c r="H59" i="17"/>
  <c r="H11" i="17" s="1"/>
  <c r="G11" i="17"/>
  <c r="I9" i="15"/>
  <c r="U13" i="17" l="1"/>
  <c r="V36" i="17"/>
  <c r="V13" i="17" s="1"/>
  <c r="V9" i="17"/>
  <c r="H38" i="16" s="1"/>
  <c r="I38" i="16" s="1"/>
  <c r="I40" i="16"/>
  <c r="H60" i="17"/>
  <c r="H13" i="17" s="1"/>
  <c r="D3" i="9"/>
  <c r="H64" i="8" l="1"/>
  <c r="D42" i="16" l="1"/>
  <c r="C48" i="8" l="1"/>
  <c r="G42" i="16"/>
  <c r="F48" i="8" s="1"/>
  <c r="F42" i="16"/>
  <c r="E48" i="8"/>
  <c r="H42" i="16"/>
  <c r="G48" i="8" s="1"/>
  <c r="E42" i="16"/>
  <c r="I42" i="16" l="1"/>
  <c r="D48" i="8"/>
  <c r="H48" i="8" l="1"/>
  <c r="F3" i="17" l="1"/>
  <c r="N22" i="11"/>
  <c r="N9" i="11"/>
  <c r="E3" i="17"/>
  <c r="Q25" i="11"/>
  <c r="N23" i="11"/>
  <c r="Q12" i="11"/>
  <c r="N10" i="11"/>
  <c r="G3" i="17"/>
  <c r="N25" i="11"/>
  <c r="N21" i="11"/>
  <c r="H3" i="17"/>
  <c r="D3" i="17"/>
  <c r="N24" i="11"/>
  <c r="N20" i="11"/>
  <c r="N11" i="11"/>
  <c r="N7" i="11"/>
  <c r="N12" i="11"/>
  <c r="D13" i="8" s="1"/>
  <c r="D12" i="8" s="1"/>
  <c r="N8" i="11"/>
  <c r="C73" i="17" l="1"/>
  <c r="H61" i="17"/>
  <c r="H49" i="17"/>
  <c r="H86" i="17"/>
  <c r="H88" i="17" s="1"/>
  <c r="H89" i="17" s="1"/>
  <c r="H91" i="17" s="1"/>
  <c r="O3" i="17"/>
  <c r="H73" i="17"/>
  <c r="H37" i="17"/>
  <c r="H25" i="17"/>
  <c r="C61" i="17"/>
  <c r="E73" i="17"/>
  <c r="E86" i="17"/>
  <c r="E88" i="17" s="1"/>
  <c r="E89" i="17" s="1"/>
  <c r="E91" i="17" s="1"/>
  <c r="E49" i="17"/>
  <c r="E25" i="17"/>
  <c r="E61" i="17"/>
  <c r="L3" i="17"/>
  <c r="E37" i="17"/>
  <c r="C37" i="17"/>
  <c r="J25" i="17"/>
  <c r="J37" i="17"/>
  <c r="Q37" i="17" s="1"/>
  <c r="C49" i="17"/>
  <c r="J73" i="17"/>
  <c r="Q73" i="17" s="1"/>
  <c r="J61" i="17"/>
  <c r="J49" i="17"/>
  <c r="C25" i="17"/>
  <c r="D37" i="17"/>
  <c r="K3" i="17"/>
  <c r="D73" i="17"/>
  <c r="D86" i="17"/>
  <c r="D88" i="17" s="1"/>
  <c r="D89" i="17" s="1"/>
  <c r="D91" i="17" s="1"/>
  <c r="D25" i="17"/>
  <c r="D49" i="17"/>
  <c r="D61" i="17"/>
  <c r="G73" i="17"/>
  <c r="N3" i="17"/>
  <c r="G37" i="17"/>
  <c r="G49" i="17"/>
  <c r="G86" i="17"/>
  <c r="G88" i="17" s="1"/>
  <c r="G89" i="17" s="1"/>
  <c r="G91" i="17" s="1"/>
  <c r="G25" i="17"/>
  <c r="G61" i="17"/>
  <c r="F61" i="17"/>
  <c r="F25" i="17"/>
  <c r="F49" i="17"/>
  <c r="F86" i="17"/>
  <c r="F88" i="17" s="1"/>
  <c r="F89" i="17" s="1"/>
  <c r="F91" i="17" s="1"/>
  <c r="F37" i="17"/>
  <c r="F73" i="17"/>
  <c r="M3" i="17"/>
  <c r="Q49" i="17" l="1"/>
  <c r="F14" i="17"/>
  <c r="L37" i="17"/>
  <c r="S3" i="17"/>
  <c r="L73" i="17"/>
  <c r="L61" i="17"/>
  <c r="L49" i="17"/>
  <c r="L86" i="17"/>
  <c r="L88" i="17" s="1"/>
  <c r="L89" i="17" s="1"/>
  <c r="L91" i="17" s="1"/>
  <c r="L25" i="17"/>
  <c r="O49" i="17"/>
  <c r="O25" i="17"/>
  <c r="V3" i="17"/>
  <c r="O61" i="17"/>
  <c r="O86" i="17"/>
  <c r="O88" i="17" s="1"/>
  <c r="O89" i="17" s="1"/>
  <c r="O91" i="17" s="1"/>
  <c r="O37" i="17"/>
  <c r="O73" i="17"/>
  <c r="K73" i="17"/>
  <c r="K37" i="17"/>
  <c r="K61" i="17"/>
  <c r="K25" i="17"/>
  <c r="K86" i="17"/>
  <c r="K88" i="17" s="1"/>
  <c r="K89" i="17" s="1"/>
  <c r="K91" i="17" s="1"/>
  <c r="R3" i="17"/>
  <c r="K49" i="17"/>
  <c r="H14" i="17"/>
  <c r="M25" i="17"/>
  <c r="M49" i="17"/>
  <c r="M73" i="17"/>
  <c r="M61" i="17"/>
  <c r="M37" i="17"/>
  <c r="M86" i="17"/>
  <c r="M88" i="17" s="1"/>
  <c r="M89" i="17" s="1"/>
  <c r="M91" i="17" s="1"/>
  <c r="T3" i="17"/>
  <c r="G14" i="17"/>
  <c r="N86" i="17"/>
  <c r="N88" i="17" s="1"/>
  <c r="N89" i="17" s="1"/>
  <c r="N91" i="17" s="1"/>
  <c r="N73" i="17"/>
  <c r="N37" i="17"/>
  <c r="N49" i="17"/>
  <c r="U3" i="17"/>
  <c r="N25" i="17"/>
  <c r="N61" i="17"/>
  <c r="D14" i="17"/>
  <c r="Q61" i="17"/>
  <c r="Q25" i="17"/>
  <c r="E14" i="17"/>
  <c r="V37" i="17" l="1"/>
  <c r="V25" i="17"/>
  <c r="V61" i="17"/>
  <c r="V86" i="17"/>
  <c r="V88" i="17" s="1"/>
  <c r="V89" i="17" s="1"/>
  <c r="V91" i="17" s="1"/>
  <c r="H10" i="16" s="1"/>
  <c r="V49" i="17"/>
  <c r="V73" i="17"/>
  <c r="S49" i="17"/>
  <c r="S86" i="17"/>
  <c r="S88" i="17" s="1"/>
  <c r="S89" i="17" s="1"/>
  <c r="S91" i="17" s="1"/>
  <c r="E10" i="16" s="1"/>
  <c r="S61" i="17"/>
  <c r="S37" i="17"/>
  <c r="S73" i="17"/>
  <c r="S25" i="17"/>
  <c r="M14" i="17"/>
  <c r="K14" i="17"/>
  <c r="O14" i="17"/>
  <c r="N14" i="17"/>
  <c r="U37" i="17"/>
  <c r="U86" i="17"/>
  <c r="U88" i="17" s="1"/>
  <c r="U89" i="17" s="1"/>
  <c r="U91" i="17" s="1"/>
  <c r="G10" i="16" s="1"/>
  <c r="U73" i="17"/>
  <c r="U61" i="17"/>
  <c r="U25" i="17"/>
  <c r="U49" i="17"/>
  <c r="T73" i="17"/>
  <c r="T37" i="17"/>
  <c r="T49" i="17"/>
  <c r="T61" i="17"/>
  <c r="T86" i="17"/>
  <c r="T88" i="17" s="1"/>
  <c r="T89" i="17" s="1"/>
  <c r="T91" i="17" s="1"/>
  <c r="F10" i="16" s="1"/>
  <c r="T25" i="17"/>
  <c r="R73" i="17"/>
  <c r="R86" i="17"/>
  <c r="R88" i="17" s="1"/>
  <c r="R89" i="17" s="1"/>
  <c r="R91" i="17" s="1"/>
  <c r="D10" i="16" s="1"/>
  <c r="R61" i="17"/>
  <c r="R25" i="17"/>
  <c r="R49" i="17"/>
  <c r="R37" i="17"/>
  <c r="L14" i="17"/>
  <c r="S14" i="17" l="1"/>
  <c r="R14" i="17"/>
  <c r="U14" i="17"/>
  <c r="T14" i="17"/>
  <c r="V14" i="17"/>
  <c r="D43" i="16" l="1"/>
  <c r="G43" i="16"/>
  <c r="F43" i="16"/>
  <c r="H43" i="16"/>
  <c r="E43" i="16"/>
  <c r="I43" i="16" l="1"/>
  <c r="E4" i="17" l="1"/>
  <c r="O23" i="11"/>
  <c r="O10" i="11"/>
  <c r="H4" i="17"/>
  <c r="D4" i="17"/>
  <c r="O24" i="11"/>
  <c r="O20" i="11"/>
  <c r="O11" i="11"/>
  <c r="O7" i="11"/>
  <c r="F4" i="17"/>
  <c r="O22" i="11"/>
  <c r="G4" i="17"/>
  <c r="O21" i="11"/>
  <c r="O8" i="11"/>
  <c r="O9" i="11"/>
  <c r="N4" i="17" l="1"/>
  <c r="G50" i="17"/>
  <c r="G51" i="17" s="1"/>
  <c r="G52" i="17" s="1"/>
  <c r="G54" i="17" s="1"/>
  <c r="G26" i="17"/>
  <c r="G74" i="17"/>
  <c r="G75" i="17" s="1"/>
  <c r="G76" i="17" s="1"/>
  <c r="G78" i="17" s="1"/>
  <c r="G62" i="17"/>
  <c r="G63" i="17" s="1"/>
  <c r="G64" i="17" s="1"/>
  <c r="G66" i="17" s="1"/>
  <c r="G38" i="17"/>
  <c r="G39" i="17" s="1"/>
  <c r="G40" i="17" s="1"/>
  <c r="G42" i="17" s="1"/>
  <c r="C74" i="17"/>
  <c r="P11" i="11"/>
  <c r="C75" i="17" s="1"/>
  <c r="O4" i="17"/>
  <c r="H50" i="17"/>
  <c r="H51" i="17" s="1"/>
  <c r="H52" i="17" s="1"/>
  <c r="H54" i="17" s="1"/>
  <c r="H74" i="17"/>
  <c r="H75" i="17" s="1"/>
  <c r="H76" i="17" s="1"/>
  <c r="H78" i="17" s="1"/>
  <c r="H26" i="17"/>
  <c r="H27" i="17" s="1"/>
  <c r="H38" i="17"/>
  <c r="H39" i="17" s="1"/>
  <c r="H40" i="17" s="1"/>
  <c r="H42" i="17" s="1"/>
  <c r="H62" i="17"/>
  <c r="C50" i="17"/>
  <c r="P9" i="11"/>
  <c r="C51" i="17" s="1"/>
  <c r="J50" i="17"/>
  <c r="P22" i="11"/>
  <c r="J51" i="17" s="1"/>
  <c r="J26" i="17"/>
  <c r="P20" i="11"/>
  <c r="J27" i="17" s="1"/>
  <c r="C62" i="17"/>
  <c r="P10" i="11"/>
  <c r="C63" i="17" s="1"/>
  <c r="C38" i="17"/>
  <c r="P8" i="11"/>
  <c r="C39" i="17" s="1"/>
  <c r="M4" i="17"/>
  <c r="F50" i="17"/>
  <c r="F51" i="17" s="1"/>
  <c r="F52" i="17" s="1"/>
  <c r="F54" i="17" s="1"/>
  <c r="F38" i="17"/>
  <c r="F39" i="17" s="1"/>
  <c r="F40" i="17" s="1"/>
  <c r="F42" i="17" s="1"/>
  <c r="F26" i="17"/>
  <c r="F74" i="17"/>
  <c r="F75" i="17" s="1"/>
  <c r="F76" i="17" s="1"/>
  <c r="F78" i="17" s="1"/>
  <c r="F62" i="17"/>
  <c r="J74" i="17"/>
  <c r="P24" i="11"/>
  <c r="J75" i="17" s="1"/>
  <c r="J62" i="17"/>
  <c r="P23" i="11"/>
  <c r="J63" i="17" s="1"/>
  <c r="J38" i="17"/>
  <c r="Q21" i="11"/>
  <c r="P21" i="11"/>
  <c r="J39" i="17" s="1"/>
  <c r="C26" i="17"/>
  <c r="P7" i="11"/>
  <c r="C27" i="17" s="1"/>
  <c r="K4" i="17"/>
  <c r="D50" i="17"/>
  <c r="D51" i="17" s="1"/>
  <c r="D52" i="17" s="1"/>
  <c r="D54" i="17" s="1"/>
  <c r="D38" i="17"/>
  <c r="D39" i="17" s="1"/>
  <c r="D40" i="17" s="1"/>
  <c r="D42" i="17" s="1"/>
  <c r="D26" i="17"/>
  <c r="D27" i="17" s="1"/>
  <c r="D74" i="17"/>
  <c r="D75" i="17" s="1"/>
  <c r="D76" i="17" s="1"/>
  <c r="D78" i="17" s="1"/>
  <c r="D62" i="17"/>
  <c r="L4" i="17"/>
  <c r="E50" i="17"/>
  <c r="E51" i="17" s="1"/>
  <c r="E52" i="17" s="1"/>
  <c r="E54" i="17" s="1"/>
  <c r="E38" i="17"/>
  <c r="E39" i="17" s="1"/>
  <c r="E40" i="17" s="1"/>
  <c r="E42" i="17" s="1"/>
  <c r="E62" i="17"/>
  <c r="E63" i="17" s="1"/>
  <c r="E64" i="17" s="1"/>
  <c r="E66" i="17" s="1"/>
  <c r="E74" i="17"/>
  <c r="E75" i="17" s="1"/>
  <c r="E76" i="17" s="1"/>
  <c r="E78" i="17" s="1"/>
  <c r="E26" i="17"/>
  <c r="Q7" i="11" l="1"/>
  <c r="C28" i="17" s="1"/>
  <c r="Q24" i="11"/>
  <c r="J76" i="17" s="1"/>
  <c r="Q39" i="17"/>
  <c r="Q74" i="17"/>
  <c r="Q51" i="17"/>
  <c r="Q8" i="11"/>
  <c r="C40" i="17" s="1"/>
  <c r="Q22" i="11"/>
  <c r="Q26" i="17"/>
  <c r="Q27" i="17"/>
  <c r="Q38" i="17"/>
  <c r="Q9" i="11"/>
  <c r="C52" i="17" s="1"/>
  <c r="E15" i="17"/>
  <c r="E27" i="17"/>
  <c r="D28" i="17"/>
  <c r="D30" i="17" s="1"/>
  <c r="J40" i="17"/>
  <c r="F15" i="17"/>
  <c r="F63" i="17"/>
  <c r="F64" i="17" s="1"/>
  <c r="F66" i="17" s="1"/>
  <c r="J52" i="17"/>
  <c r="Q52" i="17" s="1"/>
  <c r="S4" i="17"/>
  <c r="L74" i="17"/>
  <c r="L75" i="17" s="1"/>
  <c r="L76" i="17" s="1"/>
  <c r="L78" i="17" s="1"/>
  <c r="L62" i="17"/>
  <c r="L63" i="17" s="1"/>
  <c r="L64" i="17" s="1"/>
  <c r="L66" i="17" s="1"/>
  <c r="L38" i="17"/>
  <c r="L39" i="17" s="1"/>
  <c r="L40" i="17" s="1"/>
  <c r="L42" i="17" s="1"/>
  <c r="L50" i="17"/>
  <c r="L51" i="17" s="1"/>
  <c r="L52" i="17" s="1"/>
  <c r="L54" i="17" s="1"/>
  <c r="L26" i="17"/>
  <c r="T4" i="17"/>
  <c r="M74" i="17"/>
  <c r="M75" i="17" s="1"/>
  <c r="M76" i="17" s="1"/>
  <c r="M78" i="17" s="1"/>
  <c r="M50" i="17"/>
  <c r="M51" i="17" s="1"/>
  <c r="M52" i="17" s="1"/>
  <c r="M54" i="17" s="1"/>
  <c r="M38" i="17"/>
  <c r="M39" i="17" s="1"/>
  <c r="M40" i="17" s="1"/>
  <c r="M42" i="17" s="1"/>
  <c r="M62" i="17"/>
  <c r="M63" i="17" s="1"/>
  <c r="M64" i="17" s="1"/>
  <c r="M66" i="17" s="1"/>
  <c r="M26" i="17"/>
  <c r="Q20" i="11"/>
  <c r="Q50" i="17"/>
  <c r="H15" i="17"/>
  <c r="H63" i="17"/>
  <c r="H64" i="17" s="1"/>
  <c r="H66" i="17" s="1"/>
  <c r="G15" i="17"/>
  <c r="G27" i="17"/>
  <c r="D15" i="17"/>
  <c r="D63" i="17"/>
  <c r="D64" i="17" s="1"/>
  <c r="D66" i="17" s="1"/>
  <c r="Q63" i="17"/>
  <c r="Q75" i="17"/>
  <c r="F27" i="17"/>
  <c r="F28" i="17" s="1"/>
  <c r="F30" i="17" s="1"/>
  <c r="Q10" i="11"/>
  <c r="C64" i="17" s="1"/>
  <c r="V4" i="17"/>
  <c r="O74" i="17"/>
  <c r="O75" i="17" s="1"/>
  <c r="O76" i="17" s="1"/>
  <c r="O78" i="17" s="1"/>
  <c r="O50" i="17"/>
  <c r="O51" i="17" s="1"/>
  <c r="O52" i="17" s="1"/>
  <c r="O54" i="17" s="1"/>
  <c r="O62" i="17"/>
  <c r="O63" i="17" s="1"/>
  <c r="O64" i="17" s="1"/>
  <c r="O66" i="17" s="1"/>
  <c r="O38" i="17"/>
  <c r="O39" i="17" s="1"/>
  <c r="O40" i="17" s="1"/>
  <c r="O42" i="17" s="1"/>
  <c r="O26" i="17"/>
  <c r="R4" i="17"/>
  <c r="K74" i="17"/>
  <c r="K75" i="17" s="1"/>
  <c r="K76" i="17" s="1"/>
  <c r="K78" i="17" s="1"/>
  <c r="K38" i="17"/>
  <c r="K39" i="17" s="1"/>
  <c r="K40" i="17" s="1"/>
  <c r="K42" i="17" s="1"/>
  <c r="K26" i="17"/>
  <c r="K62" i="17"/>
  <c r="K63" i="17" s="1"/>
  <c r="K64" i="17" s="1"/>
  <c r="K66" i="17" s="1"/>
  <c r="K50" i="17"/>
  <c r="K51" i="17" s="1"/>
  <c r="K52" i="17" s="1"/>
  <c r="K54" i="17" s="1"/>
  <c r="Q23" i="11"/>
  <c r="Q62" i="17"/>
  <c r="H28" i="17"/>
  <c r="H30" i="17" s="1"/>
  <c r="Q11" i="11"/>
  <c r="C76" i="17" s="1"/>
  <c r="U4" i="17"/>
  <c r="N74" i="17"/>
  <c r="N75" i="17" s="1"/>
  <c r="N76" i="17" s="1"/>
  <c r="N78" i="17" s="1"/>
  <c r="N62" i="17"/>
  <c r="N63" i="17" s="1"/>
  <c r="N64" i="17" s="1"/>
  <c r="N66" i="17" s="1"/>
  <c r="N50" i="17"/>
  <c r="N51" i="17" s="1"/>
  <c r="N52" i="17" s="1"/>
  <c r="N54" i="17" s="1"/>
  <c r="N26" i="17"/>
  <c r="N38" i="17"/>
  <c r="N39" i="17" s="1"/>
  <c r="N40" i="17" s="1"/>
  <c r="N42" i="17" s="1"/>
  <c r="Q76" i="17" l="1"/>
  <c r="D9" i="8"/>
  <c r="D8" i="8"/>
  <c r="Q40" i="17"/>
  <c r="R74" i="17"/>
  <c r="R75" i="17" s="1"/>
  <c r="R76" i="17" s="1"/>
  <c r="R78" i="17" s="1"/>
  <c r="D9" i="16" s="1"/>
  <c r="R26" i="17"/>
  <c r="R62" i="17"/>
  <c r="R63" i="17" s="1"/>
  <c r="R64" i="17" s="1"/>
  <c r="R66" i="17" s="1"/>
  <c r="R38" i="17"/>
  <c r="R39" i="17" s="1"/>
  <c r="R40" i="17" s="1"/>
  <c r="R42" i="17" s="1"/>
  <c r="D6" i="16" s="1"/>
  <c r="R50" i="17"/>
  <c r="R51" i="17" s="1"/>
  <c r="R52" i="17" s="1"/>
  <c r="R54" i="17" s="1"/>
  <c r="D7" i="16" s="1"/>
  <c r="M15" i="17"/>
  <c r="M27" i="17"/>
  <c r="M16" i="17" s="1"/>
  <c r="L15" i="17"/>
  <c r="L27" i="17"/>
  <c r="L16" i="17" s="1"/>
  <c r="D16" i="17"/>
  <c r="D17" i="17" s="1"/>
  <c r="D18" i="17" s="1"/>
  <c r="N15" i="17"/>
  <c r="N27" i="17"/>
  <c r="N16" i="17" s="1"/>
  <c r="U26" i="17"/>
  <c r="U74" i="17"/>
  <c r="U75" i="17" s="1"/>
  <c r="U76" i="17" s="1"/>
  <c r="U78" i="17" s="1"/>
  <c r="G9" i="16" s="1"/>
  <c r="U62" i="17"/>
  <c r="U63" i="17" s="1"/>
  <c r="U64" i="17" s="1"/>
  <c r="U66" i="17" s="1"/>
  <c r="U38" i="17"/>
  <c r="U39" i="17" s="1"/>
  <c r="U40" i="17" s="1"/>
  <c r="U42" i="17" s="1"/>
  <c r="G6" i="16" s="1"/>
  <c r="U50" i="17"/>
  <c r="U51" i="17" s="1"/>
  <c r="U52" i="17" s="1"/>
  <c r="U54" i="17" s="1"/>
  <c r="G7" i="16" s="1"/>
  <c r="K15" i="17"/>
  <c r="K27" i="17"/>
  <c r="O15" i="17"/>
  <c r="O27" i="17"/>
  <c r="F16" i="17"/>
  <c r="F17" i="17" s="1"/>
  <c r="F18" i="17" s="1"/>
  <c r="T26" i="17"/>
  <c r="T74" i="17"/>
  <c r="T75" i="17" s="1"/>
  <c r="T76" i="17" s="1"/>
  <c r="T78" i="17" s="1"/>
  <c r="F9" i="16" s="1"/>
  <c r="T38" i="17"/>
  <c r="T39" i="17" s="1"/>
  <c r="T40" i="17" s="1"/>
  <c r="T42" i="17" s="1"/>
  <c r="F6" i="16" s="1"/>
  <c r="T50" i="17"/>
  <c r="T51" i="17" s="1"/>
  <c r="T52" i="17" s="1"/>
  <c r="T54" i="17" s="1"/>
  <c r="F7" i="16" s="1"/>
  <c r="T62" i="17"/>
  <c r="T63" i="17" s="1"/>
  <c r="T64" i="17" s="1"/>
  <c r="T66" i="17" s="1"/>
  <c r="S26" i="17"/>
  <c r="S74" i="17"/>
  <c r="S75" i="17" s="1"/>
  <c r="S76" i="17" s="1"/>
  <c r="S78" i="17" s="1"/>
  <c r="E9" i="16" s="1"/>
  <c r="S50" i="17"/>
  <c r="S51" i="17" s="1"/>
  <c r="S52" i="17" s="1"/>
  <c r="S54" i="17" s="1"/>
  <c r="E7" i="16" s="1"/>
  <c r="S38" i="17"/>
  <c r="S39" i="17" s="1"/>
  <c r="S40" i="17" s="1"/>
  <c r="S42" i="17" s="1"/>
  <c r="E6" i="16" s="1"/>
  <c r="S62" i="17"/>
  <c r="S63" i="17" s="1"/>
  <c r="S64" i="17" s="1"/>
  <c r="S66" i="17" s="1"/>
  <c r="J64" i="17"/>
  <c r="Q64" i="17" s="1"/>
  <c r="D10" i="8"/>
  <c r="V26" i="17"/>
  <c r="V27" i="17" s="1"/>
  <c r="V74" i="17"/>
  <c r="V75" i="17" s="1"/>
  <c r="V76" i="17" s="1"/>
  <c r="V78" i="17" s="1"/>
  <c r="H9" i="16" s="1"/>
  <c r="V50" i="17"/>
  <c r="V51" i="17" s="1"/>
  <c r="V52" i="17" s="1"/>
  <c r="V54" i="17" s="1"/>
  <c r="H7" i="16" s="1"/>
  <c r="V62" i="17"/>
  <c r="V63" i="17" s="1"/>
  <c r="V64" i="17" s="1"/>
  <c r="V66" i="17" s="1"/>
  <c r="V38" i="17"/>
  <c r="G28" i="17"/>
  <c r="G30" i="17" s="1"/>
  <c r="G16" i="17"/>
  <c r="G17" i="17" s="1"/>
  <c r="D11" i="8"/>
  <c r="E28" i="17"/>
  <c r="E30" i="17" s="1"/>
  <c r="E16" i="17"/>
  <c r="E17" i="17" s="1"/>
  <c r="H16" i="17"/>
  <c r="H17" i="17" s="1"/>
  <c r="H18" i="17" s="1"/>
  <c r="J28" i="17"/>
  <c r="Q28" i="17" s="1"/>
  <c r="D7" i="8"/>
  <c r="E18" i="17" l="1"/>
  <c r="N28" i="17"/>
  <c r="E8" i="16"/>
  <c r="S15" i="17"/>
  <c r="S27" i="17"/>
  <c r="S16" i="17" s="1"/>
  <c r="E45" i="16" s="1"/>
  <c r="N17" i="17"/>
  <c r="N30" i="17"/>
  <c r="N18" i="17" s="1"/>
  <c r="I6" i="16"/>
  <c r="V15" i="17"/>
  <c r="V39" i="17"/>
  <c r="V40" i="17" s="1"/>
  <c r="V42" i="17" s="1"/>
  <c r="H6" i="16" s="1"/>
  <c r="V28" i="17"/>
  <c r="V30" i="17" s="1"/>
  <c r="H5" i="16" s="1"/>
  <c r="V16" i="17"/>
  <c r="H45" i="16" s="1"/>
  <c r="F8" i="16"/>
  <c r="T15" i="17"/>
  <c r="T27" i="17"/>
  <c r="K28" i="17"/>
  <c r="K16" i="17"/>
  <c r="G8" i="16"/>
  <c r="L28" i="17"/>
  <c r="D8" i="16"/>
  <c r="H8" i="16"/>
  <c r="R15" i="17"/>
  <c r="R27" i="17"/>
  <c r="G18" i="17"/>
  <c r="O28" i="17"/>
  <c r="O16" i="17"/>
  <c r="U15" i="17"/>
  <c r="U27" i="17"/>
  <c r="M28" i="17"/>
  <c r="I7" i="16"/>
  <c r="I10" i="16"/>
  <c r="H11" i="16" l="1"/>
  <c r="U28" i="17"/>
  <c r="U30" i="17" s="1"/>
  <c r="G5" i="16" s="1"/>
  <c r="G11" i="16" s="1"/>
  <c r="U16" i="17"/>
  <c r="G45" i="16" s="1"/>
  <c r="T28" i="17"/>
  <c r="T30" i="17" s="1"/>
  <c r="F5" i="16" s="1"/>
  <c r="F11" i="16" s="1"/>
  <c r="T16" i="17"/>
  <c r="F45" i="16" s="1"/>
  <c r="G44" i="16"/>
  <c r="U17" i="17"/>
  <c r="R28" i="17"/>
  <c r="R30" i="17" s="1"/>
  <c r="D5" i="16" s="1"/>
  <c r="R16" i="17"/>
  <c r="D45" i="16" s="1"/>
  <c r="I9" i="16"/>
  <c r="F44" i="16"/>
  <c r="E44" i="16"/>
  <c r="S17" i="17"/>
  <c r="D44" i="16"/>
  <c r="D46" i="16" s="1"/>
  <c r="I8" i="16"/>
  <c r="M30" i="17"/>
  <c r="M17" i="17"/>
  <c r="O17" i="17"/>
  <c r="O30" i="17"/>
  <c r="L30" i="17"/>
  <c r="L17" i="17"/>
  <c r="K17" i="17"/>
  <c r="K30" i="17"/>
  <c r="H44" i="16"/>
  <c r="V17" i="17"/>
  <c r="V18" i="17" s="1"/>
  <c r="S28" i="17"/>
  <c r="S30" i="17" s="1"/>
  <c r="I45" i="16" l="1"/>
  <c r="R17" i="17"/>
  <c r="R18" i="17" s="1"/>
  <c r="U18" i="17"/>
  <c r="E5" i="16"/>
  <c r="E11" i="16" s="1"/>
  <c r="S18" i="17"/>
  <c r="I44" i="16"/>
  <c r="C50" i="8"/>
  <c r="T17" i="17"/>
  <c r="T18" i="17" s="1"/>
  <c r="D11" i="16"/>
  <c r="G50" i="8"/>
  <c r="G52" i="8" s="1"/>
  <c r="H46" i="16"/>
  <c r="L18" i="17"/>
  <c r="M18" i="17"/>
  <c r="F46" i="16"/>
  <c r="E50" i="8"/>
  <c r="E52" i="8" s="1"/>
  <c r="K18" i="17"/>
  <c r="O18" i="17"/>
  <c r="E46" i="16"/>
  <c r="D50" i="8"/>
  <c r="D52" i="8" s="1"/>
  <c r="G46" i="16"/>
  <c r="F50" i="8"/>
  <c r="F52" i="8" s="1"/>
  <c r="I46" i="16" l="1"/>
  <c r="I5" i="16"/>
  <c r="I11" i="16" s="1"/>
  <c r="H50" i="8"/>
  <c r="H52" i="8" s="1"/>
  <c r="C52" i="8"/>
</calcChain>
</file>

<file path=xl/sharedStrings.xml><?xml version="1.0" encoding="utf-8"?>
<sst xmlns="http://schemas.openxmlformats.org/spreadsheetml/2006/main" count="362" uniqueCount="171">
  <si>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</si>
  <si>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</si>
  <si>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</si>
  <si>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</si>
  <si>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</si>
  <si>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</si>
  <si>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</si>
  <si>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</si>
  <si>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</si>
  <si>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</si>
  <si>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</si>
  <si>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</si>
  <si>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</si>
  <si>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</si>
  <si>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</si>
  <si>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</si>
  <si>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</si>
  <si>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</si>
  <si>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</si>
  <si>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</si>
  <si>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</si>
  <si>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</si>
  <si>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</si>
  <si>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</si>
  <si>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</si>
  <si>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</si>
  <si>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</si>
  <si>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</si>
  <si>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</si>
  <si>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</si>
  <si>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</si>
  <si>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</si>
  <si>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</si>
  <si>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</si>
  <si>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</si>
  <si>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</si>
  <si>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</si>
  <si>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</si>
  <si>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</si>
  <si>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</si>
  <si>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</si>
  <si>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</si>
  <si>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</si>
  <si>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</si>
  <si>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</si>
  <si>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</si>
  <si>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</si>
  <si>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</si>
  <si>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</si>
  <si>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</si>
  <si>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</si>
  <si>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</si>
  <si>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</si>
  <si>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</si>
  <si>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</si>
  <si>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</si>
  <si>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</si>
  <si>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</si>
  <si>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</si>
  <si>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Planned Interruption - Customer Requested Alternative Interruption</t>
  </si>
  <si>
    <t>Planned Interruption - Customer Requested Alternative Interruption (NEW)</t>
  </si>
  <si>
    <t>Where the customer requests to move a planned interruption and agrees to fund the additional cost of performing this distribution service outside of normal business hours.</t>
  </si>
  <si>
    <t>New Service</t>
  </si>
  <si>
    <t xml:space="preserve">Existing Service Description (2014 - 19) </t>
  </si>
  <si>
    <t>Field Officer</t>
  </si>
  <si>
    <t>Bottom Up Estimation</t>
  </si>
  <si>
    <t xml:space="preserve"> -</t>
  </si>
  <si>
    <t>R4</t>
  </si>
  <si>
    <t>R2a</t>
  </si>
  <si>
    <t>R2b</t>
  </si>
  <si>
    <t>Customer requested alternative interruption - Field Worker</t>
  </si>
  <si>
    <t>Customer requested alternative interruption - Indoor Technical</t>
  </si>
  <si>
    <t>Customer requested alternative interruption - Outdoor Technical</t>
  </si>
  <si>
    <t>Customer requested alternative interruption - Engineer</t>
  </si>
  <si>
    <t>R3</t>
  </si>
  <si>
    <t>Field Worker - Hrly</t>
  </si>
  <si>
    <t>Indoor Technical - Hrly</t>
  </si>
  <si>
    <t>Outdoor Technical - Hrly</t>
  </si>
  <si>
    <t>Engineer - Hrly</t>
  </si>
  <si>
    <t xml:space="preserve">Quoted Service calculated as difference in price between NT labour and OT labour </t>
  </si>
  <si>
    <t>Admin - Hrly</t>
  </si>
  <si>
    <t>R1a</t>
  </si>
  <si>
    <t>Customer requested alternative interruption - Admin</t>
  </si>
  <si>
    <t>Planned Interruption - Customer Requested Alternative Interruption (hourly rate / fee)</t>
  </si>
  <si>
    <t xml:space="preserve">Hourly Rate </t>
  </si>
  <si>
    <t>Projected Volumes for FY2019-24 Regulatory Period</t>
  </si>
  <si>
    <t>Operating Costs (on IO's, work orders, cost objects, cost centres)</t>
  </si>
  <si>
    <t>Project Code</t>
  </si>
  <si>
    <t>FY22/23</t>
  </si>
  <si>
    <t xml:space="preserve">Operating Costs - </t>
  </si>
  <si>
    <t>New Service. No historical operating costs available.</t>
  </si>
  <si>
    <t>New Service. No historical revenue available.</t>
  </si>
  <si>
    <t>New Service - Planned Interruption - Customer Requested Alternative Interruption</t>
  </si>
  <si>
    <t xml:space="preserve">Admin </t>
  </si>
  <si>
    <t>Field Worker</t>
  </si>
  <si>
    <t xml:space="preserve">Indoor Technical </t>
  </si>
  <si>
    <t xml:space="preserve">Outdoor Technical </t>
  </si>
  <si>
    <t xml:space="preserve">Engineer </t>
  </si>
  <si>
    <t>FY17/18</t>
  </si>
  <si>
    <t>FY18/19</t>
  </si>
  <si>
    <t>Projected Volumes - Hrs</t>
  </si>
  <si>
    <r>
      <t xml:space="preserve">
</t>
    </r>
    <r>
      <rPr>
        <b/>
        <sz val="10"/>
        <color theme="1"/>
        <rFont val="Arial"/>
        <family val="2"/>
      </rPr>
      <t>Planned Interruption - Customer Requested Alternative Interruption</t>
    </r>
    <r>
      <rPr>
        <sz val="10"/>
        <color theme="1"/>
        <rFont val="Arial"/>
        <family val="2"/>
      </rPr>
      <t xml:space="preserve">
Where the customer requests to move a DSNP planned interruption and agrees to fund the additional cost of performing the associated planned distribution work outside of normal business hours.</t>
    </r>
  </si>
  <si>
    <t>Proposed Fee ($2018/19 - Excl GST)</t>
  </si>
  <si>
    <t>Total Direct Costs $2018/19</t>
  </si>
  <si>
    <t>Total Indirect Costs $2018/19</t>
  </si>
  <si>
    <t>TOTAL COSTS $2018/19</t>
  </si>
  <si>
    <t>Time on Task (Hours)</t>
  </si>
  <si>
    <t>Number of Staff</t>
  </si>
  <si>
    <t>Total Time
(Hours)</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</si>
  <si>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</si>
  <si>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</si>
  <si>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</si>
  <si>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</si>
  <si>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</si>
  <si>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</si>
  <si>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</si>
  <si>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</si>
  <si>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</si>
  <si>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</si>
  <si>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</si>
  <si>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</si>
  <si>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Per service</t>
  </si>
  <si>
    <t>Real 2018-19 (including labour escalation)</t>
  </si>
  <si>
    <t>Labour</t>
  </si>
  <si>
    <t>Fleet</t>
  </si>
  <si>
    <t>Total costs before OHDs, non-system and margin</t>
  </si>
  <si>
    <t>Profit margin</t>
  </si>
  <si>
    <t xml:space="preserve">Field Worker </t>
  </si>
  <si>
    <t>Indoor Technical</t>
  </si>
  <si>
    <t>Outdoor Technical</t>
  </si>
  <si>
    <t>Engineer</t>
  </si>
  <si>
    <t>Contractor management eg. T/C 
(Invoice + Overheads) + Margin</t>
  </si>
  <si>
    <t>Overheads rate</t>
  </si>
  <si>
    <t>Margin</t>
  </si>
  <si>
    <t>Contractor management eg. T/C - [Invoice + overheads] + margin</t>
  </si>
  <si>
    <t>Labour escalation</t>
  </si>
  <si>
    <t>Contractor rate increase</t>
  </si>
  <si>
    <t>Overhead rate</t>
  </si>
  <si>
    <t>Average non-system charge</t>
  </si>
  <si>
    <t>WACC rate</t>
  </si>
  <si>
    <t>ORDINARY LABOUR TIME</t>
  </si>
  <si>
    <t>Real 2018-19 including escalation</t>
  </si>
  <si>
    <t>2019-20</t>
  </si>
  <si>
    <t>2020-21</t>
  </si>
  <si>
    <t>2021-22</t>
  </si>
  <si>
    <t>2022-23</t>
  </si>
  <si>
    <t>2023-24</t>
  </si>
  <si>
    <t>Contractor costs</t>
  </si>
  <si>
    <t>Total before OHDs, non-system &amp; margin</t>
  </si>
  <si>
    <t>Fully Loaded Costs</t>
  </si>
  <si>
    <t>Forecast revenue (check)</t>
  </si>
  <si>
    <t>Admin (hrs)</t>
  </si>
  <si>
    <t>Materials (hire per week)</t>
  </si>
  <si>
    <t>Fully Loaded Cost per service</t>
  </si>
  <si>
    <t>Forecast volumes (hours)</t>
  </si>
  <si>
    <t>Forecast revenue</t>
  </si>
  <si>
    <t>Forecast volumes</t>
  </si>
  <si>
    <t>Outdoor technician (hrs)</t>
  </si>
  <si>
    <t>Engineer (hrs)</t>
  </si>
  <si>
    <t>Contractors $</t>
  </si>
  <si>
    <t>Forecast contractor costs</t>
  </si>
  <si>
    <t>11.1 Planned Interruption - Customer Requested</t>
  </si>
  <si>
    <t>Contractor</t>
  </si>
  <si>
    <t xml:space="preserve">Total Projects </t>
  </si>
  <si>
    <t>Indoor Technician (hrs)</t>
  </si>
  <si>
    <t>OVERTIME LABOUR TIME</t>
  </si>
  <si>
    <t>OVERTIME - ORDINARY LABOUR TIME</t>
  </si>
  <si>
    <t>Where external contractors are required as part of providing these service (eg. T/C) Divisional and Corporate Overheads are added to contractor invoice + Margin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</si>
  <si>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</si>
  <si>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 xml:space="preserve">Estimates have been provided on the work effort that will be required to complete each service. Forecast volumes based on team feedback. Estimated to occur 5 times per annum.
</t>
  </si>
  <si>
    <t>Field Worker (hrs)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</si>
</sst>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1" formatCode="_(* #,##0_);_(* \(#,##0\);_(* &quot;-&quot;??_);_(@_)"/>
    <numFmt numFmtId="172" formatCode="&quot;$&quot;#,##0"/>
  </numFmts>
  <fonts count="3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0"/>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FF0000"/>
      <name val="Arial"/>
      <family val="2"/>
    </font>
    <font>
      <sz val="10"/>
      <color rgb="FF0065A6"/>
      <name val="Arial"/>
      <family val="2"/>
    </font>
    <font>
      <b/>
      <sz val="8"/>
      <color theme="1"/>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4" fillId="0" borderId="0" applyFont="0" applyFill="0" applyBorder="0" applyAlignment="0" applyProtection="0"/>
    <xf numFmtId="164" fontId="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6" fillId="0" borderId="0"/>
  </cellStyleXfs>
  <cellXfs count="290">
    <xf numFmtId="0" fontId="0" fillId="0" borderId="0" xfId="0"/>
    <xf numFmtId="0" fontId="3" fillId="0" borderId="0" xfId="0" applyFont="1"/>
    <xf numFmtId="0" fontId="9" fillId="5" borderId="3" xfId="0" applyFont="1" applyFill="1" applyBorder="1"/>
    <xf numFmtId="0" fontId="9" fillId="5" borderId="8" xfId="0" applyFont="1" applyFill="1" applyBorder="1" applyAlignment="1">
      <alignment horizontal="right"/>
    </xf>
    <xf numFmtId="0" fontId="3" fillId="4" borderId="4" xfId="0" applyFont="1" applyFill="1" applyBorder="1"/>
    <xf numFmtId="0" fontId="3" fillId="4" borderId="3" xfId="0" applyFont="1" applyFill="1" applyBorder="1"/>
    <xf numFmtId="0" fontId="9" fillId="5" borderId="8" xfId="0" applyFont="1" applyFill="1" applyBorder="1"/>
    <xf numFmtId="0" fontId="9" fillId="5" borderId="0" xfId="0" applyFont="1" applyFill="1" applyBorder="1"/>
    <xf numFmtId="166" fontId="9" fillId="5" borderId="8" xfId="2" applyNumberFormat="1" applyFont="1" applyFill="1" applyBorder="1"/>
    <xf numFmtId="0" fontId="9" fillId="5" borderId="11" xfId="0" applyFont="1" applyFill="1" applyBorder="1" applyAlignment="1">
      <alignment horizontal="left"/>
    </xf>
    <xf numFmtId="0" fontId="3" fillId="4" borderId="5" xfId="0" applyFont="1" applyFill="1" applyBorder="1"/>
    <xf numFmtId="3" fontId="3" fillId="4" borderId="4" xfId="0" applyNumberFormat="1" applyFont="1" applyFill="1" applyBorder="1"/>
    <xf numFmtId="0" fontId="3" fillId="4" borderId="5" xfId="0" quotePrefix="1" applyFont="1" applyFill="1" applyBorder="1"/>
    <xf numFmtId="3" fontId="9" fillId="5" borderId="8" xfId="0" applyNumberFormat="1" applyFont="1" applyFill="1" applyBorder="1"/>
    <xf numFmtId="0" fontId="8" fillId="0" borderId="0" xfId="0" applyFont="1"/>
    <xf numFmtId="0" fontId="9" fillId="5" borderId="6" xfId="0" applyFont="1" applyFill="1" applyBorder="1" applyAlignment="1">
      <alignment horizontal="left"/>
    </xf>
    <xf numFmtId="0" fontId="9" fillId="5" borderId="12" xfId="0" applyFont="1" applyFill="1" applyBorder="1"/>
    <xf numFmtId="0" fontId="6" fillId="5" borderId="12" xfId="0" applyFont="1" applyFill="1" applyBorder="1"/>
    <xf numFmtId="0" fontId="3" fillId="4" borderId="0" xfId="0" quotePrefix="1" applyFont="1" applyFill="1" applyBorder="1" applyAlignment="1">
      <alignment vertical="top"/>
    </xf>
    <xf numFmtId="0" fontId="3" fillId="4" borderId="0" xfId="0" applyFont="1" applyFill="1" applyBorder="1" applyAlignment="1">
      <alignment vertical="top"/>
    </xf>
    <xf numFmtId="0" fontId="9" fillId="5" borderId="4" xfId="0" applyFont="1" applyFill="1" applyBorder="1"/>
    <xf numFmtId="0" fontId="9" fillId="5" borderId="5" xfId="0" applyFont="1" applyFill="1" applyBorder="1" applyAlignment="1">
      <alignment horizontal="right"/>
    </xf>
    <xf numFmtId="0" fontId="6" fillId="5" borderId="1" xfId="0" applyFont="1" applyFill="1" applyBorder="1"/>
    <xf numFmtId="166" fontId="9" fillId="5" borderId="9" xfId="2" applyNumberFormat="1" applyFont="1" applyFill="1" applyBorder="1"/>
    <xf numFmtId="166" fontId="9" fillId="5" borderId="10" xfId="2" applyNumberFormat="1" applyFont="1" applyFill="1" applyBorder="1"/>
    <xf numFmtId="0" fontId="3" fillId="0" borderId="0" xfId="0" applyFont="1" applyBorder="1"/>
    <xf numFmtId="0" fontId="7" fillId="8" borderId="0" xfId="0" applyFont="1" applyFill="1"/>
    <xf numFmtId="0" fontId="10" fillId="8" borderId="0" xfId="0" applyFont="1" applyFill="1"/>
    <xf numFmtId="0" fontId="3" fillId="10" borderId="4" xfId="0" applyFont="1" applyFill="1" applyBorder="1"/>
    <xf numFmtId="166" fontId="3" fillId="10" borderId="4" xfId="2" applyNumberFormat="1" applyFont="1" applyFill="1" applyBorder="1"/>
    <xf numFmtId="0" fontId="3" fillId="10" borderId="4" xfId="0" applyFont="1" applyFill="1" applyBorder="1" applyAlignment="1">
      <alignment wrapText="1"/>
    </xf>
    <xf numFmtId="0" fontId="10" fillId="8" borderId="12" xfId="0" applyFont="1" applyFill="1" applyBorder="1"/>
    <xf numFmtId="0" fontId="9" fillId="11" borderId="8" xfId="0" applyFont="1" applyFill="1" applyBorder="1"/>
    <xf numFmtId="0" fontId="11" fillId="4" borderId="0" xfId="0" applyFont="1" applyFill="1" applyBorder="1" applyAlignment="1">
      <alignment horizontal="left" vertical="top" wrapText="1"/>
    </xf>
    <xf numFmtId="0" fontId="3" fillId="0" borderId="0" xfId="0" applyFont="1" applyAlignment="1">
      <alignment horizontal="left" indent="15"/>
    </xf>
    <xf numFmtId="0" fontId="3" fillId="0" borderId="0" xfId="0" applyFont="1" applyFill="1"/>
    <xf numFmtId="0" fontId="9" fillId="9" borderId="0" xfId="0" applyFont="1" applyFill="1" applyBorder="1" applyAlignment="1">
      <alignment horizontal="left"/>
    </xf>
    <xf numFmtId="0" fontId="7" fillId="0" borderId="0" xfId="0" applyFont="1" applyFill="1" applyAlignment="1">
      <alignment horizontal="left"/>
    </xf>
    <xf numFmtId="0" fontId="7" fillId="8" borderId="9" xfId="0" applyFont="1" applyFill="1" applyBorder="1" applyAlignment="1">
      <alignment horizontal="center" vertical="center"/>
    </xf>
    <xf numFmtId="0" fontId="6" fillId="10" borderId="4" xfId="0" applyFont="1" applyFill="1" applyBorder="1"/>
    <xf numFmtId="168" fontId="6" fillId="10" borderId="4" xfId="0" applyNumberFormat="1" applyFont="1" applyFill="1" applyBorder="1" applyAlignment="1">
      <alignment horizontal="center"/>
    </xf>
    <xf numFmtId="0" fontId="6" fillId="11" borderId="4" xfId="0" applyFont="1" applyFill="1" applyBorder="1"/>
    <xf numFmtId="0" fontId="6" fillId="11" borderId="9" xfId="0" applyFont="1" applyFill="1" applyBorder="1"/>
    <xf numFmtId="168" fontId="6" fillId="11" borderId="4" xfId="0" applyNumberFormat="1" applyFont="1" applyFill="1" applyBorder="1" applyAlignment="1">
      <alignment horizontal="center"/>
    </xf>
    <xf numFmtId="0" fontId="10" fillId="0" borderId="0" xfId="0" applyFont="1"/>
    <xf numFmtId="0" fontId="10" fillId="0" borderId="0" xfId="0" applyFont="1" applyBorder="1"/>
    <xf numFmtId="0" fontId="10" fillId="0" borderId="2" xfId="0" applyFont="1" applyBorder="1"/>
    <xf numFmtId="168" fontId="10" fillId="0" borderId="1" xfId="0" applyNumberFormat="1" applyFont="1" applyBorder="1" applyAlignment="1">
      <alignment horizontal="center"/>
    </xf>
    <xf numFmtId="0" fontId="7" fillId="8" borderId="0" xfId="0" applyFont="1" applyFill="1" applyAlignment="1">
      <alignment horizontal="left"/>
    </xf>
    <xf numFmtId="0" fontId="9" fillId="9" borderId="6" xfId="0" applyFont="1" applyFill="1" applyBorder="1" applyAlignment="1">
      <alignment horizontal="left"/>
    </xf>
    <xf numFmtId="0" fontId="7" fillId="8" borderId="11" xfId="0" applyFont="1" applyFill="1" applyBorder="1"/>
    <xf numFmtId="0" fontId="3" fillId="0" borderId="0" xfId="0" applyFont="1" applyAlignment="1">
      <alignment horizontal="left"/>
    </xf>
    <xf numFmtId="0" fontId="3" fillId="0" borderId="0" xfId="0" applyFont="1" applyFill="1" applyAlignment="1">
      <alignment horizontal="left"/>
    </xf>
    <xf numFmtId="0" fontId="13" fillId="0" borderId="0" xfId="0" applyFont="1"/>
    <xf numFmtId="0" fontId="3" fillId="0" borderId="8" xfId="0" applyFont="1" applyBorder="1"/>
    <xf numFmtId="0" fontId="3" fillId="0" borderId="11" xfId="0" applyFont="1" applyBorder="1"/>
    <xf numFmtId="0" fontId="9" fillId="0" borderId="0" xfId="0" applyFont="1" applyFill="1" applyBorder="1"/>
    <xf numFmtId="0" fontId="6" fillId="0" borderId="0" xfId="0" applyFont="1" applyFill="1" applyBorder="1"/>
    <xf numFmtId="166" fontId="9" fillId="0" borderId="0" xfId="2" applyNumberFormat="1" applyFont="1" applyFill="1" applyBorder="1"/>
    <xf numFmtId="0" fontId="7" fillId="8" borderId="8" xfId="0" applyFont="1" applyFill="1" applyBorder="1"/>
    <xf numFmtId="0" fontId="9" fillId="5" borderId="10" xfId="0" applyFont="1" applyFill="1" applyBorder="1"/>
    <xf numFmtId="0" fontId="9" fillId="5" borderId="13" xfId="0" applyFont="1" applyFill="1" applyBorder="1" applyAlignment="1">
      <alignment horizontal="left"/>
    </xf>
    <xf numFmtId="0" fontId="13" fillId="0" borderId="6" xfId="0" applyFont="1" applyBorder="1"/>
    <xf numFmtId="0" fontId="9" fillId="11" borderId="10" xfId="0" applyFont="1" applyFill="1" applyBorder="1"/>
    <xf numFmtId="0" fontId="11" fillId="4" borderId="8" xfId="0" applyFont="1" applyFill="1" applyBorder="1" applyAlignment="1">
      <alignment horizontal="left" vertical="top" wrapText="1"/>
    </xf>
    <xf numFmtId="0" fontId="9" fillId="5" borderId="11" xfId="0" applyFont="1" applyFill="1" applyBorder="1"/>
    <xf numFmtId="0" fontId="3" fillId="4" borderId="8" xfId="0" quotePrefix="1" applyFont="1" applyFill="1" applyBorder="1" applyAlignment="1">
      <alignment vertical="top"/>
    </xf>
    <xf numFmtId="0" fontId="14" fillId="8" borderId="8" xfId="0" applyNumberFormat="1" applyFont="1" applyFill="1" applyBorder="1" applyAlignment="1">
      <alignment horizontal="left"/>
    </xf>
    <xf numFmtId="0" fontId="9" fillId="5" borderId="4" xfId="0" applyFont="1" applyFill="1" applyBorder="1" applyAlignment="1">
      <alignment horizontal="center"/>
    </xf>
    <xf numFmtId="0" fontId="9" fillId="5" borderId="7" xfId="0" applyFont="1" applyFill="1" applyBorder="1" applyAlignment="1">
      <alignment horizontal="center"/>
    </xf>
    <xf numFmtId="166" fontId="3" fillId="10" borderId="5" xfId="2" applyNumberFormat="1" applyFont="1" applyFill="1" applyBorder="1" applyAlignment="1">
      <alignment horizontal="center"/>
    </xf>
    <xf numFmtId="3" fontId="3" fillId="10" borderId="4" xfId="0" applyNumberFormat="1" applyFont="1" applyFill="1" applyBorder="1"/>
    <xf numFmtId="0" fontId="6" fillId="10" borderId="4" xfId="0" applyFont="1" applyFill="1" applyBorder="1" applyAlignment="1">
      <alignment horizontal="center"/>
    </xf>
    <xf numFmtId="0" fontId="11" fillId="0" borderId="0" xfId="0" applyFont="1"/>
    <xf numFmtId="0" fontId="10" fillId="0" borderId="1" xfId="0" applyFont="1" applyBorder="1"/>
    <xf numFmtId="0" fontId="6" fillId="10" borderId="9" xfId="0" applyFont="1" applyFill="1" applyBorder="1"/>
    <xf numFmtId="0" fontId="6" fillId="10" borderId="10" xfId="0" applyFont="1" applyFill="1" applyBorder="1" applyAlignment="1">
      <alignment horizontal="center"/>
    </xf>
    <xf numFmtId="0" fontId="6" fillId="10" borderId="4" xfId="0" applyFont="1" applyFill="1" applyBorder="1" applyAlignment="1">
      <alignment horizontal="left" vertical="center"/>
    </xf>
    <xf numFmtId="0" fontId="11" fillId="10" borderId="4" xfId="0" applyFont="1" applyFill="1" applyBorder="1" applyAlignment="1">
      <alignment horizontal="left"/>
    </xf>
    <xf numFmtId="0" fontId="11" fillId="4" borderId="0" xfId="0" applyFont="1" applyFill="1" applyBorder="1" applyAlignment="1">
      <alignment horizontal="left" vertical="top" wrapText="1"/>
    </xf>
    <xf numFmtId="0" fontId="9" fillId="11" borderId="8" xfId="0" applyFont="1" applyFill="1" applyBorder="1" applyAlignment="1">
      <alignment horizontal="center"/>
    </xf>
    <xf numFmtId="0" fontId="9" fillId="11" borderId="7" xfId="0" applyFont="1" applyFill="1" applyBorder="1" applyAlignment="1">
      <alignment horizontal="left"/>
    </xf>
    <xf numFmtId="0" fontId="9" fillId="11" borderId="7" xfId="0" applyFont="1" applyFill="1" applyBorder="1" applyAlignment="1">
      <alignment horizontal="center"/>
    </xf>
    <xf numFmtId="0" fontId="9" fillId="11" borderId="8" xfId="0" applyFont="1" applyFill="1" applyBorder="1" applyAlignment="1">
      <alignment horizontal="right"/>
    </xf>
    <xf numFmtId="0" fontId="9" fillId="11" borderId="11" xfId="0" applyFont="1" applyFill="1" applyBorder="1" applyAlignment="1">
      <alignment horizontal="left"/>
    </xf>
    <xf numFmtId="0" fontId="15" fillId="8" borderId="0" xfId="0" applyFont="1" applyFill="1"/>
    <xf numFmtId="0" fontId="16" fillId="8" borderId="0" xfId="0" applyFont="1" applyFill="1"/>
    <xf numFmtId="0" fontId="17" fillId="0" borderId="0" xfId="0" applyFont="1"/>
    <xf numFmtId="0" fontId="18" fillId="0" borderId="0" xfId="0" applyFont="1"/>
    <xf numFmtId="0" fontId="19" fillId="5" borderId="7" xfId="0" applyFont="1" applyFill="1" applyBorder="1" applyAlignment="1">
      <alignment horizontal="left"/>
    </xf>
    <xf numFmtId="0" fontId="19" fillId="5" borderId="7" xfId="0" applyFont="1" applyFill="1" applyBorder="1" applyAlignment="1">
      <alignment horizontal="center"/>
    </xf>
    <xf numFmtId="0" fontId="19" fillId="5" borderId="8" xfId="0" applyFont="1" applyFill="1" applyBorder="1" applyAlignment="1">
      <alignment horizontal="right"/>
    </xf>
    <xf numFmtId="0" fontId="18" fillId="4" borderId="5" xfId="0" applyFont="1" applyFill="1" applyBorder="1"/>
    <xf numFmtId="3" fontId="18" fillId="10" borderId="4" xfId="0" applyNumberFormat="1" applyFont="1" applyFill="1" applyBorder="1"/>
    <xf numFmtId="0" fontId="21" fillId="0" borderId="0" xfId="0" applyFont="1"/>
    <xf numFmtId="0" fontId="19" fillId="5" borderId="6" xfId="0" applyFont="1" applyFill="1" applyBorder="1" applyAlignment="1">
      <alignment horizontal="left"/>
    </xf>
    <xf numFmtId="0" fontId="19" fillId="5" borderId="12" xfId="0" applyFont="1" applyFill="1" applyBorder="1"/>
    <xf numFmtId="0" fontId="22" fillId="5" borderId="12" xfId="0" applyFont="1" applyFill="1" applyBorder="1"/>
    <xf numFmtId="0" fontId="18" fillId="4" borderId="0" xfId="0" quotePrefix="1" applyFont="1" applyFill="1" applyBorder="1" applyAlignment="1">
      <alignment vertical="top"/>
    </xf>
    <xf numFmtId="0" fontId="18" fillId="4" borderId="0" xfId="0" applyFont="1" applyFill="1" applyBorder="1" applyAlignment="1">
      <alignment vertical="top"/>
    </xf>
    <xf numFmtId="168" fontId="18" fillId="10" borderId="4" xfId="0" applyNumberFormat="1" applyFont="1" applyFill="1" applyBorder="1" applyAlignment="1">
      <alignment horizontal="left"/>
    </xf>
    <xf numFmtId="166" fontId="18" fillId="10" borderId="4" xfId="2" applyNumberFormat="1" applyFont="1" applyFill="1" applyBorder="1"/>
    <xf numFmtId="0" fontId="7" fillId="8" borderId="0" xfId="0" applyFont="1" applyFill="1" applyAlignment="1">
      <alignment horizontal="left"/>
    </xf>
    <xf numFmtId="0" fontId="9" fillId="11" borderId="3" xfId="0" applyFont="1" applyFill="1" applyBorder="1" applyAlignment="1">
      <alignment horizontal="left" vertical="center"/>
    </xf>
    <xf numFmtId="0" fontId="23" fillId="8" borderId="11" xfId="0" applyFont="1" applyFill="1" applyBorder="1"/>
    <xf numFmtId="0" fontId="24" fillId="8" borderId="0" xfId="0" applyFont="1" applyFill="1"/>
    <xf numFmtId="0" fontId="25" fillId="0" borderId="0" xfId="0" applyFont="1"/>
    <xf numFmtId="0" fontId="25" fillId="0" borderId="0" xfId="0" applyFont="1" applyFill="1"/>
    <xf numFmtId="0" fontId="26" fillId="9" borderId="4" xfId="0" applyFont="1" applyFill="1" applyBorder="1"/>
    <xf numFmtId="0" fontId="25" fillId="6" borderId="0" xfId="0" applyFont="1" applyFill="1"/>
    <xf numFmtId="0" fontId="26" fillId="9" borderId="10" xfId="0" applyFont="1" applyFill="1" applyBorder="1"/>
    <xf numFmtId="0" fontId="28" fillId="7" borderId="0" xfId="0" applyFont="1" applyFill="1" applyBorder="1" applyAlignment="1">
      <alignment horizontal="center" vertical="center" wrapText="1"/>
    </xf>
    <xf numFmtId="0" fontId="26" fillId="9" borderId="5" xfId="0" applyFont="1" applyFill="1" applyBorder="1"/>
    <xf numFmtId="0" fontId="28" fillId="2" borderId="4" xfId="0" applyFont="1" applyFill="1" applyBorder="1" applyAlignment="1">
      <alignment horizontal="center" vertical="center"/>
    </xf>
    <xf numFmtId="0" fontId="29" fillId="7" borderId="0" xfId="0" applyFont="1" applyFill="1" applyBorder="1" applyAlignment="1">
      <alignment horizontal="center" vertical="center"/>
    </xf>
    <xf numFmtId="0" fontId="26" fillId="9" borderId="10" xfId="0" applyFont="1" applyFill="1" applyBorder="1" applyAlignment="1">
      <alignment vertical="center"/>
    </xf>
    <xf numFmtId="168" fontId="25" fillId="7" borderId="4" xfId="0" applyNumberFormat="1" applyFont="1" applyFill="1" applyBorder="1" applyAlignment="1">
      <alignment horizontal="center"/>
    </xf>
    <xf numFmtId="0" fontId="25" fillId="7" borderId="0" xfId="0" applyFont="1" applyFill="1" applyBorder="1" applyAlignment="1">
      <alignment horizontal="center" vertical="center"/>
    </xf>
    <xf numFmtId="168" fontId="25" fillId="3" borderId="4" xfId="0" applyNumberFormat="1" applyFont="1" applyFill="1" applyBorder="1" applyAlignment="1">
      <alignment horizontal="center"/>
    </xf>
    <xf numFmtId="0" fontId="26" fillId="9" borderId="4" xfId="0" applyFont="1" applyFill="1" applyBorder="1" applyAlignment="1">
      <alignment horizontal="left" vertical="center"/>
    </xf>
    <xf numFmtId="0" fontId="27" fillId="7" borderId="0" xfId="0" applyFont="1" applyFill="1" applyBorder="1" applyAlignment="1">
      <alignment horizontal="left"/>
    </xf>
    <xf numFmtId="0" fontId="23" fillId="8" borderId="10" xfId="0" applyFont="1" applyFill="1" applyBorder="1"/>
    <xf numFmtId="0" fontId="24" fillId="8" borderId="0" xfId="0" applyFont="1" applyFill="1" applyBorder="1"/>
    <xf numFmtId="0" fontId="24" fillId="8" borderId="12" xfId="0" applyFont="1" applyFill="1" applyBorder="1"/>
    <xf numFmtId="0" fontId="25" fillId="7" borderId="0" xfId="0" applyFont="1" applyFill="1" applyBorder="1" applyAlignment="1">
      <alignment horizontal="left" vertical="top" wrapText="1"/>
    </xf>
    <xf numFmtId="0" fontId="23" fillId="8" borderId="0" xfId="0" applyFont="1" applyFill="1"/>
    <xf numFmtId="0" fontId="25" fillId="7" borderId="0" xfId="0" applyFont="1" applyFill="1" applyBorder="1" applyAlignment="1">
      <alignment horizontal="left"/>
    </xf>
    <xf numFmtId="0" fontId="25" fillId="0" borderId="0" xfId="0" applyFont="1" applyAlignment="1">
      <alignment horizontal="left"/>
    </xf>
    <xf numFmtId="0" fontId="25" fillId="7" borderId="0" xfId="0" applyFont="1" applyFill="1" applyBorder="1" applyAlignment="1">
      <alignment horizontal="left" wrapText="1"/>
    </xf>
    <xf numFmtId="0" fontId="25" fillId="0" borderId="0" xfId="0" applyFont="1" applyFill="1" applyBorder="1" applyAlignment="1">
      <alignment horizontal="left"/>
    </xf>
    <xf numFmtId="0" fontId="26" fillId="2" borderId="3" xfId="0" applyFont="1" applyFill="1" applyBorder="1"/>
    <xf numFmtId="0" fontId="25" fillId="7" borderId="0" xfId="0" applyFont="1" applyFill="1" applyAlignment="1">
      <alignment horizontal="left"/>
    </xf>
    <xf numFmtId="0" fontId="26" fillId="2" borderId="1" xfId="0" applyFont="1" applyFill="1" applyBorder="1"/>
    <xf numFmtId="0" fontId="26" fillId="9" borderId="6" xfId="0" applyFont="1" applyFill="1" applyBorder="1" applyAlignment="1">
      <alignment horizontal="left"/>
    </xf>
    <xf numFmtId="0" fontId="26" fillId="9" borderId="7" xfId="0" applyFont="1" applyFill="1" applyBorder="1" applyAlignment="1">
      <alignment horizontal="right"/>
    </xf>
    <xf numFmtId="0" fontId="26" fillId="9" borderId="8" xfId="0" applyFont="1" applyFill="1" applyBorder="1" applyAlignment="1">
      <alignment horizontal="right"/>
    </xf>
    <xf numFmtId="166" fontId="30" fillId="0" borderId="0" xfId="2" applyNumberFormat="1" applyFont="1"/>
    <xf numFmtId="166" fontId="26" fillId="2" borderId="7" xfId="2" applyNumberFormat="1" applyFont="1" applyFill="1" applyBorder="1"/>
    <xf numFmtId="10" fontId="25" fillId="0" borderId="0" xfId="1" applyNumberFormat="1" applyFont="1"/>
    <xf numFmtId="10" fontId="25" fillId="0" borderId="0" xfId="0" applyNumberFormat="1" applyFont="1"/>
    <xf numFmtId="169" fontId="25" fillId="0" borderId="0" xfId="1" applyNumberFormat="1" applyFont="1"/>
    <xf numFmtId="0" fontId="23" fillId="8" borderId="6" xfId="0" applyFont="1" applyFill="1" applyBorder="1" applyAlignment="1">
      <alignment horizontal="left"/>
    </xf>
    <xf numFmtId="0" fontId="27" fillId="0" borderId="0" xfId="0" applyFont="1"/>
    <xf numFmtId="0" fontId="26" fillId="2" borderId="6" xfId="0" applyFont="1" applyFill="1" applyBorder="1" applyAlignment="1">
      <alignment horizontal="left"/>
    </xf>
    <xf numFmtId="0" fontId="26" fillId="2" borderId="7" xfId="0" applyFont="1" applyFill="1" applyBorder="1" applyAlignment="1">
      <alignment horizontal="right"/>
    </xf>
    <xf numFmtId="0" fontId="26" fillId="2" borderId="8" xfId="0" applyFont="1" applyFill="1" applyBorder="1" applyAlignment="1">
      <alignment horizontal="right"/>
    </xf>
    <xf numFmtId="167" fontId="30" fillId="0" borderId="0" xfId="3" applyNumberFormat="1" applyFont="1" applyAlignment="1"/>
    <xf numFmtId="170" fontId="26" fillId="2" borderId="7" xfId="2" applyNumberFormat="1" applyFont="1" applyFill="1" applyBorder="1" applyAlignment="1"/>
    <xf numFmtId="167" fontId="32" fillId="0" borderId="0" xfId="3" applyNumberFormat="1" applyFont="1" applyAlignment="1">
      <alignment horizontal="right"/>
    </xf>
    <xf numFmtId="167" fontId="32" fillId="0" borderId="0" xfId="3" applyNumberFormat="1" applyFont="1" applyAlignment="1">
      <alignment horizontal="center" vertical="center"/>
    </xf>
    <xf numFmtId="0" fontId="33" fillId="2" borderId="4" xfId="0" applyFont="1" applyFill="1" applyBorder="1" applyAlignment="1">
      <alignment horizontal="center" vertical="center"/>
    </xf>
    <xf numFmtId="0" fontId="7" fillId="8" borderId="0" xfId="0" applyFont="1" applyFill="1" applyAlignment="1">
      <alignment horizontal="left"/>
    </xf>
    <xf numFmtId="0" fontId="9" fillId="11" borderId="3" xfId="0" applyFont="1" applyFill="1" applyBorder="1" applyAlignment="1">
      <alignment horizontal="left" vertical="center"/>
    </xf>
    <xf numFmtId="0" fontId="9" fillId="2" borderId="6" xfId="0" applyFont="1" applyFill="1" applyBorder="1"/>
    <xf numFmtId="166" fontId="8" fillId="11" borderId="5" xfId="2" applyNumberFormat="1" applyFont="1" applyFill="1" applyBorder="1"/>
    <xf numFmtId="3" fontId="8" fillId="11" borderId="10" xfId="0" applyNumberFormat="1" applyFont="1" applyFill="1" applyBorder="1"/>
    <xf numFmtId="3" fontId="8" fillId="11" borderId="5" xfId="0" applyNumberFormat="1" applyFont="1" applyFill="1" applyBorder="1"/>
    <xf numFmtId="0" fontId="7" fillId="8" borderId="8" xfId="0" applyFont="1" applyFill="1" applyBorder="1" applyAlignment="1"/>
    <xf numFmtId="0" fontId="7" fillId="8" borderId="0" xfId="0" applyFont="1" applyFill="1" applyBorder="1" applyAlignment="1"/>
    <xf numFmtId="0" fontId="7" fillId="8" borderId="9" xfId="0" applyFont="1" applyFill="1" applyBorder="1" applyAlignment="1">
      <alignment horizontal="center" vertical="center" wrapText="1"/>
    </xf>
    <xf numFmtId="0" fontId="6" fillId="10" borderId="13" xfId="0" applyFont="1" applyFill="1" applyBorder="1"/>
    <xf numFmtId="168" fontId="9" fillId="9" borderId="5" xfId="0" applyNumberFormat="1" applyFont="1" applyFill="1" applyBorder="1" applyAlignment="1"/>
    <xf numFmtId="168" fontId="9" fillId="9" borderId="2" xfId="0" applyNumberFormat="1" applyFont="1" applyFill="1" applyBorder="1" applyAlignment="1"/>
    <xf numFmtId="168" fontId="9" fillId="9" borderId="3" xfId="0" applyNumberFormat="1" applyFont="1" applyFill="1" applyBorder="1" applyAlignment="1">
      <alignment horizontal="left"/>
    </xf>
    <xf numFmtId="0" fontId="6" fillId="10" borderId="11" xfId="0" applyFont="1" applyFill="1" applyBorder="1" applyAlignment="1">
      <alignment horizontal="center"/>
    </xf>
    <xf numFmtId="0" fontId="6" fillId="10" borderId="5" xfId="0" applyFont="1" applyFill="1" applyBorder="1" applyAlignment="1">
      <alignment horizontal="center"/>
    </xf>
    <xf numFmtId="2" fontId="7" fillId="8" borderId="9" xfId="0" applyNumberFormat="1" applyFont="1" applyFill="1" applyBorder="1" applyAlignment="1">
      <alignment horizontal="center" vertical="center" wrapText="1"/>
    </xf>
    <xf numFmtId="1" fontId="7" fillId="8" borderId="9" xfId="0" applyNumberFormat="1" applyFont="1" applyFill="1" applyBorder="1" applyAlignment="1">
      <alignment horizontal="center" vertical="center" wrapText="1"/>
    </xf>
    <xf numFmtId="2" fontId="6" fillId="10" borderId="4" xfId="3" applyNumberFormat="1" applyFont="1" applyFill="1" applyBorder="1" applyAlignment="1">
      <alignment horizontal="center"/>
    </xf>
    <xf numFmtId="2" fontId="6" fillId="10" borderId="4" xfId="0" applyNumberFormat="1" applyFont="1" applyFill="1" applyBorder="1" applyAlignment="1">
      <alignment horizontal="center"/>
    </xf>
    <xf numFmtId="1" fontId="6" fillId="10" borderId="4" xfId="0" applyNumberFormat="1" applyFont="1" applyFill="1" applyBorder="1" applyAlignment="1">
      <alignment horizontal="center"/>
    </xf>
    <xf numFmtId="1" fontId="6" fillId="10" borderId="4" xfId="3" applyNumberFormat="1" applyFont="1" applyFill="1" applyBorder="1" applyAlignment="1">
      <alignment horizontal="center"/>
    </xf>
    <xf numFmtId="166" fontId="21" fillId="11" borderId="5" xfId="2" applyNumberFormat="1" applyFont="1" applyFill="1" applyBorder="1"/>
    <xf numFmtId="0" fontId="7" fillId="8" borderId="12" xfId="0" applyFont="1" applyFill="1" applyBorder="1"/>
    <xf numFmtId="0" fontId="9" fillId="5" borderId="8" xfId="0" applyFont="1" applyFill="1" applyBorder="1" applyAlignment="1">
      <alignment horizontal="center"/>
    </xf>
    <xf numFmtId="0" fontId="34" fillId="0" borderId="0" xfId="0" applyFont="1"/>
    <xf numFmtId="0" fontId="3" fillId="4" borderId="3" xfId="0" applyFont="1" applyFill="1" applyBorder="1" applyAlignment="1">
      <alignment horizontal="left" indent="1"/>
    </xf>
    <xf numFmtId="0" fontId="8" fillId="4" borderId="4" xfId="0" applyFont="1" applyFill="1" applyBorder="1"/>
    <xf numFmtId="166" fontId="8" fillId="5" borderId="5" xfId="2" applyNumberFormat="1" applyFont="1" applyFill="1" applyBorder="1" applyAlignment="1">
      <alignment horizontal="center"/>
    </xf>
    <xf numFmtId="0" fontId="8" fillId="4" borderId="5" xfId="0" applyFont="1" applyFill="1" applyBorder="1"/>
    <xf numFmtId="0" fontId="8" fillId="4" borderId="3" xfId="0" applyFont="1" applyFill="1" applyBorder="1"/>
    <xf numFmtId="166" fontId="8" fillId="10" borderId="5" xfId="2" applyNumberFormat="1" applyFont="1" applyFill="1" applyBorder="1" applyAlignment="1">
      <alignment horizontal="center"/>
    </xf>
    <xf numFmtId="0" fontId="9" fillId="5" borderId="1" xfId="0" applyFont="1" applyFill="1" applyBorder="1"/>
    <xf numFmtId="168" fontId="3" fillId="7" borderId="4" xfId="0" applyNumberFormat="1" applyFont="1" applyFill="1" applyBorder="1" applyAlignment="1">
      <alignment horizontal="left"/>
    </xf>
    <xf numFmtId="168" fontId="3" fillId="7" borderId="8" xfId="0" applyNumberFormat="1" applyFont="1" applyFill="1" applyBorder="1" applyAlignment="1">
      <alignment horizontal="left" wrapText="1"/>
    </xf>
    <xf numFmtId="10" fontId="3" fillId="3" borderId="4" xfId="0" applyNumberFormat="1" applyFont="1" applyFill="1" applyBorder="1" applyAlignment="1">
      <alignment horizontal="center" vertical="center" wrapText="1"/>
    </xf>
    <xf numFmtId="10" fontId="6" fillId="10" borderId="4" xfId="1" applyNumberFormat="1" applyFont="1" applyFill="1" applyBorder="1" applyAlignment="1">
      <alignment horizontal="center" vertical="center"/>
    </xf>
    <xf numFmtId="10" fontId="6" fillId="10" borderId="4" xfId="1" applyNumberFormat="1" applyFont="1" applyFill="1" applyBorder="1" applyAlignment="1">
      <alignment horizontal="center" vertical="center" wrapText="1"/>
    </xf>
    <xf numFmtId="0" fontId="4" fillId="0" borderId="0" xfId="0" applyFont="1"/>
    <xf numFmtId="10" fontId="4" fillId="0" borderId="0" xfId="1" applyNumberFormat="1" applyFont="1"/>
    <xf numFmtId="10" fontId="4" fillId="0" borderId="0" xfId="0" applyNumberFormat="1" applyFont="1"/>
    <xf numFmtId="0" fontId="35" fillId="0" borderId="0" xfId="0" applyFont="1"/>
    <xf numFmtId="165" fontId="7" fillId="15" borderId="4" xfId="3" applyFont="1" applyFill="1" applyBorder="1" applyAlignment="1">
      <alignment horizontal="left"/>
    </xf>
    <xf numFmtId="165" fontId="7" fillId="15" borderId="4" xfId="3" applyFont="1" applyFill="1" applyBorder="1" applyAlignment="1">
      <alignment horizontal="center"/>
    </xf>
    <xf numFmtId="165" fontId="3" fillId="5" borderId="4" xfId="3" applyFont="1" applyFill="1" applyBorder="1" applyAlignment="1">
      <alignment horizontal="left" indent="2"/>
    </xf>
    <xf numFmtId="165" fontId="3" fillId="5" borderId="4" xfId="3" applyFont="1" applyFill="1" applyBorder="1"/>
    <xf numFmtId="171" fontId="3" fillId="5" borderId="4" xfId="3" applyNumberFormat="1" applyFont="1" applyFill="1" applyBorder="1"/>
    <xf numFmtId="165" fontId="8" fillId="5" borderId="4" xfId="3" applyFont="1" applyFill="1" applyBorder="1"/>
    <xf numFmtId="171" fontId="8" fillId="5" borderId="4" xfId="3" applyNumberFormat="1" applyFont="1" applyFill="1" applyBorder="1"/>
    <xf numFmtId="0" fontId="8" fillId="5" borderId="5" xfId="0" applyFont="1" applyFill="1" applyBorder="1"/>
    <xf numFmtId="0" fontId="8" fillId="5" borderId="0" xfId="0" applyFont="1" applyFill="1" applyBorder="1"/>
    <xf numFmtId="0" fontId="4" fillId="0" borderId="6" xfId="0" applyFont="1" applyFill="1" applyBorder="1" applyAlignment="1">
      <alignment textRotation="90"/>
    </xf>
    <xf numFmtId="0" fontId="9" fillId="0" borderId="8" xfId="0" applyFont="1" applyFill="1" applyBorder="1"/>
    <xf numFmtId="0" fontId="36" fillId="4" borderId="5" xfId="0" applyFont="1" applyFill="1" applyBorder="1"/>
    <xf numFmtId="0" fontId="8" fillId="4" borderId="5" xfId="0" applyFont="1" applyFill="1" applyBorder="1" applyAlignment="1"/>
    <xf numFmtId="0" fontId="8" fillId="4" borderId="2" xfId="0" applyFont="1" applyFill="1" applyBorder="1" applyAlignment="1"/>
    <xf numFmtId="0" fontId="3" fillId="4" borderId="4" xfId="0" applyFont="1" applyFill="1" applyBorder="1" applyAlignment="1">
      <alignment horizontal="left"/>
    </xf>
    <xf numFmtId="165" fontId="37" fillId="10" borderId="4" xfId="3" applyFont="1" applyFill="1" applyBorder="1"/>
    <xf numFmtId="165" fontId="3" fillId="10" borderId="4" xfId="3" applyFont="1" applyFill="1" applyBorder="1"/>
    <xf numFmtId="165" fontId="8" fillId="5" borderId="4" xfId="3" applyFont="1" applyFill="1" applyBorder="1" applyAlignment="1">
      <alignment horizontal="left"/>
    </xf>
    <xf numFmtId="0" fontId="8" fillId="4" borderId="4" xfId="0" applyFont="1" applyFill="1" applyBorder="1" applyAlignment="1">
      <alignment horizontal="left"/>
    </xf>
    <xf numFmtId="165" fontId="38" fillId="10" borderId="4" xfId="3" applyFont="1" applyFill="1" applyBorder="1"/>
    <xf numFmtId="165" fontId="8" fillId="10" borderId="4" xfId="3" applyFont="1" applyFill="1" applyBorder="1"/>
    <xf numFmtId="0" fontId="3" fillId="4" borderId="7" xfId="0" applyFont="1" applyFill="1" applyBorder="1" applyAlignment="1">
      <alignment horizontal="left"/>
    </xf>
    <xf numFmtId="171" fontId="3" fillId="10" borderId="4" xfId="3" applyNumberFormat="1" applyFont="1" applyFill="1" applyBorder="1"/>
    <xf numFmtId="0" fontId="18" fillId="4" borderId="8" xfId="0" applyFont="1" applyFill="1" applyBorder="1"/>
    <xf numFmtId="0" fontId="18" fillId="4" borderId="0" xfId="0" applyFont="1" applyFill="1" applyBorder="1"/>
    <xf numFmtId="0" fontId="20" fillId="4" borderId="5" xfId="0" applyFont="1" applyFill="1" applyBorder="1" applyAlignment="1">
      <alignment horizontal="left"/>
    </xf>
    <xf numFmtId="0" fontId="18" fillId="4" borderId="4" xfId="0" applyFont="1" applyFill="1" applyBorder="1"/>
    <xf numFmtId="0" fontId="18" fillId="4" borderId="4" xfId="0" quotePrefix="1" applyFont="1" applyFill="1" applyBorder="1"/>
    <xf numFmtId="0" fontId="18" fillId="4" borderId="2" xfId="0" applyFont="1" applyFill="1" applyBorder="1" applyAlignment="1">
      <alignment horizontal="left"/>
    </xf>
    <xf numFmtId="0" fontId="18" fillId="4" borderId="2" xfId="0" applyFont="1" applyFill="1" applyBorder="1"/>
    <xf numFmtId="3" fontId="19" fillId="5" borderId="4" xfId="0" applyNumberFormat="1" applyFont="1" applyFill="1" applyBorder="1"/>
    <xf numFmtId="0" fontId="19" fillId="5" borderId="5" xfId="0" applyFont="1" applyFill="1" applyBorder="1"/>
    <xf numFmtId="0" fontId="19" fillId="5" borderId="2" xfId="0" applyFont="1" applyFill="1" applyBorder="1"/>
    <xf numFmtId="166" fontId="18" fillId="10" borderId="9" xfId="2" applyNumberFormat="1" applyFont="1" applyFill="1" applyBorder="1"/>
    <xf numFmtId="166" fontId="19" fillId="5" borderId="5" xfId="2" applyNumberFormat="1" applyFont="1" applyFill="1" applyBorder="1"/>
    <xf numFmtId="166" fontId="19" fillId="5" borderId="4" xfId="2" applyNumberFormat="1" applyFont="1" applyFill="1" applyBorder="1"/>
    <xf numFmtId="168" fontId="3" fillId="10" borderId="9" xfId="0" applyNumberFormat="1" applyFont="1" applyFill="1" applyBorder="1" applyAlignment="1">
      <alignment horizontal="left"/>
    </xf>
    <xf numFmtId="0" fontId="3" fillId="4" borderId="9" xfId="0" applyFont="1" applyFill="1" applyBorder="1"/>
    <xf numFmtId="3" fontId="21" fillId="11" borderId="10" xfId="0" applyNumberFormat="1" applyFont="1" applyFill="1" applyBorder="1"/>
    <xf numFmtId="3" fontId="21" fillId="11" borderId="5" xfId="0" applyNumberFormat="1" applyFont="1" applyFill="1" applyBorder="1"/>
    <xf numFmtId="172" fontId="18" fillId="10" borderId="9" xfId="0" applyNumberFormat="1" applyFont="1" applyFill="1" applyBorder="1"/>
    <xf numFmtId="172" fontId="21" fillId="11" borderId="8" xfId="0" applyNumberFormat="1" applyFont="1" applyFill="1" applyBorder="1"/>
    <xf numFmtId="0" fontId="9" fillId="5" borderId="5" xfId="0" applyFont="1" applyFill="1" applyBorder="1"/>
    <xf numFmtId="165" fontId="3" fillId="11" borderId="4" xfId="3" applyFont="1" applyFill="1" applyBorder="1"/>
    <xf numFmtId="171" fontId="8" fillId="11" borderId="4" xfId="3" applyNumberFormat="1" applyFont="1" applyFill="1" applyBorder="1"/>
    <xf numFmtId="165" fontId="11" fillId="5" borderId="4" xfId="3" applyFont="1" applyFill="1" applyBorder="1"/>
    <xf numFmtId="10" fontId="3" fillId="3" borderId="4" xfId="0" applyNumberFormat="1" applyFont="1" applyFill="1" applyBorder="1" applyAlignment="1">
      <alignment horizontal="center" vertical="center"/>
    </xf>
    <xf numFmtId="165" fontId="38" fillId="5" borderId="4" xfId="3" applyFont="1" applyFill="1" applyBorder="1"/>
    <xf numFmtId="165" fontId="38" fillId="11" borderId="4" xfId="3" applyFont="1" applyFill="1" applyBorder="1"/>
    <xf numFmtId="165" fontId="8" fillId="11" borderId="4" xfId="3" applyFont="1" applyFill="1" applyBorder="1"/>
    <xf numFmtId="0" fontId="25" fillId="7" borderId="1" xfId="0" applyFont="1" applyFill="1" applyBorder="1" applyAlignment="1">
      <alignment horizontal="left" wrapText="1"/>
    </xf>
    <xf numFmtId="0" fontId="25" fillId="7" borderId="0" xfId="0" applyFont="1" applyFill="1" applyBorder="1" applyAlignment="1">
      <alignment horizontal="left" wrapText="1"/>
    </xf>
    <xf numFmtId="0" fontId="31" fillId="7" borderId="0" xfId="0" quotePrefix="1" applyFont="1" applyFill="1" applyBorder="1" applyAlignment="1">
      <alignment horizontal="left" vertical="top" wrapText="1"/>
    </xf>
    <xf numFmtId="0" fontId="25" fillId="7" borderId="0" xfId="0" quotePrefix="1" applyFont="1" applyFill="1" applyBorder="1" applyAlignment="1">
      <alignment horizontal="left" vertical="top" wrapText="1"/>
    </xf>
    <xf numFmtId="0" fontId="25" fillId="7" borderId="0" xfId="0" applyFont="1" applyFill="1" applyBorder="1" applyAlignment="1">
      <alignment horizontal="left" vertical="top" wrapText="1"/>
    </xf>
    <xf numFmtId="0" fontId="27" fillId="7" borderId="5" xfId="0" applyNumberFormat="1" applyFont="1" applyFill="1" applyBorder="1" applyAlignment="1">
      <alignment horizontal="left" wrapText="1"/>
    </xf>
    <xf numFmtId="0" fontId="27" fillId="7" borderId="1" xfId="0" applyNumberFormat="1" applyFont="1" applyFill="1" applyBorder="1" applyAlignment="1">
      <alignment horizontal="left" wrapText="1"/>
    </xf>
    <xf numFmtId="0" fontId="25" fillId="7" borderId="1" xfId="0" applyFont="1" applyFill="1" applyBorder="1" applyAlignment="1">
      <alignment horizontal="left" vertical="top" wrapText="1"/>
    </xf>
    <xf numFmtId="0" fontId="25" fillId="2" borderId="5" xfId="0" applyFont="1" applyFill="1" applyBorder="1" applyAlignment="1">
      <alignment horizontal="center"/>
    </xf>
    <xf numFmtId="0" fontId="25" fillId="2" borderId="3" xfId="0" applyFont="1" applyFill="1" applyBorder="1" applyAlignment="1">
      <alignment horizontal="center"/>
    </xf>
    <xf numFmtId="168" fontId="30" fillId="7" borderId="8" xfId="0" applyNumberFormat="1" applyFont="1" applyFill="1" applyBorder="1" applyAlignment="1">
      <alignment horizontal="left"/>
    </xf>
    <xf numFmtId="168" fontId="30" fillId="7" borderId="0" xfId="0" applyNumberFormat="1" applyFont="1" applyFill="1" applyBorder="1" applyAlignment="1">
      <alignment horizontal="left"/>
    </xf>
    <xf numFmtId="0" fontId="9" fillId="9" borderId="9" xfId="0" applyFont="1" applyFill="1" applyBorder="1" applyAlignment="1">
      <alignment horizontal="left" vertical="center"/>
    </xf>
    <xf numFmtId="0" fontId="9" fillId="9" borderId="7" xfId="0" applyFont="1" applyFill="1" applyBorder="1" applyAlignment="1">
      <alignment horizontal="left" vertical="center"/>
    </xf>
    <xf numFmtId="0" fontId="9" fillId="9" borderId="13" xfId="0" applyFont="1" applyFill="1" applyBorder="1" applyAlignment="1">
      <alignment horizontal="left" vertical="center"/>
    </xf>
    <xf numFmtId="0" fontId="12" fillId="10" borderId="0" xfId="0" applyFont="1" applyFill="1" applyAlignment="1">
      <alignment horizontal="center"/>
    </xf>
    <xf numFmtId="0" fontId="3" fillId="4" borderId="1" xfId="0" applyFont="1" applyFill="1" applyBorder="1" applyAlignment="1">
      <alignment horizontal="left" vertical="top" wrapText="1"/>
    </xf>
    <xf numFmtId="0" fontId="8" fillId="4" borderId="8" xfId="0" applyFont="1" applyFill="1" applyBorder="1" applyAlignment="1">
      <alignment horizontal="left"/>
    </xf>
    <xf numFmtId="0" fontId="8" fillId="4" borderId="0" xfId="0" applyFont="1" applyFill="1" applyBorder="1" applyAlignment="1">
      <alignment horizontal="left"/>
    </xf>
    <xf numFmtId="0" fontId="7" fillId="8" borderId="12" xfId="0" applyFont="1" applyFill="1" applyBorder="1" applyAlignment="1">
      <alignment horizontal="left"/>
    </xf>
    <xf numFmtId="49" fontId="11" fillId="10" borderId="1" xfId="0" applyNumberFormat="1" applyFont="1" applyFill="1" applyBorder="1" applyAlignment="1">
      <alignment horizontal="left" vertical="top" wrapText="1"/>
    </xf>
    <xf numFmtId="0" fontId="3" fillId="10" borderId="1" xfId="0" applyFont="1" applyFill="1" applyBorder="1" applyAlignment="1">
      <alignment horizontal="left" vertical="top" wrapText="1"/>
    </xf>
    <xf numFmtId="0" fontId="3" fillId="4" borderId="0" xfId="0" applyFont="1" applyFill="1" applyBorder="1" applyAlignment="1">
      <alignment horizontal="left" vertical="top" wrapText="1"/>
    </xf>
    <xf numFmtId="0" fontId="11" fillId="4" borderId="10" xfId="0" applyFont="1" applyFill="1" applyBorder="1" applyAlignment="1">
      <alignment horizontal="left" vertical="top" wrapText="1"/>
    </xf>
    <xf numFmtId="0" fontId="11" fillId="4" borderId="1" xfId="0" applyFont="1" applyFill="1" applyBorder="1" applyAlignment="1">
      <alignment horizontal="left" vertical="top" wrapText="1"/>
    </xf>
    <xf numFmtId="0" fontId="11" fillId="4" borderId="8" xfId="0" applyFont="1" applyFill="1" applyBorder="1" applyAlignment="1">
      <alignment horizontal="left" vertical="top" wrapText="1"/>
    </xf>
    <xf numFmtId="0" fontId="11" fillId="4" borderId="0" xfId="0" applyFont="1" applyFill="1" applyBorder="1" applyAlignment="1">
      <alignment horizontal="left" vertical="top" wrapText="1"/>
    </xf>
    <xf numFmtId="0" fontId="3" fillId="4" borderId="10" xfId="0" quotePrefix="1" applyFont="1" applyFill="1" applyBorder="1" applyAlignment="1">
      <alignment horizontal="left" vertical="top" wrapText="1"/>
    </xf>
    <xf numFmtId="0" fontId="3" fillId="4" borderId="1" xfId="0" quotePrefix="1" applyFont="1" applyFill="1" applyBorder="1" applyAlignment="1">
      <alignment horizontal="left" vertical="top" wrapText="1"/>
    </xf>
    <xf numFmtId="0" fontId="3" fillId="4" borderId="8" xfId="0" quotePrefix="1" applyFont="1" applyFill="1" applyBorder="1" applyAlignment="1">
      <alignment horizontal="left" vertical="top" wrapText="1"/>
    </xf>
    <xf numFmtId="0" fontId="3" fillId="4" borderId="0" xfId="0" quotePrefix="1" applyFont="1" applyFill="1" applyBorder="1" applyAlignment="1">
      <alignment horizontal="left" vertical="top" wrapText="1"/>
    </xf>
    <xf numFmtId="0" fontId="7" fillId="12" borderId="0" xfId="0" applyFont="1" applyFill="1" applyBorder="1" applyAlignment="1">
      <alignment horizontal="center"/>
    </xf>
    <xf numFmtId="2" fontId="7" fillId="13" borderId="0" xfId="0" applyNumberFormat="1" applyFont="1" applyFill="1" applyAlignment="1">
      <alignment horizontal="center"/>
    </xf>
    <xf numFmtId="0" fontId="9" fillId="11" borderId="5" xfId="0" applyFont="1" applyFill="1" applyBorder="1" applyAlignment="1">
      <alignment horizontal="left" vertical="center"/>
    </xf>
    <xf numFmtId="0" fontId="9" fillId="11" borderId="3" xfId="0" applyFont="1" applyFill="1" applyBorder="1" applyAlignment="1">
      <alignment horizontal="left" vertical="center"/>
    </xf>
    <xf numFmtId="0" fontId="5" fillId="0" borderId="6" xfId="0" applyFont="1" applyFill="1" applyBorder="1" applyAlignment="1">
      <alignment horizontal="center" textRotation="90"/>
    </xf>
    <xf numFmtId="0" fontId="8" fillId="4" borderId="5" xfId="0" applyFont="1" applyFill="1" applyBorder="1" applyAlignment="1">
      <alignment horizontal="center"/>
    </xf>
    <xf numFmtId="0" fontId="8" fillId="4" borderId="2" xfId="0" applyFont="1" applyFill="1" applyBorder="1" applyAlignment="1">
      <alignment horizontal="center"/>
    </xf>
    <xf numFmtId="10" fontId="35" fillId="3" borderId="0" xfId="0" applyNumberFormat="1" applyFont="1" applyFill="1" applyBorder="1" applyAlignment="1">
      <alignment horizontal="center"/>
    </xf>
    <xf numFmtId="0" fontId="4" fillId="0" borderId="6" xfId="0" applyFont="1" applyFill="1" applyBorder="1" applyAlignment="1">
      <alignment horizontal="center" textRotation="90"/>
    </xf>
    <xf numFmtId="10" fontId="35" fillId="14" borderId="12" xfId="0" applyNumberFormat="1" applyFont="1" applyFill="1" applyBorder="1" applyAlignment="1">
      <alignment horizontal="center"/>
    </xf>
    <xf numFmtId="10" fontId="35" fillId="14" borderId="0" xfId="0" applyNumberFormat="1" applyFont="1" applyFill="1" applyBorder="1" applyAlignment="1">
      <alignment horizontal="center"/>
    </xf>
    <xf numFmtId="0" fontId="22" fillId="4" borderId="1" xfId="0" applyFont="1" applyFill="1" applyBorder="1" applyAlignment="1">
      <alignment horizontal="left" vertical="top"/>
    </xf>
    <xf numFmtId="0" fontId="22" fillId="4" borderId="0" xfId="0" applyFont="1" applyFill="1" applyBorder="1" applyAlignment="1">
      <alignment horizontal="left" vertical="top"/>
    </xf>
    <xf numFmtId="0" fontId="2" fillId="4" borderId="1" xfId="0" quotePrefix="1" applyFont="1" applyFill="1" applyBorder="1" applyAlignment="1">
      <alignment horizontal="left" vertical="top" wrapText="1"/>
    </xf>
    <xf numFmtId="0" fontId="18" fillId="4" borderId="1" xfId="0" quotePrefix="1" applyFont="1" applyFill="1" applyBorder="1" applyAlignment="1">
      <alignment horizontal="left" vertical="top" wrapText="1"/>
    </xf>
    <xf numFmtId="0" fontId="18" fillId="4" borderId="0" xfId="0" quotePrefix="1" applyFont="1" applyFill="1" applyBorder="1" applyAlignment="1">
      <alignment horizontal="left" vertical="top" wrapText="1"/>
    </xf>
    <xf numFmtId="0" fontId="7" fillId="8" borderId="12" xfId="0" applyFont="1" applyFill="1" applyBorder="1" applyAlignment="1">
      <alignment horizontal="center"/>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EAEAEA"/>
      <color rgb="FFBFBFBF"/>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5"/>
  <sheetViews>
    <sheetView showGridLines="0" tabSelected="1" zoomScaleNormal="100" workbookViewId="0">
      <selection activeCell="H64" sqref="H64"/>
    </sheetView>
  </sheetViews>
  <sheetFormatPr defaultColWidth="9.140625" defaultRowHeight="12.75" x14ac:dyDescent="0.2"/>
  <cols>
    <col min="1" max="1" width="2.42578125" style="106" customWidth="1"/>
    <col min="2" max="2" width="41.85546875" style="106" customWidth="1"/>
    <col min="3" max="3" width="29" style="106" customWidth="1"/>
    <col min="4" max="4" width="14.28515625" style="106" customWidth="1"/>
    <col min="5" max="5" width="13.85546875" style="106" customWidth="1"/>
    <col min="6" max="6" width="14" style="106" customWidth="1"/>
    <col min="7" max="7" width="12.85546875" style="106" customWidth="1"/>
    <col min="8" max="8" width="13.28515625" style="106" customWidth="1"/>
    <col min="9" max="9" width="11.5703125" style="106" customWidth="1"/>
    <col min="10" max="16384" width="9.140625" style="106"/>
  </cols>
  <sheetData>
    <row r="2" spans="2:19" x14ac:dyDescent="0.2">
      <c r="B2" s="104" t="s">
        <v>7</v>
      </c>
      <c r="C2" s="105"/>
      <c r="D2" s="105"/>
      <c r="E2" s="105"/>
      <c r="F2" s="105"/>
      <c r="G2" s="105"/>
      <c r="H2" s="105"/>
      <c r="O2" s="107"/>
      <c r="P2" s="107"/>
      <c r="Q2" s="107"/>
      <c r="R2" s="107"/>
      <c r="S2" s="107"/>
    </row>
    <row r="3" spans="2:19" ht="75.75" customHeight="1" x14ac:dyDescent="0.2">
      <c r="B3" s="108" t="s">
        <v>51</v>
      </c>
      <c r="C3" s="247" t="s">
        <v>60</v>
      </c>
      <c r="D3" s="248"/>
      <c r="E3" s="248"/>
      <c r="F3" s="248"/>
      <c r="G3" s="248"/>
      <c r="H3" s="248"/>
      <c r="M3" s="109"/>
      <c r="N3" s="109"/>
      <c r="O3" s="107"/>
      <c r="P3" s="107"/>
      <c r="Q3" s="107"/>
      <c r="R3" s="107"/>
      <c r="S3" s="107"/>
    </row>
    <row r="4" spans="2:19" ht="55.5" customHeight="1" x14ac:dyDescent="0.2">
      <c r="B4" s="110"/>
      <c r="C4" s="250"/>
      <c r="D4" s="251"/>
      <c r="E4" s="111"/>
      <c r="F4" s="111"/>
      <c r="G4" s="111"/>
      <c r="H4" s="111"/>
      <c r="M4" s="109"/>
      <c r="N4" s="109"/>
      <c r="O4" s="107"/>
      <c r="P4" s="107"/>
      <c r="Q4" s="107"/>
      <c r="R4" s="107"/>
      <c r="S4" s="107"/>
    </row>
    <row r="5" spans="2:19" x14ac:dyDescent="0.2">
      <c r="B5" s="112" t="s">
        <v>12</v>
      </c>
      <c r="C5" s="113"/>
      <c r="D5" s="150" t="s">
        <v>84</v>
      </c>
      <c r="E5" s="114"/>
      <c r="F5" s="114"/>
      <c r="G5" s="114"/>
      <c r="H5" s="114"/>
      <c r="M5" s="109"/>
      <c r="N5" s="109"/>
      <c r="O5" s="107"/>
      <c r="P5" s="107"/>
      <c r="Q5" s="107"/>
      <c r="R5" s="107"/>
      <c r="S5" s="107"/>
    </row>
    <row r="6" spans="2:19" x14ac:dyDescent="0.2">
      <c r="B6" s="115" t="s">
        <v>38</v>
      </c>
      <c r="C6" s="116"/>
      <c r="D6" s="116" t="s">
        <v>66</v>
      </c>
      <c r="E6" s="117"/>
      <c r="F6" s="117"/>
      <c r="G6" s="117"/>
      <c r="H6" s="117"/>
      <c r="M6" s="109"/>
      <c r="N6" s="109"/>
      <c r="O6" s="107"/>
      <c r="P6" s="107"/>
      <c r="Q6" s="107"/>
      <c r="R6" s="107"/>
      <c r="S6" s="107"/>
    </row>
    <row r="7" spans="2:19" ht="15" customHeight="1" x14ac:dyDescent="0.2">
      <c r="B7" s="254" t="s">
        <v>102</v>
      </c>
      <c r="C7" s="183" t="s">
        <v>93</v>
      </c>
      <c r="D7" s="118">
        <f>'Proposed price'!Q20-'Proposed price'!Q7</f>
        <v>103.99340575524377</v>
      </c>
      <c r="E7" s="117"/>
      <c r="F7" s="117"/>
      <c r="G7" s="117"/>
      <c r="H7" s="117"/>
      <c r="M7" s="109"/>
      <c r="N7" s="109"/>
      <c r="O7" s="107"/>
      <c r="P7" s="107"/>
      <c r="Q7" s="107"/>
      <c r="R7" s="107"/>
      <c r="S7" s="107"/>
    </row>
    <row r="8" spans="2:19" ht="15" customHeight="1" x14ac:dyDescent="0.2">
      <c r="B8" s="255"/>
      <c r="C8" s="183" t="s">
        <v>127</v>
      </c>
      <c r="D8" s="118">
        <f>'Proposed price'!Q21-'Proposed price'!Q8</f>
        <v>112.59146438989421</v>
      </c>
      <c r="E8" s="117"/>
      <c r="F8" s="117"/>
      <c r="G8" s="117"/>
      <c r="H8" s="117"/>
      <c r="M8" s="109"/>
      <c r="N8" s="109"/>
      <c r="O8" s="107"/>
      <c r="P8" s="107"/>
      <c r="Q8" s="107"/>
      <c r="R8" s="107"/>
      <c r="S8" s="107"/>
    </row>
    <row r="9" spans="2:19" ht="15" customHeight="1" x14ac:dyDescent="0.2">
      <c r="B9" s="255"/>
      <c r="C9" s="183" t="s">
        <v>128</v>
      </c>
      <c r="D9" s="118">
        <f>'Proposed price'!Q22-'Proposed price'!Q9</f>
        <v>145.62252869609722</v>
      </c>
      <c r="E9" s="117"/>
      <c r="F9" s="117"/>
      <c r="G9" s="117"/>
      <c r="H9" s="117"/>
      <c r="M9" s="109"/>
      <c r="N9" s="109"/>
      <c r="O9" s="107"/>
      <c r="P9" s="107"/>
      <c r="Q9" s="107"/>
      <c r="R9" s="107"/>
      <c r="S9" s="107"/>
    </row>
    <row r="10" spans="2:19" x14ac:dyDescent="0.2">
      <c r="B10" s="255"/>
      <c r="C10" s="183" t="s">
        <v>129</v>
      </c>
      <c r="D10" s="118">
        <f>'Proposed price'!Q23-'Proposed price'!Q10</f>
        <v>145.62252869609719</v>
      </c>
      <c r="E10" s="117"/>
      <c r="F10" s="117"/>
      <c r="G10" s="117"/>
      <c r="H10" s="117"/>
      <c r="M10" s="109"/>
      <c r="N10" s="109"/>
      <c r="O10" s="107"/>
      <c r="P10" s="107"/>
      <c r="Q10" s="107"/>
      <c r="R10" s="107"/>
      <c r="S10" s="107"/>
    </row>
    <row r="11" spans="2:19" x14ac:dyDescent="0.2">
      <c r="B11" s="255"/>
      <c r="C11" s="183" t="s">
        <v>130</v>
      </c>
      <c r="D11" s="118">
        <f>'Proposed price'!Q24-'Proposed price'!Q11</f>
        <v>167.26513539123303</v>
      </c>
      <c r="E11" s="117"/>
      <c r="F11" s="117"/>
      <c r="G11" s="117"/>
      <c r="H11" s="117"/>
      <c r="O11" s="107"/>
      <c r="P11" s="107"/>
      <c r="Q11" s="107"/>
      <c r="R11" s="107"/>
      <c r="S11" s="107"/>
    </row>
    <row r="12" spans="2:19" ht="25.5" x14ac:dyDescent="0.2">
      <c r="B12" s="255"/>
      <c r="C12" s="184" t="s">
        <v>131</v>
      </c>
      <c r="D12" s="238">
        <f>(1+D13)*(1+D14)-1</f>
        <v>0.55889567721915312</v>
      </c>
      <c r="E12" s="117"/>
      <c r="F12" s="117"/>
      <c r="G12" s="117"/>
      <c r="H12" s="117"/>
      <c r="O12" s="107"/>
      <c r="P12" s="107"/>
      <c r="Q12" s="107"/>
      <c r="R12" s="107"/>
      <c r="S12" s="107"/>
    </row>
    <row r="13" spans="2:19" x14ac:dyDescent="0.2">
      <c r="B13" s="255"/>
      <c r="C13" s="183" t="s">
        <v>132</v>
      </c>
      <c r="D13" s="185">
        <f>'Proposed price'!N12</f>
        <v>0.46592661151676018</v>
      </c>
      <c r="E13" s="117"/>
      <c r="F13" s="117"/>
      <c r="G13" s="117"/>
      <c r="H13" s="117"/>
      <c r="O13" s="107"/>
      <c r="P13" s="107"/>
      <c r="Q13" s="107"/>
      <c r="R13" s="107"/>
      <c r="S13" s="107"/>
    </row>
    <row r="14" spans="2:19" x14ac:dyDescent="0.2">
      <c r="B14" s="256"/>
      <c r="C14" s="183" t="s">
        <v>133</v>
      </c>
      <c r="D14" s="185">
        <f>'Proposed price'!P12</f>
        <v>6.3420000000000004E-2</v>
      </c>
      <c r="E14" s="117"/>
      <c r="F14" s="117"/>
      <c r="G14" s="117"/>
      <c r="H14" s="117"/>
      <c r="O14" s="107"/>
      <c r="P14" s="107"/>
      <c r="Q14" s="107"/>
      <c r="R14" s="107"/>
      <c r="S14" s="107"/>
    </row>
    <row r="15" spans="2:19" x14ac:dyDescent="0.2">
      <c r="B15" s="119" t="s">
        <v>44</v>
      </c>
      <c r="C15" s="252" t="s">
        <v>65</v>
      </c>
      <c r="D15" s="253"/>
      <c r="E15" s="120"/>
      <c r="F15" s="120"/>
      <c r="G15" s="120"/>
      <c r="H15" s="120"/>
      <c r="O15" s="107"/>
      <c r="P15" s="107"/>
      <c r="Q15" s="107"/>
      <c r="R15" s="107"/>
      <c r="S15" s="107"/>
    </row>
    <row r="16" spans="2:19" x14ac:dyDescent="0.2">
      <c r="B16" s="121" t="s">
        <v>5</v>
      </c>
      <c r="C16" s="122"/>
      <c r="D16" s="122"/>
      <c r="E16" s="123"/>
      <c r="F16" s="123"/>
      <c r="G16" s="123"/>
      <c r="H16" s="123"/>
      <c r="O16" s="107"/>
      <c r="P16" s="107"/>
      <c r="Q16" s="107"/>
      <c r="R16" s="107"/>
      <c r="S16" s="107"/>
    </row>
    <row r="17" spans="2:19" ht="81" customHeight="1" x14ac:dyDescent="0.2">
      <c r="B17" s="249" t="s">
        <v>101</v>
      </c>
      <c r="C17" s="249"/>
      <c r="D17" s="249"/>
      <c r="E17" s="249"/>
      <c r="F17" s="249"/>
      <c r="G17" s="249"/>
      <c r="H17" s="249"/>
      <c r="O17" s="107"/>
      <c r="P17" s="107"/>
      <c r="Q17" s="107"/>
      <c r="R17" s="107"/>
      <c r="S17" s="107"/>
    </row>
    <row r="18" spans="2:19" x14ac:dyDescent="0.2">
      <c r="B18" s="124"/>
      <c r="C18" s="124"/>
      <c r="D18" s="124"/>
      <c r="E18" s="124"/>
      <c r="F18" s="124"/>
      <c r="G18" s="124"/>
      <c r="H18" s="124"/>
      <c r="O18" s="107"/>
      <c r="P18" s="107"/>
      <c r="Q18" s="107"/>
      <c r="R18" s="107"/>
      <c r="S18" s="107"/>
    </row>
    <row r="19" spans="2:19" x14ac:dyDescent="0.2">
      <c r="O19" s="107"/>
      <c r="P19" s="107"/>
      <c r="Q19" s="107"/>
      <c r="R19" s="107"/>
      <c r="S19" s="107"/>
    </row>
    <row r="20" spans="2:19" x14ac:dyDescent="0.2">
      <c r="B20" s="125" t="s">
        <v>31</v>
      </c>
      <c r="C20" s="105"/>
      <c r="D20" s="105"/>
      <c r="E20" s="105"/>
      <c r="F20" s="105"/>
      <c r="G20" s="105"/>
      <c r="H20" s="105"/>
      <c r="O20" s="107"/>
      <c r="P20" s="107"/>
      <c r="Q20" s="107"/>
      <c r="R20" s="107"/>
      <c r="S20" s="107"/>
    </row>
    <row r="21" spans="2:19" x14ac:dyDescent="0.2">
      <c r="B21" s="243"/>
      <c r="C21" s="243"/>
      <c r="D21" s="243"/>
      <c r="E21" s="243"/>
      <c r="F21" s="243"/>
      <c r="G21" s="243"/>
      <c r="H21" s="243"/>
    </row>
    <row r="22" spans="2:19" ht="123.75" customHeight="1" x14ac:dyDescent="0.2">
      <c r="B22" s="245" t="s">
        <v>168</v>
      </c>
      <c r="C22" s="245"/>
      <c r="D22" s="245"/>
      <c r="E22" s="245"/>
      <c r="F22" s="245"/>
      <c r="G22" s="245"/>
      <c r="H22" s="245"/>
      <c r="I22" s="107"/>
    </row>
    <row r="23" spans="2:19" x14ac:dyDescent="0.2">
      <c r="B23" s="126"/>
      <c r="C23" s="126"/>
      <c r="D23" s="126"/>
      <c r="E23" s="126"/>
      <c r="F23" s="126"/>
      <c r="G23" s="126"/>
      <c r="H23" s="126"/>
    </row>
    <row r="24" spans="2:19" x14ac:dyDescent="0.2">
      <c r="B24" s="127"/>
      <c r="C24" s="127"/>
      <c r="D24" s="127"/>
      <c r="E24" s="127"/>
      <c r="F24" s="127"/>
      <c r="G24" s="127"/>
      <c r="H24" s="127"/>
    </row>
    <row r="25" spans="2:19" x14ac:dyDescent="0.2">
      <c r="B25" s="125" t="s">
        <v>39</v>
      </c>
      <c r="C25" s="105"/>
      <c r="D25" s="105"/>
      <c r="E25" s="105"/>
      <c r="F25" s="105"/>
      <c r="G25" s="105"/>
      <c r="H25" s="105"/>
    </row>
    <row r="26" spans="2:19" x14ac:dyDescent="0.2">
      <c r="B26" s="243"/>
      <c r="C26" s="243"/>
      <c r="D26" s="243"/>
      <c r="E26" s="243"/>
      <c r="F26" s="243"/>
      <c r="G26" s="243"/>
      <c r="H26" s="243"/>
    </row>
    <row r="27" spans="2:19" x14ac:dyDescent="0.2">
      <c r="B27" s="244" t="s">
        <v>62</v>
      </c>
      <c r="C27" s="244"/>
      <c r="D27" s="244"/>
      <c r="E27" s="244"/>
      <c r="F27" s="244"/>
      <c r="G27" s="244"/>
      <c r="H27" s="244"/>
    </row>
    <row r="28" spans="2:19" x14ac:dyDescent="0.2">
      <c r="B28" s="245"/>
      <c r="C28" s="245"/>
      <c r="D28" s="245"/>
      <c r="E28" s="245"/>
      <c r="F28" s="245"/>
      <c r="G28" s="245"/>
      <c r="H28" s="245"/>
    </row>
    <row r="29" spans="2:19" x14ac:dyDescent="0.2">
      <c r="B29" s="245"/>
      <c r="C29" s="246"/>
      <c r="D29" s="246"/>
      <c r="E29" s="246"/>
      <c r="F29" s="246"/>
      <c r="G29" s="246"/>
      <c r="H29" s="246"/>
    </row>
    <row r="30" spans="2:19" x14ac:dyDescent="0.2">
      <c r="B30" s="128"/>
      <c r="C30" s="128"/>
      <c r="D30" s="128"/>
      <c r="E30" s="128"/>
      <c r="F30" s="128"/>
      <c r="G30" s="128"/>
      <c r="H30" s="128"/>
    </row>
    <row r="31" spans="2:19" x14ac:dyDescent="0.2">
      <c r="B31" s="243"/>
      <c r="C31" s="243"/>
      <c r="D31" s="243"/>
      <c r="E31" s="243"/>
      <c r="F31" s="243"/>
      <c r="G31" s="243"/>
      <c r="H31" s="243"/>
    </row>
    <row r="32" spans="2:19" x14ac:dyDescent="0.2">
      <c r="B32" s="126"/>
      <c r="C32" s="126"/>
      <c r="D32" s="126"/>
      <c r="E32" s="126"/>
      <c r="F32" s="126"/>
      <c r="G32" s="126"/>
      <c r="H32" s="126"/>
    </row>
    <row r="33" spans="2:9" x14ac:dyDescent="0.2">
      <c r="B33" s="126"/>
      <c r="C33" s="126"/>
      <c r="D33" s="126"/>
      <c r="E33" s="126"/>
      <c r="F33" s="126"/>
      <c r="G33" s="126"/>
      <c r="H33" s="126"/>
    </row>
    <row r="34" spans="2:9" x14ac:dyDescent="0.2">
      <c r="B34" s="126"/>
      <c r="C34" s="126"/>
      <c r="D34" s="126"/>
      <c r="E34" s="126"/>
      <c r="F34" s="126"/>
      <c r="G34" s="126"/>
      <c r="H34" s="126"/>
    </row>
    <row r="35" spans="2:9" x14ac:dyDescent="0.2">
      <c r="B35" s="126"/>
      <c r="C35" s="126"/>
      <c r="D35" s="126"/>
      <c r="E35" s="126"/>
      <c r="F35" s="126"/>
      <c r="G35" s="126"/>
      <c r="H35" s="126"/>
    </row>
    <row r="36" spans="2:9" x14ac:dyDescent="0.2">
      <c r="B36" s="129"/>
      <c r="C36" s="129"/>
      <c r="D36" s="129"/>
      <c r="E36" s="129"/>
      <c r="F36" s="129"/>
      <c r="G36" s="129"/>
      <c r="H36" s="129"/>
      <c r="I36" s="107"/>
    </row>
    <row r="37" spans="2:9" x14ac:dyDescent="0.2">
      <c r="B37" s="125" t="s">
        <v>6</v>
      </c>
    </row>
    <row r="38" spans="2:9" x14ac:dyDescent="0.2">
      <c r="B38" s="130" t="s">
        <v>13</v>
      </c>
      <c r="C38" s="131" t="s">
        <v>28</v>
      </c>
      <c r="D38" s="131"/>
      <c r="E38" s="131"/>
      <c r="F38" s="131"/>
      <c r="G38" s="131"/>
      <c r="H38" s="131"/>
    </row>
    <row r="39" spans="2:9" x14ac:dyDescent="0.2">
      <c r="B39" s="132" t="s">
        <v>42</v>
      </c>
      <c r="C39" s="131" t="s">
        <v>48</v>
      </c>
      <c r="D39" s="131"/>
      <c r="E39" s="131"/>
      <c r="F39" s="131"/>
      <c r="G39" s="131"/>
      <c r="H39" s="131"/>
    </row>
    <row r="40" spans="2:9" x14ac:dyDescent="0.2">
      <c r="B40" s="132" t="s">
        <v>43</v>
      </c>
      <c r="C40" s="131" t="s">
        <v>49</v>
      </c>
      <c r="D40" s="131"/>
      <c r="E40" s="131"/>
      <c r="F40" s="131"/>
      <c r="G40" s="131"/>
      <c r="H40" s="131"/>
    </row>
    <row r="41" spans="2:9" x14ac:dyDescent="0.2">
      <c r="B41" s="132" t="s">
        <v>14</v>
      </c>
      <c r="C41" s="131" t="s">
        <v>29</v>
      </c>
      <c r="D41" s="131"/>
      <c r="E41" s="131"/>
      <c r="F41" s="131"/>
      <c r="G41" s="131"/>
      <c r="H41" s="131"/>
    </row>
    <row r="44" spans="2:9" x14ac:dyDescent="0.2">
      <c r="B44" s="125" t="s">
        <v>32</v>
      </c>
      <c r="C44" s="105"/>
      <c r="D44" s="105"/>
      <c r="E44" s="105"/>
      <c r="F44" s="105"/>
      <c r="G44" s="105"/>
      <c r="H44" s="105"/>
    </row>
    <row r="46" spans="2:9" x14ac:dyDescent="0.2">
      <c r="B46" s="133"/>
      <c r="C46" s="134" t="s">
        <v>33</v>
      </c>
      <c r="D46" s="134" t="s">
        <v>34</v>
      </c>
      <c r="E46" s="134" t="s">
        <v>35</v>
      </c>
      <c r="F46" s="134" t="s">
        <v>37</v>
      </c>
      <c r="G46" s="134" t="s">
        <v>36</v>
      </c>
      <c r="H46" s="135" t="s">
        <v>1</v>
      </c>
    </row>
    <row r="47" spans="2:9" x14ac:dyDescent="0.2">
      <c r="C47" s="136"/>
      <c r="D47" s="136"/>
      <c r="E47" s="136"/>
      <c r="F47" s="136"/>
      <c r="G47" s="136"/>
      <c r="H47" s="136"/>
    </row>
    <row r="48" spans="2:9" x14ac:dyDescent="0.2">
      <c r="B48" s="153" t="s">
        <v>103</v>
      </c>
      <c r="C48" s="137">
        <f>'Forecast Revenue - Costs'!D42</f>
        <v>26150.084485736188</v>
      </c>
      <c r="D48" s="137">
        <f>'Forecast Revenue - Costs'!E42</f>
        <v>26150.084485736188</v>
      </c>
      <c r="E48" s="137">
        <f>'Forecast Revenue - Costs'!F42</f>
        <v>26426.735415079282</v>
      </c>
      <c r="F48" s="137">
        <f>'Forecast Revenue - Costs'!G42</f>
        <v>27014.906658700893</v>
      </c>
      <c r="G48" s="137">
        <f>'Forecast Revenue - Costs'!H42</f>
        <v>27893.496987717066</v>
      </c>
      <c r="H48" s="137">
        <f>SUM(C48:G48)</f>
        <v>133635.30803296959</v>
      </c>
    </row>
    <row r="49" spans="2:9" x14ac:dyDescent="0.2">
      <c r="C49" s="138"/>
      <c r="D49" s="139"/>
      <c r="E49" s="138"/>
      <c r="F49" s="138"/>
      <c r="G49" s="138"/>
    </row>
    <row r="50" spans="2:9" x14ac:dyDescent="0.2">
      <c r="B50" s="153" t="s">
        <v>104</v>
      </c>
      <c r="C50" s="137">
        <f>SUM('Forecast Revenue - Costs'!D43:D45)</f>
        <v>18904.48418585394</v>
      </c>
      <c r="D50" s="137">
        <f>SUM('Forecast Revenue - Costs'!E43:E45)</f>
        <v>18904.48418585394</v>
      </c>
      <c r="E50" s="137">
        <f>SUM('Forecast Revenue - Costs'!F43:F45)</f>
        <v>19106.285659448917</v>
      </c>
      <c r="F50" s="137">
        <f>SUM('Forecast Revenue - Costs'!G43:G45)</f>
        <v>19535.323884517857</v>
      </c>
      <c r="G50" s="137">
        <f>SUM('Forecast Revenue - Costs'!H43:H45)</f>
        <v>20176.206687632817</v>
      </c>
      <c r="H50" s="137">
        <f>SUM(C50:G50)</f>
        <v>96626.784603307475</v>
      </c>
    </row>
    <row r="51" spans="2:9" x14ac:dyDescent="0.2">
      <c r="C51" s="138"/>
      <c r="D51" s="139"/>
      <c r="E51" s="138"/>
      <c r="F51" s="138"/>
      <c r="G51" s="138"/>
    </row>
    <row r="52" spans="2:9" x14ac:dyDescent="0.2">
      <c r="B52" s="153" t="s">
        <v>105</v>
      </c>
      <c r="C52" s="137">
        <f t="shared" ref="C52:H52" si="0">+C48+C50</f>
        <v>45054.568671590125</v>
      </c>
      <c r="D52" s="137">
        <f t="shared" si="0"/>
        <v>45054.568671590125</v>
      </c>
      <c r="E52" s="137">
        <f t="shared" si="0"/>
        <v>45533.021074528195</v>
      </c>
      <c r="F52" s="137">
        <f t="shared" si="0"/>
        <v>46550.23054321875</v>
      </c>
      <c r="G52" s="137">
        <f t="shared" si="0"/>
        <v>48069.703675349883</v>
      </c>
      <c r="H52" s="137">
        <f t="shared" si="0"/>
        <v>230262.09263627708</v>
      </c>
    </row>
    <row r="53" spans="2:9" x14ac:dyDescent="0.2">
      <c r="C53" s="140"/>
      <c r="D53" s="140"/>
      <c r="E53" s="140"/>
      <c r="F53" s="140"/>
      <c r="G53" s="140"/>
    </row>
    <row r="54" spans="2:9" x14ac:dyDescent="0.2">
      <c r="B54" s="141" t="s">
        <v>6</v>
      </c>
    </row>
    <row r="55" spans="2:9" ht="14.25" customHeight="1" x14ac:dyDescent="0.2">
      <c r="B55" s="242"/>
      <c r="C55" s="242"/>
      <c r="D55" s="242"/>
      <c r="E55" s="242"/>
      <c r="F55" s="242"/>
      <c r="G55" s="242"/>
      <c r="H55" s="242"/>
    </row>
    <row r="56" spans="2:9" x14ac:dyDescent="0.2">
      <c r="B56" s="243"/>
      <c r="C56" s="243"/>
      <c r="D56" s="243"/>
      <c r="E56" s="243"/>
      <c r="F56" s="243"/>
      <c r="G56" s="243"/>
      <c r="H56" s="243"/>
      <c r="I56" s="107"/>
    </row>
    <row r="57" spans="2:9" ht="27.75" customHeight="1" x14ac:dyDescent="0.2">
      <c r="B57" s="243"/>
      <c r="C57" s="243"/>
      <c r="D57" s="243"/>
      <c r="E57" s="243"/>
      <c r="F57" s="243"/>
      <c r="G57" s="243"/>
      <c r="H57" s="243"/>
    </row>
    <row r="60" spans="2:9" x14ac:dyDescent="0.2">
      <c r="B60" s="125" t="s">
        <v>85</v>
      </c>
      <c r="C60" s="105"/>
      <c r="D60" s="105"/>
      <c r="E60" s="105"/>
      <c r="F60" s="105"/>
      <c r="G60" s="105"/>
      <c r="H60" s="105"/>
    </row>
    <row r="61" spans="2:9" x14ac:dyDescent="0.2">
      <c r="B61" s="142"/>
    </row>
    <row r="62" spans="2:9" x14ac:dyDescent="0.2">
      <c r="B62" s="143"/>
      <c r="C62" s="144" t="s">
        <v>33</v>
      </c>
      <c r="D62" s="144" t="s">
        <v>34</v>
      </c>
      <c r="E62" s="144" t="s">
        <v>35</v>
      </c>
      <c r="F62" s="144" t="s">
        <v>37</v>
      </c>
      <c r="G62" s="144" t="s">
        <v>36</v>
      </c>
      <c r="H62" s="145" t="s">
        <v>1</v>
      </c>
    </row>
    <row r="63" spans="2:9" x14ac:dyDescent="0.2">
      <c r="C63" s="146"/>
      <c r="D63" s="146"/>
      <c r="E63" s="146"/>
      <c r="F63" s="146"/>
      <c r="G63" s="146"/>
      <c r="H63" s="146"/>
    </row>
    <row r="64" spans="2:9" x14ac:dyDescent="0.2">
      <c r="B64" s="143" t="s">
        <v>100</v>
      </c>
      <c r="C64" s="147">
        <f>'Forecast Revenue - Costs'!D23</f>
        <v>5</v>
      </c>
      <c r="D64" s="147">
        <f>'Forecast Revenue - Costs'!E23</f>
        <v>5</v>
      </c>
      <c r="E64" s="147">
        <f>'Forecast Revenue - Costs'!F23</f>
        <v>5</v>
      </c>
      <c r="F64" s="147">
        <f>'Forecast Revenue - Costs'!G23</f>
        <v>5</v>
      </c>
      <c r="G64" s="147">
        <f>'Forecast Revenue - Costs'!H23</f>
        <v>5</v>
      </c>
      <c r="H64" s="147">
        <f>SUM(C64:G64)</f>
        <v>25</v>
      </c>
    </row>
    <row r="65" spans="3:8" x14ac:dyDescent="0.2">
      <c r="C65" s="148"/>
      <c r="D65" s="148"/>
      <c r="E65" s="148"/>
      <c r="F65" s="148"/>
      <c r="G65" s="148"/>
      <c r="H65" s="149"/>
    </row>
  </sheetData>
  <mergeCells count="13">
    <mergeCell ref="C3:H3"/>
    <mergeCell ref="B21:H21"/>
    <mergeCell ref="B17:H17"/>
    <mergeCell ref="B22:H22"/>
    <mergeCell ref="C4:D4"/>
    <mergeCell ref="C15:D15"/>
    <mergeCell ref="B7:B14"/>
    <mergeCell ref="B55:H57"/>
    <mergeCell ref="B26:H26"/>
    <mergeCell ref="B27:H27"/>
    <mergeCell ref="B28:H28"/>
    <mergeCell ref="B29:H29"/>
    <mergeCell ref="B31:H31"/>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F30" sqref="F30"/>
    </sheetView>
  </sheetViews>
  <sheetFormatPr defaultColWidth="9.140625" defaultRowHeight="12.75" x14ac:dyDescent="0.2"/>
  <cols>
    <col min="1" max="1" width="2.28515625" style="1" customWidth="1"/>
    <col min="2" max="2" width="2.42578125" style="51" customWidth="1"/>
    <col min="3" max="3" width="10.140625" style="51" customWidth="1"/>
    <col min="4" max="9" width="13.140625" style="51" customWidth="1"/>
    <col min="10" max="11" width="9.140625" style="51"/>
    <col min="12" max="12" width="5.28515625" style="51" customWidth="1"/>
    <col min="13" max="13" width="2.42578125" style="1" customWidth="1"/>
    <col min="14" max="16384" width="9.140625" style="1"/>
  </cols>
  <sheetData>
    <row r="1" spans="2:14" ht="9" customHeight="1" x14ac:dyDescent="0.2"/>
    <row r="2" spans="2:14" ht="18" customHeight="1" x14ac:dyDescent="0.2">
      <c r="B2" s="48" t="s">
        <v>15</v>
      </c>
      <c r="C2" s="48"/>
      <c r="D2" s="48"/>
      <c r="E2" s="48"/>
      <c r="F2" s="48"/>
      <c r="G2" s="48"/>
      <c r="H2" s="48"/>
      <c r="I2" s="48"/>
      <c r="J2" s="48"/>
      <c r="K2" s="48"/>
    </row>
    <row r="3" spans="2:14" x14ac:dyDescent="0.2">
      <c r="B3" s="36" t="s">
        <v>0</v>
      </c>
      <c r="C3" s="49"/>
      <c r="D3" s="259" t="str">
        <f>'AER Summary'!C3</f>
        <v>Planned Interruption - Customer Requested Alternative Interruption (NEW)</v>
      </c>
      <c r="E3" s="260"/>
      <c r="F3" s="260"/>
      <c r="G3" s="260"/>
      <c r="H3" s="260"/>
      <c r="I3" s="260"/>
      <c r="J3" s="260"/>
      <c r="K3" s="260"/>
      <c r="N3" s="34"/>
    </row>
    <row r="4" spans="2:14" x14ac:dyDescent="0.2">
      <c r="N4" s="34"/>
    </row>
    <row r="5" spans="2:14" x14ac:dyDescent="0.2">
      <c r="B5" s="261" t="s">
        <v>63</v>
      </c>
      <c r="C5" s="261"/>
      <c r="D5" s="261"/>
      <c r="E5" s="261"/>
      <c r="F5" s="261"/>
      <c r="G5" s="261"/>
      <c r="H5" s="261"/>
      <c r="I5" s="261"/>
      <c r="J5" s="261"/>
      <c r="K5" s="261"/>
      <c r="N5" s="34"/>
    </row>
    <row r="6" spans="2:14" ht="30" customHeight="1" x14ac:dyDescent="0.2">
      <c r="B6" s="262" t="s">
        <v>62</v>
      </c>
      <c r="C6" s="263"/>
      <c r="D6" s="263"/>
      <c r="E6" s="263"/>
      <c r="F6" s="263"/>
      <c r="G6" s="263"/>
      <c r="H6" s="263"/>
      <c r="I6" s="263"/>
      <c r="J6" s="263"/>
      <c r="K6" s="263"/>
      <c r="N6" s="34"/>
    </row>
    <row r="9" spans="2:14" x14ac:dyDescent="0.2">
      <c r="B9" s="261" t="s">
        <v>40</v>
      </c>
      <c r="C9" s="261"/>
      <c r="D9" s="261"/>
      <c r="E9" s="261"/>
      <c r="F9" s="261"/>
      <c r="G9" s="261"/>
      <c r="H9" s="261"/>
      <c r="I9" s="261"/>
      <c r="J9" s="261"/>
      <c r="K9" s="261"/>
    </row>
    <row r="10" spans="2:14" ht="15" customHeight="1" x14ac:dyDescent="0.2">
      <c r="B10" s="258" t="s">
        <v>61</v>
      </c>
      <c r="C10" s="258"/>
      <c r="D10" s="258"/>
      <c r="E10" s="258"/>
      <c r="F10" s="258"/>
      <c r="G10" s="258"/>
      <c r="H10" s="258"/>
      <c r="I10" s="258"/>
      <c r="J10" s="258"/>
      <c r="K10" s="258"/>
    </row>
    <row r="11" spans="2:14" ht="24.75" customHeight="1" x14ac:dyDescent="0.2">
      <c r="B11" s="264"/>
      <c r="C11" s="264"/>
      <c r="D11" s="264"/>
      <c r="E11" s="264"/>
      <c r="F11" s="264"/>
      <c r="G11" s="264"/>
      <c r="H11" s="264"/>
      <c r="I11" s="264"/>
      <c r="J11" s="264"/>
      <c r="K11" s="264"/>
      <c r="L11" s="52"/>
      <c r="M11" s="35"/>
      <c r="N11" s="35"/>
    </row>
    <row r="12" spans="2:14" x14ac:dyDescent="0.2">
      <c r="B12" s="264"/>
      <c r="C12" s="264"/>
      <c r="D12" s="264"/>
      <c r="E12" s="264"/>
      <c r="F12" s="264"/>
      <c r="G12" s="264"/>
      <c r="H12" s="264"/>
      <c r="I12" s="264"/>
      <c r="J12" s="264"/>
      <c r="K12" s="264"/>
      <c r="L12" s="52"/>
      <c r="M12" s="35"/>
      <c r="N12" s="35"/>
    </row>
    <row r="13" spans="2:14" x14ac:dyDescent="0.2">
      <c r="B13" s="264"/>
      <c r="C13" s="264"/>
      <c r="D13" s="264"/>
      <c r="E13" s="264"/>
      <c r="F13" s="264"/>
      <c r="G13" s="264"/>
      <c r="H13" s="264"/>
      <c r="I13" s="264"/>
      <c r="J13" s="264"/>
      <c r="K13" s="264"/>
      <c r="L13" s="52"/>
      <c r="M13" s="35"/>
      <c r="N13" s="35"/>
    </row>
    <row r="14" spans="2:14" ht="18" customHeight="1" x14ac:dyDescent="0.2">
      <c r="B14" s="264"/>
      <c r="C14" s="264"/>
      <c r="D14" s="264"/>
      <c r="E14" s="264"/>
      <c r="F14" s="264"/>
      <c r="G14" s="264"/>
      <c r="H14" s="264"/>
      <c r="I14" s="264"/>
      <c r="J14" s="264"/>
      <c r="K14" s="264"/>
      <c r="L14" s="52"/>
      <c r="M14" s="35"/>
      <c r="N14" s="35"/>
    </row>
    <row r="15" spans="2:14" x14ac:dyDescent="0.2">
      <c r="B15" s="264"/>
      <c r="C15" s="264"/>
      <c r="D15" s="264"/>
      <c r="E15" s="264"/>
      <c r="F15" s="264"/>
      <c r="G15" s="264"/>
      <c r="H15" s="264"/>
      <c r="I15" s="264"/>
      <c r="J15" s="264"/>
      <c r="K15" s="264"/>
      <c r="L15" s="52"/>
      <c r="M15" s="35"/>
      <c r="N15" s="35"/>
    </row>
    <row r="16" spans="2:14" x14ac:dyDescent="0.2">
      <c r="B16" s="264"/>
      <c r="C16" s="264"/>
      <c r="D16" s="264"/>
      <c r="E16" s="264"/>
      <c r="F16" s="264"/>
      <c r="G16" s="264"/>
      <c r="H16" s="264"/>
      <c r="I16" s="264"/>
      <c r="J16" s="264"/>
      <c r="K16" s="264"/>
      <c r="L16" s="52"/>
      <c r="M16" s="35"/>
      <c r="N16" s="35"/>
    </row>
    <row r="17" spans="2:14" x14ac:dyDescent="0.2">
      <c r="L17" s="52"/>
      <c r="M17" s="35"/>
      <c r="N17" s="35"/>
    </row>
    <row r="18" spans="2:14" x14ac:dyDescent="0.2">
      <c r="L18" s="52"/>
      <c r="M18" s="35"/>
      <c r="N18" s="35"/>
    </row>
    <row r="19" spans="2:14" x14ac:dyDescent="0.2">
      <c r="B19" s="261" t="s">
        <v>41</v>
      </c>
      <c r="C19" s="261"/>
      <c r="D19" s="261"/>
      <c r="E19" s="261"/>
      <c r="F19" s="261"/>
      <c r="G19" s="261"/>
      <c r="H19" s="261"/>
      <c r="I19" s="261"/>
      <c r="J19" s="261"/>
      <c r="K19" s="261"/>
      <c r="L19" s="52"/>
      <c r="M19" s="35"/>
      <c r="N19" s="35"/>
    </row>
    <row r="20" spans="2:14" ht="95.25" customHeight="1" x14ac:dyDescent="0.2">
      <c r="B20" s="258" t="str">
        <f>'AER Summary'!B17:H17</f>
        <v xml:space="preserve">
Planned Interruption - Customer Requested Alternative Interruption
Where the customer requests to move a DSNP planned interruption and agrees to fund the additional cost of performing the associated planned distribution work outside of normal business hours.</v>
      </c>
      <c r="C20" s="258"/>
      <c r="D20" s="258"/>
      <c r="E20" s="258"/>
      <c r="F20" s="258"/>
      <c r="G20" s="258"/>
      <c r="H20" s="258"/>
      <c r="I20" s="258"/>
      <c r="J20" s="258"/>
      <c r="K20" s="258"/>
    </row>
    <row r="21" spans="2:14" x14ac:dyDescent="0.2">
      <c r="B21" s="257"/>
      <c r="C21" s="257"/>
      <c r="D21" s="257"/>
      <c r="E21" s="257"/>
      <c r="F21" s="257"/>
      <c r="G21" s="257"/>
      <c r="H21" s="257"/>
      <c r="I21" s="257"/>
      <c r="J21" s="257"/>
      <c r="K21" s="257"/>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zoomScaleNormal="100" workbookViewId="0">
      <selection activeCell="I4" sqref="I4"/>
    </sheetView>
  </sheetViews>
  <sheetFormatPr defaultColWidth="9.140625" defaultRowHeight="12.75" x14ac:dyDescent="0.2"/>
  <cols>
    <col min="1" max="1" width="3.5703125" style="53" customWidth="1"/>
    <col min="2" max="2" width="58.7109375" style="53" customWidth="1"/>
    <col min="3" max="3" width="65.140625" style="53" customWidth="1"/>
    <col min="4" max="4" width="12.85546875" style="53" customWidth="1"/>
    <col min="5" max="8" width="11.28515625" style="53" customWidth="1"/>
    <col min="9" max="9" width="12.7109375" style="53" customWidth="1"/>
    <col min="10" max="16384" width="9.140625" style="53"/>
  </cols>
  <sheetData>
    <row r="2" spans="1:9" x14ac:dyDescent="0.2">
      <c r="B2" s="50" t="s">
        <v>86</v>
      </c>
      <c r="C2" s="31"/>
      <c r="D2" s="31"/>
      <c r="E2" s="31"/>
      <c r="F2" s="31"/>
      <c r="G2" s="31"/>
      <c r="H2" s="31"/>
      <c r="I2" s="31"/>
    </row>
    <row r="3" spans="1:9" x14ac:dyDescent="0.2">
      <c r="B3" s="20" t="s">
        <v>19</v>
      </c>
      <c r="C3" s="20" t="s">
        <v>3</v>
      </c>
      <c r="D3" s="68" t="s">
        <v>54</v>
      </c>
      <c r="E3" s="68" t="s">
        <v>53</v>
      </c>
      <c r="F3" s="68" t="s">
        <v>52</v>
      </c>
      <c r="G3" s="80" t="s">
        <v>98</v>
      </c>
      <c r="H3" s="80" t="s">
        <v>99</v>
      </c>
      <c r="I3" s="21" t="s">
        <v>1</v>
      </c>
    </row>
    <row r="4" spans="1:9" x14ac:dyDescent="0.2">
      <c r="B4" s="4" t="s">
        <v>20</v>
      </c>
      <c r="C4" s="4" t="s">
        <v>64</v>
      </c>
      <c r="D4" s="70"/>
      <c r="E4" s="70"/>
      <c r="F4" s="70"/>
      <c r="G4" s="70"/>
      <c r="H4" s="70"/>
      <c r="I4" s="154">
        <f>SUM(D4:H4)</f>
        <v>0</v>
      </c>
    </row>
    <row r="5" spans="1:9" x14ac:dyDescent="0.2">
      <c r="B5" s="4" t="s">
        <v>22</v>
      </c>
      <c r="C5" s="10"/>
      <c r="D5" s="70"/>
      <c r="E5" s="70"/>
      <c r="F5" s="70"/>
      <c r="G5" s="70"/>
      <c r="H5" s="70"/>
      <c r="I5" s="154">
        <f t="shared" ref="I5:I8" si="0">SUM(D5:H5)</f>
        <v>0</v>
      </c>
    </row>
    <row r="6" spans="1:9" x14ac:dyDescent="0.2">
      <c r="B6" s="4" t="s">
        <v>23</v>
      </c>
      <c r="C6" s="4"/>
      <c r="D6" s="70">
        <v>0</v>
      </c>
      <c r="E6" s="70">
        <v>0</v>
      </c>
      <c r="F6" s="70">
        <v>0</v>
      </c>
      <c r="G6" s="70">
        <v>0</v>
      </c>
      <c r="H6" s="70">
        <v>0</v>
      </c>
      <c r="I6" s="154">
        <f t="shared" si="0"/>
        <v>0</v>
      </c>
    </row>
    <row r="7" spans="1:9" x14ac:dyDescent="0.2">
      <c r="B7" s="4" t="s">
        <v>24</v>
      </c>
      <c r="C7" s="4"/>
      <c r="D7" s="70"/>
      <c r="E7" s="70"/>
      <c r="F7" s="70"/>
      <c r="G7" s="70"/>
      <c r="H7" s="70"/>
      <c r="I7" s="154">
        <f t="shared" si="0"/>
        <v>0</v>
      </c>
    </row>
    <row r="8" spans="1:9" x14ac:dyDescent="0.2">
      <c r="B8" s="4" t="s">
        <v>21</v>
      </c>
      <c r="C8" s="4"/>
      <c r="D8" s="70"/>
      <c r="E8" s="70"/>
      <c r="F8" s="70"/>
      <c r="G8" s="70"/>
      <c r="H8" s="70"/>
      <c r="I8" s="154">
        <f t="shared" si="0"/>
        <v>0</v>
      </c>
    </row>
    <row r="9" spans="1:9" x14ac:dyDescent="0.2">
      <c r="B9" s="60" t="s">
        <v>1</v>
      </c>
      <c r="C9" s="22"/>
      <c r="D9" s="23">
        <f t="shared" ref="D9:I9" si="1">SUM(D4:D8)</f>
        <v>0</v>
      </c>
      <c r="E9" s="23">
        <f t="shared" si="1"/>
        <v>0</v>
      </c>
      <c r="F9" s="23">
        <f t="shared" si="1"/>
        <v>0</v>
      </c>
      <c r="G9" s="23">
        <f t="shared" ref="G9:H9" si="2">SUM(G4:G8)</f>
        <v>0</v>
      </c>
      <c r="H9" s="23">
        <f t="shared" si="2"/>
        <v>0</v>
      </c>
      <c r="I9" s="24">
        <f t="shared" si="1"/>
        <v>0</v>
      </c>
    </row>
    <row r="10" spans="1:9" x14ac:dyDescent="0.2">
      <c r="B10" s="56"/>
      <c r="C10" s="57"/>
      <c r="D10" s="58"/>
      <c r="E10" s="58"/>
      <c r="F10" s="58"/>
      <c r="G10" s="58"/>
      <c r="H10" s="58"/>
      <c r="I10" s="58"/>
    </row>
    <row r="11" spans="1:9" x14ac:dyDescent="0.2">
      <c r="B11" s="59" t="s">
        <v>10</v>
      </c>
      <c r="C11" s="27"/>
      <c r="D11" s="27"/>
      <c r="E11" s="27"/>
      <c r="F11" s="27"/>
      <c r="G11" s="27"/>
      <c r="H11" s="27"/>
      <c r="I11" s="27"/>
    </row>
    <row r="12" spans="1:9" x14ac:dyDescent="0.2">
      <c r="B12" s="61" t="s">
        <v>4</v>
      </c>
      <c r="C12" s="9" t="s">
        <v>9</v>
      </c>
      <c r="D12" s="69" t="s">
        <v>54</v>
      </c>
      <c r="E12" s="69" t="s">
        <v>53</v>
      </c>
      <c r="F12" s="69" t="s">
        <v>52</v>
      </c>
      <c r="G12" s="80" t="s">
        <v>98</v>
      </c>
      <c r="H12" s="80" t="s">
        <v>99</v>
      </c>
      <c r="I12" s="3" t="s">
        <v>1</v>
      </c>
    </row>
    <row r="13" spans="1:9" x14ac:dyDescent="0.2">
      <c r="B13" s="4" t="s">
        <v>18</v>
      </c>
      <c r="C13" s="10"/>
      <c r="D13" s="71"/>
      <c r="E13" s="71"/>
      <c r="F13" s="71"/>
      <c r="G13" s="71"/>
      <c r="H13" s="71"/>
      <c r="I13" s="155">
        <f>SUM(D13:H13)</f>
        <v>0</v>
      </c>
    </row>
    <row r="14" spans="1:9" x14ac:dyDescent="0.2">
      <c r="B14" s="10"/>
      <c r="C14" s="12"/>
      <c r="D14" s="11"/>
      <c r="E14" s="11"/>
      <c r="F14" s="11"/>
      <c r="G14" s="11"/>
      <c r="H14" s="11"/>
      <c r="I14" s="156">
        <f>SUM(D14:H14)</f>
        <v>0</v>
      </c>
    </row>
    <row r="15" spans="1:9" x14ac:dyDescent="0.2">
      <c r="A15" s="62"/>
      <c r="B15" s="63" t="s">
        <v>50</v>
      </c>
      <c r="C15" s="7"/>
      <c r="D15" s="13">
        <f t="shared" ref="D15:I15" si="3">SUM(D13:D14)</f>
        <v>0</v>
      </c>
      <c r="E15" s="13">
        <f t="shared" si="3"/>
        <v>0</v>
      </c>
      <c r="F15" s="13">
        <f t="shared" si="3"/>
        <v>0</v>
      </c>
      <c r="G15" s="13">
        <f t="shared" ref="G15:H15" si="4">SUM(G13:G14)</f>
        <v>0</v>
      </c>
      <c r="H15" s="13">
        <f t="shared" si="4"/>
        <v>0</v>
      </c>
      <c r="I15" s="13">
        <f t="shared" si="3"/>
        <v>0</v>
      </c>
    </row>
    <row r="17" spans="1:9" x14ac:dyDescent="0.2">
      <c r="A17" s="62"/>
      <c r="B17" s="15" t="s">
        <v>6</v>
      </c>
      <c r="C17" s="1"/>
      <c r="D17" s="14"/>
      <c r="E17" s="14"/>
      <c r="F17" s="14"/>
      <c r="G17" s="14"/>
      <c r="H17" s="14"/>
      <c r="I17" s="14"/>
    </row>
    <row r="18" spans="1:9" x14ac:dyDescent="0.2">
      <c r="B18" s="265" t="s">
        <v>90</v>
      </c>
      <c r="C18" s="266"/>
      <c r="D18" s="266"/>
      <c r="E18" s="266"/>
      <c r="F18" s="266"/>
      <c r="G18" s="266"/>
      <c r="H18" s="266"/>
      <c r="I18" s="266"/>
    </row>
    <row r="19" spans="1:9" x14ac:dyDescent="0.2">
      <c r="B19" s="267"/>
      <c r="C19" s="268"/>
      <c r="D19" s="268"/>
      <c r="E19" s="268"/>
      <c r="F19" s="268"/>
      <c r="G19" s="268"/>
      <c r="H19" s="268"/>
      <c r="I19" s="268"/>
    </row>
    <row r="20" spans="1:9" x14ac:dyDescent="0.2">
      <c r="B20" s="64"/>
      <c r="C20" s="33"/>
      <c r="D20" s="33"/>
      <c r="E20" s="33"/>
      <c r="F20" s="33"/>
      <c r="G20" s="79"/>
      <c r="H20" s="79"/>
      <c r="I20" s="33"/>
    </row>
    <row r="21" spans="1:9" x14ac:dyDescent="0.2">
      <c r="B21" s="1"/>
      <c r="C21" s="1"/>
      <c r="D21" s="14"/>
      <c r="E21" s="14"/>
      <c r="F21" s="14"/>
      <c r="G21" s="14"/>
      <c r="H21" s="14"/>
      <c r="I21" s="14"/>
    </row>
    <row r="22" spans="1:9" x14ac:dyDescent="0.2">
      <c r="B22" s="59" t="s">
        <v>89</v>
      </c>
      <c r="C22" s="27"/>
      <c r="D22" s="27"/>
      <c r="E22" s="27"/>
      <c r="F22" s="27"/>
      <c r="G22" s="27"/>
      <c r="H22" s="27"/>
      <c r="I22" s="27"/>
    </row>
    <row r="23" spans="1:9" x14ac:dyDescent="0.2">
      <c r="B23" s="1"/>
      <c r="C23" s="1"/>
      <c r="D23" s="1"/>
      <c r="E23" s="1"/>
      <c r="F23" s="1"/>
      <c r="G23" s="1"/>
      <c r="H23" s="1"/>
      <c r="I23" s="1"/>
    </row>
    <row r="24" spans="1:9" x14ac:dyDescent="0.2">
      <c r="B24" s="65" t="s">
        <v>11</v>
      </c>
      <c r="C24" s="17"/>
      <c r="D24" s="17"/>
      <c r="E24" s="17"/>
      <c r="F24" s="17"/>
      <c r="G24" s="17"/>
      <c r="H24" s="17"/>
      <c r="I24" s="17"/>
    </row>
    <row r="25" spans="1:9" x14ac:dyDescent="0.2">
      <c r="B25" s="269"/>
      <c r="C25" s="270"/>
      <c r="D25" s="270"/>
      <c r="E25" s="270"/>
      <c r="F25" s="270"/>
      <c r="G25" s="270"/>
      <c r="H25" s="270"/>
      <c r="I25" s="270"/>
    </row>
    <row r="26" spans="1:9" x14ac:dyDescent="0.2">
      <c r="B26" s="271"/>
      <c r="C26" s="272"/>
      <c r="D26" s="272"/>
      <c r="E26" s="272"/>
      <c r="F26" s="272"/>
      <c r="G26" s="272"/>
      <c r="H26" s="272"/>
      <c r="I26" s="272"/>
    </row>
    <row r="27" spans="1:9" x14ac:dyDescent="0.2">
      <c r="B27" s="66"/>
      <c r="C27" s="19"/>
      <c r="D27" s="19"/>
      <c r="E27" s="19"/>
      <c r="F27" s="19"/>
      <c r="G27" s="19"/>
      <c r="H27" s="19"/>
      <c r="I27" s="19"/>
    </row>
  </sheetData>
  <mergeCells count="2">
    <mergeCell ref="B18:I19"/>
    <mergeCell ref="B25:I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50"/>
  <sheetViews>
    <sheetView showGridLines="0" zoomScaleNormal="100" workbookViewId="0">
      <selection activeCell="H7" sqref="H7"/>
    </sheetView>
  </sheetViews>
  <sheetFormatPr defaultColWidth="9.140625" defaultRowHeight="12.75" x14ac:dyDescent="0.2"/>
  <cols>
    <col min="1" max="1" width="2.85546875" style="1" customWidth="1"/>
    <col min="2" max="2" width="79.42578125" style="1" customWidth="1"/>
    <col min="3" max="3" width="13.42578125" style="1" customWidth="1"/>
    <col min="4" max="4" width="13.140625" style="1" customWidth="1"/>
    <col min="5" max="5" width="11.7109375" style="1" customWidth="1"/>
    <col min="6" max="8" width="15.7109375" style="1" customWidth="1"/>
    <col min="9" max="9" width="10.42578125" style="1" customWidth="1"/>
    <col min="10" max="10" width="10.5703125" style="1" customWidth="1"/>
    <col min="11" max="11" width="9.85546875" style="1" customWidth="1"/>
    <col min="12" max="13" width="9.140625" style="1"/>
    <col min="14" max="14" width="12" style="1" customWidth="1"/>
    <col min="15" max="15" width="10.85546875" style="1" customWidth="1"/>
    <col min="16" max="16" width="10.28515625" style="1" customWidth="1"/>
    <col min="17" max="17" width="13.85546875" style="1" customWidth="1"/>
    <col min="18" max="18" width="3.28515625" style="1" customWidth="1"/>
    <col min="19" max="19" width="53.7109375" style="1" customWidth="1"/>
    <col min="20" max="20" width="15.7109375" style="1" customWidth="1"/>
    <col min="21" max="25" width="9.140625" style="1"/>
    <col min="26" max="26" width="4" style="1" customWidth="1"/>
    <col min="27" max="27" width="53.7109375" style="1" customWidth="1"/>
    <col min="28" max="28" width="15.7109375" style="1" customWidth="1"/>
    <col min="29" max="33" width="9.140625" style="1"/>
    <col min="34" max="34" width="9.140625" style="1" customWidth="1"/>
    <col min="35" max="35" width="53.7109375" style="1" customWidth="1"/>
    <col min="36" max="36" width="15.7109375" style="1" customWidth="1"/>
    <col min="37" max="16384" width="9.140625" style="1"/>
  </cols>
  <sheetData>
    <row r="2" spans="1:17" x14ac:dyDescent="0.2">
      <c r="B2" s="157" t="s">
        <v>46</v>
      </c>
      <c r="C2" s="158"/>
      <c r="D2" s="158"/>
      <c r="E2" s="158"/>
      <c r="F2" s="158"/>
      <c r="G2" s="158"/>
      <c r="H2" s="273" t="s">
        <v>120</v>
      </c>
      <c r="I2" s="273"/>
      <c r="J2" s="273"/>
      <c r="K2" s="273"/>
      <c r="L2" s="273"/>
      <c r="M2" s="273"/>
      <c r="N2" s="273"/>
      <c r="O2" s="273"/>
      <c r="P2" s="273"/>
      <c r="Q2" s="273"/>
    </row>
    <row r="3" spans="1:17" ht="15.75" x14ac:dyDescent="0.25">
      <c r="B3" s="67" t="s">
        <v>59</v>
      </c>
      <c r="C3" s="48"/>
      <c r="D3" s="102"/>
      <c r="E3" s="102"/>
      <c r="F3" s="102"/>
      <c r="G3" s="102"/>
      <c r="H3" s="274" t="s">
        <v>121</v>
      </c>
      <c r="I3" s="274"/>
      <c r="J3" s="274"/>
      <c r="K3" s="274"/>
      <c r="L3" s="274"/>
      <c r="M3" s="274"/>
      <c r="N3" s="274"/>
      <c r="O3" s="274"/>
      <c r="P3" s="274"/>
      <c r="Q3" s="274"/>
    </row>
    <row r="4" spans="1:17" s="35" customFormat="1" ht="3" customHeight="1" x14ac:dyDescent="0.2">
      <c r="B4" s="37"/>
      <c r="C4" s="37"/>
      <c r="D4" s="37"/>
      <c r="E4" s="37"/>
      <c r="F4" s="37"/>
      <c r="G4" s="37"/>
      <c r="H4" s="37"/>
      <c r="I4" s="37"/>
      <c r="J4" s="37"/>
      <c r="K4" s="37"/>
      <c r="L4" s="37"/>
      <c r="M4" s="37"/>
      <c r="N4" s="37"/>
      <c r="O4" s="37"/>
      <c r="P4" s="37"/>
      <c r="Q4" s="37"/>
    </row>
    <row r="5" spans="1:17" ht="64.5" customHeight="1" x14ac:dyDescent="0.2">
      <c r="A5" s="54"/>
      <c r="B5" s="38" t="s">
        <v>17</v>
      </c>
      <c r="C5" s="38" t="s">
        <v>30</v>
      </c>
      <c r="D5" s="166" t="s">
        <v>106</v>
      </c>
      <c r="E5" s="167" t="s">
        <v>107</v>
      </c>
      <c r="F5" s="166" t="s">
        <v>108</v>
      </c>
      <c r="G5" s="166" t="s">
        <v>109</v>
      </c>
      <c r="H5" s="166" t="s">
        <v>110</v>
      </c>
      <c r="I5" s="166" t="s">
        <v>111</v>
      </c>
      <c r="J5" s="166" t="s">
        <v>112</v>
      </c>
      <c r="K5" s="159" t="s">
        <v>113</v>
      </c>
      <c r="L5" s="159" t="s">
        <v>114</v>
      </c>
      <c r="M5" s="166" t="s">
        <v>115</v>
      </c>
      <c r="N5" s="166" t="s">
        <v>116</v>
      </c>
      <c r="O5" s="166" t="s">
        <v>117</v>
      </c>
      <c r="P5" s="166" t="s">
        <v>118</v>
      </c>
      <c r="Q5" s="166" t="s">
        <v>119</v>
      </c>
    </row>
    <row r="6" spans="1:17" x14ac:dyDescent="0.2">
      <c r="A6" s="54"/>
      <c r="B6" s="161" t="s">
        <v>83</v>
      </c>
      <c r="C6" s="162"/>
      <c r="D6" s="162"/>
      <c r="E6" s="162"/>
      <c r="F6" s="162"/>
      <c r="G6" s="162"/>
      <c r="H6" s="162"/>
      <c r="I6" s="162"/>
      <c r="J6" s="162"/>
      <c r="K6" s="162"/>
      <c r="L6" s="162"/>
      <c r="M6" s="162"/>
      <c r="N6" s="162"/>
      <c r="O6" s="162"/>
      <c r="P6" s="162"/>
      <c r="Q6" s="163"/>
    </row>
    <row r="7" spans="1:17" x14ac:dyDescent="0.2">
      <c r="B7" s="160" t="s">
        <v>82</v>
      </c>
      <c r="C7" s="164" t="s">
        <v>81</v>
      </c>
      <c r="D7" s="169">
        <v>1</v>
      </c>
      <c r="E7" s="170">
        <v>1</v>
      </c>
      <c r="F7" s="168">
        <f>E7*D7</f>
        <v>1</v>
      </c>
      <c r="G7" s="171">
        <v>0</v>
      </c>
      <c r="H7" s="168">
        <f>IF(G7=0,VLOOKUP(C:C,[1]Inputs!$B$20:$H$25,7,FALSE)*F7,VLOOKUP(C:C,[1]Inputs!$B$20:$I$25,8,FALSE)*F7)</f>
        <v>73.74148301772</v>
      </c>
      <c r="I7" s="168">
        <f>VLOOKUP(C:C,[1]Inputs!$C$54:$G$59,5,FALSE)*F7</f>
        <v>0</v>
      </c>
      <c r="J7" s="168"/>
      <c r="K7" s="168"/>
      <c r="L7" s="168"/>
      <c r="M7" s="168">
        <f>SUM(H7:J7)</f>
        <v>73.74148301772</v>
      </c>
      <c r="N7" s="168">
        <f>[1]Inputs!$M$43*M7</f>
        <v>34.358119310666993</v>
      </c>
      <c r="O7" s="168">
        <f>[1]Inputs!$M$48*M7</f>
        <v>11.826480969500322</v>
      </c>
      <c r="P7" s="168">
        <f>[1]Inputs!$H$13*SUM(M7:O7)</f>
        <v>7.6057122027520139</v>
      </c>
      <c r="Q7" s="168">
        <f t="shared" ref="Q7" si="0">SUM(M7:P7)</f>
        <v>127.53179550063933</v>
      </c>
    </row>
    <row r="8" spans="1:17" x14ac:dyDescent="0.2">
      <c r="B8" s="39" t="s">
        <v>70</v>
      </c>
      <c r="C8" s="165" t="s">
        <v>67</v>
      </c>
      <c r="D8" s="169">
        <v>1</v>
      </c>
      <c r="E8" s="170">
        <v>1</v>
      </c>
      <c r="F8" s="168">
        <f t="shared" ref="F8:F11" si="1">E8*D8</f>
        <v>1</v>
      </c>
      <c r="G8" s="171">
        <v>0</v>
      </c>
      <c r="H8" s="168">
        <f>IF(G8=0,VLOOKUP(C:C,[1]Inputs!$B$20:$H$25,7,FALSE)*F8,VLOOKUP(C:C,[1]Inputs!$B$20:$I$25,8,FALSE)*F8)</f>
        <v>79.838346469665012</v>
      </c>
      <c r="I8" s="168">
        <f>VLOOKUP(C:C,[1]Inputs!$C$54:$G$59,5,FALSE)*F8</f>
        <v>19.732436288346317</v>
      </c>
      <c r="J8" s="168"/>
      <c r="K8" s="168"/>
      <c r="L8" s="168"/>
      <c r="M8" s="168">
        <f t="shared" ref="M8:M11" si="2">SUM(H8:J8)</f>
        <v>99.570782758011333</v>
      </c>
      <c r="N8" s="168">
        <f>[1]Inputs!$M$43*M8</f>
        <v>46.392677416511667</v>
      </c>
      <c r="O8" s="168">
        <f>[1]Inputs!$M$48*M8</f>
        <v>15.968921687171692</v>
      </c>
      <c r="P8" s="168">
        <f>[1]Inputs!$H$13*SUM(M8:O8)</f>
        <v>10.269751657668678</v>
      </c>
      <c r="Q8" s="168">
        <f t="shared" ref="Q8:Q11" si="3">SUM(M8:P8)</f>
        <v>172.20213351936337</v>
      </c>
    </row>
    <row r="9" spans="1:17" x14ac:dyDescent="0.2">
      <c r="B9" s="39" t="s">
        <v>71</v>
      </c>
      <c r="C9" s="165" t="s">
        <v>68</v>
      </c>
      <c r="D9" s="169">
        <v>1</v>
      </c>
      <c r="E9" s="170">
        <v>1</v>
      </c>
      <c r="F9" s="168">
        <f t="shared" si="1"/>
        <v>1</v>
      </c>
      <c r="G9" s="171">
        <v>0</v>
      </c>
      <c r="H9" s="168">
        <f>IF(G9=0,VLOOKUP(C:C,[1]Inputs!$B$20:$H$25,7,FALSE)*F9,VLOOKUP(C:C,[1]Inputs!$B$20:$I$25,8,FALSE)*F9)</f>
        <v>103.26059762014499</v>
      </c>
      <c r="I9" s="168">
        <f>VLOOKUP(C:C,[1]Inputs!$C$54:$G$59,5,FALSE)*F9</f>
        <v>0</v>
      </c>
      <c r="J9" s="168"/>
      <c r="K9" s="168"/>
      <c r="L9" s="168"/>
      <c r="M9" s="168">
        <f t="shared" si="2"/>
        <v>103.26059762014499</v>
      </c>
      <c r="N9" s="168">
        <f>[1]Inputs!$M$43*M9</f>
        <v>48.111860352349787</v>
      </c>
      <c r="O9" s="168">
        <f>[1]Inputs!$M$48*M9</f>
        <v>16.560685284298117</v>
      </c>
      <c r="P9" s="168">
        <f>[1]Inputs!$H$13*SUM(M9:O9)</f>
        <v>10.650319945345807</v>
      </c>
      <c r="Q9" s="168">
        <f t="shared" si="3"/>
        <v>178.58346320213872</v>
      </c>
    </row>
    <row r="10" spans="1:17" x14ac:dyDescent="0.2">
      <c r="B10" s="39" t="s">
        <v>72</v>
      </c>
      <c r="C10" s="165" t="s">
        <v>69</v>
      </c>
      <c r="D10" s="169">
        <v>1</v>
      </c>
      <c r="E10" s="170">
        <v>1</v>
      </c>
      <c r="F10" s="168">
        <f t="shared" si="1"/>
        <v>1</v>
      </c>
      <c r="G10" s="171">
        <v>0</v>
      </c>
      <c r="H10" s="168">
        <f>IF(G10=0,VLOOKUP(C:C,[1]Inputs!$B$20:$H$25,7,FALSE)*F10,VLOOKUP(C:C,[1]Inputs!$B$20:$I$25,8,FALSE)*F10)</f>
        <v>103.26059762014499</v>
      </c>
      <c r="I10" s="168">
        <f>VLOOKUP(C:C,[1]Inputs!$C$54:$G$59,5,FALSE)*F10</f>
        <v>19.732436288346317</v>
      </c>
      <c r="J10" s="168"/>
      <c r="K10" s="168"/>
      <c r="L10" s="168"/>
      <c r="M10" s="168">
        <f t="shared" si="2"/>
        <v>122.99303390849131</v>
      </c>
      <c r="N10" s="168">
        <f>[1]Inputs!$M$43*M10</f>
        <v>57.305727529149344</v>
      </c>
      <c r="O10" s="168">
        <f>[1]Inputs!$M$48*M10</f>
        <v>19.725325764744216</v>
      </c>
      <c r="P10" s="168">
        <f>[1]Inputs!$H$13*SUM(M10:O10)</f>
        <v>12.685527610375249</v>
      </c>
      <c r="Q10" s="168">
        <f t="shared" si="3"/>
        <v>212.70961481276012</v>
      </c>
    </row>
    <row r="11" spans="1:17" x14ac:dyDescent="0.2">
      <c r="B11" s="75" t="s">
        <v>73</v>
      </c>
      <c r="C11" s="76" t="s">
        <v>74</v>
      </c>
      <c r="D11" s="169">
        <v>1</v>
      </c>
      <c r="E11" s="170">
        <v>1</v>
      </c>
      <c r="F11" s="168">
        <f t="shared" si="1"/>
        <v>1</v>
      </c>
      <c r="G11" s="171">
        <v>0</v>
      </c>
      <c r="H11" s="168">
        <f>IF(G11=0,VLOOKUP(C:C,[1]Inputs!$B$20:$H$25,7,FALSE)*F11,VLOOKUP(C:C,[1]Inputs!$B$20:$I$25,8,FALSE)*F11)</f>
        <v>118.60731987121498</v>
      </c>
      <c r="I11" s="168">
        <f>VLOOKUP(C:C,[1]Inputs!$C$54:$G$59,5,FALSE)*F11</f>
        <v>19.732436288346317</v>
      </c>
      <c r="J11" s="168"/>
      <c r="K11" s="168"/>
      <c r="L11" s="168"/>
      <c r="M11" s="168">
        <f t="shared" si="2"/>
        <v>138.33975615956129</v>
      </c>
      <c r="N11" s="168">
        <f>[1]Inputs!$M$43*M11</f>
        <v>64.45617382547924</v>
      </c>
      <c r="O11" s="168">
        <f>[1]Inputs!$M$48*M11</f>
        <v>22.18659601886797</v>
      </c>
      <c r="P11" s="168">
        <f>[1]Inputs!$H$13*SUM(M11:O11)</f>
        <v>14.268391799167876</v>
      </c>
      <c r="Q11" s="168">
        <f t="shared" si="3"/>
        <v>239.25091780307636</v>
      </c>
    </row>
    <row r="12" spans="1:17" ht="51" x14ac:dyDescent="0.2">
      <c r="A12" s="25"/>
      <c r="B12" s="77" t="s">
        <v>134</v>
      </c>
      <c r="C12" s="72"/>
      <c r="D12" s="72"/>
      <c r="E12" s="72"/>
      <c r="F12" s="72"/>
      <c r="G12" s="72"/>
      <c r="H12" s="40"/>
      <c r="I12" s="40"/>
      <c r="J12" s="40"/>
      <c r="K12" s="72"/>
      <c r="L12" s="72"/>
      <c r="M12" s="40"/>
      <c r="N12" s="186">
        <f>[1]Inputs!$M$43</f>
        <v>0.46592661151676018</v>
      </c>
      <c r="O12" s="40"/>
      <c r="P12" s="186">
        <f>[1]Inputs!$H$13</f>
        <v>6.3420000000000004E-2</v>
      </c>
      <c r="Q12" s="187" t="str">
        <f>_xlfn.CONCAT("[Invoice + ",TEXT([1]Inputs!$M$43,"0.00%")," Overheads] + ",TEXT(P12,"0.00%")," Margin")</f>
        <v>[Invoice + 46.59% Overheads] + 6.34% Margin</v>
      </c>
    </row>
    <row r="13" spans="1:17" x14ac:dyDescent="0.2">
      <c r="A13" s="54"/>
      <c r="B13" s="275" t="s">
        <v>1</v>
      </c>
      <c r="C13" s="276"/>
      <c r="D13" s="103"/>
      <c r="E13" s="103"/>
      <c r="F13" s="103"/>
      <c r="G13" s="103"/>
      <c r="H13" s="103"/>
      <c r="I13" s="103"/>
      <c r="J13" s="103"/>
      <c r="K13" s="103"/>
      <c r="L13" s="41"/>
      <c r="M13" s="42"/>
      <c r="N13" s="42"/>
      <c r="O13" s="42"/>
      <c r="P13" s="43"/>
      <c r="Q13" s="43"/>
    </row>
    <row r="14" spans="1:17" x14ac:dyDescent="0.2">
      <c r="A14" s="54"/>
      <c r="B14" s="44"/>
      <c r="C14" s="44"/>
      <c r="D14" s="44"/>
      <c r="E14" s="44"/>
      <c r="F14" s="44"/>
      <c r="G14" s="44"/>
      <c r="H14" s="44"/>
      <c r="I14" s="44"/>
      <c r="J14" s="44"/>
      <c r="K14" s="44"/>
      <c r="L14" s="45"/>
      <c r="M14" s="46"/>
      <c r="N14" s="74"/>
      <c r="O14" s="74"/>
      <c r="P14" s="47"/>
      <c r="Q14" s="47"/>
    </row>
    <row r="15" spans="1:17" x14ac:dyDescent="0.2">
      <c r="B15" s="157" t="s">
        <v>46</v>
      </c>
      <c r="C15" s="158"/>
      <c r="D15" s="158"/>
      <c r="E15" s="158"/>
      <c r="F15" s="158"/>
      <c r="G15" s="158"/>
      <c r="H15" s="273" t="s">
        <v>120</v>
      </c>
      <c r="I15" s="273"/>
      <c r="J15" s="273"/>
      <c r="K15" s="273"/>
      <c r="L15" s="273"/>
      <c r="M15" s="273"/>
      <c r="N15" s="273"/>
      <c r="O15" s="273"/>
      <c r="P15" s="273"/>
      <c r="Q15" s="273"/>
    </row>
    <row r="16" spans="1:17" ht="15.75" x14ac:dyDescent="0.25">
      <c r="A16" s="55"/>
      <c r="B16" s="67" t="s">
        <v>59</v>
      </c>
      <c r="C16" s="151"/>
      <c r="D16" s="151"/>
      <c r="E16" s="151"/>
      <c r="F16" s="151"/>
      <c r="G16" s="151"/>
      <c r="H16" s="274" t="s">
        <v>121</v>
      </c>
      <c r="I16" s="274"/>
      <c r="J16" s="274"/>
      <c r="K16" s="274"/>
      <c r="L16" s="274"/>
      <c r="M16" s="274"/>
      <c r="N16" s="274"/>
      <c r="O16" s="274"/>
      <c r="P16" s="274"/>
      <c r="Q16" s="274"/>
    </row>
    <row r="17" spans="1:17" x14ac:dyDescent="0.2">
      <c r="B17" s="37"/>
      <c r="C17" s="37"/>
      <c r="D17" s="37"/>
      <c r="E17" s="37"/>
      <c r="F17" s="37"/>
      <c r="G17" s="37"/>
      <c r="H17" s="37"/>
      <c r="I17" s="37"/>
      <c r="J17" s="37"/>
      <c r="K17" s="37"/>
      <c r="L17" s="37"/>
      <c r="M17" s="37"/>
      <c r="N17" s="37"/>
      <c r="O17" s="37"/>
      <c r="P17" s="37"/>
      <c r="Q17" s="37"/>
    </row>
    <row r="18" spans="1:17" ht="63.75" x14ac:dyDescent="0.2">
      <c r="B18" s="38" t="s">
        <v>17</v>
      </c>
      <c r="C18" s="38" t="s">
        <v>30</v>
      </c>
      <c r="D18" s="166" t="s">
        <v>106</v>
      </c>
      <c r="E18" s="167" t="s">
        <v>107</v>
      </c>
      <c r="F18" s="166" t="s">
        <v>108</v>
      </c>
      <c r="G18" s="166" t="s">
        <v>109</v>
      </c>
      <c r="H18" s="166" t="s">
        <v>110</v>
      </c>
      <c r="I18" s="166" t="s">
        <v>111</v>
      </c>
      <c r="J18" s="166" t="s">
        <v>112</v>
      </c>
      <c r="K18" s="159" t="s">
        <v>113</v>
      </c>
      <c r="L18" s="159" t="s">
        <v>114</v>
      </c>
      <c r="M18" s="166" t="s">
        <v>115</v>
      </c>
      <c r="N18" s="166" t="s">
        <v>116</v>
      </c>
      <c r="O18" s="166" t="s">
        <v>117</v>
      </c>
      <c r="P18" s="166" t="s">
        <v>118</v>
      </c>
      <c r="Q18" s="166" t="s">
        <v>119</v>
      </c>
    </row>
    <row r="19" spans="1:17" x14ac:dyDescent="0.2">
      <c r="A19" s="54"/>
      <c r="B19" s="161" t="s">
        <v>83</v>
      </c>
      <c r="C19" s="162"/>
      <c r="D19" s="162"/>
      <c r="E19" s="162"/>
      <c r="F19" s="162"/>
      <c r="G19" s="162"/>
      <c r="H19" s="162"/>
      <c r="I19" s="162"/>
      <c r="J19" s="162"/>
      <c r="K19" s="162"/>
      <c r="L19" s="162"/>
      <c r="M19" s="162"/>
      <c r="N19" s="162"/>
      <c r="O19" s="162"/>
      <c r="P19" s="162"/>
      <c r="Q19" s="163"/>
    </row>
    <row r="20" spans="1:17" x14ac:dyDescent="0.2">
      <c r="B20" s="160" t="s">
        <v>82</v>
      </c>
      <c r="C20" s="164" t="s">
        <v>81</v>
      </c>
      <c r="D20" s="169">
        <v>1</v>
      </c>
      <c r="E20" s="170">
        <v>1</v>
      </c>
      <c r="F20" s="168">
        <f>E20*D20</f>
        <v>1</v>
      </c>
      <c r="G20" s="171">
        <v>1</v>
      </c>
      <c r="H20" s="168">
        <f>IF(G20=0,VLOOKUP(C:C,[1]Inputs!$B$20:$H$25,7,FALSE)*F20,VLOOKUP(C:C,[1]Inputs!$B$20:$I$25,8,FALSE)*F20)</f>
        <v>133.8725894163336</v>
      </c>
      <c r="I20" s="168">
        <f>VLOOKUP(C:C,[1]Inputs!$C$54:$G$59,5,FALSE)*F20</f>
        <v>0</v>
      </c>
      <c r="J20" s="168"/>
      <c r="K20" s="168"/>
      <c r="L20" s="168"/>
      <c r="M20" s="168">
        <f>SUM(H20:J20)</f>
        <v>133.8725894163336</v>
      </c>
      <c r="N20" s="168">
        <f>[1]Inputs!$M$43*M20</f>
        <v>62.374801961726803</v>
      </c>
      <c r="O20" s="168">
        <f>[1]Inputs!$M$48*M20</f>
        <v>21.470162604263713</v>
      </c>
      <c r="P20" s="168">
        <f>[1]Inputs!$H$13*SUM(M20:O20)</f>
        <v>13.807647273558997</v>
      </c>
      <c r="Q20" s="168">
        <f t="shared" ref="Q20:Q24" si="4">SUM(M20:P20)</f>
        <v>231.5252012558831</v>
      </c>
    </row>
    <row r="21" spans="1:17" x14ac:dyDescent="0.2">
      <c r="B21" s="39" t="s">
        <v>70</v>
      </c>
      <c r="C21" s="165" t="s">
        <v>67</v>
      </c>
      <c r="D21" s="169">
        <v>1</v>
      </c>
      <c r="E21" s="170">
        <v>1</v>
      </c>
      <c r="F21" s="168">
        <f t="shared" ref="F21:F24" si="5">E21*D21</f>
        <v>1</v>
      </c>
      <c r="G21" s="171">
        <v>1</v>
      </c>
      <c r="H21" s="168">
        <f>IF(G21=0,VLOOKUP(C:C,[1]Inputs!$B$20:$H$25,7,FALSE)*F21,VLOOKUP(C:C,[1]Inputs!$B$20:$I$25,8,FALSE)*F21)</f>
        <v>144.94102558317272</v>
      </c>
      <c r="I21" s="168">
        <f>VLOOKUP(C:C,[1]Inputs!$C$54:$G$59,5,FALSE)*F21</f>
        <v>19.732436288346317</v>
      </c>
      <c r="J21" s="168"/>
      <c r="K21" s="168"/>
      <c r="L21" s="168"/>
      <c r="M21" s="168">
        <f t="shared" ref="M21:M24" si="6">SUM(H21:J21)</f>
        <v>164.67346187151904</v>
      </c>
      <c r="N21" s="168">
        <f>[1]Inputs!$M$43*M21</f>
        <v>76.725748096531277</v>
      </c>
      <c r="O21" s="168">
        <f>[1]Inputs!$M$48*M21</f>
        <v>26.409932148194969</v>
      </c>
      <c r="P21" s="168">
        <f>[1]Inputs!$H$13*SUM(M21:O21)</f>
        <v>16.98445579301228</v>
      </c>
      <c r="Q21" s="168">
        <f t="shared" si="4"/>
        <v>284.79359790925758</v>
      </c>
    </row>
    <row r="22" spans="1:17" x14ac:dyDescent="0.2">
      <c r="B22" s="39" t="s">
        <v>71</v>
      </c>
      <c r="C22" s="165" t="s">
        <v>68</v>
      </c>
      <c r="D22" s="169">
        <v>1</v>
      </c>
      <c r="E22" s="170">
        <v>1</v>
      </c>
      <c r="F22" s="168">
        <f t="shared" si="5"/>
        <v>1</v>
      </c>
      <c r="G22" s="171">
        <v>1</v>
      </c>
      <c r="H22" s="168">
        <f>IF(G22=0,VLOOKUP(C:C,[1]Inputs!$B$20:$H$25,7,FALSE)*F22,VLOOKUP(C:C,[1]Inputs!$B$20:$I$25,8,FALSE)*F22)</f>
        <v>187.46251122675505</v>
      </c>
      <c r="I22" s="168">
        <f>VLOOKUP(C:C,[1]Inputs!$C$54:$G$59,5,FALSE)*F22</f>
        <v>0</v>
      </c>
      <c r="J22" s="168"/>
      <c r="K22" s="168"/>
      <c r="L22" s="168"/>
      <c r="M22" s="168">
        <f t="shared" si="6"/>
        <v>187.46251122675505</v>
      </c>
      <c r="N22" s="168">
        <f>[1]Inputs!$M$43*M22</f>
        <v>87.3437726423046</v>
      </c>
      <c r="O22" s="168">
        <f>[1]Inputs!$M$48*M22</f>
        <v>30.064784850953043</v>
      </c>
      <c r="P22" s="168">
        <f>[1]Inputs!$H$13*SUM(M22:O22)</f>
        <v>19.334923178223207</v>
      </c>
      <c r="Q22" s="168">
        <f t="shared" si="4"/>
        <v>324.20599189823594</v>
      </c>
    </row>
    <row r="23" spans="1:17" x14ac:dyDescent="0.2">
      <c r="B23" s="39" t="s">
        <v>72</v>
      </c>
      <c r="C23" s="165" t="s">
        <v>69</v>
      </c>
      <c r="D23" s="169">
        <v>1</v>
      </c>
      <c r="E23" s="170">
        <v>1</v>
      </c>
      <c r="F23" s="168">
        <f t="shared" si="5"/>
        <v>1</v>
      </c>
      <c r="G23" s="171">
        <v>1</v>
      </c>
      <c r="H23" s="168">
        <f>IF(G23=0,VLOOKUP(C:C,[1]Inputs!$B$20:$H$25,7,FALSE)*F23,VLOOKUP(C:C,[1]Inputs!$B$20:$I$25,8,FALSE)*F23)</f>
        <v>187.46251122675505</v>
      </c>
      <c r="I23" s="168">
        <f>VLOOKUP(C:C,[1]Inputs!$C$54:$G$59,5,FALSE)*F23</f>
        <v>19.732436288346317</v>
      </c>
      <c r="J23" s="168"/>
      <c r="K23" s="168"/>
      <c r="L23" s="168"/>
      <c r="M23" s="168">
        <f t="shared" si="6"/>
        <v>207.19494751510138</v>
      </c>
      <c r="N23" s="168">
        <f>[1]Inputs!$M$43*M23</f>
        <v>96.537639819104157</v>
      </c>
      <c r="O23" s="168">
        <f>[1]Inputs!$M$48*M23</f>
        <v>33.229425331399142</v>
      </c>
      <c r="P23" s="168">
        <f>[1]Inputs!$H$13*SUM(M23:O23)</f>
        <v>21.37013084325265</v>
      </c>
      <c r="Q23" s="168">
        <f t="shared" si="4"/>
        <v>358.33214350885731</v>
      </c>
    </row>
    <row r="24" spans="1:17" x14ac:dyDescent="0.2">
      <c r="A24" s="54"/>
      <c r="B24" s="75" t="s">
        <v>73</v>
      </c>
      <c r="C24" s="76" t="s">
        <v>74</v>
      </c>
      <c r="D24" s="169">
        <v>1</v>
      </c>
      <c r="E24" s="170">
        <v>1</v>
      </c>
      <c r="F24" s="168">
        <f t="shared" si="5"/>
        <v>1</v>
      </c>
      <c r="G24" s="171">
        <v>1</v>
      </c>
      <c r="H24" s="168">
        <f>IF(G24=0,VLOOKUP(C:C,[1]Inputs!$B$20:$H$25,7,FALSE)*F24,VLOOKUP(C:C,[1]Inputs!$B$20:$I$25,8,FALSE)*F24)</f>
        <v>215.32342970476165</v>
      </c>
      <c r="I24" s="168">
        <f>VLOOKUP(C:C,[1]Inputs!$C$54:$G$59,5,FALSE)*F24</f>
        <v>19.732436288346317</v>
      </c>
      <c r="J24" s="168"/>
      <c r="K24" s="168"/>
      <c r="L24" s="168"/>
      <c r="M24" s="168">
        <f t="shared" si="6"/>
        <v>235.05586599310797</v>
      </c>
      <c r="N24" s="168">
        <f>[1]Inputs!$M$43*M24</f>
        <v>109.51878315930645</v>
      </c>
      <c r="O24" s="168">
        <f>[1]Inputs!$M$48*M24</f>
        <v>37.697692156108474</v>
      </c>
      <c r="P24" s="168">
        <f>[1]Inputs!$H$13*SUM(M24:O24)</f>
        <v>24.243711885786521</v>
      </c>
      <c r="Q24" s="168">
        <f t="shared" si="4"/>
        <v>406.51605319430939</v>
      </c>
    </row>
    <row r="25" spans="1:17" ht="51" x14ac:dyDescent="0.2">
      <c r="B25" s="77" t="s">
        <v>134</v>
      </c>
      <c r="C25" s="72"/>
      <c r="D25" s="72"/>
      <c r="E25" s="72"/>
      <c r="F25" s="72"/>
      <c r="G25" s="72"/>
      <c r="H25" s="40"/>
      <c r="I25" s="40"/>
      <c r="J25" s="40"/>
      <c r="K25" s="72"/>
      <c r="L25" s="72"/>
      <c r="M25" s="40"/>
      <c r="N25" s="186">
        <f>[1]Inputs!$M$43</f>
        <v>0.46592661151676018</v>
      </c>
      <c r="O25" s="40"/>
      <c r="P25" s="186">
        <f>[1]Inputs!$H$13</f>
        <v>6.3420000000000004E-2</v>
      </c>
      <c r="Q25" s="187" t="str">
        <f>_xlfn.CONCAT("[Invoice + ",TEXT([1]Inputs!$M$43,"0.00%")," Overheads] + ",TEXT(P25,"0.00%")," Margin")</f>
        <v>[Invoice + 46.59% Overheads] + 6.34% Margin</v>
      </c>
    </row>
    <row r="26" spans="1:17" x14ac:dyDescent="0.2">
      <c r="B26" s="275" t="s">
        <v>1</v>
      </c>
      <c r="C26" s="276"/>
      <c r="D26" s="152"/>
      <c r="E26" s="152"/>
      <c r="F26" s="152"/>
      <c r="G26" s="152"/>
      <c r="H26" s="152"/>
      <c r="I26" s="152"/>
      <c r="J26" s="152"/>
      <c r="K26" s="152"/>
      <c r="L26" s="41"/>
      <c r="M26" s="42"/>
      <c r="N26" s="42"/>
      <c r="O26" s="42"/>
      <c r="P26" s="43"/>
      <c r="Q26" s="43"/>
    </row>
    <row r="28" spans="1:17" x14ac:dyDescent="0.2">
      <c r="B28" s="1" t="s">
        <v>79</v>
      </c>
    </row>
    <row r="29" spans="1:17" x14ac:dyDescent="0.2">
      <c r="B29" s="1" t="s">
        <v>167</v>
      </c>
    </row>
    <row r="30" spans="1:17" x14ac:dyDescent="0.2">
      <c r="B30" s="73"/>
    </row>
    <row r="37" spans="1:1" x14ac:dyDescent="0.2">
      <c r="A37" s="54"/>
    </row>
    <row r="50" spans="1:1" x14ac:dyDescent="0.2">
      <c r="A50" s="54"/>
    </row>
  </sheetData>
  <mergeCells count="6">
    <mergeCell ref="H15:Q15"/>
    <mergeCell ref="H16:Q16"/>
    <mergeCell ref="B26:C26"/>
    <mergeCell ref="B13:C13"/>
    <mergeCell ref="H2:Q2"/>
    <mergeCell ref="H3:Q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zoomScale="110" zoomScaleNormal="110" workbookViewId="0">
      <selection activeCell="B29" sqref="B29"/>
    </sheetView>
  </sheetViews>
  <sheetFormatPr defaultColWidth="9.140625" defaultRowHeight="12.75" x14ac:dyDescent="0.2"/>
  <cols>
    <col min="1" max="1" width="3.140625" style="53" customWidth="1"/>
    <col min="2" max="2" width="80" style="53" bestFit="1" customWidth="1"/>
    <col min="3" max="3" width="51.42578125" style="53" customWidth="1"/>
    <col min="4" max="4" width="12.85546875" style="53" customWidth="1"/>
    <col min="5" max="8" width="11.28515625" style="53" customWidth="1"/>
    <col min="9" max="9" width="12.7109375" style="53" customWidth="1"/>
    <col min="10" max="16384" width="9.140625" style="53"/>
  </cols>
  <sheetData>
    <row r="2" spans="2:9" x14ac:dyDescent="0.2">
      <c r="B2" s="26" t="s">
        <v>8</v>
      </c>
      <c r="C2" s="27"/>
      <c r="D2" s="27"/>
      <c r="E2" s="27"/>
      <c r="F2" s="27"/>
      <c r="G2" s="27"/>
      <c r="H2" s="27"/>
      <c r="I2" s="27"/>
    </row>
    <row r="3" spans="2:9" x14ac:dyDescent="0.2">
      <c r="B3" s="1"/>
      <c r="C3" s="1"/>
      <c r="D3" s="1"/>
      <c r="E3" s="1"/>
      <c r="F3" s="1"/>
      <c r="G3" s="1"/>
      <c r="H3" s="1"/>
      <c r="I3" s="1"/>
    </row>
    <row r="4" spans="2:9" x14ac:dyDescent="0.2">
      <c r="B4" s="26" t="s">
        <v>2</v>
      </c>
      <c r="C4" s="27"/>
      <c r="D4" s="27"/>
      <c r="E4" s="27"/>
      <c r="F4" s="27"/>
      <c r="G4" s="27"/>
      <c r="H4" s="27"/>
      <c r="I4" s="27"/>
    </row>
    <row r="5" spans="2:9" x14ac:dyDescent="0.2">
      <c r="B5" s="81" t="s">
        <v>87</v>
      </c>
      <c r="C5" s="81" t="s">
        <v>9</v>
      </c>
      <c r="D5" s="82" t="s">
        <v>54</v>
      </c>
      <c r="E5" s="82" t="s">
        <v>53</v>
      </c>
      <c r="F5" s="82" t="s">
        <v>52</v>
      </c>
      <c r="G5" s="80" t="s">
        <v>98</v>
      </c>
      <c r="H5" s="80" t="s">
        <v>99</v>
      </c>
      <c r="I5" s="83" t="s">
        <v>1</v>
      </c>
    </row>
    <row r="6" spans="2:9" ht="12.75" customHeight="1" x14ac:dyDescent="0.2">
      <c r="B6" s="78" t="s">
        <v>62</v>
      </c>
      <c r="C6" s="30"/>
      <c r="D6" s="29"/>
      <c r="E6" s="29"/>
      <c r="F6" s="29"/>
      <c r="G6" s="29"/>
      <c r="H6" s="29"/>
      <c r="I6" s="154">
        <f>SUM(D6:H6)</f>
        <v>0</v>
      </c>
    </row>
    <row r="7" spans="2:9" x14ac:dyDescent="0.2">
      <c r="B7" s="5"/>
      <c r="C7" s="28"/>
      <c r="D7" s="29"/>
      <c r="E7" s="29"/>
      <c r="F7" s="29"/>
      <c r="G7" s="29"/>
      <c r="H7" s="29"/>
      <c r="I7" s="154">
        <f t="shared" ref="I7:I9" si="0">SUM(D7:H7)</f>
        <v>0</v>
      </c>
    </row>
    <row r="8" spans="2:9" x14ac:dyDescent="0.2">
      <c r="B8" s="5"/>
      <c r="C8" s="28"/>
      <c r="D8" s="29"/>
      <c r="E8" s="29"/>
      <c r="F8" s="29"/>
      <c r="G8" s="29"/>
      <c r="H8" s="29"/>
      <c r="I8" s="154">
        <f t="shared" si="0"/>
        <v>0</v>
      </c>
    </row>
    <row r="9" spans="2:9" x14ac:dyDescent="0.2">
      <c r="B9" s="5"/>
      <c r="C9" s="28"/>
      <c r="D9" s="29"/>
      <c r="E9" s="29"/>
      <c r="F9" s="29"/>
      <c r="G9" s="29"/>
      <c r="H9" s="29"/>
      <c r="I9" s="154">
        <f t="shared" si="0"/>
        <v>0</v>
      </c>
    </row>
    <row r="10" spans="2:9" x14ac:dyDescent="0.2">
      <c r="B10" s="6" t="s">
        <v>1</v>
      </c>
      <c r="C10" s="7"/>
      <c r="D10" s="8">
        <f t="shared" ref="D10:I10" si="1">SUM(D6:D9)</f>
        <v>0</v>
      </c>
      <c r="E10" s="8">
        <f t="shared" si="1"/>
        <v>0</v>
      </c>
      <c r="F10" s="8">
        <f t="shared" si="1"/>
        <v>0</v>
      </c>
      <c r="G10" s="8">
        <f t="shared" si="1"/>
        <v>0</v>
      </c>
      <c r="H10" s="8">
        <f t="shared" si="1"/>
        <v>0</v>
      </c>
      <c r="I10" s="8">
        <f t="shared" si="1"/>
        <v>0</v>
      </c>
    </row>
    <row r="11" spans="2:9" x14ac:dyDescent="0.2">
      <c r="B11" s="1"/>
      <c r="C11" s="1"/>
      <c r="D11" s="1"/>
      <c r="E11" s="1"/>
      <c r="F11" s="1"/>
      <c r="G11" s="1"/>
      <c r="H11" s="1"/>
      <c r="I11" s="1"/>
    </row>
    <row r="12" spans="2:9" x14ac:dyDescent="0.2">
      <c r="B12" s="26" t="s">
        <v>10</v>
      </c>
      <c r="C12" s="27"/>
      <c r="D12" s="27"/>
      <c r="E12" s="27"/>
      <c r="F12" s="27"/>
      <c r="G12" s="27"/>
      <c r="H12" s="27"/>
      <c r="I12" s="27"/>
    </row>
    <row r="13" spans="2:9" x14ac:dyDescent="0.2">
      <c r="B13" s="81" t="s">
        <v>4</v>
      </c>
      <c r="C13" s="84" t="s">
        <v>9</v>
      </c>
      <c r="D13" s="82" t="s">
        <v>54</v>
      </c>
      <c r="E13" s="82" t="s">
        <v>53</v>
      </c>
      <c r="F13" s="82" t="s">
        <v>52</v>
      </c>
      <c r="G13" s="80" t="s">
        <v>98</v>
      </c>
      <c r="H13" s="80" t="s">
        <v>99</v>
      </c>
      <c r="I13" s="83" t="s">
        <v>1</v>
      </c>
    </row>
    <row r="14" spans="2:9" x14ac:dyDescent="0.2">
      <c r="B14" s="10" t="s">
        <v>18</v>
      </c>
      <c r="C14" s="10"/>
      <c r="D14" s="71"/>
      <c r="E14" s="71"/>
      <c r="F14" s="71"/>
      <c r="G14" s="71"/>
      <c r="H14" s="71"/>
      <c r="I14" s="155">
        <f>SUM(D14:H14)</f>
        <v>0</v>
      </c>
    </row>
    <row r="15" spans="2:9" x14ac:dyDescent="0.2">
      <c r="B15" s="10"/>
      <c r="C15" s="12"/>
      <c r="D15" s="11"/>
      <c r="E15" s="11"/>
      <c r="F15" s="11"/>
      <c r="G15" s="11"/>
      <c r="H15" s="11"/>
      <c r="I15" s="155">
        <f t="shared" ref="I15:I16" si="2">SUM(D15:H15)</f>
        <v>0</v>
      </c>
    </row>
    <row r="16" spans="2:9" x14ac:dyDescent="0.2">
      <c r="B16" s="10"/>
      <c r="C16" s="10"/>
      <c r="D16" s="11"/>
      <c r="E16" s="11"/>
      <c r="F16" s="11"/>
      <c r="G16" s="11"/>
      <c r="H16" s="11"/>
      <c r="I16" s="156">
        <f t="shared" si="2"/>
        <v>0</v>
      </c>
    </row>
    <row r="17" spans="2:9" x14ac:dyDescent="0.2">
      <c r="B17" s="32" t="s">
        <v>16</v>
      </c>
      <c r="C17" s="7"/>
      <c r="D17" s="13">
        <f t="shared" ref="D17:F17" si="3">SUM(D14:D16)</f>
        <v>0</v>
      </c>
      <c r="E17" s="13">
        <f t="shared" si="3"/>
        <v>0</v>
      </c>
      <c r="F17" s="13">
        <f t="shared" si="3"/>
        <v>0</v>
      </c>
      <c r="G17" s="13">
        <f t="shared" ref="G17:H17" si="4">SUM(G14:G16)</f>
        <v>0</v>
      </c>
      <c r="H17" s="13">
        <f t="shared" si="4"/>
        <v>0</v>
      </c>
      <c r="I17" s="13">
        <f>SUM(I14:I16)</f>
        <v>0</v>
      </c>
    </row>
    <row r="18" spans="2:9" x14ac:dyDescent="0.2">
      <c r="B18" s="1"/>
      <c r="C18" s="1"/>
      <c r="D18" s="14"/>
      <c r="E18" s="14"/>
      <c r="F18" s="14"/>
      <c r="G18" s="14"/>
      <c r="H18" s="14"/>
      <c r="I18" s="14"/>
    </row>
    <row r="19" spans="2:9" x14ac:dyDescent="0.2">
      <c r="B19" s="15" t="s">
        <v>6</v>
      </c>
      <c r="C19" s="1"/>
      <c r="D19" s="14"/>
      <c r="E19" s="14"/>
      <c r="F19" s="14"/>
      <c r="G19" s="14"/>
      <c r="H19" s="14"/>
      <c r="I19" s="14"/>
    </row>
    <row r="20" spans="2:9" x14ac:dyDescent="0.2">
      <c r="B20" s="266" t="s">
        <v>91</v>
      </c>
      <c r="C20" s="266"/>
      <c r="D20" s="266"/>
      <c r="E20" s="266"/>
      <c r="F20" s="266"/>
      <c r="G20" s="266"/>
      <c r="H20" s="266"/>
      <c r="I20" s="266"/>
    </row>
    <row r="21" spans="2:9" x14ac:dyDescent="0.2">
      <c r="B21" s="268"/>
      <c r="C21" s="268"/>
      <c r="D21" s="268"/>
      <c r="E21" s="268"/>
      <c r="F21" s="268"/>
      <c r="G21" s="268"/>
      <c r="H21" s="268"/>
      <c r="I21" s="268"/>
    </row>
    <row r="22" spans="2:9" x14ac:dyDescent="0.2">
      <c r="B22" s="1"/>
      <c r="C22" s="1"/>
      <c r="D22" s="14"/>
      <c r="E22" s="14"/>
      <c r="F22" s="14"/>
      <c r="G22" s="14"/>
      <c r="H22" s="14"/>
      <c r="I22" s="14"/>
    </row>
    <row r="23" spans="2:9" x14ac:dyDescent="0.2">
      <c r="B23" s="26" t="s">
        <v>2</v>
      </c>
      <c r="C23" s="27"/>
      <c r="D23" s="27"/>
      <c r="E23" s="27"/>
      <c r="F23" s="27"/>
      <c r="G23" s="27"/>
      <c r="H23" s="27"/>
      <c r="I23" s="27"/>
    </row>
    <row r="24" spans="2:9" x14ac:dyDescent="0.2">
      <c r="B24" s="16" t="s">
        <v>11</v>
      </c>
      <c r="C24" s="17"/>
      <c r="D24" s="17"/>
      <c r="E24" s="17"/>
      <c r="F24" s="17"/>
      <c r="G24" s="17"/>
      <c r="H24" s="17"/>
      <c r="I24" s="17"/>
    </row>
    <row r="25" spans="2:9" x14ac:dyDescent="0.2">
      <c r="B25" s="270"/>
      <c r="C25" s="270"/>
      <c r="D25" s="270"/>
      <c r="E25" s="270"/>
      <c r="F25" s="270"/>
      <c r="G25" s="270"/>
      <c r="H25" s="270"/>
      <c r="I25" s="270"/>
    </row>
    <row r="26" spans="2:9" x14ac:dyDescent="0.2">
      <c r="B26" s="272"/>
      <c r="C26" s="272"/>
      <c r="D26" s="272"/>
      <c r="E26" s="272"/>
      <c r="F26" s="272"/>
      <c r="G26" s="272"/>
      <c r="H26" s="272"/>
      <c r="I26" s="272"/>
    </row>
    <row r="27" spans="2:9" x14ac:dyDescent="0.2">
      <c r="B27" s="18"/>
      <c r="C27" s="19"/>
      <c r="D27" s="19"/>
      <c r="E27" s="19"/>
      <c r="F27" s="19"/>
      <c r="G27" s="19"/>
      <c r="H27" s="19"/>
      <c r="I27" s="19"/>
    </row>
  </sheetData>
  <mergeCells count="2">
    <mergeCell ref="B20:I21"/>
    <mergeCell ref="B25:I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AAC3E-ED80-480D-8294-186D2449A995}">
  <dimension ref="A1:V91"/>
  <sheetViews>
    <sheetView topLeftCell="A28" zoomScale="80" zoomScaleNormal="80" workbookViewId="0">
      <selection activeCell="B40" sqref="B40"/>
    </sheetView>
  </sheetViews>
  <sheetFormatPr defaultColWidth="9.140625" defaultRowHeight="15" x14ac:dyDescent="0.25"/>
  <cols>
    <col min="1" max="1" width="4.42578125" style="188" customWidth="1"/>
    <col min="2" max="2" width="49.28515625" style="188" bestFit="1" customWidth="1"/>
    <col min="3" max="3" width="13.28515625" style="188" customWidth="1"/>
    <col min="4" max="8" width="12.7109375" style="188" bestFit="1" customWidth="1"/>
    <col min="9" max="9" width="9.140625" style="188"/>
    <col min="10" max="10" width="12.5703125" style="188" customWidth="1"/>
    <col min="11" max="15" width="10" style="188" bestFit="1" customWidth="1"/>
    <col min="16" max="16" width="9.140625" style="188"/>
    <col min="17" max="17" width="11.140625" style="188" bestFit="1" customWidth="1"/>
    <col min="18" max="22" width="10" style="188" bestFit="1" customWidth="1"/>
    <col min="23" max="16384" width="9.140625" style="188"/>
  </cols>
  <sheetData>
    <row r="1" spans="1:22" x14ac:dyDescent="0.25">
      <c r="B1" s="188" t="s">
        <v>135</v>
      </c>
      <c r="D1" s="189">
        <f>[1]Inputs!H16</f>
        <v>1</v>
      </c>
      <c r="E1" s="189">
        <f>[1]Inputs!I16</f>
        <v>1</v>
      </c>
      <c r="F1" s="189">
        <f>[1]Inputs!J16</f>
        <v>1.0109999999999999</v>
      </c>
      <c r="G1" s="189">
        <f>[1]Inputs!K16</f>
        <v>1.0231319999999999</v>
      </c>
      <c r="H1" s="189">
        <f>[1]Inputs!L16</f>
        <v>1.0337725727999998</v>
      </c>
      <c r="K1" s="190">
        <f>D1</f>
        <v>1</v>
      </c>
      <c r="L1" s="190">
        <f t="shared" ref="L1:O5" si="0">E1</f>
        <v>1</v>
      </c>
      <c r="M1" s="190">
        <f t="shared" si="0"/>
        <v>1.0109999999999999</v>
      </c>
      <c r="N1" s="190">
        <f t="shared" si="0"/>
        <v>1.0231319999999999</v>
      </c>
      <c r="O1" s="190">
        <f t="shared" si="0"/>
        <v>1.0337725727999998</v>
      </c>
      <c r="R1" s="190">
        <f>K1</f>
        <v>1</v>
      </c>
      <c r="S1" s="190">
        <f t="shared" ref="S1" si="1">L1</f>
        <v>1</v>
      </c>
      <c r="T1" s="190">
        <f t="shared" ref="T1" si="2">M1</f>
        <v>1.0109999999999999</v>
      </c>
      <c r="U1" s="190">
        <f t="shared" ref="U1" si="3">N1</f>
        <v>1.0231319999999999</v>
      </c>
      <c r="V1" s="190">
        <f t="shared" ref="V1" si="4">O1</f>
        <v>1.0337725727999998</v>
      </c>
    </row>
    <row r="2" spans="1:22" x14ac:dyDescent="0.25">
      <c r="B2" s="188" t="s">
        <v>136</v>
      </c>
      <c r="D2" s="189">
        <f>[1]Inputs!H61</f>
        <v>0.04</v>
      </c>
      <c r="E2" s="189">
        <f>[1]Inputs!I61</f>
        <v>0.04</v>
      </c>
      <c r="F2" s="189">
        <f>[1]Inputs!J61</f>
        <v>0.04</v>
      </c>
      <c r="G2" s="189">
        <f>[1]Inputs!K61</f>
        <v>0.04</v>
      </c>
      <c r="H2" s="189">
        <f>[1]Inputs!L61</f>
        <v>0.04</v>
      </c>
      <c r="K2" s="190"/>
      <c r="L2" s="190"/>
      <c r="M2" s="190"/>
      <c r="N2" s="190"/>
      <c r="O2" s="190"/>
      <c r="R2" s="190"/>
      <c r="S2" s="190"/>
      <c r="T2" s="190"/>
      <c r="U2" s="190"/>
      <c r="V2" s="190"/>
    </row>
    <row r="3" spans="1:22" x14ac:dyDescent="0.25">
      <c r="B3" s="188" t="s">
        <v>137</v>
      </c>
      <c r="D3" s="190">
        <f>[1]Inputs!$M$43</f>
        <v>0.46592661151676018</v>
      </c>
      <c r="E3" s="190">
        <f>[1]Inputs!$M$43</f>
        <v>0.46592661151676018</v>
      </c>
      <c r="F3" s="190">
        <f>[1]Inputs!$M$43</f>
        <v>0.46592661151676018</v>
      </c>
      <c r="G3" s="190">
        <f>[1]Inputs!$M$43</f>
        <v>0.46592661151676018</v>
      </c>
      <c r="H3" s="190">
        <f>[1]Inputs!$M$43</f>
        <v>0.46592661151676018</v>
      </c>
      <c r="K3" s="190">
        <f t="shared" ref="K3:K5" si="5">D3</f>
        <v>0.46592661151676018</v>
      </c>
      <c r="L3" s="190">
        <f t="shared" si="0"/>
        <v>0.46592661151676018</v>
      </c>
      <c r="M3" s="190">
        <f t="shared" si="0"/>
        <v>0.46592661151676018</v>
      </c>
      <c r="N3" s="190">
        <f t="shared" si="0"/>
        <v>0.46592661151676018</v>
      </c>
      <c r="O3" s="190">
        <f t="shared" si="0"/>
        <v>0.46592661151676018</v>
      </c>
      <c r="R3" s="190">
        <f t="shared" ref="R3:R5" si="6">K3</f>
        <v>0.46592661151676018</v>
      </c>
      <c r="S3" s="190">
        <f t="shared" ref="S3:S5" si="7">L3</f>
        <v>0.46592661151676018</v>
      </c>
      <c r="T3" s="190">
        <f t="shared" ref="T3:T5" si="8">M3</f>
        <v>0.46592661151676018</v>
      </c>
      <c r="U3" s="190">
        <f t="shared" ref="U3:U5" si="9">N3</f>
        <v>0.46592661151676018</v>
      </c>
      <c r="V3" s="190">
        <f t="shared" ref="V3:V5" si="10">O3</f>
        <v>0.46592661151676018</v>
      </c>
    </row>
    <row r="4" spans="1:22" x14ac:dyDescent="0.25">
      <c r="B4" s="188" t="s">
        <v>138</v>
      </c>
      <c r="D4" s="190">
        <f>[1]Inputs!$M$48</f>
        <v>0.16037758511933414</v>
      </c>
      <c r="E4" s="190">
        <f>[1]Inputs!$M$48</f>
        <v>0.16037758511933414</v>
      </c>
      <c r="F4" s="190">
        <f>[1]Inputs!$M$48</f>
        <v>0.16037758511933414</v>
      </c>
      <c r="G4" s="190">
        <f>[1]Inputs!$M$48</f>
        <v>0.16037758511933414</v>
      </c>
      <c r="H4" s="190">
        <f>[1]Inputs!$M$48</f>
        <v>0.16037758511933414</v>
      </c>
      <c r="K4" s="190">
        <f t="shared" si="5"/>
        <v>0.16037758511933414</v>
      </c>
      <c r="L4" s="190">
        <f t="shared" si="0"/>
        <v>0.16037758511933414</v>
      </c>
      <c r="M4" s="190">
        <f t="shared" si="0"/>
        <v>0.16037758511933414</v>
      </c>
      <c r="N4" s="190">
        <f t="shared" si="0"/>
        <v>0.16037758511933414</v>
      </c>
      <c r="O4" s="190">
        <f t="shared" si="0"/>
        <v>0.16037758511933414</v>
      </c>
      <c r="R4" s="190">
        <f t="shared" si="6"/>
        <v>0.16037758511933414</v>
      </c>
      <c r="S4" s="190">
        <f t="shared" si="7"/>
        <v>0.16037758511933414</v>
      </c>
      <c r="T4" s="190">
        <f t="shared" si="8"/>
        <v>0.16037758511933414</v>
      </c>
      <c r="U4" s="190">
        <f t="shared" si="9"/>
        <v>0.16037758511933414</v>
      </c>
      <c r="V4" s="190">
        <f t="shared" si="10"/>
        <v>0.16037758511933414</v>
      </c>
    </row>
    <row r="5" spans="1:22" x14ac:dyDescent="0.25">
      <c r="B5" s="188" t="s">
        <v>139</v>
      </c>
      <c r="D5" s="190">
        <f>[1]Inputs!$H$13</f>
        <v>6.3420000000000004E-2</v>
      </c>
      <c r="E5" s="190">
        <f>[1]Inputs!$H$13</f>
        <v>6.3420000000000004E-2</v>
      </c>
      <c r="F5" s="190">
        <f>[1]Inputs!$H$13</f>
        <v>6.3420000000000004E-2</v>
      </c>
      <c r="G5" s="190">
        <f>[1]Inputs!$H$13</f>
        <v>6.3420000000000004E-2</v>
      </c>
      <c r="H5" s="190">
        <f>[1]Inputs!$H$13</f>
        <v>6.3420000000000004E-2</v>
      </c>
      <c r="K5" s="190">
        <f t="shared" si="5"/>
        <v>6.3420000000000004E-2</v>
      </c>
      <c r="L5" s="190">
        <f t="shared" si="0"/>
        <v>6.3420000000000004E-2</v>
      </c>
      <c r="M5" s="190">
        <f t="shared" si="0"/>
        <v>6.3420000000000004E-2</v>
      </c>
      <c r="N5" s="190">
        <f t="shared" si="0"/>
        <v>6.3420000000000004E-2</v>
      </c>
      <c r="O5" s="190">
        <f t="shared" si="0"/>
        <v>6.3420000000000004E-2</v>
      </c>
      <c r="R5" s="190">
        <f t="shared" si="6"/>
        <v>6.3420000000000004E-2</v>
      </c>
      <c r="S5" s="190">
        <f t="shared" si="7"/>
        <v>6.3420000000000004E-2</v>
      </c>
      <c r="T5" s="190">
        <f t="shared" si="8"/>
        <v>6.3420000000000004E-2</v>
      </c>
      <c r="U5" s="190">
        <f t="shared" si="9"/>
        <v>6.3420000000000004E-2</v>
      </c>
      <c r="V5" s="190">
        <f t="shared" si="10"/>
        <v>6.3420000000000004E-2</v>
      </c>
    </row>
    <row r="6" spans="1:22" s="191" customFormat="1" ht="15.75" x14ac:dyDescent="0.25">
      <c r="D6" s="282" t="s">
        <v>140</v>
      </c>
      <c r="E6" s="282"/>
      <c r="F6" s="282"/>
      <c r="G6" s="282"/>
      <c r="H6" s="282"/>
      <c r="J6" s="283" t="s">
        <v>165</v>
      </c>
      <c r="K6" s="283"/>
      <c r="L6" s="283"/>
      <c r="M6" s="283"/>
      <c r="N6" s="283"/>
      <c r="O6" s="283"/>
      <c r="Q6" s="280" t="s">
        <v>166</v>
      </c>
      <c r="R6" s="280"/>
      <c r="S6" s="280"/>
      <c r="T6" s="280"/>
      <c r="U6" s="280"/>
      <c r="V6" s="280"/>
    </row>
    <row r="7" spans="1:22" s="191" customFormat="1" ht="15.75" x14ac:dyDescent="0.25">
      <c r="D7" s="278" t="s">
        <v>141</v>
      </c>
      <c r="E7" s="279"/>
      <c r="F7" s="279"/>
      <c r="G7" s="279"/>
      <c r="H7" s="279"/>
      <c r="J7" s="278" t="s">
        <v>141</v>
      </c>
      <c r="K7" s="279"/>
      <c r="L7" s="279"/>
      <c r="M7" s="279"/>
      <c r="N7" s="279"/>
      <c r="O7" s="279"/>
      <c r="Q7" s="278" t="s">
        <v>141</v>
      </c>
      <c r="R7" s="279"/>
      <c r="S7" s="279"/>
      <c r="T7" s="279"/>
      <c r="U7" s="279"/>
      <c r="V7" s="279"/>
    </row>
    <row r="8" spans="1:22" x14ac:dyDescent="0.25">
      <c r="B8" s="192" t="s">
        <v>161</v>
      </c>
      <c r="C8" s="193"/>
      <c r="D8" s="193" t="s">
        <v>142</v>
      </c>
      <c r="E8" s="193" t="s">
        <v>143</v>
      </c>
      <c r="F8" s="193" t="s">
        <v>144</v>
      </c>
      <c r="G8" s="193" t="s">
        <v>145</v>
      </c>
      <c r="H8" s="193" t="s">
        <v>146</v>
      </c>
      <c r="J8" s="193"/>
      <c r="K8" s="193" t="s">
        <v>142</v>
      </c>
      <c r="L8" s="193" t="s">
        <v>143</v>
      </c>
      <c r="M8" s="193" t="s">
        <v>144</v>
      </c>
      <c r="N8" s="193" t="s">
        <v>145</v>
      </c>
      <c r="O8" s="193" t="s">
        <v>146</v>
      </c>
      <c r="Q8" s="193"/>
      <c r="R8" s="193" t="s">
        <v>142</v>
      </c>
      <c r="S8" s="193" t="s">
        <v>143</v>
      </c>
      <c r="T8" s="193" t="s">
        <v>144</v>
      </c>
      <c r="U8" s="193" t="s">
        <v>145</v>
      </c>
      <c r="V8" s="193" t="s">
        <v>146</v>
      </c>
    </row>
    <row r="9" spans="1:22" ht="15" customHeight="1" x14ac:dyDescent="0.25">
      <c r="A9" s="277"/>
      <c r="B9" s="194" t="s">
        <v>110</v>
      </c>
      <c r="C9" s="195"/>
      <c r="D9" s="196">
        <f>(D21*D$29)+(D33*D$41)+(D45*D$53)+(D57*D$65)+(D69*D$77)</f>
        <v>30842.680919669536</v>
      </c>
      <c r="E9" s="196">
        <f t="shared" ref="E9:H9" si="11">(E21*E$29)+(E33*E$41)+(E45*E$53)+(E57*E$65)+(E69*E$77)</f>
        <v>30842.680919669536</v>
      </c>
      <c r="F9" s="196">
        <f t="shared" si="11"/>
        <v>31181.950409785899</v>
      </c>
      <c r="G9" s="196">
        <f t="shared" si="11"/>
        <v>31903.251286665069</v>
      </c>
      <c r="H9" s="196">
        <f t="shared" si="11"/>
        <v>32980.706163300652</v>
      </c>
      <c r="J9" s="195"/>
      <c r="K9" s="196">
        <f>(K21*K$29)+(K33*K$41)+(K45*K$53)+(K57*K$65)+(K69*K$77)</f>
        <v>55992.765405405728</v>
      </c>
      <c r="L9" s="196">
        <f t="shared" ref="L9:O9" si="12">(L21*L$29)+(L33*L$41)+(L45*L$53)+(L57*L$65)+(L69*L$77)</f>
        <v>55992.765405405728</v>
      </c>
      <c r="M9" s="196">
        <f t="shared" si="12"/>
        <v>56608.685824865184</v>
      </c>
      <c r="N9" s="196">
        <f t="shared" si="12"/>
        <v>57918.157945365958</v>
      </c>
      <c r="O9" s="196">
        <f t="shared" si="12"/>
        <v>59874.203151017718</v>
      </c>
      <c r="Q9" s="237"/>
      <c r="R9" s="196">
        <f>(R21*R$29)+(R33*R$41)+(R45*R$53)+(R57*R$65)+(R69*R$77)</f>
        <v>25150.084485736188</v>
      </c>
      <c r="S9" s="196">
        <f t="shared" ref="S9:V9" si="13">(S21*S$29)+(S33*S$41)+(S45*S$53)+(S57*S$65)+(S69*S$77)</f>
        <v>25150.084485736188</v>
      </c>
      <c r="T9" s="196">
        <f t="shared" si="13"/>
        <v>25426.735415079282</v>
      </c>
      <c r="U9" s="196">
        <f t="shared" si="13"/>
        <v>26014.906658700893</v>
      </c>
      <c r="V9" s="196">
        <f t="shared" si="13"/>
        <v>26893.496987717066</v>
      </c>
    </row>
    <row r="10" spans="1:22" x14ac:dyDescent="0.25">
      <c r="A10" s="277"/>
      <c r="B10" s="194" t="s">
        <v>111</v>
      </c>
      <c r="C10" s="195"/>
      <c r="D10" s="196">
        <f t="shared" ref="D10:H11" si="14">(D22*D$29)+(D34*D$41)+(D46*D$53)+(D58*D$65)+(D70*D$77)</f>
        <v>6590.6337203076691</v>
      </c>
      <c r="E10" s="196">
        <f t="shared" si="14"/>
        <v>6590.6337203076691</v>
      </c>
      <c r="F10" s="196">
        <f t="shared" si="14"/>
        <v>6590.6337203076691</v>
      </c>
      <c r="G10" s="196">
        <f t="shared" si="14"/>
        <v>6590.6337203076691</v>
      </c>
      <c r="H10" s="196">
        <f t="shared" si="14"/>
        <v>6590.6337203076691</v>
      </c>
      <c r="J10" s="195"/>
      <c r="K10" s="196">
        <f t="shared" ref="K10" si="15">(K22*K$29)+(K34*K$41)+(K46*K$53)+(K58*K$65)+(K70*K$77)</f>
        <v>6590.6337203076691</v>
      </c>
      <c r="L10" s="196">
        <f t="shared" ref="L10:O10" si="16">(L22*L$29)+(L34*L$41)+(L46*L$53)+(L58*L$65)+(L70*L$77)</f>
        <v>6590.6337203076691</v>
      </c>
      <c r="M10" s="196">
        <f t="shared" si="16"/>
        <v>6590.6337203076691</v>
      </c>
      <c r="N10" s="196">
        <f t="shared" si="16"/>
        <v>6590.6337203076691</v>
      </c>
      <c r="O10" s="196">
        <f t="shared" si="16"/>
        <v>6590.6337203076691</v>
      </c>
      <c r="Q10" s="237"/>
      <c r="R10" s="196">
        <f t="shared" ref="R10:V10" si="17">(R22*R$29)+(R34*R$41)+(R46*R$53)+(R58*R$65)+(R70*R$77)</f>
        <v>0</v>
      </c>
      <c r="S10" s="196">
        <f t="shared" si="17"/>
        <v>0</v>
      </c>
      <c r="T10" s="196">
        <f t="shared" si="17"/>
        <v>0</v>
      </c>
      <c r="U10" s="196">
        <f t="shared" si="17"/>
        <v>0</v>
      </c>
      <c r="V10" s="196">
        <f t="shared" si="17"/>
        <v>0</v>
      </c>
    </row>
    <row r="11" spans="1:22" x14ac:dyDescent="0.25">
      <c r="A11" s="277"/>
      <c r="B11" s="194" t="s">
        <v>112</v>
      </c>
      <c r="C11" s="195"/>
      <c r="D11" s="196">
        <f t="shared" si="14"/>
        <v>0</v>
      </c>
      <c r="E11" s="196">
        <f t="shared" si="14"/>
        <v>0</v>
      </c>
      <c r="F11" s="196">
        <f t="shared" si="14"/>
        <v>0</v>
      </c>
      <c r="G11" s="196">
        <f t="shared" si="14"/>
        <v>0</v>
      </c>
      <c r="H11" s="196">
        <f t="shared" si="14"/>
        <v>0</v>
      </c>
      <c r="J11" s="195"/>
      <c r="K11" s="196">
        <f t="shared" ref="K11" si="18">(K23*K$29)+(K35*K$41)+(K47*K$53)+(K59*K$65)+(K71*K$77)</f>
        <v>0</v>
      </c>
      <c r="L11" s="196">
        <f t="shared" ref="L11:O11" si="19">(L23*L$29)+(L35*L$41)+(L47*L$53)+(L59*L$65)+(L71*L$77)</f>
        <v>0</v>
      </c>
      <c r="M11" s="196">
        <f t="shared" si="19"/>
        <v>0</v>
      </c>
      <c r="N11" s="196">
        <f t="shared" si="19"/>
        <v>0</v>
      </c>
      <c r="O11" s="196">
        <f t="shared" si="19"/>
        <v>0</v>
      </c>
      <c r="Q11" s="237"/>
      <c r="R11" s="196">
        <f t="shared" ref="R11:V11" si="20">(R23*R$29)+(R35*R$41)+(R47*R$53)+(R59*R$65)+(R71*R$77)</f>
        <v>0</v>
      </c>
      <c r="S11" s="196">
        <f t="shared" si="20"/>
        <v>0</v>
      </c>
      <c r="T11" s="196">
        <f t="shared" si="20"/>
        <v>0</v>
      </c>
      <c r="U11" s="196">
        <f t="shared" si="20"/>
        <v>0</v>
      </c>
      <c r="V11" s="196">
        <f t="shared" si="20"/>
        <v>0</v>
      </c>
    </row>
    <row r="12" spans="1:22" x14ac:dyDescent="0.25">
      <c r="A12" s="277"/>
      <c r="B12" s="194" t="s">
        <v>147</v>
      </c>
      <c r="C12" s="195"/>
      <c r="D12" s="196">
        <f>D84</f>
        <v>1000</v>
      </c>
      <c r="E12" s="196">
        <f t="shared" ref="E12:H12" si="21">E84</f>
        <v>1000</v>
      </c>
      <c r="F12" s="196">
        <f t="shared" si="21"/>
        <v>1000</v>
      </c>
      <c r="G12" s="196">
        <f t="shared" si="21"/>
        <v>1000</v>
      </c>
      <c r="H12" s="196">
        <f t="shared" si="21"/>
        <v>1000</v>
      </c>
      <c r="J12" s="195"/>
      <c r="K12" s="196">
        <f>K84</f>
        <v>1000</v>
      </c>
      <c r="L12" s="196">
        <f t="shared" ref="L12:O12" si="22">L84</f>
        <v>1000</v>
      </c>
      <c r="M12" s="196">
        <f t="shared" si="22"/>
        <v>1000</v>
      </c>
      <c r="N12" s="196">
        <f t="shared" si="22"/>
        <v>1000</v>
      </c>
      <c r="O12" s="196">
        <f t="shared" si="22"/>
        <v>1000</v>
      </c>
      <c r="Q12" s="237"/>
      <c r="R12" s="196">
        <v>1000</v>
      </c>
      <c r="S12" s="196">
        <v>1000</v>
      </c>
      <c r="T12" s="196">
        <v>1000</v>
      </c>
      <c r="U12" s="196">
        <v>1000</v>
      </c>
      <c r="V12" s="196">
        <v>1000</v>
      </c>
    </row>
    <row r="13" spans="1:22" x14ac:dyDescent="0.25">
      <c r="A13" s="277"/>
      <c r="B13" s="197" t="s">
        <v>148</v>
      </c>
      <c r="C13" s="197"/>
      <c r="D13" s="198">
        <f>(D24*D$29)+(D36*D$41)+(D48*D$53)+(D60*D$65)+(D72*D$77)+D84</f>
        <v>38433.314639977216</v>
      </c>
      <c r="E13" s="198">
        <f t="shared" ref="E13:H13" si="23">(E24*E$29)+(E36*E$41)+(E48*E$53)+(E60*E$65)+(E72*E$77)+E84</f>
        <v>38433.314639977216</v>
      </c>
      <c r="F13" s="198">
        <f t="shared" si="23"/>
        <v>38772.584130093579</v>
      </c>
      <c r="G13" s="198">
        <f t="shared" si="23"/>
        <v>39493.885006972741</v>
      </c>
      <c r="H13" s="198">
        <f t="shared" si="23"/>
        <v>40571.339883608322</v>
      </c>
      <c r="J13" s="197"/>
      <c r="K13" s="198">
        <f>(K24*K$29)+(K36*K$41)+(K48*K$53)+(K60*K$65)+(K72*K$77)+K84</f>
        <v>63583.399125713397</v>
      </c>
      <c r="L13" s="198">
        <f t="shared" ref="L13:O13" si="24">(L24*L$29)+(L36*L$41)+(L48*L$53)+(L60*L$65)+(L72*L$77)+L84</f>
        <v>63583.399125713397</v>
      </c>
      <c r="M13" s="198">
        <f t="shared" si="24"/>
        <v>64199.319545172846</v>
      </c>
      <c r="N13" s="198">
        <f t="shared" si="24"/>
        <v>65508.791665673627</v>
      </c>
      <c r="O13" s="198">
        <f t="shared" si="24"/>
        <v>67464.836871325388</v>
      </c>
      <c r="Q13" s="237"/>
      <c r="R13" s="198">
        <f>(R24*R$29)+(R36*R$41)+(R48*R$53)+(R60*R$65)+(R72*R$77)+R84</f>
        <v>26150.084485736188</v>
      </c>
      <c r="S13" s="198">
        <f t="shared" ref="S13:V13" si="25">(S24*S$29)+(S36*S$41)+(S48*S$53)+(S60*S$65)+(S72*S$77)+S84</f>
        <v>26150.084485736188</v>
      </c>
      <c r="T13" s="198">
        <f t="shared" si="25"/>
        <v>26426.735415079282</v>
      </c>
      <c r="U13" s="198">
        <f t="shared" si="25"/>
        <v>27014.906658700893</v>
      </c>
      <c r="V13" s="198">
        <f t="shared" si="25"/>
        <v>27893.496987717066</v>
      </c>
    </row>
    <row r="14" spans="1:22" x14ac:dyDescent="0.25">
      <c r="A14" s="277"/>
      <c r="B14" s="195" t="s">
        <v>116</v>
      </c>
      <c r="C14" s="195"/>
      <c r="D14" s="196">
        <f>(D25*D$29)+(D37*D$41)+(D49*D$53)+(D61*D$65)+(D73*D$77)+D86</f>
        <v>17907.104059562069</v>
      </c>
      <c r="E14" s="196">
        <f t="shared" ref="E14:H14" si="26">(E25*E$29)+(E37*E$41)+(E49*E$53)+(E61*E$65)+(E73*E$77)+E86</f>
        <v>17907.104059562069</v>
      </c>
      <c r="F14" s="196">
        <f t="shared" si="26"/>
        <v>18065.178743483008</v>
      </c>
      <c r="G14" s="196">
        <f t="shared" si="26"/>
        <v>18401.252016931387</v>
      </c>
      <c r="H14" s="196">
        <f t="shared" si="26"/>
        <v>18903.266916664412</v>
      </c>
      <c r="J14" s="195"/>
      <c r="K14" s="196">
        <f t="shared" ref="K14:O17" si="27">(K25*K$29)+(K37*K$41)+(K49*K$53)+(K61*K$65)+(K73*K$77)+K85</f>
        <v>30159.271091844617</v>
      </c>
      <c r="L14" s="196">
        <f t="shared" si="27"/>
        <v>30159.271091844617</v>
      </c>
      <c r="M14" s="196">
        <f t="shared" si="27"/>
        <v>30446.244805847335</v>
      </c>
      <c r="N14" s="196">
        <f t="shared" si="27"/>
        <v>31056.362713827933</v>
      </c>
      <c r="O14" s="196">
        <f t="shared" si="27"/>
        <v>31967.736228470865</v>
      </c>
      <c r="Q14" s="237"/>
      <c r="R14" s="196">
        <f>(R25*R$29)+(R37*R$41)+(R49*R$53)+(R61*R$65)+(R73*R$77)+R86</f>
        <v>12184.020255316063</v>
      </c>
      <c r="S14" s="196">
        <f t="shared" ref="S14:V14" si="28">(S25*S$29)+(S37*S$41)+(S49*S$53)+(S61*S$65)+(S73*S$77)+S86</f>
        <v>12184.020255316063</v>
      </c>
      <c r="T14" s="196">
        <f t="shared" si="28"/>
        <v>12312.919285397853</v>
      </c>
      <c r="U14" s="196">
        <f t="shared" si="28"/>
        <v>12586.963919930073</v>
      </c>
      <c r="V14" s="196">
        <f t="shared" si="28"/>
        <v>12996.322534839972</v>
      </c>
    </row>
    <row r="15" spans="1:22" x14ac:dyDescent="0.25">
      <c r="A15" s="277"/>
      <c r="B15" s="195" t="s">
        <v>117</v>
      </c>
      <c r="C15" s="195"/>
      <c r="D15" s="196">
        <f>(D26*D$29)+(D38*D$41)+(D50*D$53)+(D62*D$65)+(D74*D$77)+D87</f>
        <v>6003.464604971763</v>
      </c>
      <c r="E15" s="196">
        <f t="shared" ref="E15:H15" si="29">(E26*E$29)+(E38*E$41)+(E50*E$53)+(E62*E$65)+(E74*E$77)+E87</f>
        <v>6003.464604971763</v>
      </c>
      <c r="F15" s="196">
        <f t="shared" si="29"/>
        <v>6057.8758265012939</v>
      </c>
      <c r="G15" s="196">
        <f t="shared" si="29"/>
        <v>6173.5563192796299</v>
      </c>
      <c r="H15" s="196">
        <f t="shared" si="29"/>
        <v>6346.3559304694945</v>
      </c>
      <c r="J15" s="195"/>
      <c r="K15" s="196">
        <f t="shared" si="27"/>
        <v>10502.901031858124</v>
      </c>
      <c r="L15" s="196">
        <f t="shared" si="27"/>
        <v>10502.901031858124</v>
      </c>
      <c r="M15" s="196">
        <f t="shared" si="27"/>
        <v>10601.680861356715</v>
      </c>
      <c r="N15" s="196">
        <f t="shared" si="27"/>
        <v>10811.690837823728</v>
      </c>
      <c r="O15" s="196">
        <f t="shared" si="27"/>
        <v>11125.396644290406</v>
      </c>
      <c r="Q15" s="237"/>
      <c r="R15" s="196">
        <f>(R26*R$29)+(R38*R$41)+(R50*R$53)+(R62*R$65)+(R74*R$77)+R87</f>
        <v>4033.5098153696008</v>
      </c>
      <c r="S15" s="196">
        <f t="shared" ref="S15:V15" si="30">(S26*S$29)+(S38*S$41)+(S50*S$53)+(S62*S$65)+(S74*S$77)+S87</f>
        <v>4033.5098153696008</v>
      </c>
      <c r="T15" s="196">
        <f t="shared" si="30"/>
        <v>4077.8784233386655</v>
      </c>
      <c r="U15" s="196">
        <f t="shared" si="30"/>
        <v>4172.2079070273358</v>
      </c>
      <c r="V15" s="196">
        <f t="shared" si="30"/>
        <v>4313.1141023041509</v>
      </c>
    </row>
    <row r="16" spans="1:22" x14ac:dyDescent="0.25">
      <c r="A16" s="277"/>
      <c r="B16" s="195" t="s">
        <v>126</v>
      </c>
      <c r="C16" s="195"/>
      <c r="D16" s="196">
        <f>(D27*D$29)+(D39*D$41)+(D51*D$53)+(D63*D$65)+(D75*D$77)+D88</f>
        <v>3953.8490791720906</v>
      </c>
      <c r="E16" s="196">
        <f t="shared" ref="E16:H16" si="31">(E27*E$29)+(E39*E$41)+(E51*E$53)+(E63*E$65)+(E75*E$77)+E88</f>
        <v>3953.8490791720906</v>
      </c>
      <c r="F16" s="196">
        <f t="shared" si="31"/>
        <v>3988.8414063589389</v>
      </c>
      <c r="G16" s="196">
        <f t="shared" si="31"/>
        <v>4063.2365318247139</v>
      </c>
      <c r="H16" s="196">
        <f t="shared" si="31"/>
        <v>4174.3654563836726</v>
      </c>
      <c r="J16" s="195"/>
      <c r="K16" s="196">
        <f t="shared" si="27"/>
        <v>6454.8650629355807</v>
      </c>
      <c r="L16" s="196">
        <f t="shared" si="27"/>
        <v>6454.8650629355807</v>
      </c>
      <c r="M16" s="196">
        <f t="shared" si="27"/>
        <v>6518.3912256665517</v>
      </c>
      <c r="N16" s="196">
        <f t="shared" si="27"/>
        <v>6653.4504579803761</v>
      </c>
      <c r="O16" s="196">
        <f t="shared" si="27"/>
        <v>6855.1973754675819</v>
      </c>
      <c r="Q16" s="237"/>
      <c r="R16" s="196">
        <f>(R27*R$29)+(R39*R$41)+(R51*R$53)+(R63*R$65)+(R75*R$77)+R88</f>
        <v>2686.9541151682743</v>
      </c>
      <c r="S16" s="196">
        <f t="shared" ref="S16:V16" si="32">(S27*S$29)+(S39*S$41)+(S51*S$53)+(S63*S$65)+(S75*S$77)+S88</f>
        <v>2686.9541151682743</v>
      </c>
      <c r="T16" s="196">
        <f t="shared" si="32"/>
        <v>2715.4879507123978</v>
      </c>
      <c r="U16" s="196">
        <f t="shared" si="32"/>
        <v>2776.15205756045</v>
      </c>
      <c r="V16" s="196">
        <f t="shared" si="32"/>
        <v>2866.7700504886966</v>
      </c>
    </row>
    <row r="17" spans="1:22" x14ac:dyDescent="0.25">
      <c r="A17" s="277"/>
      <c r="B17" s="199" t="s">
        <v>149</v>
      </c>
      <c r="C17" s="195"/>
      <c r="D17" s="198">
        <f>SUM(D13:D16)</f>
        <v>66297.732383683135</v>
      </c>
      <c r="E17" s="198">
        <f t="shared" ref="E17:H17" si="33">SUM(E13:E16)</f>
        <v>66297.732383683135</v>
      </c>
      <c r="F17" s="198">
        <f t="shared" si="33"/>
        <v>66884.480106436822</v>
      </c>
      <c r="G17" s="198">
        <f t="shared" si="33"/>
        <v>68131.929875008471</v>
      </c>
      <c r="H17" s="198">
        <f t="shared" si="33"/>
        <v>69995.32818712591</v>
      </c>
      <c r="J17" s="195"/>
      <c r="K17" s="198">
        <f t="shared" si="27"/>
        <v>108327.47876653736</v>
      </c>
      <c r="L17" s="198">
        <f t="shared" si="27"/>
        <v>108327.47876653736</v>
      </c>
      <c r="M17" s="198">
        <f t="shared" si="27"/>
        <v>109392.67889222909</v>
      </c>
      <c r="N17" s="198">
        <f t="shared" si="27"/>
        <v>111657.3381294913</v>
      </c>
      <c r="O17" s="198">
        <f t="shared" si="27"/>
        <v>115040.20957373986</v>
      </c>
      <c r="Q17" s="237"/>
      <c r="R17" s="198">
        <f>SUM(R13:R16)</f>
        <v>45054.568671590125</v>
      </c>
      <c r="S17" s="198">
        <f t="shared" ref="S17" si="34">SUM(S13:S16)</f>
        <v>45054.568671590125</v>
      </c>
      <c r="T17" s="198">
        <f t="shared" ref="T17" si="35">SUM(T13:T16)</f>
        <v>45533.021074528202</v>
      </c>
      <c r="U17" s="198">
        <f t="shared" ref="U17" si="36">SUM(U13:U16)</f>
        <v>46550.230543218757</v>
      </c>
      <c r="V17" s="198">
        <f t="shared" ref="V17" si="37">SUM(V13:V16)</f>
        <v>48069.703675349883</v>
      </c>
    </row>
    <row r="18" spans="1:22" s="175" customFormat="1" x14ac:dyDescent="0.25">
      <c r="A18" s="277"/>
      <c r="B18" s="200" t="s">
        <v>150</v>
      </c>
      <c r="C18" s="197"/>
      <c r="D18" s="198">
        <f>D30+D42+D54+D66+D78+D91-D17</f>
        <v>0</v>
      </c>
      <c r="E18" s="198">
        <f t="shared" ref="E18:H18" si="38">E30+E42+E54+E66+E78+E91-E17</f>
        <v>0</v>
      </c>
      <c r="F18" s="198">
        <f t="shared" si="38"/>
        <v>0</v>
      </c>
      <c r="G18" s="198">
        <f t="shared" si="38"/>
        <v>0</v>
      </c>
      <c r="H18" s="198">
        <f t="shared" si="38"/>
        <v>0</v>
      </c>
      <c r="J18" s="197"/>
      <c r="K18" s="198">
        <f>K30+K42+K54+K66+K78-K17</f>
        <v>-92.969065702389344</v>
      </c>
      <c r="L18" s="198">
        <f t="shared" ref="L18:O18" si="39">L30+L42+L54+L66+L78-L17</f>
        <v>-92.969065702389344</v>
      </c>
      <c r="M18" s="198">
        <f t="shared" si="39"/>
        <v>-92.969065702389344</v>
      </c>
      <c r="N18" s="198">
        <f t="shared" si="39"/>
        <v>-92.969065702389344</v>
      </c>
      <c r="O18" s="198">
        <f t="shared" si="39"/>
        <v>-92.969065702389344</v>
      </c>
      <c r="Q18" s="197"/>
      <c r="R18" s="198">
        <f>R30+R42+R54+R66+R78+R91-R17</f>
        <v>0</v>
      </c>
      <c r="S18" s="198">
        <f t="shared" ref="S18" si="40">S30+S42+S54+S66+S78+S91-S17</f>
        <v>0</v>
      </c>
      <c r="T18" s="198">
        <f t="shared" ref="T18" si="41">T30+T42+T54+T66+T78+T91-T17</f>
        <v>0</v>
      </c>
      <c r="U18" s="198">
        <f t="shared" ref="U18" si="42">U30+U42+U54+U66+U78+U91-U17</f>
        <v>0</v>
      </c>
      <c r="V18" s="198">
        <f t="shared" ref="V18" si="43">V30+V42+V54+V66+V78+V91-V17</f>
        <v>0</v>
      </c>
    </row>
    <row r="19" spans="1:22" s="175" customFormat="1" x14ac:dyDescent="0.25">
      <c r="A19" s="201"/>
      <c r="C19" s="202"/>
    </row>
    <row r="20" spans="1:22" x14ac:dyDescent="0.25">
      <c r="B20" s="203" t="s">
        <v>151</v>
      </c>
      <c r="C20" s="179"/>
      <c r="D20" s="204"/>
      <c r="E20" s="205"/>
      <c r="F20" s="205"/>
      <c r="G20" s="205"/>
      <c r="H20" s="205"/>
      <c r="J20" s="179"/>
      <c r="K20" s="278"/>
      <c r="L20" s="279"/>
      <c r="M20" s="279"/>
      <c r="N20" s="279"/>
      <c r="O20" s="279"/>
      <c r="Q20" s="179"/>
      <c r="R20" s="278"/>
      <c r="S20" s="279"/>
      <c r="T20" s="279"/>
      <c r="U20" s="279"/>
      <c r="V20" s="279"/>
    </row>
    <row r="21" spans="1:22" x14ac:dyDescent="0.25">
      <c r="B21" s="206" t="s">
        <v>110</v>
      </c>
      <c r="C21" s="207">
        <f>'Proposed price'!H7</f>
        <v>73.74148301772</v>
      </c>
      <c r="D21" s="208">
        <f>C21*D$1</f>
        <v>73.74148301772</v>
      </c>
      <c r="E21" s="208">
        <f>D21*E1</f>
        <v>73.74148301772</v>
      </c>
      <c r="F21" s="208">
        <f>E21*F1</f>
        <v>74.552639330914914</v>
      </c>
      <c r="G21" s="208">
        <f>F21*G1</f>
        <v>76.277190983917635</v>
      </c>
      <c r="H21" s="208">
        <f>G21*H1</f>
        <v>78.853267969401486</v>
      </c>
      <c r="J21" s="207">
        <f>'Proposed price'!H20</f>
        <v>133.8725894163336</v>
      </c>
      <c r="K21" s="208">
        <f>J21*K$1</f>
        <v>133.8725894163336</v>
      </c>
      <c r="L21" s="208">
        <f>K21*L1</f>
        <v>133.8725894163336</v>
      </c>
      <c r="M21" s="208">
        <f>L21*M1</f>
        <v>135.34518789991324</v>
      </c>
      <c r="N21" s="208">
        <f>M21*N1</f>
        <v>138.47599278641403</v>
      </c>
      <c r="O21" s="208">
        <f>N21*O1</f>
        <v>143.15268333384543</v>
      </c>
      <c r="Q21" s="207">
        <f>J21-C21</f>
        <v>60.131106398613596</v>
      </c>
      <c r="R21" s="208">
        <f>Q21*R$1</f>
        <v>60.131106398613596</v>
      </c>
      <c r="S21" s="208">
        <f>R21*S1</f>
        <v>60.131106398613596</v>
      </c>
      <c r="T21" s="208">
        <f>S21*T1</f>
        <v>60.792548568998342</v>
      </c>
      <c r="U21" s="208">
        <f>T21*U1</f>
        <v>62.198801802496405</v>
      </c>
      <c r="V21" s="208">
        <f>U21*V1</f>
        <v>64.299415364443973</v>
      </c>
    </row>
    <row r="22" spans="1:22" x14ac:dyDescent="0.25">
      <c r="B22" s="206" t="s">
        <v>111</v>
      </c>
      <c r="C22" s="207">
        <f>'Proposed price'!I7</f>
        <v>0</v>
      </c>
      <c r="D22" s="208">
        <f>C22</f>
        <v>0</v>
      </c>
      <c r="E22" s="208">
        <f t="shared" ref="E22:H23" si="44">D22</f>
        <v>0</v>
      </c>
      <c r="F22" s="208">
        <f t="shared" si="44"/>
        <v>0</v>
      </c>
      <c r="G22" s="208">
        <f t="shared" si="44"/>
        <v>0</v>
      </c>
      <c r="H22" s="208">
        <f t="shared" si="44"/>
        <v>0</v>
      </c>
      <c r="J22" s="207">
        <f>'Proposed price'!I20</f>
        <v>0</v>
      </c>
      <c r="K22" s="208">
        <f>J22</f>
        <v>0</v>
      </c>
      <c r="L22" s="208">
        <f t="shared" ref="L22:O23" si="45">K22</f>
        <v>0</v>
      </c>
      <c r="M22" s="208">
        <f t="shared" si="45"/>
        <v>0</v>
      </c>
      <c r="N22" s="208">
        <f t="shared" si="45"/>
        <v>0</v>
      </c>
      <c r="O22" s="208">
        <f t="shared" si="45"/>
        <v>0</v>
      </c>
      <c r="Q22" s="207">
        <f t="shared" ref="Q22:Q28" si="46">J22-C22</f>
        <v>0</v>
      </c>
      <c r="R22" s="208">
        <f>Q22</f>
        <v>0</v>
      </c>
      <c r="S22" s="208">
        <f t="shared" ref="S22:S23" si="47">R22</f>
        <v>0</v>
      </c>
      <c r="T22" s="208">
        <f t="shared" ref="T22:T23" si="48">S22</f>
        <v>0</v>
      </c>
      <c r="U22" s="208">
        <f t="shared" ref="U22:U23" si="49">T22</f>
        <v>0</v>
      </c>
      <c r="V22" s="208">
        <f t="shared" ref="V22:V23" si="50">U22</f>
        <v>0</v>
      </c>
    </row>
    <row r="23" spans="1:22" x14ac:dyDescent="0.25">
      <c r="B23" s="206" t="s">
        <v>152</v>
      </c>
      <c r="C23" s="207">
        <f>'Proposed price'!J7</f>
        <v>0</v>
      </c>
      <c r="D23" s="208">
        <f>C23</f>
        <v>0</v>
      </c>
      <c r="E23" s="208">
        <f t="shared" si="44"/>
        <v>0</v>
      </c>
      <c r="F23" s="208">
        <f t="shared" si="44"/>
        <v>0</v>
      </c>
      <c r="G23" s="208">
        <f t="shared" si="44"/>
        <v>0</v>
      </c>
      <c r="H23" s="208">
        <f t="shared" si="44"/>
        <v>0</v>
      </c>
      <c r="J23" s="207">
        <f>'Proposed price'!J20</f>
        <v>0</v>
      </c>
      <c r="K23" s="208">
        <f>J23</f>
        <v>0</v>
      </c>
      <c r="L23" s="208">
        <f t="shared" si="45"/>
        <v>0</v>
      </c>
      <c r="M23" s="208">
        <f t="shared" si="45"/>
        <v>0</v>
      </c>
      <c r="N23" s="208">
        <f t="shared" si="45"/>
        <v>0</v>
      </c>
      <c r="O23" s="208">
        <f t="shared" si="45"/>
        <v>0</v>
      </c>
      <c r="Q23" s="207">
        <f t="shared" si="46"/>
        <v>0</v>
      </c>
      <c r="R23" s="208">
        <f>Q23</f>
        <v>0</v>
      </c>
      <c r="S23" s="208">
        <f t="shared" si="47"/>
        <v>0</v>
      </c>
      <c r="T23" s="208">
        <f t="shared" si="48"/>
        <v>0</v>
      </c>
      <c r="U23" s="208">
        <f t="shared" si="49"/>
        <v>0</v>
      </c>
      <c r="V23" s="208">
        <f t="shared" si="50"/>
        <v>0</v>
      </c>
    </row>
    <row r="24" spans="1:22" s="175" customFormat="1" x14ac:dyDescent="0.25">
      <c r="B24" s="209" t="s">
        <v>148</v>
      </c>
      <c r="C24" s="239">
        <f>'Proposed price'!M7</f>
        <v>73.74148301772</v>
      </c>
      <c r="D24" s="197">
        <f>SUM(D21:D23)</f>
        <v>73.74148301772</v>
      </c>
      <c r="E24" s="197">
        <f t="shared" ref="E24:H24" si="51">SUM(E21:E23)</f>
        <v>73.74148301772</v>
      </c>
      <c r="F24" s="197">
        <f t="shared" si="51"/>
        <v>74.552639330914914</v>
      </c>
      <c r="G24" s="197">
        <f t="shared" si="51"/>
        <v>76.277190983917635</v>
      </c>
      <c r="H24" s="197">
        <f t="shared" si="51"/>
        <v>78.853267969401486</v>
      </c>
      <c r="J24" s="239">
        <f>'Proposed price'!M20</f>
        <v>133.8725894163336</v>
      </c>
      <c r="K24" s="197">
        <f>SUM(K21:K23)</f>
        <v>133.8725894163336</v>
      </c>
      <c r="L24" s="197">
        <f t="shared" ref="L24:O24" si="52">SUM(L21:L23)</f>
        <v>133.8725894163336</v>
      </c>
      <c r="M24" s="197">
        <f t="shared" si="52"/>
        <v>135.34518789991324</v>
      </c>
      <c r="N24" s="197">
        <f t="shared" si="52"/>
        <v>138.47599278641403</v>
      </c>
      <c r="O24" s="197">
        <f t="shared" si="52"/>
        <v>143.15268333384543</v>
      </c>
      <c r="Q24" s="240">
        <f t="shared" si="46"/>
        <v>60.131106398613596</v>
      </c>
      <c r="R24" s="197">
        <f>SUM(R21:R23)</f>
        <v>60.131106398613596</v>
      </c>
      <c r="S24" s="197">
        <f t="shared" ref="S24:V24" si="53">SUM(S21:S23)</f>
        <v>60.131106398613596</v>
      </c>
      <c r="T24" s="197">
        <f t="shared" si="53"/>
        <v>60.792548568998342</v>
      </c>
      <c r="U24" s="197">
        <f t="shared" si="53"/>
        <v>62.198801802496405</v>
      </c>
      <c r="V24" s="197">
        <f t="shared" si="53"/>
        <v>64.299415364443973</v>
      </c>
    </row>
    <row r="25" spans="1:22" x14ac:dyDescent="0.25">
      <c r="B25" s="206" t="s">
        <v>116</v>
      </c>
      <c r="C25" s="207">
        <f>'Proposed price'!N7</f>
        <v>34.358119310666993</v>
      </c>
      <c r="D25" s="208">
        <f>D24*D$3</f>
        <v>34.358119310666993</v>
      </c>
      <c r="E25" s="208">
        <f t="shared" ref="E25:H25" si="54">E24*E$3</f>
        <v>34.358119310666993</v>
      </c>
      <c r="F25" s="208">
        <f t="shared" si="54"/>
        <v>34.736058623084325</v>
      </c>
      <c r="G25" s="208">
        <f t="shared" si="54"/>
        <v>35.539573131153517</v>
      </c>
      <c r="H25" s="208">
        <f t="shared" si="54"/>
        <v>36.739835952006317</v>
      </c>
      <c r="J25" s="207">
        <f>'Proposed price'!N20</f>
        <v>62.374801961726803</v>
      </c>
      <c r="K25" s="208">
        <f>K24*K$3</f>
        <v>62.374801961726803</v>
      </c>
      <c r="L25" s="208">
        <f t="shared" ref="L25:O25" si="55">L24*L$3</f>
        <v>62.374801961726803</v>
      </c>
      <c r="M25" s="208">
        <f t="shared" si="55"/>
        <v>63.060924783305786</v>
      </c>
      <c r="N25" s="208">
        <f t="shared" si="55"/>
        <v>64.519650095393217</v>
      </c>
      <c r="O25" s="208">
        <f t="shared" si="55"/>
        <v>66.698644675270387</v>
      </c>
      <c r="Q25" s="207">
        <f t="shared" si="46"/>
        <v>28.01668265105981</v>
      </c>
      <c r="R25" s="208">
        <f>R24*R$3</f>
        <v>28.01668265105981</v>
      </c>
      <c r="S25" s="208">
        <f t="shared" ref="S25:V25" si="56">S24*S$3</f>
        <v>28.01668265105981</v>
      </c>
      <c r="T25" s="208">
        <f t="shared" si="56"/>
        <v>28.324866160221465</v>
      </c>
      <c r="U25" s="208">
        <f t="shared" si="56"/>
        <v>28.980076964239704</v>
      </c>
      <c r="V25" s="208">
        <f t="shared" si="56"/>
        <v>29.958808723264088</v>
      </c>
    </row>
    <row r="26" spans="1:22" x14ac:dyDescent="0.25">
      <c r="B26" s="206" t="s">
        <v>117</v>
      </c>
      <c r="C26" s="207">
        <f>'Proposed price'!O7</f>
        <v>11.826480969500322</v>
      </c>
      <c r="D26" s="208">
        <f>D24*D$4</f>
        <v>11.826480969500322</v>
      </c>
      <c r="E26" s="208">
        <f t="shared" ref="E26:H26" si="57">E24*E$4</f>
        <v>11.826480969500322</v>
      </c>
      <c r="F26" s="208">
        <f t="shared" si="57"/>
        <v>11.956572260164824</v>
      </c>
      <c r="G26" s="208">
        <f t="shared" si="57"/>
        <v>12.233151689686958</v>
      </c>
      <c r="H26" s="208">
        <f t="shared" si="57"/>
        <v>12.646296695700352</v>
      </c>
      <c r="J26" s="207">
        <f>'Proposed price'!O20</f>
        <v>21.470162604263713</v>
      </c>
      <c r="K26" s="208">
        <f>K24*K$4</f>
        <v>21.470162604263713</v>
      </c>
      <c r="L26" s="208">
        <f t="shared" ref="L26:O26" si="58">L24*L$4</f>
        <v>21.470162604263713</v>
      </c>
      <c r="M26" s="208">
        <f t="shared" si="58"/>
        <v>21.706334392910609</v>
      </c>
      <c r="N26" s="208">
        <f t="shared" si="58"/>
        <v>22.208445320087417</v>
      </c>
      <c r="O26" s="208">
        <f t="shared" si="58"/>
        <v>22.958481656434881</v>
      </c>
      <c r="Q26" s="207">
        <f t="shared" si="46"/>
        <v>9.6436816347633911</v>
      </c>
      <c r="R26" s="208">
        <f>R24*R$4</f>
        <v>9.6436816347633894</v>
      </c>
      <c r="S26" s="208">
        <f t="shared" ref="S26:V26" si="59">S24*S$4</f>
        <v>9.6436816347633894</v>
      </c>
      <c r="T26" s="208">
        <f t="shared" si="59"/>
        <v>9.7497621327457864</v>
      </c>
      <c r="U26" s="208">
        <f t="shared" si="59"/>
        <v>9.9752936304004614</v>
      </c>
      <c r="V26" s="208">
        <f t="shared" si="59"/>
        <v>10.312184960734536</v>
      </c>
    </row>
    <row r="27" spans="1:22" x14ac:dyDescent="0.25">
      <c r="B27" s="206" t="s">
        <v>118</v>
      </c>
      <c r="C27" s="207">
        <f>'Proposed price'!P7</f>
        <v>7.6057122027520139</v>
      </c>
      <c r="D27" s="208">
        <f>SUM(D24:D26)*D$5</f>
        <v>7.6057122027520139</v>
      </c>
      <c r="E27" s="208">
        <f t="shared" ref="E27:H27" si="60">SUM(E24:E26)*E$5</f>
        <v>7.6057122027520139</v>
      </c>
      <c r="F27" s="208">
        <f t="shared" si="60"/>
        <v>7.6893750369822857</v>
      </c>
      <c r="G27" s="208">
        <f t="shared" si="60"/>
        <v>7.8672456603377601</v>
      </c>
      <c r="H27" s="208">
        <f t="shared" si="60"/>
        <v>8.132942787136999</v>
      </c>
      <c r="J27" s="207">
        <f>'Proposed price'!P20</f>
        <v>13.807647273558997</v>
      </c>
      <c r="K27" s="208">
        <f>SUM(K24:K26)*K$5</f>
        <v>13.807647273558997</v>
      </c>
      <c r="L27" s="208">
        <f t="shared" ref="L27:O27" si="61">SUM(L24:L26)*L$5</f>
        <v>13.807647273558997</v>
      </c>
      <c r="M27" s="208">
        <f t="shared" si="61"/>
        <v>13.959531393568142</v>
      </c>
      <c r="N27" s="208">
        <f t="shared" si="61"/>
        <v>14.28244327376416</v>
      </c>
      <c r="O27" s="208">
        <f t="shared" si="61"/>
        <v>14.764798128989227</v>
      </c>
      <c r="Q27" s="207">
        <f t="shared" si="46"/>
        <v>6.2019350708069831</v>
      </c>
      <c r="R27" s="208">
        <f>SUM(R24:R26)*R$5</f>
        <v>6.2019350708069823</v>
      </c>
      <c r="S27" s="208">
        <f t="shared" ref="S27:V27" si="62">SUM(S24:S26)*S$5</f>
        <v>6.2019350708069823</v>
      </c>
      <c r="T27" s="208">
        <f t="shared" si="62"/>
        <v>6.2701563565858578</v>
      </c>
      <c r="U27" s="208">
        <f t="shared" si="62"/>
        <v>6.4151976134264013</v>
      </c>
      <c r="V27" s="208">
        <f t="shared" si="62"/>
        <v>6.6318553418522299</v>
      </c>
    </row>
    <row r="28" spans="1:22" s="175" customFormat="1" x14ac:dyDescent="0.25">
      <c r="B28" s="210" t="s">
        <v>153</v>
      </c>
      <c r="C28" s="211">
        <f>'Proposed price'!Q7</f>
        <v>127.53179550063933</v>
      </c>
      <c r="D28" s="212">
        <f>SUM(D24:D27)</f>
        <v>127.53179550063933</v>
      </c>
      <c r="E28" s="212">
        <f t="shared" ref="E28:H28" si="63">SUM(E24:E27)</f>
        <v>127.53179550063933</v>
      </c>
      <c r="F28" s="212">
        <f t="shared" si="63"/>
        <v>128.93464525114635</v>
      </c>
      <c r="G28" s="212">
        <f t="shared" si="63"/>
        <v>131.91716146509589</v>
      </c>
      <c r="H28" s="212">
        <f t="shared" si="63"/>
        <v>136.37234340424516</v>
      </c>
      <c r="J28" s="211">
        <f>'Proposed price'!Q20</f>
        <v>231.5252012558831</v>
      </c>
      <c r="K28" s="212">
        <f>SUM(K24:K27)</f>
        <v>231.5252012558831</v>
      </c>
      <c r="L28" s="212">
        <f t="shared" ref="L28:O28" si="64">SUM(L24:L27)</f>
        <v>231.5252012558831</v>
      </c>
      <c r="M28" s="212">
        <f t="shared" si="64"/>
        <v>234.07197846969777</v>
      </c>
      <c r="N28" s="212">
        <f t="shared" si="64"/>
        <v>239.48653147565881</v>
      </c>
      <c r="O28" s="212">
        <f t="shared" si="64"/>
        <v>247.57460779453993</v>
      </c>
      <c r="Q28" s="207">
        <f t="shared" si="46"/>
        <v>103.99340575524377</v>
      </c>
      <c r="R28" s="212">
        <f>SUM(R24:R27)</f>
        <v>103.99340575524378</v>
      </c>
      <c r="S28" s="212">
        <f t="shared" ref="S28:V28" si="65">SUM(S24:S27)</f>
        <v>103.99340575524378</v>
      </c>
      <c r="T28" s="212">
        <f t="shared" si="65"/>
        <v>105.13733321855145</v>
      </c>
      <c r="U28" s="212">
        <f t="shared" si="65"/>
        <v>107.56937001056296</v>
      </c>
      <c r="V28" s="212">
        <f t="shared" si="65"/>
        <v>111.20226439029483</v>
      </c>
    </row>
    <row r="29" spans="1:22" x14ac:dyDescent="0.25">
      <c r="B29" s="213" t="s">
        <v>154</v>
      </c>
      <c r="C29" s="208"/>
      <c r="D29" s="214">
        <f>'Forecast Revenue - Costs'!D16</f>
        <v>10</v>
      </c>
      <c r="E29" s="214">
        <f>'Forecast Revenue - Costs'!E16</f>
        <v>10</v>
      </c>
      <c r="F29" s="214">
        <f>'Forecast Revenue - Costs'!F16</f>
        <v>10</v>
      </c>
      <c r="G29" s="214">
        <f>'Forecast Revenue - Costs'!G16</f>
        <v>10</v>
      </c>
      <c r="H29" s="214">
        <f>'Forecast Revenue - Costs'!H16</f>
        <v>10</v>
      </c>
      <c r="J29" s="208"/>
      <c r="K29" s="214">
        <f>'Forecast Revenue - Costs'!D16</f>
        <v>10</v>
      </c>
      <c r="L29" s="214">
        <f>'Forecast Revenue - Costs'!E16</f>
        <v>10</v>
      </c>
      <c r="M29" s="214">
        <f>'Forecast Revenue - Costs'!F16</f>
        <v>10</v>
      </c>
      <c r="N29" s="214">
        <f>'Forecast Revenue - Costs'!G16</f>
        <v>10</v>
      </c>
      <c r="O29" s="214">
        <f>'Forecast Revenue - Costs'!H16</f>
        <v>10</v>
      </c>
      <c r="Q29" s="208"/>
      <c r="R29" s="214">
        <f>'Forecast Revenue - Costs'!D16</f>
        <v>10</v>
      </c>
      <c r="S29" s="214">
        <f>'Forecast Revenue - Costs'!E16</f>
        <v>10</v>
      </c>
      <c r="T29" s="214">
        <f>'Forecast Revenue - Costs'!F16</f>
        <v>10</v>
      </c>
      <c r="U29" s="214">
        <f>'Forecast Revenue - Costs'!G16</f>
        <v>10</v>
      </c>
      <c r="V29" s="214">
        <f>'Forecast Revenue - Costs'!H16</f>
        <v>10</v>
      </c>
    </row>
    <row r="30" spans="1:22" s="175" customFormat="1" x14ac:dyDescent="0.25">
      <c r="B30" s="199" t="s">
        <v>155</v>
      </c>
      <c r="C30" s="197"/>
      <c r="D30" s="198">
        <f>D28*D29</f>
        <v>1275.3179550063933</v>
      </c>
      <c r="E30" s="198">
        <f t="shared" ref="E30:H30" si="66">E28*E29</f>
        <v>1275.3179550063933</v>
      </c>
      <c r="F30" s="198">
        <f t="shared" si="66"/>
        <v>1289.3464525114634</v>
      </c>
      <c r="G30" s="198">
        <f t="shared" si="66"/>
        <v>1319.1716146509589</v>
      </c>
      <c r="H30" s="198">
        <f t="shared" si="66"/>
        <v>1363.7234340424516</v>
      </c>
      <c r="J30" s="197"/>
      <c r="K30" s="198">
        <f>K29*K28</f>
        <v>2315.2520125588312</v>
      </c>
      <c r="L30" s="198">
        <f t="shared" ref="L30:O30" si="67">L29*L28</f>
        <v>2315.2520125588312</v>
      </c>
      <c r="M30" s="198">
        <f t="shared" si="67"/>
        <v>2340.7197846969775</v>
      </c>
      <c r="N30" s="198">
        <f t="shared" si="67"/>
        <v>2394.8653147565883</v>
      </c>
      <c r="O30" s="198">
        <f t="shared" si="67"/>
        <v>2475.7460779453995</v>
      </c>
      <c r="Q30" s="197"/>
      <c r="R30" s="198">
        <f>R29*R28</f>
        <v>1039.9340575524379</v>
      </c>
      <c r="S30" s="198">
        <f t="shared" ref="S30:V30" si="68">S29*S28</f>
        <v>1039.9340575524379</v>
      </c>
      <c r="T30" s="198">
        <f t="shared" si="68"/>
        <v>1051.3733321855145</v>
      </c>
      <c r="U30" s="198">
        <f t="shared" si="68"/>
        <v>1075.6937001056297</v>
      </c>
      <c r="V30" s="198">
        <f t="shared" si="68"/>
        <v>1112.0226439029484</v>
      </c>
    </row>
    <row r="32" spans="1:22" x14ac:dyDescent="0.25">
      <c r="B32" s="203" t="s">
        <v>170</v>
      </c>
      <c r="C32" s="179"/>
      <c r="D32" s="278" t="s">
        <v>141</v>
      </c>
      <c r="E32" s="279"/>
      <c r="F32" s="279"/>
      <c r="G32" s="279"/>
      <c r="H32" s="279"/>
      <c r="J32" s="179"/>
      <c r="K32" s="278" t="s">
        <v>141</v>
      </c>
      <c r="L32" s="279"/>
      <c r="M32" s="279"/>
      <c r="N32" s="279"/>
      <c r="O32" s="279"/>
      <c r="Q32" s="179"/>
      <c r="R32" s="278" t="s">
        <v>141</v>
      </c>
      <c r="S32" s="279"/>
      <c r="T32" s="279"/>
      <c r="U32" s="279"/>
      <c r="V32" s="279"/>
    </row>
    <row r="33" spans="2:22" x14ac:dyDescent="0.25">
      <c r="B33" s="206" t="s">
        <v>110</v>
      </c>
      <c r="C33" s="207">
        <f>'Proposed price'!H8</f>
        <v>79.838346469665012</v>
      </c>
      <c r="D33" s="208">
        <f>C33*D$1</f>
        <v>79.838346469665012</v>
      </c>
      <c r="E33" s="208">
        <f t="shared" ref="E33:H33" si="69">D33*E$1</f>
        <v>79.838346469665012</v>
      </c>
      <c r="F33" s="208">
        <f t="shared" si="69"/>
        <v>80.716568280831325</v>
      </c>
      <c r="G33" s="208">
        <f t="shared" si="69"/>
        <v>82.583703938303515</v>
      </c>
      <c r="H33" s="208">
        <f t="shared" si="69"/>
        <v>85.372768091653498</v>
      </c>
      <c r="J33" s="207">
        <f>'Proposed price'!H21</f>
        <v>144.94102558317272</v>
      </c>
      <c r="K33" s="208">
        <f>J33*K$1</f>
        <v>144.94102558317272</v>
      </c>
      <c r="L33" s="208">
        <f t="shared" ref="L33:O33" si="70">K33*L$1</f>
        <v>144.94102558317272</v>
      </c>
      <c r="M33" s="208">
        <f t="shared" si="70"/>
        <v>146.53537686458759</v>
      </c>
      <c r="N33" s="208">
        <f t="shared" si="70"/>
        <v>149.92503320221923</v>
      </c>
      <c r="O33" s="208">
        <f t="shared" si="70"/>
        <v>154.98838730058355</v>
      </c>
      <c r="Q33" s="207">
        <f>J33-C33</f>
        <v>65.102679113507705</v>
      </c>
      <c r="R33" s="208">
        <f>Q33*R$1</f>
        <v>65.102679113507705</v>
      </c>
      <c r="S33" s="208">
        <f t="shared" ref="S33" si="71">R33*S$1</f>
        <v>65.102679113507705</v>
      </c>
      <c r="T33" s="208">
        <f t="shared" ref="T33" si="72">S33*T$1</f>
        <v>65.81880858375628</v>
      </c>
      <c r="U33" s="208">
        <f t="shared" ref="U33" si="73">T33*U$1</f>
        <v>67.341329263915725</v>
      </c>
      <c r="V33" s="208">
        <f t="shared" ref="V33" si="74">U33*V$1</f>
        <v>69.61561920893007</v>
      </c>
    </row>
    <row r="34" spans="2:22" x14ac:dyDescent="0.25">
      <c r="B34" s="206" t="s">
        <v>111</v>
      </c>
      <c r="C34" s="207">
        <f>'Proposed price'!I8</f>
        <v>19.732436288346317</v>
      </c>
      <c r="D34" s="208">
        <f>C34</f>
        <v>19.732436288346317</v>
      </c>
      <c r="E34" s="208">
        <f t="shared" ref="E34:H35" si="75">D34</f>
        <v>19.732436288346317</v>
      </c>
      <c r="F34" s="208">
        <f t="shared" si="75"/>
        <v>19.732436288346317</v>
      </c>
      <c r="G34" s="208">
        <f t="shared" si="75"/>
        <v>19.732436288346317</v>
      </c>
      <c r="H34" s="208">
        <f t="shared" si="75"/>
        <v>19.732436288346317</v>
      </c>
      <c r="J34" s="207">
        <f>'Proposed price'!I21</f>
        <v>19.732436288346317</v>
      </c>
      <c r="K34" s="208">
        <f>J34</f>
        <v>19.732436288346317</v>
      </c>
      <c r="L34" s="208">
        <f t="shared" ref="L34:O35" si="76">K34</f>
        <v>19.732436288346317</v>
      </c>
      <c r="M34" s="208">
        <f t="shared" si="76"/>
        <v>19.732436288346317</v>
      </c>
      <c r="N34" s="208">
        <f t="shared" si="76"/>
        <v>19.732436288346317</v>
      </c>
      <c r="O34" s="208">
        <f t="shared" si="76"/>
        <v>19.732436288346317</v>
      </c>
      <c r="Q34" s="207">
        <f t="shared" ref="Q34:Q40" si="77">J34-C34</f>
        <v>0</v>
      </c>
      <c r="R34" s="208">
        <f>Q34</f>
        <v>0</v>
      </c>
      <c r="S34" s="208">
        <f t="shared" ref="S34:S35" si="78">R34</f>
        <v>0</v>
      </c>
      <c r="T34" s="208">
        <f t="shared" ref="T34:T35" si="79">S34</f>
        <v>0</v>
      </c>
      <c r="U34" s="208">
        <f t="shared" ref="U34:U35" si="80">T34</f>
        <v>0</v>
      </c>
      <c r="V34" s="208">
        <f t="shared" ref="V34:V35" si="81">U34</f>
        <v>0</v>
      </c>
    </row>
    <row r="35" spans="2:22" x14ac:dyDescent="0.25">
      <c r="B35" s="206" t="s">
        <v>112</v>
      </c>
      <c r="C35" s="207">
        <f>'Proposed price'!J8</f>
        <v>0</v>
      </c>
      <c r="D35" s="208">
        <f>C35</f>
        <v>0</v>
      </c>
      <c r="E35" s="208">
        <f t="shared" si="75"/>
        <v>0</v>
      </c>
      <c r="F35" s="208">
        <f t="shared" si="75"/>
        <v>0</v>
      </c>
      <c r="G35" s="208">
        <f t="shared" si="75"/>
        <v>0</v>
      </c>
      <c r="H35" s="208">
        <f t="shared" si="75"/>
        <v>0</v>
      </c>
      <c r="J35" s="207">
        <f>'Proposed price'!J21</f>
        <v>0</v>
      </c>
      <c r="K35" s="208">
        <f>J35</f>
        <v>0</v>
      </c>
      <c r="L35" s="208">
        <f t="shared" si="76"/>
        <v>0</v>
      </c>
      <c r="M35" s="208">
        <f t="shared" si="76"/>
        <v>0</v>
      </c>
      <c r="N35" s="208">
        <f t="shared" si="76"/>
        <v>0</v>
      </c>
      <c r="O35" s="208">
        <f t="shared" si="76"/>
        <v>0</v>
      </c>
      <c r="Q35" s="207">
        <f t="shared" si="77"/>
        <v>0</v>
      </c>
      <c r="R35" s="208">
        <f>Q35</f>
        <v>0</v>
      </c>
      <c r="S35" s="208">
        <f t="shared" si="78"/>
        <v>0</v>
      </c>
      <c r="T35" s="208">
        <f t="shared" si="79"/>
        <v>0</v>
      </c>
      <c r="U35" s="208">
        <f t="shared" si="80"/>
        <v>0</v>
      </c>
      <c r="V35" s="208">
        <f t="shared" si="81"/>
        <v>0</v>
      </c>
    </row>
    <row r="36" spans="2:22" x14ac:dyDescent="0.25">
      <c r="B36" s="209" t="s">
        <v>148</v>
      </c>
      <c r="C36" s="239">
        <f>'Proposed price'!M8</f>
        <v>99.570782758011333</v>
      </c>
      <c r="D36" s="197">
        <f>SUM(D33:D35)</f>
        <v>99.570782758011333</v>
      </c>
      <c r="E36" s="197">
        <f t="shared" ref="E36:H36" si="82">SUM(E33:E35)</f>
        <v>99.570782758011333</v>
      </c>
      <c r="F36" s="197">
        <f t="shared" si="82"/>
        <v>100.44900456917765</v>
      </c>
      <c r="G36" s="197">
        <f t="shared" si="82"/>
        <v>102.31614022664984</v>
      </c>
      <c r="H36" s="197">
        <f t="shared" si="82"/>
        <v>105.10520437999982</v>
      </c>
      <c r="I36" s="175"/>
      <c r="J36" s="239">
        <f>'Proposed price'!M21</f>
        <v>164.67346187151904</v>
      </c>
      <c r="K36" s="197">
        <f>SUM(K33:K35)</f>
        <v>164.67346187151904</v>
      </c>
      <c r="L36" s="197">
        <f t="shared" ref="L36:O36" si="83">SUM(L33:L35)</f>
        <v>164.67346187151904</v>
      </c>
      <c r="M36" s="197">
        <f t="shared" si="83"/>
        <v>166.26781315293391</v>
      </c>
      <c r="N36" s="197">
        <f t="shared" si="83"/>
        <v>169.65746949056555</v>
      </c>
      <c r="O36" s="197">
        <f t="shared" si="83"/>
        <v>174.72082358892987</v>
      </c>
      <c r="P36" s="175"/>
      <c r="Q36" s="240">
        <f t="shared" si="77"/>
        <v>65.102679113507705</v>
      </c>
      <c r="R36" s="197">
        <f>SUM(R33:R35)</f>
        <v>65.102679113507705</v>
      </c>
      <c r="S36" s="197">
        <f t="shared" ref="S36:V36" si="84">SUM(S33:S35)</f>
        <v>65.102679113507705</v>
      </c>
      <c r="T36" s="197">
        <f t="shared" si="84"/>
        <v>65.81880858375628</v>
      </c>
      <c r="U36" s="197">
        <f t="shared" si="84"/>
        <v>67.341329263915725</v>
      </c>
      <c r="V36" s="197">
        <f t="shared" si="84"/>
        <v>69.61561920893007</v>
      </c>
    </row>
    <row r="37" spans="2:22" x14ac:dyDescent="0.25">
      <c r="B37" s="206" t="s">
        <v>116</v>
      </c>
      <c r="C37" s="207">
        <f>'Proposed price'!N8</f>
        <v>46.392677416511667</v>
      </c>
      <c r="D37" s="208">
        <f>D36*D$3</f>
        <v>46.392677416511667</v>
      </c>
      <c r="E37" s="208">
        <f t="shared" ref="E37:H37" si="85">E36*E$3</f>
        <v>46.392677416511667</v>
      </c>
      <c r="F37" s="208">
        <f t="shared" si="85"/>
        <v>46.801864329148501</v>
      </c>
      <c r="G37" s="208">
        <f t="shared" si="85"/>
        <v>47.671812519276635</v>
      </c>
      <c r="H37" s="208">
        <f t="shared" si="85"/>
        <v>48.971311729549853</v>
      </c>
      <c r="J37" s="207">
        <f>'Proposed price'!N21</f>
        <v>76.725748096531277</v>
      </c>
      <c r="K37" s="208">
        <f>K36*K$3</f>
        <v>76.725748096531277</v>
      </c>
      <c r="L37" s="208">
        <f t="shared" ref="L37:O37" si="86">L36*L$3</f>
        <v>76.725748096531277</v>
      </c>
      <c r="M37" s="208">
        <f t="shared" si="86"/>
        <v>77.4685987866483</v>
      </c>
      <c r="N37" s="208">
        <f t="shared" si="86"/>
        <v>79.047929878247331</v>
      </c>
      <c r="O37" s="208">
        <f t="shared" si="86"/>
        <v>81.407081296207721</v>
      </c>
      <c r="Q37" s="207">
        <f t="shared" si="77"/>
        <v>30.33307068001961</v>
      </c>
      <c r="R37" s="208">
        <f>R36*R$3</f>
        <v>30.333070680019603</v>
      </c>
      <c r="S37" s="208">
        <f t="shared" ref="S37:V37" si="87">S36*S$3</f>
        <v>30.333070680019603</v>
      </c>
      <c r="T37" s="208">
        <f t="shared" si="87"/>
        <v>30.666734457499814</v>
      </c>
      <c r="U37" s="208">
        <f t="shared" si="87"/>
        <v>31.376117358970696</v>
      </c>
      <c r="V37" s="208">
        <f t="shared" si="87"/>
        <v>32.435769566657868</v>
      </c>
    </row>
    <row r="38" spans="2:22" x14ac:dyDescent="0.25">
      <c r="B38" s="206" t="s">
        <v>117</v>
      </c>
      <c r="C38" s="207">
        <f>'Proposed price'!O8</f>
        <v>15.968921687171692</v>
      </c>
      <c r="D38" s="208">
        <f>D36*D$4</f>
        <v>15.968921687171692</v>
      </c>
      <c r="E38" s="208">
        <f t="shared" ref="E38:H38" si="88">E36*E$4</f>
        <v>15.968921687171692</v>
      </c>
      <c r="F38" s="208">
        <f t="shared" si="88"/>
        <v>16.109768780445673</v>
      </c>
      <c r="G38" s="208">
        <f t="shared" si="88"/>
        <v>16.409215488281262</v>
      </c>
      <c r="H38" s="208">
        <f t="shared" si="88"/>
        <v>16.856518861938433</v>
      </c>
      <c r="J38" s="207">
        <f>'Proposed price'!O21</f>
        <v>26.409932148194969</v>
      </c>
      <c r="K38" s="208">
        <f>K36*K$4</f>
        <v>26.409932148194969</v>
      </c>
      <c r="L38" s="208">
        <f t="shared" ref="L38:O38" si="89">L36*L$4</f>
        <v>26.409932148194969</v>
      </c>
      <c r="M38" s="208">
        <f t="shared" si="89"/>
        <v>26.665630356540202</v>
      </c>
      <c r="N38" s="208">
        <f t="shared" si="89"/>
        <v>27.209255254354012</v>
      </c>
      <c r="O38" s="208">
        <f t="shared" si="89"/>
        <v>28.021303757253765</v>
      </c>
      <c r="Q38" s="207">
        <f t="shared" si="77"/>
        <v>10.441010461023277</v>
      </c>
      <c r="R38" s="208">
        <f>R36*R$4</f>
        <v>10.441010461023279</v>
      </c>
      <c r="S38" s="208">
        <f t="shared" ref="S38:V38" si="90">S36*S$4</f>
        <v>10.441010461023279</v>
      </c>
      <c r="T38" s="208">
        <f t="shared" si="90"/>
        <v>10.555861576094534</v>
      </c>
      <c r="U38" s="208">
        <f t="shared" si="90"/>
        <v>10.800039766072752</v>
      </c>
      <c r="V38" s="208">
        <f t="shared" si="90"/>
        <v>11.164784895315336</v>
      </c>
    </row>
    <row r="39" spans="2:22" x14ac:dyDescent="0.25">
      <c r="B39" s="206" t="s">
        <v>118</v>
      </c>
      <c r="C39" s="207">
        <f>'Proposed price'!P8</f>
        <v>10.269751657668678</v>
      </c>
      <c r="D39" s="208">
        <f>SUM(D36:D38)*D$5</f>
        <v>10.269751657668678</v>
      </c>
      <c r="E39" s="208">
        <f t="shared" ref="E39:H39" si="91">SUM(E36:E38)*E$5</f>
        <v>10.269751657668678</v>
      </c>
      <c r="F39" s="208">
        <f t="shared" si="91"/>
        <v>10.36033164158771</v>
      </c>
      <c r="G39" s="208">
        <f t="shared" si="91"/>
        <v>10.552908409413455</v>
      </c>
      <c r="H39" s="208">
        <f t="shared" si="91"/>
        <v>10.840573077891777</v>
      </c>
      <c r="J39" s="207">
        <f>'Proposed price'!P21</f>
        <v>16.98445579301228</v>
      </c>
      <c r="K39" s="208">
        <f>SUM(K36:K38)*K$5</f>
        <v>16.98445579301228</v>
      </c>
      <c r="L39" s="208">
        <f t="shared" ref="L39:O39" si="92">SUM(L36:L38)*L$5</f>
        <v>16.98445579301228</v>
      </c>
      <c r="M39" s="208">
        <f t="shared" si="92"/>
        <v>17.148897522420086</v>
      </c>
      <c r="N39" s="208">
        <f t="shared" si="92"/>
        <v>17.498507396201244</v>
      </c>
      <c r="O39" s="208">
        <f t="shared" si="92"/>
        <v>18.020742812100458</v>
      </c>
      <c r="Q39" s="207">
        <f t="shared" si="77"/>
        <v>6.7147041353436023</v>
      </c>
      <c r="R39" s="208">
        <f>SUM(R36:R38)*R$5</f>
        <v>6.7147041353435988</v>
      </c>
      <c r="S39" s="208">
        <f t="shared" ref="S39:V39" si="93">SUM(S36:S38)*S$5</f>
        <v>6.7147041353435988</v>
      </c>
      <c r="T39" s="208">
        <f t="shared" si="93"/>
        <v>6.788565880832377</v>
      </c>
      <c r="U39" s="208">
        <f t="shared" si="93"/>
        <v>6.9455989867877923</v>
      </c>
      <c r="V39" s="208">
        <f t="shared" si="93"/>
        <v>7.1801697342086861</v>
      </c>
    </row>
    <row r="40" spans="2:22" x14ac:dyDescent="0.25">
      <c r="B40" s="210" t="s">
        <v>153</v>
      </c>
      <c r="C40" s="211">
        <f>'Proposed price'!Q8</f>
        <v>172.20213351936337</v>
      </c>
      <c r="D40" s="212">
        <f>SUM(D36:D39)</f>
        <v>172.20213351936337</v>
      </c>
      <c r="E40" s="212">
        <f t="shared" ref="E40:H40" si="94">SUM(E36:E39)</f>
        <v>172.20213351936337</v>
      </c>
      <c r="F40" s="212">
        <f t="shared" si="94"/>
        <v>173.72096932035953</v>
      </c>
      <c r="G40" s="212">
        <f t="shared" si="94"/>
        <v>176.95007664362117</v>
      </c>
      <c r="H40" s="212">
        <f t="shared" si="94"/>
        <v>181.7736080493799</v>
      </c>
      <c r="J40" s="211">
        <f>'Proposed price'!Q21</f>
        <v>284.79359790925758</v>
      </c>
      <c r="K40" s="212">
        <f>SUM(K36:K39)</f>
        <v>284.79359790925758</v>
      </c>
      <c r="L40" s="212">
        <f t="shared" ref="L40:O40" si="95">SUM(L36:L39)</f>
        <v>284.79359790925758</v>
      </c>
      <c r="M40" s="212">
        <f t="shared" si="95"/>
        <v>287.55093981854253</v>
      </c>
      <c r="N40" s="212">
        <f t="shared" si="95"/>
        <v>293.41316201936814</v>
      </c>
      <c r="O40" s="212">
        <f t="shared" si="95"/>
        <v>302.16995145449181</v>
      </c>
      <c r="Q40" s="207">
        <f t="shared" si="77"/>
        <v>112.59146438989421</v>
      </c>
      <c r="R40" s="212">
        <f>SUM(R36:R39)</f>
        <v>112.59146438989418</v>
      </c>
      <c r="S40" s="212">
        <f t="shared" ref="S40:V40" si="96">SUM(S36:S39)</f>
        <v>112.59146438989418</v>
      </c>
      <c r="T40" s="212">
        <f t="shared" si="96"/>
        <v>113.829970498183</v>
      </c>
      <c r="U40" s="212">
        <f t="shared" si="96"/>
        <v>116.46308537574697</v>
      </c>
      <c r="V40" s="212">
        <f t="shared" si="96"/>
        <v>120.39634340511196</v>
      </c>
    </row>
    <row r="41" spans="2:22" x14ac:dyDescent="0.25">
      <c r="B41" s="213" t="s">
        <v>156</v>
      </c>
      <c r="C41" s="208"/>
      <c r="D41" s="214">
        <f>'Forecast Revenue - Costs'!D17</f>
        <v>300</v>
      </c>
      <c r="E41" s="214">
        <f>'Forecast Revenue - Costs'!E17</f>
        <v>300</v>
      </c>
      <c r="F41" s="214">
        <f>'Forecast Revenue - Costs'!F17</f>
        <v>300</v>
      </c>
      <c r="G41" s="214">
        <f>'Forecast Revenue - Costs'!G17</f>
        <v>300</v>
      </c>
      <c r="H41" s="214">
        <f>'Forecast Revenue - Costs'!H17</f>
        <v>300</v>
      </c>
      <c r="J41" s="208"/>
      <c r="K41" s="214">
        <f>'Forecast Revenue - Costs'!D17</f>
        <v>300</v>
      </c>
      <c r="L41" s="214">
        <f>'Forecast Revenue - Costs'!E17</f>
        <v>300</v>
      </c>
      <c r="M41" s="214">
        <f>'Forecast Revenue - Costs'!F17</f>
        <v>300</v>
      </c>
      <c r="N41" s="214">
        <f>'Forecast Revenue - Costs'!G17</f>
        <v>300</v>
      </c>
      <c r="O41" s="214">
        <f>'Forecast Revenue - Costs'!H17</f>
        <v>300</v>
      </c>
      <c r="Q41" s="208"/>
      <c r="R41" s="214">
        <f>'Forecast Revenue - Costs'!D17</f>
        <v>300</v>
      </c>
      <c r="S41" s="214">
        <f>'Forecast Revenue - Costs'!E17</f>
        <v>300</v>
      </c>
      <c r="T41" s="214">
        <f>'Forecast Revenue - Costs'!F17</f>
        <v>300</v>
      </c>
      <c r="U41" s="214">
        <f>'Forecast Revenue - Costs'!G17</f>
        <v>300</v>
      </c>
      <c r="V41" s="214">
        <f>'Forecast Revenue - Costs'!H17</f>
        <v>300</v>
      </c>
    </row>
    <row r="42" spans="2:22" x14ac:dyDescent="0.25">
      <c r="B42" s="199" t="s">
        <v>155</v>
      </c>
      <c r="C42" s="197"/>
      <c r="D42" s="198">
        <f>D40*D41</f>
        <v>51660.64005580901</v>
      </c>
      <c r="E42" s="198">
        <f t="shared" ref="E42:H42" si="97">E40*E41</f>
        <v>51660.64005580901</v>
      </c>
      <c r="F42" s="198">
        <f t="shared" si="97"/>
        <v>52116.29079610786</v>
      </c>
      <c r="G42" s="198">
        <f t="shared" si="97"/>
        <v>53085.02299308635</v>
      </c>
      <c r="H42" s="198">
        <f t="shared" si="97"/>
        <v>54532.082414813973</v>
      </c>
      <c r="J42" s="197"/>
      <c r="K42" s="198">
        <f>K41*K40</f>
        <v>85438.079372777269</v>
      </c>
      <c r="L42" s="198">
        <f t="shared" ref="L42:O42" si="98">L41*L40</f>
        <v>85438.079372777269</v>
      </c>
      <c r="M42" s="198">
        <f t="shared" si="98"/>
        <v>86265.281945562761</v>
      </c>
      <c r="N42" s="198">
        <f t="shared" si="98"/>
        <v>88023.948605810438</v>
      </c>
      <c r="O42" s="198">
        <f t="shared" si="98"/>
        <v>90650.985436347546</v>
      </c>
      <c r="Q42" s="197"/>
      <c r="R42" s="198">
        <f>R41*R40</f>
        <v>33777.439316968259</v>
      </c>
      <c r="S42" s="198">
        <f t="shared" ref="S42:V42" si="99">S41*S40</f>
        <v>33777.439316968259</v>
      </c>
      <c r="T42" s="198">
        <f t="shared" si="99"/>
        <v>34148.991149454901</v>
      </c>
      <c r="U42" s="198">
        <f t="shared" si="99"/>
        <v>34938.925612724088</v>
      </c>
      <c r="V42" s="198">
        <f t="shared" si="99"/>
        <v>36118.903021533588</v>
      </c>
    </row>
    <row r="44" spans="2:22" x14ac:dyDescent="0.25">
      <c r="B44" s="203" t="s">
        <v>164</v>
      </c>
      <c r="C44" s="179"/>
      <c r="D44" s="278" t="s">
        <v>141</v>
      </c>
      <c r="E44" s="279"/>
      <c r="F44" s="279"/>
      <c r="G44" s="279"/>
      <c r="H44" s="279"/>
      <c r="J44" s="179"/>
      <c r="K44" s="278" t="s">
        <v>141</v>
      </c>
      <c r="L44" s="279"/>
      <c r="M44" s="279"/>
      <c r="N44" s="279"/>
      <c r="O44" s="279"/>
      <c r="Q44" s="179"/>
      <c r="R44" s="278" t="s">
        <v>141</v>
      </c>
      <c r="S44" s="279"/>
      <c r="T44" s="279"/>
      <c r="U44" s="279"/>
      <c r="V44" s="279"/>
    </row>
    <row r="45" spans="2:22" x14ac:dyDescent="0.25">
      <c r="B45" s="206" t="s">
        <v>110</v>
      </c>
      <c r="C45" s="207">
        <f>'Proposed price'!H9</f>
        <v>103.26059762014499</v>
      </c>
      <c r="D45" s="208">
        <f>C45*D$1</f>
        <v>103.26059762014499</v>
      </c>
      <c r="E45" s="208">
        <f t="shared" ref="E45:H45" si="100">D45*E$1</f>
        <v>103.26059762014499</v>
      </c>
      <c r="F45" s="208">
        <f t="shared" si="100"/>
        <v>104.39646419396658</v>
      </c>
      <c r="G45" s="208">
        <f t="shared" si="100"/>
        <v>106.8113632037014</v>
      </c>
      <c r="H45" s="208">
        <f t="shared" si="100"/>
        <v>110.41865774336563</v>
      </c>
      <c r="J45" s="207">
        <f>'Proposed price'!H22</f>
        <v>187.46251122675505</v>
      </c>
      <c r="K45" s="208">
        <f>J45*K$1</f>
        <v>187.46251122675505</v>
      </c>
      <c r="L45" s="208">
        <f t="shared" ref="L45:O45" si="101">K45*L$1</f>
        <v>187.46251122675505</v>
      </c>
      <c r="M45" s="208">
        <f t="shared" si="101"/>
        <v>189.52459885024933</v>
      </c>
      <c r="N45" s="208">
        <f t="shared" si="101"/>
        <v>193.90868187085329</v>
      </c>
      <c r="O45" s="208">
        <f t="shared" si="101"/>
        <v>200.45747694588869</v>
      </c>
      <c r="Q45" s="207">
        <f>J45-C45</f>
        <v>84.201913606610063</v>
      </c>
      <c r="R45" s="208">
        <f>Q45*R$1</f>
        <v>84.201913606610063</v>
      </c>
      <c r="S45" s="208">
        <f t="shared" ref="S45" si="102">R45*S$1</f>
        <v>84.201913606610063</v>
      </c>
      <c r="T45" s="208">
        <f t="shared" ref="T45" si="103">S45*T$1</f>
        <v>85.128134656282768</v>
      </c>
      <c r="U45" s="208">
        <f t="shared" ref="U45" si="104">T45*U$1</f>
        <v>87.097318667151896</v>
      </c>
      <c r="V45" s="208">
        <f t="shared" ref="V45" si="105">U45*V$1</f>
        <v>90.038819202523058</v>
      </c>
    </row>
    <row r="46" spans="2:22" x14ac:dyDescent="0.25">
      <c r="B46" s="206" t="s">
        <v>111</v>
      </c>
      <c r="C46" s="207">
        <f>'Proposed price'!I9</f>
        <v>0</v>
      </c>
      <c r="D46" s="208">
        <f>C46</f>
        <v>0</v>
      </c>
      <c r="E46" s="208">
        <f>D46</f>
        <v>0</v>
      </c>
      <c r="F46" s="208">
        <f t="shared" ref="F46:H47" si="106">E46</f>
        <v>0</v>
      </c>
      <c r="G46" s="208">
        <f t="shared" si="106"/>
        <v>0</v>
      </c>
      <c r="H46" s="208">
        <f t="shared" si="106"/>
        <v>0</v>
      </c>
      <c r="J46" s="207">
        <f>'Proposed price'!I22</f>
        <v>0</v>
      </c>
      <c r="K46" s="208">
        <f>J46</f>
        <v>0</v>
      </c>
      <c r="L46" s="208">
        <f t="shared" ref="L46:O47" si="107">K46</f>
        <v>0</v>
      </c>
      <c r="M46" s="208">
        <f t="shared" si="107"/>
        <v>0</v>
      </c>
      <c r="N46" s="208">
        <f t="shared" si="107"/>
        <v>0</v>
      </c>
      <c r="O46" s="208">
        <f t="shared" si="107"/>
        <v>0</v>
      </c>
      <c r="Q46" s="207">
        <f t="shared" ref="Q46:Q52" si="108">J46-C46</f>
        <v>0</v>
      </c>
      <c r="R46" s="208">
        <f>Q46</f>
        <v>0</v>
      </c>
      <c r="S46" s="208">
        <f t="shared" ref="S46:S47" si="109">R46</f>
        <v>0</v>
      </c>
      <c r="T46" s="208">
        <f t="shared" ref="T46:T47" si="110">S46</f>
        <v>0</v>
      </c>
      <c r="U46" s="208">
        <f t="shared" ref="U46:U47" si="111">T46</f>
        <v>0</v>
      </c>
      <c r="V46" s="208">
        <f t="shared" ref="V46:V47" si="112">U46</f>
        <v>0</v>
      </c>
    </row>
    <row r="47" spans="2:22" x14ac:dyDescent="0.25">
      <c r="B47" s="206" t="s">
        <v>112</v>
      </c>
      <c r="C47" s="207">
        <f>'Proposed price'!J9</f>
        <v>0</v>
      </c>
      <c r="D47" s="208">
        <f>C47</f>
        <v>0</v>
      </c>
      <c r="E47" s="208">
        <f>D47</f>
        <v>0</v>
      </c>
      <c r="F47" s="208">
        <f t="shared" si="106"/>
        <v>0</v>
      </c>
      <c r="G47" s="208">
        <f t="shared" si="106"/>
        <v>0</v>
      </c>
      <c r="H47" s="208">
        <f t="shared" si="106"/>
        <v>0</v>
      </c>
      <c r="J47" s="207">
        <f>'Proposed price'!J22</f>
        <v>0</v>
      </c>
      <c r="K47" s="208">
        <f>J47</f>
        <v>0</v>
      </c>
      <c r="L47" s="208">
        <f t="shared" si="107"/>
        <v>0</v>
      </c>
      <c r="M47" s="208">
        <f t="shared" si="107"/>
        <v>0</v>
      </c>
      <c r="N47" s="208">
        <f t="shared" si="107"/>
        <v>0</v>
      </c>
      <c r="O47" s="208">
        <f t="shared" si="107"/>
        <v>0</v>
      </c>
      <c r="Q47" s="207">
        <f t="shared" si="108"/>
        <v>0</v>
      </c>
      <c r="R47" s="208">
        <f>Q47</f>
        <v>0</v>
      </c>
      <c r="S47" s="208">
        <f t="shared" si="109"/>
        <v>0</v>
      </c>
      <c r="T47" s="208">
        <f t="shared" si="110"/>
        <v>0</v>
      </c>
      <c r="U47" s="208">
        <f t="shared" si="111"/>
        <v>0</v>
      </c>
      <c r="V47" s="208">
        <f t="shared" si="112"/>
        <v>0</v>
      </c>
    </row>
    <row r="48" spans="2:22" x14ac:dyDescent="0.25">
      <c r="B48" s="209" t="s">
        <v>148</v>
      </c>
      <c r="C48" s="239">
        <f>'Proposed price'!M9</f>
        <v>103.26059762014499</v>
      </c>
      <c r="D48" s="197">
        <f>SUM(D45:D47)</f>
        <v>103.26059762014499</v>
      </c>
      <c r="E48" s="197">
        <f t="shared" ref="E48:H48" si="113">SUM(E45:E47)</f>
        <v>103.26059762014499</v>
      </c>
      <c r="F48" s="197">
        <f t="shared" si="113"/>
        <v>104.39646419396658</v>
      </c>
      <c r="G48" s="197">
        <f t="shared" si="113"/>
        <v>106.8113632037014</v>
      </c>
      <c r="H48" s="197">
        <f t="shared" si="113"/>
        <v>110.41865774336563</v>
      </c>
      <c r="I48" s="175"/>
      <c r="J48" s="239">
        <f>'Proposed price'!M22</f>
        <v>187.46251122675505</v>
      </c>
      <c r="K48" s="197">
        <f>SUM(K45:K47)</f>
        <v>187.46251122675505</v>
      </c>
      <c r="L48" s="197">
        <f t="shared" ref="L48:O48" si="114">SUM(L45:L47)</f>
        <v>187.46251122675505</v>
      </c>
      <c r="M48" s="197">
        <f t="shared" si="114"/>
        <v>189.52459885024933</v>
      </c>
      <c r="N48" s="197">
        <f t="shared" si="114"/>
        <v>193.90868187085329</v>
      </c>
      <c r="O48" s="197">
        <f t="shared" si="114"/>
        <v>200.45747694588869</v>
      </c>
      <c r="P48" s="175"/>
      <c r="Q48" s="240">
        <f t="shared" si="108"/>
        <v>84.201913606610063</v>
      </c>
      <c r="R48" s="197">
        <f>SUM(R45:R47)</f>
        <v>84.201913606610063</v>
      </c>
      <c r="S48" s="197">
        <f t="shared" ref="S48:V48" si="115">SUM(S45:S47)</f>
        <v>84.201913606610063</v>
      </c>
      <c r="T48" s="197">
        <f t="shared" si="115"/>
        <v>85.128134656282768</v>
      </c>
      <c r="U48" s="197">
        <f t="shared" si="115"/>
        <v>87.097318667151896</v>
      </c>
      <c r="V48" s="197">
        <f t="shared" si="115"/>
        <v>90.038819202523058</v>
      </c>
    </row>
    <row r="49" spans="2:22" x14ac:dyDescent="0.25">
      <c r="B49" s="206" t="s">
        <v>116</v>
      </c>
      <c r="C49" s="207">
        <f>'Proposed price'!N9</f>
        <v>48.111860352349787</v>
      </c>
      <c r="D49" s="208">
        <f>D48*D$3</f>
        <v>48.111860352349787</v>
      </c>
      <c r="E49" s="208">
        <f t="shared" ref="E49:H49" si="116">E48*E$3</f>
        <v>48.111860352349787</v>
      </c>
      <c r="F49" s="208">
        <f t="shared" si="116"/>
        <v>48.641090816225628</v>
      </c>
      <c r="G49" s="208">
        <f t="shared" si="116"/>
        <v>49.76625652898656</v>
      </c>
      <c r="H49" s="208">
        <f t="shared" si="116"/>
        <v>51.446991050595223</v>
      </c>
      <c r="J49" s="207">
        <f>'Proposed price'!N22</f>
        <v>87.3437726423046</v>
      </c>
      <c r="K49" s="208">
        <f>K48*K$3</f>
        <v>87.3437726423046</v>
      </c>
      <c r="L49" s="208">
        <f t="shared" ref="L49:O49" si="117">L48*L$3</f>
        <v>87.3437726423046</v>
      </c>
      <c r="M49" s="208">
        <f t="shared" si="117"/>
        <v>88.304554141369934</v>
      </c>
      <c r="N49" s="208">
        <f t="shared" si="117"/>
        <v>90.347215087768092</v>
      </c>
      <c r="O49" s="208">
        <f t="shared" si="117"/>
        <v>93.398472986596985</v>
      </c>
      <c r="Q49" s="207">
        <f t="shared" si="108"/>
        <v>39.231912289954813</v>
      </c>
      <c r="R49" s="208">
        <f>R48*R$3</f>
        <v>39.231912289954813</v>
      </c>
      <c r="S49" s="208">
        <f t="shared" ref="S49:V49" si="118">S48*S$3</f>
        <v>39.231912289954813</v>
      </c>
      <c r="T49" s="208">
        <f t="shared" si="118"/>
        <v>39.663463325144313</v>
      </c>
      <c r="U49" s="208">
        <f t="shared" si="118"/>
        <v>40.580958558781546</v>
      </c>
      <c r="V49" s="208">
        <f t="shared" si="118"/>
        <v>41.95148193600177</v>
      </c>
    </row>
    <row r="50" spans="2:22" x14ac:dyDescent="0.25">
      <c r="B50" s="206" t="s">
        <v>117</v>
      </c>
      <c r="C50" s="207">
        <f>'Proposed price'!O9</f>
        <v>16.560685284298117</v>
      </c>
      <c r="D50" s="208">
        <f>D48*D$4</f>
        <v>16.560685284298117</v>
      </c>
      <c r="E50" s="208">
        <f t="shared" ref="E50:H50" si="119">E48*E$4</f>
        <v>16.560685284298117</v>
      </c>
      <c r="F50" s="208">
        <f t="shared" si="119"/>
        <v>16.742852822425395</v>
      </c>
      <c r="G50" s="208">
        <f t="shared" si="119"/>
        <v>17.130148493913737</v>
      </c>
      <c r="H50" s="208">
        <f t="shared" si="119"/>
        <v>17.708677680999244</v>
      </c>
      <c r="J50" s="207">
        <f>'Proposed price'!O22</f>
        <v>30.064784850953043</v>
      </c>
      <c r="K50" s="208">
        <f>K48*K$4</f>
        <v>30.064784850953043</v>
      </c>
      <c r="L50" s="208">
        <f t="shared" ref="L50:O50" si="120">L48*L$4</f>
        <v>30.064784850953043</v>
      </c>
      <c r="M50" s="208">
        <f t="shared" si="120"/>
        <v>30.39549748431352</v>
      </c>
      <c r="N50" s="208">
        <f t="shared" si="120"/>
        <v>31.098606132120658</v>
      </c>
      <c r="O50" s="208">
        <f t="shared" si="120"/>
        <v>32.148886071696225</v>
      </c>
      <c r="Q50" s="207">
        <f t="shared" si="108"/>
        <v>13.504099566654926</v>
      </c>
      <c r="R50" s="208">
        <f>R48*R$4</f>
        <v>13.504099566654926</v>
      </c>
      <c r="S50" s="208">
        <f t="shared" ref="S50:V50" si="121">S48*S$4</f>
        <v>13.504099566654926</v>
      </c>
      <c r="T50" s="208">
        <f t="shared" si="121"/>
        <v>13.652644661888129</v>
      </c>
      <c r="U50" s="208">
        <f t="shared" si="121"/>
        <v>13.968457638206925</v>
      </c>
      <c r="V50" s="208">
        <f t="shared" si="121"/>
        <v>14.440208390696979</v>
      </c>
    </row>
    <row r="51" spans="2:22" x14ac:dyDescent="0.25">
      <c r="B51" s="206" t="s">
        <v>118</v>
      </c>
      <c r="C51" s="207">
        <f>'Proposed price'!P9</f>
        <v>10.650319945345807</v>
      </c>
      <c r="D51" s="208">
        <f>SUM(D48:D50)*D$5</f>
        <v>10.650319945345807</v>
      </c>
      <c r="E51" s="208">
        <f t="shared" ref="E51:H51" si="122">SUM(E48:E50)*E$5</f>
        <v>10.650319945345807</v>
      </c>
      <c r="F51" s="208">
        <f t="shared" si="122"/>
        <v>10.767473464744608</v>
      </c>
      <c r="G51" s="208">
        <f t="shared" si="122"/>
        <v>11.01654666093108</v>
      </c>
      <c r="H51" s="208">
        <f t="shared" si="122"/>
        <v>11.388603785041969</v>
      </c>
      <c r="J51" s="207">
        <f>'Proposed price'!P22</f>
        <v>19.334923178223207</v>
      </c>
      <c r="K51" s="208">
        <f>SUM(K48:K50)*K$5</f>
        <v>19.334923178223207</v>
      </c>
      <c r="L51" s="208">
        <f t="shared" ref="L51:O51" si="123">SUM(L48:L50)*L$5</f>
        <v>19.334923178223207</v>
      </c>
      <c r="M51" s="208">
        <f t="shared" si="123"/>
        <v>19.54760733318366</v>
      </c>
      <c r="N51" s="208">
        <f t="shared" si="123"/>
        <v>19.999782586014863</v>
      </c>
      <c r="O51" s="208">
        <f t="shared" si="123"/>
        <v>20.675226699385217</v>
      </c>
      <c r="Q51" s="207">
        <f t="shared" si="108"/>
        <v>8.6846032328774001</v>
      </c>
      <c r="R51" s="208">
        <f>SUM(R48:R50)*R$5</f>
        <v>8.6846032328774019</v>
      </c>
      <c r="S51" s="208">
        <f t="shared" ref="S51:V51" si="124">SUM(S48:S50)*S$5</f>
        <v>8.6846032328774019</v>
      </c>
      <c r="T51" s="208">
        <f t="shared" si="124"/>
        <v>8.7801338684390515</v>
      </c>
      <c r="U51" s="208">
        <f t="shared" si="124"/>
        <v>8.9832359250837825</v>
      </c>
      <c r="V51" s="208">
        <f t="shared" si="124"/>
        <v>9.2866229143432477</v>
      </c>
    </row>
    <row r="52" spans="2:22" x14ac:dyDescent="0.25">
      <c r="B52" s="210" t="s">
        <v>153</v>
      </c>
      <c r="C52" s="211">
        <f>'Proposed price'!Q9</f>
        <v>178.58346320213872</v>
      </c>
      <c r="D52" s="212">
        <f>SUM(D48:D51)</f>
        <v>178.58346320213872</v>
      </c>
      <c r="E52" s="212">
        <f t="shared" ref="E52:H52" si="125">SUM(E48:E51)</f>
        <v>178.58346320213872</v>
      </c>
      <c r="F52" s="212">
        <f t="shared" si="125"/>
        <v>180.54788129736218</v>
      </c>
      <c r="G52" s="212">
        <f t="shared" si="125"/>
        <v>184.72431488753278</v>
      </c>
      <c r="H52" s="212">
        <f t="shared" si="125"/>
        <v>190.96293026000205</v>
      </c>
      <c r="J52" s="211">
        <f>'Proposed price'!Q22</f>
        <v>324.20599189823594</v>
      </c>
      <c r="K52" s="212">
        <f>SUM(K48:K51)</f>
        <v>324.20599189823594</v>
      </c>
      <c r="L52" s="212">
        <f t="shared" ref="L52:O52" si="126">SUM(L48:L51)</f>
        <v>324.20599189823594</v>
      </c>
      <c r="M52" s="212">
        <f t="shared" si="126"/>
        <v>327.77225780911641</v>
      </c>
      <c r="N52" s="212">
        <f t="shared" si="126"/>
        <v>335.35428567675694</v>
      </c>
      <c r="O52" s="212">
        <f t="shared" si="126"/>
        <v>346.6800627035671</v>
      </c>
      <c r="Q52" s="207">
        <f t="shared" si="108"/>
        <v>145.62252869609722</v>
      </c>
      <c r="R52" s="212">
        <f>SUM(R48:R51)</f>
        <v>145.62252869609722</v>
      </c>
      <c r="S52" s="212">
        <f t="shared" ref="S52:V52" si="127">SUM(S48:S51)</f>
        <v>145.62252869609722</v>
      </c>
      <c r="T52" s="212">
        <f t="shared" si="127"/>
        <v>147.22437651175426</v>
      </c>
      <c r="U52" s="212">
        <f t="shared" si="127"/>
        <v>150.62997078922416</v>
      </c>
      <c r="V52" s="212">
        <f t="shared" si="127"/>
        <v>155.71713244356505</v>
      </c>
    </row>
    <row r="53" spans="2:22" x14ac:dyDescent="0.25">
      <c r="B53" s="213" t="s">
        <v>156</v>
      </c>
      <c r="C53" s="208"/>
      <c r="D53" s="214">
        <f>'Forecast Revenue - Costs'!D18</f>
        <v>25</v>
      </c>
      <c r="E53" s="214">
        <f>'Forecast Revenue - Costs'!E18</f>
        <v>25</v>
      </c>
      <c r="F53" s="214">
        <f>'Forecast Revenue - Costs'!F18</f>
        <v>25</v>
      </c>
      <c r="G53" s="214">
        <f>'Forecast Revenue - Costs'!G18</f>
        <v>25</v>
      </c>
      <c r="H53" s="214">
        <f>'Forecast Revenue - Costs'!H18</f>
        <v>25</v>
      </c>
      <c r="J53" s="208"/>
      <c r="K53" s="214">
        <f>'Forecast Revenue - Costs'!D18</f>
        <v>25</v>
      </c>
      <c r="L53" s="214">
        <f>'Forecast Revenue - Costs'!E18</f>
        <v>25</v>
      </c>
      <c r="M53" s="214">
        <f>'Forecast Revenue - Costs'!F18</f>
        <v>25</v>
      </c>
      <c r="N53" s="214">
        <f>'Forecast Revenue - Costs'!G18</f>
        <v>25</v>
      </c>
      <c r="O53" s="214">
        <f>'Forecast Revenue - Costs'!H18</f>
        <v>25</v>
      </c>
      <c r="Q53" s="208"/>
      <c r="R53" s="214">
        <f>'Forecast Revenue - Costs'!D18</f>
        <v>25</v>
      </c>
      <c r="S53" s="214">
        <f>'Forecast Revenue - Costs'!E18</f>
        <v>25</v>
      </c>
      <c r="T53" s="214">
        <f>'Forecast Revenue - Costs'!F18</f>
        <v>25</v>
      </c>
      <c r="U53" s="214">
        <f>'Forecast Revenue - Costs'!G18</f>
        <v>25</v>
      </c>
      <c r="V53" s="214">
        <f>'Forecast Revenue - Costs'!H18</f>
        <v>25</v>
      </c>
    </row>
    <row r="54" spans="2:22" x14ac:dyDescent="0.25">
      <c r="B54" s="199" t="s">
        <v>155</v>
      </c>
      <c r="C54" s="197"/>
      <c r="D54" s="198">
        <f>D52*D53</f>
        <v>4464.5865800534675</v>
      </c>
      <c r="E54" s="198">
        <f t="shared" ref="E54:H54" si="128">E52*E53</f>
        <v>4464.5865800534675</v>
      </c>
      <c r="F54" s="198">
        <f t="shared" si="128"/>
        <v>4513.6970324340546</v>
      </c>
      <c r="G54" s="198">
        <f t="shared" si="128"/>
        <v>4618.1078721883196</v>
      </c>
      <c r="H54" s="198">
        <f t="shared" si="128"/>
        <v>4774.0732565000517</v>
      </c>
      <c r="J54" s="197"/>
      <c r="K54" s="198">
        <f>K53*K52</f>
        <v>8105.1497974558988</v>
      </c>
      <c r="L54" s="198">
        <f t="shared" ref="L54:O54" si="129">L53*L52</f>
        <v>8105.1497974558988</v>
      </c>
      <c r="M54" s="198">
        <f t="shared" si="129"/>
        <v>8194.3064452279104</v>
      </c>
      <c r="N54" s="198">
        <f t="shared" si="129"/>
        <v>8383.8571419189229</v>
      </c>
      <c r="O54" s="198">
        <f t="shared" si="129"/>
        <v>8667.0015675891773</v>
      </c>
      <c r="Q54" s="197"/>
      <c r="R54" s="198">
        <f>R53*R52</f>
        <v>3640.5632174024304</v>
      </c>
      <c r="S54" s="198">
        <f t="shared" ref="S54:V54" si="130">S53*S52</f>
        <v>3640.5632174024304</v>
      </c>
      <c r="T54" s="198">
        <f t="shared" si="130"/>
        <v>3680.6094127938563</v>
      </c>
      <c r="U54" s="198">
        <f t="shared" si="130"/>
        <v>3765.7492697306038</v>
      </c>
      <c r="V54" s="198">
        <f t="shared" si="130"/>
        <v>3892.9283110891261</v>
      </c>
    </row>
    <row r="56" spans="2:22" x14ac:dyDescent="0.25">
      <c r="B56" s="203" t="s">
        <v>157</v>
      </c>
      <c r="C56" s="179"/>
      <c r="D56" s="278" t="s">
        <v>141</v>
      </c>
      <c r="E56" s="279"/>
      <c r="F56" s="279"/>
      <c r="G56" s="279"/>
      <c r="H56" s="279"/>
      <c r="J56" s="179"/>
      <c r="K56" s="278" t="s">
        <v>141</v>
      </c>
      <c r="L56" s="279"/>
      <c r="M56" s="279"/>
      <c r="N56" s="279"/>
      <c r="O56" s="279"/>
      <c r="Q56" s="179"/>
      <c r="R56" s="278" t="s">
        <v>141</v>
      </c>
      <c r="S56" s="279"/>
      <c r="T56" s="279"/>
      <c r="U56" s="279"/>
      <c r="V56" s="279"/>
    </row>
    <row r="57" spans="2:22" x14ac:dyDescent="0.25">
      <c r="B57" s="206" t="s">
        <v>110</v>
      </c>
      <c r="C57" s="207">
        <f>'Proposed price'!H10</f>
        <v>103.26059762014499</v>
      </c>
      <c r="D57" s="208">
        <f>C57*D$1</f>
        <v>103.26059762014499</v>
      </c>
      <c r="E57" s="208">
        <f t="shared" ref="E57:H57" si="131">D57*E$1</f>
        <v>103.26059762014499</v>
      </c>
      <c r="F57" s="208">
        <f t="shared" si="131"/>
        <v>104.39646419396658</v>
      </c>
      <c r="G57" s="208">
        <f t="shared" si="131"/>
        <v>106.8113632037014</v>
      </c>
      <c r="H57" s="208">
        <f t="shared" si="131"/>
        <v>110.41865774336563</v>
      </c>
      <c r="J57" s="207">
        <f>'Proposed price'!H23</f>
        <v>187.46251122675505</v>
      </c>
      <c r="K57" s="208">
        <f>J57*K$1</f>
        <v>187.46251122675505</v>
      </c>
      <c r="L57" s="208">
        <f t="shared" ref="L57:O57" si="132">K57*L$1</f>
        <v>187.46251122675505</v>
      </c>
      <c r="M57" s="208">
        <f t="shared" si="132"/>
        <v>189.52459885024933</v>
      </c>
      <c r="N57" s="208">
        <f t="shared" si="132"/>
        <v>193.90868187085329</v>
      </c>
      <c r="O57" s="208">
        <f t="shared" si="132"/>
        <v>200.45747694588869</v>
      </c>
      <c r="Q57" s="207">
        <f>J57-C57</f>
        <v>84.201913606610063</v>
      </c>
      <c r="R57" s="208">
        <f>Q57*R$1</f>
        <v>84.201913606610063</v>
      </c>
      <c r="S57" s="208">
        <f t="shared" ref="S57" si="133">R57*S$1</f>
        <v>84.201913606610063</v>
      </c>
      <c r="T57" s="208">
        <f t="shared" ref="T57" si="134">S57*T$1</f>
        <v>85.128134656282768</v>
      </c>
      <c r="U57" s="208">
        <f t="shared" ref="U57" si="135">T57*U$1</f>
        <v>87.097318667151896</v>
      </c>
      <c r="V57" s="208">
        <f t="shared" ref="V57" si="136">U57*V$1</f>
        <v>90.038819202523058</v>
      </c>
    </row>
    <row r="58" spans="2:22" x14ac:dyDescent="0.25">
      <c r="B58" s="206" t="s">
        <v>111</v>
      </c>
      <c r="C58" s="207">
        <f>'Proposed price'!I10</f>
        <v>19.732436288346317</v>
      </c>
      <c r="D58" s="208">
        <f>C58</f>
        <v>19.732436288346317</v>
      </c>
      <c r="E58" s="208">
        <f t="shared" ref="E58:H59" si="137">D58</f>
        <v>19.732436288346317</v>
      </c>
      <c r="F58" s="208">
        <f t="shared" si="137"/>
        <v>19.732436288346317</v>
      </c>
      <c r="G58" s="208">
        <f t="shared" si="137"/>
        <v>19.732436288346317</v>
      </c>
      <c r="H58" s="208">
        <f t="shared" si="137"/>
        <v>19.732436288346317</v>
      </c>
      <c r="J58" s="207">
        <f>'Proposed price'!I23</f>
        <v>19.732436288346317</v>
      </c>
      <c r="K58" s="208">
        <f>J58</f>
        <v>19.732436288346317</v>
      </c>
      <c r="L58" s="208">
        <f t="shared" ref="L58:O59" si="138">K58</f>
        <v>19.732436288346317</v>
      </c>
      <c r="M58" s="208">
        <f t="shared" si="138"/>
        <v>19.732436288346317</v>
      </c>
      <c r="N58" s="208">
        <f t="shared" si="138"/>
        <v>19.732436288346317</v>
      </c>
      <c r="O58" s="208">
        <f t="shared" si="138"/>
        <v>19.732436288346317</v>
      </c>
      <c r="Q58" s="207">
        <f t="shared" ref="Q58:Q64" si="139">J58-C58</f>
        <v>0</v>
      </c>
      <c r="R58" s="208">
        <f>Q58</f>
        <v>0</v>
      </c>
      <c r="S58" s="208">
        <f t="shared" ref="S58:S59" si="140">R58</f>
        <v>0</v>
      </c>
      <c r="T58" s="208">
        <f t="shared" ref="T58:T59" si="141">S58</f>
        <v>0</v>
      </c>
      <c r="U58" s="208">
        <f t="shared" ref="U58:U59" si="142">T58</f>
        <v>0</v>
      </c>
      <c r="V58" s="208">
        <f t="shared" ref="V58:V59" si="143">U58</f>
        <v>0</v>
      </c>
    </row>
    <row r="59" spans="2:22" x14ac:dyDescent="0.25">
      <c r="B59" s="206" t="s">
        <v>112</v>
      </c>
      <c r="C59" s="207">
        <f>'Proposed price'!J9</f>
        <v>0</v>
      </c>
      <c r="D59" s="208">
        <f>C59</f>
        <v>0</v>
      </c>
      <c r="E59" s="208">
        <f t="shared" si="137"/>
        <v>0</v>
      </c>
      <c r="F59" s="208">
        <f t="shared" si="137"/>
        <v>0</v>
      </c>
      <c r="G59" s="208">
        <f t="shared" si="137"/>
        <v>0</v>
      </c>
      <c r="H59" s="208">
        <f t="shared" si="137"/>
        <v>0</v>
      </c>
      <c r="J59" s="207">
        <f>'Proposed price'!J23</f>
        <v>0</v>
      </c>
      <c r="K59" s="208">
        <f>J59</f>
        <v>0</v>
      </c>
      <c r="L59" s="208">
        <f t="shared" si="138"/>
        <v>0</v>
      </c>
      <c r="M59" s="208">
        <f t="shared" si="138"/>
        <v>0</v>
      </c>
      <c r="N59" s="208">
        <f t="shared" si="138"/>
        <v>0</v>
      </c>
      <c r="O59" s="208">
        <f t="shared" si="138"/>
        <v>0</v>
      </c>
      <c r="Q59" s="207">
        <f t="shared" si="139"/>
        <v>0</v>
      </c>
      <c r="R59" s="208">
        <f>Q59</f>
        <v>0</v>
      </c>
      <c r="S59" s="208">
        <f t="shared" si="140"/>
        <v>0</v>
      </c>
      <c r="T59" s="208">
        <f t="shared" si="141"/>
        <v>0</v>
      </c>
      <c r="U59" s="208">
        <f t="shared" si="142"/>
        <v>0</v>
      </c>
      <c r="V59" s="208">
        <f t="shared" si="143"/>
        <v>0</v>
      </c>
    </row>
    <row r="60" spans="2:22" x14ac:dyDescent="0.25">
      <c r="B60" s="209" t="s">
        <v>148</v>
      </c>
      <c r="C60" s="239">
        <f>'Proposed price'!M10</f>
        <v>122.99303390849131</v>
      </c>
      <c r="D60" s="197">
        <f>SUM(D57:D59)</f>
        <v>122.99303390849131</v>
      </c>
      <c r="E60" s="197">
        <f t="shared" ref="E60:H60" si="144">SUM(E57:E59)</f>
        <v>122.99303390849131</v>
      </c>
      <c r="F60" s="197">
        <f t="shared" si="144"/>
        <v>124.1289004823129</v>
      </c>
      <c r="G60" s="197">
        <f t="shared" si="144"/>
        <v>126.54379949204773</v>
      </c>
      <c r="H60" s="197">
        <f t="shared" si="144"/>
        <v>130.15109403171195</v>
      </c>
      <c r="I60" s="175"/>
      <c r="J60" s="239">
        <f>'Proposed price'!M23</f>
        <v>207.19494751510138</v>
      </c>
      <c r="K60" s="197">
        <f>SUM(K57:K59)</f>
        <v>207.19494751510138</v>
      </c>
      <c r="L60" s="197">
        <f t="shared" ref="L60:O60" si="145">SUM(L57:L59)</f>
        <v>207.19494751510138</v>
      </c>
      <c r="M60" s="197">
        <f t="shared" si="145"/>
        <v>209.25703513859565</v>
      </c>
      <c r="N60" s="197">
        <f t="shared" si="145"/>
        <v>213.64111815919961</v>
      </c>
      <c r="O60" s="197">
        <f t="shared" si="145"/>
        <v>220.18991323423501</v>
      </c>
      <c r="P60" s="175"/>
      <c r="Q60" s="240">
        <f t="shared" si="139"/>
        <v>84.201913606610063</v>
      </c>
      <c r="R60" s="197">
        <f>SUM(R57:R59)</f>
        <v>84.201913606610063</v>
      </c>
      <c r="S60" s="197">
        <f t="shared" ref="S60:V60" si="146">SUM(S57:S59)</f>
        <v>84.201913606610063</v>
      </c>
      <c r="T60" s="197">
        <f t="shared" si="146"/>
        <v>85.128134656282768</v>
      </c>
      <c r="U60" s="197">
        <f t="shared" si="146"/>
        <v>87.097318667151896</v>
      </c>
      <c r="V60" s="197">
        <f t="shared" si="146"/>
        <v>90.038819202523058</v>
      </c>
    </row>
    <row r="61" spans="2:22" x14ac:dyDescent="0.25">
      <c r="B61" s="206" t="s">
        <v>116</v>
      </c>
      <c r="C61" s="207">
        <f>'Proposed price'!N10</f>
        <v>57.305727529149344</v>
      </c>
      <c r="D61" s="208">
        <f>D60*D$3</f>
        <v>57.305727529149344</v>
      </c>
      <c r="E61" s="208">
        <f t="shared" ref="E61:H61" si="147">E60*E$3</f>
        <v>57.305727529149344</v>
      </c>
      <c r="F61" s="208">
        <f t="shared" si="147"/>
        <v>57.834957993025185</v>
      </c>
      <c r="G61" s="208">
        <f t="shared" si="147"/>
        <v>58.960123705786117</v>
      </c>
      <c r="H61" s="208">
        <f t="shared" si="147"/>
        <v>60.64085822739478</v>
      </c>
      <c r="J61" s="207">
        <f>'Proposed price'!N23</f>
        <v>96.537639819104157</v>
      </c>
      <c r="K61" s="208">
        <f>K60*K$3</f>
        <v>96.537639819104157</v>
      </c>
      <c r="L61" s="208">
        <f t="shared" ref="L61:O61" si="148">L60*L$3</f>
        <v>96.537639819104157</v>
      </c>
      <c r="M61" s="208">
        <f t="shared" si="148"/>
        <v>97.498421318169491</v>
      </c>
      <c r="N61" s="208">
        <f t="shared" si="148"/>
        <v>99.541082264567649</v>
      </c>
      <c r="O61" s="208">
        <f t="shared" si="148"/>
        <v>102.59234016339654</v>
      </c>
      <c r="Q61" s="207">
        <f t="shared" si="139"/>
        <v>39.231912289954813</v>
      </c>
      <c r="R61" s="208">
        <f>R60*R$3</f>
        <v>39.231912289954813</v>
      </c>
      <c r="S61" s="208">
        <f t="shared" ref="S61:V61" si="149">S60*S$3</f>
        <v>39.231912289954813</v>
      </c>
      <c r="T61" s="208">
        <f t="shared" si="149"/>
        <v>39.663463325144313</v>
      </c>
      <c r="U61" s="208">
        <f t="shared" si="149"/>
        <v>40.580958558781546</v>
      </c>
      <c r="V61" s="208">
        <f t="shared" si="149"/>
        <v>41.95148193600177</v>
      </c>
    </row>
    <row r="62" spans="2:22" x14ac:dyDescent="0.25">
      <c r="B62" s="206" t="s">
        <v>117</v>
      </c>
      <c r="C62" s="207">
        <f>'Proposed price'!O10</f>
        <v>19.725325764744216</v>
      </c>
      <c r="D62" s="208">
        <f>D60*D$4</f>
        <v>19.725325764744216</v>
      </c>
      <c r="E62" s="208">
        <f t="shared" ref="E62:H62" si="150">E60*E$4</f>
        <v>19.725325764744216</v>
      </c>
      <c r="F62" s="208">
        <f t="shared" si="150"/>
        <v>19.907493302871494</v>
      </c>
      <c r="G62" s="208">
        <f t="shared" si="150"/>
        <v>20.294788974359836</v>
      </c>
      <c r="H62" s="208">
        <f t="shared" si="150"/>
        <v>20.873318161445344</v>
      </c>
      <c r="J62" s="207">
        <f>'Proposed price'!O23</f>
        <v>33.229425331399142</v>
      </c>
      <c r="K62" s="208">
        <f>K60*K$4</f>
        <v>33.229425331399142</v>
      </c>
      <c r="L62" s="208">
        <f t="shared" ref="L62:O62" si="151">L60*L$4</f>
        <v>33.229425331399142</v>
      </c>
      <c r="M62" s="208">
        <f t="shared" si="151"/>
        <v>33.560137964759619</v>
      </c>
      <c r="N62" s="208">
        <f t="shared" si="151"/>
        <v>34.263246612566761</v>
      </c>
      <c r="O62" s="208">
        <f t="shared" si="151"/>
        <v>35.313526552142328</v>
      </c>
      <c r="Q62" s="207">
        <f t="shared" si="139"/>
        <v>13.504099566654926</v>
      </c>
      <c r="R62" s="208">
        <f>R60*R$4</f>
        <v>13.504099566654926</v>
      </c>
      <c r="S62" s="208">
        <f t="shared" ref="S62:V62" si="152">S60*S$4</f>
        <v>13.504099566654926</v>
      </c>
      <c r="T62" s="208">
        <f t="shared" si="152"/>
        <v>13.652644661888129</v>
      </c>
      <c r="U62" s="208">
        <f t="shared" si="152"/>
        <v>13.968457638206925</v>
      </c>
      <c r="V62" s="208">
        <f t="shared" si="152"/>
        <v>14.440208390696979</v>
      </c>
    </row>
    <row r="63" spans="2:22" x14ac:dyDescent="0.25">
      <c r="B63" s="206" t="s">
        <v>118</v>
      </c>
      <c r="C63" s="207">
        <f>'Proposed price'!P10</f>
        <v>12.685527610375249</v>
      </c>
      <c r="D63" s="208">
        <f>SUM(D60:D62)*D$5</f>
        <v>12.685527610375249</v>
      </c>
      <c r="E63" s="208">
        <f t="shared" ref="E63:H63" si="153">SUM(E60:E62)*E$5</f>
        <v>12.685527610375249</v>
      </c>
      <c r="F63" s="208">
        <f t="shared" si="153"/>
        <v>12.802681129774054</v>
      </c>
      <c r="G63" s="208">
        <f t="shared" si="153"/>
        <v>13.051754325960525</v>
      </c>
      <c r="H63" s="208">
        <f t="shared" si="153"/>
        <v>13.423811450071414</v>
      </c>
      <c r="J63" s="207">
        <f>'Proposed price'!P23</f>
        <v>21.37013084325265</v>
      </c>
      <c r="K63" s="208">
        <f>SUM(K60:K62)*K$5</f>
        <v>21.37013084325265</v>
      </c>
      <c r="L63" s="208">
        <f t="shared" ref="L63:O63" si="154">SUM(L60:L62)*L$5</f>
        <v>21.37013084325265</v>
      </c>
      <c r="M63" s="208">
        <f t="shared" si="154"/>
        <v>21.582814998213102</v>
      </c>
      <c r="N63" s="208">
        <f t="shared" si="154"/>
        <v>22.034990251044306</v>
      </c>
      <c r="O63" s="208">
        <f t="shared" si="154"/>
        <v>22.71043436441466</v>
      </c>
      <c r="Q63" s="207">
        <f t="shared" si="139"/>
        <v>8.6846032328774001</v>
      </c>
      <c r="R63" s="208">
        <f>SUM(R60:R62)*R$5</f>
        <v>8.6846032328774019</v>
      </c>
      <c r="S63" s="208">
        <f t="shared" ref="S63:V63" si="155">SUM(S60:S62)*S$5</f>
        <v>8.6846032328774019</v>
      </c>
      <c r="T63" s="208">
        <f t="shared" si="155"/>
        <v>8.7801338684390515</v>
      </c>
      <c r="U63" s="208">
        <f t="shared" si="155"/>
        <v>8.9832359250837825</v>
      </c>
      <c r="V63" s="208">
        <f t="shared" si="155"/>
        <v>9.2866229143432477</v>
      </c>
    </row>
    <row r="64" spans="2:22" x14ac:dyDescent="0.25">
      <c r="B64" s="210" t="s">
        <v>153</v>
      </c>
      <c r="C64" s="211">
        <f>'Proposed price'!Q10</f>
        <v>212.70961481276012</v>
      </c>
      <c r="D64" s="212">
        <f>SUM(D60:D63)</f>
        <v>212.70961481276012</v>
      </c>
      <c r="E64" s="212">
        <f t="shared" ref="E64:H64" si="156">SUM(E60:E63)</f>
        <v>212.70961481276012</v>
      </c>
      <c r="F64" s="212">
        <f t="shared" si="156"/>
        <v>214.67403290798364</v>
      </c>
      <c r="G64" s="212">
        <f t="shared" si="156"/>
        <v>218.85046649815422</v>
      </c>
      <c r="H64" s="212">
        <f t="shared" si="156"/>
        <v>225.08908187062349</v>
      </c>
      <c r="J64" s="211">
        <f>'Proposed price'!Q23</f>
        <v>358.33214350885731</v>
      </c>
      <c r="K64" s="212">
        <f>SUM(K60:K63)</f>
        <v>358.33214350885731</v>
      </c>
      <c r="L64" s="212">
        <f t="shared" ref="L64:O64" si="157">SUM(L60:L63)</f>
        <v>358.33214350885731</v>
      </c>
      <c r="M64" s="212">
        <f t="shared" si="157"/>
        <v>361.8984094197379</v>
      </c>
      <c r="N64" s="212">
        <f t="shared" si="157"/>
        <v>369.48043728737832</v>
      </c>
      <c r="O64" s="212">
        <f t="shared" si="157"/>
        <v>380.80621431418854</v>
      </c>
      <c r="Q64" s="207">
        <f t="shared" si="139"/>
        <v>145.62252869609719</v>
      </c>
      <c r="R64" s="212">
        <f>SUM(R60:R63)</f>
        <v>145.62252869609722</v>
      </c>
      <c r="S64" s="212">
        <f t="shared" ref="S64:V64" si="158">SUM(S60:S63)</f>
        <v>145.62252869609722</v>
      </c>
      <c r="T64" s="212">
        <f t="shared" si="158"/>
        <v>147.22437651175426</v>
      </c>
      <c r="U64" s="212">
        <f t="shared" si="158"/>
        <v>150.62997078922416</v>
      </c>
      <c r="V64" s="212">
        <f t="shared" si="158"/>
        <v>155.71713244356505</v>
      </c>
    </row>
    <row r="65" spans="1:22" x14ac:dyDescent="0.25">
      <c r="B65" s="213" t="s">
        <v>156</v>
      </c>
      <c r="C65" s="208"/>
      <c r="D65" s="214">
        <f>'Forecast Revenue - Costs'!D19</f>
        <v>30</v>
      </c>
      <c r="E65" s="214">
        <f>'Forecast Revenue - Costs'!E19</f>
        <v>30</v>
      </c>
      <c r="F65" s="214">
        <f>'Forecast Revenue - Costs'!F19</f>
        <v>30</v>
      </c>
      <c r="G65" s="214">
        <f>'Forecast Revenue - Costs'!G19</f>
        <v>30</v>
      </c>
      <c r="H65" s="214">
        <f>'Forecast Revenue - Costs'!H19</f>
        <v>30</v>
      </c>
      <c r="J65" s="208"/>
      <c r="K65" s="214">
        <f>'Forecast Revenue - Costs'!D19</f>
        <v>30</v>
      </c>
      <c r="L65" s="214">
        <f>'Forecast Revenue - Costs'!E19</f>
        <v>30</v>
      </c>
      <c r="M65" s="214">
        <f>'Forecast Revenue - Costs'!F19</f>
        <v>30</v>
      </c>
      <c r="N65" s="214">
        <f>'Forecast Revenue - Costs'!G19</f>
        <v>30</v>
      </c>
      <c r="O65" s="214">
        <f>'Forecast Revenue - Costs'!H19</f>
        <v>30</v>
      </c>
      <c r="Q65" s="208"/>
      <c r="R65" s="214">
        <f>'Forecast Revenue - Costs'!D19</f>
        <v>30</v>
      </c>
      <c r="S65" s="214">
        <f>'Forecast Revenue - Costs'!E19</f>
        <v>30</v>
      </c>
      <c r="T65" s="214">
        <f>'Forecast Revenue - Costs'!F19</f>
        <v>30</v>
      </c>
      <c r="U65" s="214">
        <f>'Forecast Revenue - Costs'!G19</f>
        <v>30</v>
      </c>
      <c r="V65" s="214">
        <f>'Forecast Revenue - Costs'!H19</f>
        <v>30</v>
      </c>
    </row>
    <row r="66" spans="1:22" x14ac:dyDescent="0.25">
      <c r="B66" s="199" t="s">
        <v>155</v>
      </c>
      <c r="C66" s="197"/>
      <c r="D66" s="198">
        <f>D64*D65</f>
        <v>6381.2884443828034</v>
      </c>
      <c r="E66" s="198">
        <f t="shared" ref="E66:H66" si="159">E64*E65</f>
        <v>6381.2884443828034</v>
      </c>
      <c r="F66" s="198">
        <f t="shared" si="159"/>
        <v>6440.2209872395097</v>
      </c>
      <c r="G66" s="198">
        <f t="shared" si="159"/>
        <v>6565.5139949446266</v>
      </c>
      <c r="H66" s="198">
        <f t="shared" si="159"/>
        <v>6752.6724561187048</v>
      </c>
      <c r="J66" s="197"/>
      <c r="K66" s="198">
        <f>K65*K64</f>
        <v>10749.964305265719</v>
      </c>
      <c r="L66" s="198">
        <f t="shared" ref="L66:O66" si="160">L65*L64</f>
        <v>10749.964305265719</v>
      </c>
      <c r="M66" s="198">
        <f t="shared" si="160"/>
        <v>10856.952282592138</v>
      </c>
      <c r="N66" s="198">
        <f t="shared" si="160"/>
        <v>11084.413118621349</v>
      </c>
      <c r="O66" s="198">
        <f t="shared" si="160"/>
        <v>11424.186429425656</v>
      </c>
      <c r="Q66" s="197"/>
      <c r="R66" s="198">
        <f>R65*R64</f>
        <v>4368.6758608829168</v>
      </c>
      <c r="S66" s="198">
        <f t="shared" ref="S66:V66" si="161">S65*S64</f>
        <v>4368.6758608829168</v>
      </c>
      <c r="T66" s="198">
        <f t="shared" si="161"/>
        <v>4416.731295352628</v>
      </c>
      <c r="U66" s="198">
        <f t="shared" si="161"/>
        <v>4518.8991236767251</v>
      </c>
      <c r="V66" s="198">
        <f t="shared" si="161"/>
        <v>4671.5139733069518</v>
      </c>
    </row>
    <row r="68" spans="1:22" x14ac:dyDescent="0.25">
      <c r="B68" s="203" t="s">
        <v>158</v>
      </c>
      <c r="C68" s="179"/>
      <c r="D68" s="278" t="s">
        <v>141</v>
      </c>
      <c r="E68" s="279"/>
      <c r="F68" s="279"/>
      <c r="G68" s="279"/>
      <c r="H68" s="279"/>
      <c r="J68" s="179"/>
      <c r="K68" s="278" t="s">
        <v>141</v>
      </c>
      <c r="L68" s="279"/>
      <c r="M68" s="279"/>
      <c r="N68" s="279"/>
      <c r="O68" s="279"/>
      <c r="Q68" s="179"/>
      <c r="R68" s="278" t="s">
        <v>141</v>
      </c>
      <c r="S68" s="279"/>
      <c r="T68" s="279"/>
      <c r="U68" s="279"/>
      <c r="V68" s="279"/>
    </row>
    <row r="69" spans="1:22" x14ac:dyDescent="0.25">
      <c r="B69" s="206" t="s">
        <v>110</v>
      </c>
      <c r="C69" s="207">
        <f>'Proposed price'!H11</f>
        <v>118.60731987121498</v>
      </c>
      <c r="D69" s="208">
        <f>C69*D$1</f>
        <v>118.60731987121498</v>
      </c>
      <c r="E69" s="208">
        <f t="shared" ref="E69:H69" si="162">D69*E$1</f>
        <v>118.60731987121498</v>
      </c>
      <c r="F69" s="208">
        <f t="shared" si="162"/>
        <v>119.91200038979834</v>
      </c>
      <c r="G69" s="208">
        <f t="shared" si="162"/>
        <v>122.68580478281514</v>
      </c>
      <c r="H69" s="208">
        <f t="shared" si="162"/>
        <v>126.82922005636932</v>
      </c>
      <c r="J69" s="207">
        <f>'Proposed price'!H24</f>
        <v>215.32342970476165</v>
      </c>
      <c r="K69" s="208">
        <f>J69*K$1</f>
        <v>215.32342970476165</v>
      </c>
      <c r="L69" s="208">
        <f t="shared" ref="L69:O69" si="163">K69*L$1</f>
        <v>215.32342970476165</v>
      </c>
      <c r="M69" s="208">
        <f t="shared" si="163"/>
        <v>217.69198743151401</v>
      </c>
      <c r="N69" s="208">
        <f t="shared" si="163"/>
        <v>222.72763848477979</v>
      </c>
      <c r="O69" s="208">
        <f t="shared" si="163"/>
        <v>230.24972387007904</v>
      </c>
      <c r="Q69" s="207">
        <f>J69-C69</f>
        <v>96.716109833546668</v>
      </c>
      <c r="R69" s="208">
        <f>Q69*R$1</f>
        <v>96.716109833546668</v>
      </c>
      <c r="S69" s="208">
        <f t="shared" ref="S69" si="164">R69*S$1</f>
        <v>96.716109833546668</v>
      </c>
      <c r="T69" s="208">
        <f t="shared" ref="T69" si="165">S69*T$1</f>
        <v>97.779987041715671</v>
      </c>
      <c r="U69" s="208">
        <f t="shared" ref="U69" si="166">T69*U$1</f>
        <v>100.04183370196463</v>
      </c>
      <c r="V69" s="208">
        <f t="shared" ref="V69" si="167">U69*V$1</f>
        <v>103.4205038137097</v>
      </c>
    </row>
    <row r="70" spans="1:22" x14ac:dyDescent="0.25">
      <c r="B70" s="206" t="s">
        <v>111</v>
      </c>
      <c r="C70" s="207">
        <f>'Proposed price'!I11</f>
        <v>19.732436288346317</v>
      </c>
      <c r="D70" s="208">
        <f>C70</f>
        <v>19.732436288346317</v>
      </c>
      <c r="E70" s="208">
        <f t="shared" ref="E70:H71" si="168">D70</f>
        <v>19.732436288346317</v>
      </c>
      <c r="F70" s="208">
        <f t="shared" si="168"/>
        <v>19.732436288346317</v>
      </c>
      <c r="G70" s="208">
        <f t="shared" si="168"/>
        <v>19.732436288346317</v>
      </c>
      <c r="H70" s="208">
        <f t="shared" si="168"/>
        <v>19.732436288346317</v>
      </c>
      <c r="J70" s="207">
        <f>'Proposed price'!I24</f>
        <v>19.732436288346317</v>
      </c>
      <c r="K70" s="208">
        <f>J70</f>
        <v>19.732436288346317</v>
      </c>
      <c r="L70" s="208">
        <f t="shared" ref="L70:O71" si="169">K70</f>
        <v>19.732436288346317</v>
      </c>
      <c r="M70" s="208">
        <f t="shared" si="169"/>
        <v>19.732436288346317</v>
      </c>
      <c r="N70" s="208">
        <f t="shared" si="169"/>
        <v>19.732436288346317</v>
      </c>
      <c r="O70" s="208">
        <f t="shared" si="169"/>
        <v>19.732436288346317</v>
      </c>
      <c r="Q70" s="207">
        <f t="shared" ref="Q70:Q76" si="170">J70-C70</f>
        <v>0</v>
      </c>
      <c r="R70" s="208">
        <f>Q70</f>
        <v>0</v>
      </c>
      <c r="S70" s="208">
        <f t="shared" ref="S70:S71" si="171">R70</f>
        <v>0</v>
      </c>
      <c r="T70" s="208">
        <f t="shared" ref="T70:T71" si="172">S70</f>
        <v>0</v>
      </c>
      <c r="U70" s="208">
        <f t="shared" ref="U70:U71" si="173">T70</f>
        <v>0</v>
      </c>
      <c r="V70" s="208">
        <f t="shared" ref="V70:V71" si="174">U70</f>
        <v>0</v>
      </c>
    </row>
    <row r="71" spans="1:22" x14ac:dyDescent="0.25">
      <c r="B71" s="206" t="s">
        <v>112</v>
      </c>
      <c r="C71" s="207">
        <f>'Proposed price'!J11</f>
        <v>0</v>
      </c>
      <c r="D71" s="208">
        <f>C71</f>
        <v>0</v>
      </c>
      <c r="E71" s="208">
        <f t="shared" si="168"/>
        <v>0</v>
      </c>
      <c r="F71" s="208">
        <f t="shared" si="168"/>
        <v>0</v>
      </c>
      <c r="G71" s="208">
        <f t="shared" si="168"/>
        <v>0</v>
      </c>
      <c r="H71" s="208">
        <f t="shared" si="168"/>
        <v>0</v>
      </c>
      <c r="J71" s="207">
        <f>'Proposed price'!J24</f>
        <v>0</v>
      </c>
      <c r="K71" s="208">
        <f>J71</f>
        <v>0</v>
      </c>
      <c r="L71" s="208">
        <f t="shared" si="169"/>
        <v>0</v>
      </c>
      <c r="M71" s="208">
        <f t="shared" si="169"/>
        <v>0</v>
      </c>
      <c r="N71" s="208">
        <f t="shared" si="169"/>
        <v>0</v>
      </c>
      <c r="O71" s="208">
        <f t="shared" si="169"/>
        <v>0</v>
      </c>
      <c r="Q71" s="207">
        <f t="shared" si="170"/>
        <v>0</v>
      </c>
      <c r="R71" s="208">
        <f>Q71</f>
        <v>0</v>
      </c>
      <c r="S71" s="208">
        <f t="shared" si="171"/>
        <v>0</v>
      </c>
      <c r="T71" s="208">
        <f t="shared" si="172"/>
        <v>0</v>
      </c>
      <c r="U71" s="208">
        <f t="shared" si="173"/>
        <v>0</v>
      </c>
      <c r="V71" s="208">
        <f t="shared" si="174"/>
        <v>0</v>
      </c>
    </row>
    <row r="72" spans="1:22" x14ac:dyDescent="0.25">
      <c r="B72" s="209" t="s">
        <v>148</v>
      </c>
      <c r="C72" s="239">
        <f>'Proposed price'!M11</f>
        <v>138.33975615956129</v>
      </c>
      <c r="D72" s="197">
        <f>SUM(D69:D71)</f>
        <v>138.33975615956129</v>
      </c>
      <c r="E72" s="197">
        <f t="shared" ref="E72:H72" si="175">SUM(E69:E71)</f>
        <v>138.33975615956129</v>
      </c>
      <c r="F72" s="197">
        <f t="shared" si="175"/>
        <v>139.64443667814464</v>
      </c>
      <c r="G72" s="197">
        <f t="shared" si="175"/>
        <v>142.41824107116145</v>
      </c>
      <c r="H72" s="197">
        <f t="shared" si="175"/>
        <v>146.56165634471563</v>
      </c>
      <c r="I72" s="175"/>
      <c r="J72" s="240">
        <f>'Proposed price'!M24</f>
        <v>235.05586599310797</v>
      </c>
      <c r="K72" s="241">
        <f>SUM(K69:K71)</f>
        <v>235.05586599310797</v>
      </c>
      <c r="L72" s="241">
        <f t="shared" ref="L72:O72" si="176">SUM(L69:L71)</f>
        <v>235.05586599310797</v>
      </c>
      <c r="M72" s="241">
        <f t="shared" si="176"/>
        <v>237.42442371986033</v>
      </c>
      <c r="N72" s="241">
        <f t="shared" si="176"/>
        <v>242.46007477312611</v>
      </c>
      <c r="O72" s="241">
        <f t="shared" si="176"/>
        <v>249.98216015842536</v>
      </c>
      <c r="P72" s="175"/>
      <c r="Q72" s="240">
        <f t="shared" si="170"/>
        <v>96.716109833546682</v>
      </c>
      <c r="R72" s="241">
        <f>SUM(R69:R71)</f>
        <v>96.716109833546668</v>
      </c>
      <c r="S72" s="241">
        <f t="shared" ref="S72" si="177">SUM(S69:S71)</f>
        <v>96.716109833546668</v>
      </c>
      <c r="T72" s="241">
        <f t="shared" ref="T72" si="178">SUM(T69:T71)</f>
        <v>97.779987041715671</v>
      </c>
      <c r="U72" s="241">
        <f t="shared" ref="U72" si="179">SUM(U69:U71)</f>
        <v>100.04183370196463</v>
      </c>
      <c r="V72" s="241">
        <f t="shared" ref="V72" si="180">SUM(V69:V71)</f>
        <v>103.4205038137097</v>
      </c>
    </row>
    <row r="73" spans="1:22" x14ac:dyDescent="0.25">
      <c r="B73" s="206" t="s">
        <v>116</v>
      </c>
      <c r="C73" s="207">
        <f>'Proposed price'!N11</f>
        <v>64.45617382547924</v>
      </c>
      <c r="D73" s="208">
        <f>D72*D$3</f>
        <v>64.45617382547924</v>
      </c>
      <c r="E73" s="208">
        <f t="shared" ref="E73:H73" si="181">E72*E$3</f>
        <v>64.45617382547924</v>
      </c>
      <c r="F73" s="208">
        <f t="shared" si="181"/>
        <v>65.064059198614714</v>
      </c>
      <c r="G73" s="208">
        <f t="shared" si="181"/>
        <v>66.356448480463342</v>
      </c>
      <c r="H73" s="208">
        <f t="shared" si="181"/>
        <v>68.286975918977234</v>
      </c>
      <c r="J73" s="207">
        <f>'Proposed price'!N24</f>
        <v>109.51878315930645</v>
      </c>
      <c r="K73" s="208">
        <f>K72*K$3</f>
        <v>109.51878315930645</v>
      </c>
      <c r="L73" s="208">
        <f t="shared" ref="L73:O73" si="182">L72*L$3</f>
        <v>109.51878315930645</v>
      </c>
      <c r="M73" s="208">
        <f t="shared" si="182"/>
        <v>110.62235723511402</v>
      </c>
      <c r="N73" s="208">
        <f t="shared" si="182"/>
        <v>112.96860106714296</v>
      </c>
      <c r="O73" s="208">
        <f t="shared" si="182"/>
        <v>116.47334082225518</v>
      </c>
      <c r="Q73" s="207">
        <f t="shared" si="170"/>
        <v>45.062609333827211</v>
      </c>
      <c r="R73" s="208">
        <f>R72*R$3</f>
        <v>45.062609333827204</v>
      </c>
      <c r="S73" s="208">
        <f t="shared" ref="S73" si="183">S72*S$3</f>
        <v>45.062609333827204</v>
      </c>
      <c r="T73" s="208">
        <f t="shared" ref="T73" si="184">T72*T$3</f>
        <v>45.558298036499302</v>
      </c>
      <c r="U73" s="208">
        <f t="shared" ref="U73" si="185">U72*U$3</f>
        <v>46.612152586679599</v>
      </c>
      <c r="V73" s="208">
        <f t="shared" ref="V73" si="186">V72*V$3</f>
        <v>48.186364903277934</v>
      </c>
    </row>
    <row r="74" spans="1:22" x14ac:dyDescent="0.25">
      <c r="B74" s="206" t="s">
        <v>117</v>
      </c>
      <c r="C74" s="207">
        <f>'Proposed price'!O11</f>
        <v>22.18659601886797</v>
      </c>
      <c r="D74" s="208">
        <f>D72*D$4</f>
        <v>22.18659601886797</v>
      </c>
      <c r="E74" s="208">
        <f t="shared" ref="E74:H74" si="187">E72*E$4</f>
        <v>22.18659601886797</v>
      </c>
      <c r="F74" s="208">
        <f t="shared" si="187"/>
        <v>22.395837529790608</v>
      </c>
      <c r="G74" s="208">
        <f t="shared" si="187"/>
        <v>22.840693579936044</v>
      </c>
      <c r="H74" s="208">
        <f t="shared" si="187"/>
        <v>23.50520451565523</v>
      </c>
      <c r="J74" s="207">
        <f>'Proposed price'!O24</f>
        <v>37.697692156108474</v>
      </c>
      <c r="K74" s="208">
        <f>K72*K$4</f>
        <v>37.697692156108474</v>
      </c>
      <c r="L74" s="208">
        <f t="shared" ref="L74:O74" si="188">L72*L$4</f>
        <v>37.697692156108474</v>
      </c>
      <c r="M74" s="208">
        <f t="shared" si="188"/>
        <v>38.077555724540758</v>
      </c>
      <c r="N74" s="208">
        <f t="shared" si="188"/>
        <v>38.88516127996715</v>
      </c>
      <c r="O74" s="208">
        <f t="shared" si="188"/>
        <v>40.091535169122885</v>
      </c>
      <c r="Q74" s="207">
        <f t="shared" si="170"/>
        <v>15.511096137240504</v>
      </c>
      <c r="R74" s="208">
        <f>R72*R$4</f>
        <v>15.5110961372405</v>
      </c>
      <c r="S74" s="208">
        <f t="shared" ref="S74:V74" si="189">S72*S$4</f>
        <v>15.5110961372405</v>
      </c>
      <c r="T74" s="208">
        <f t="shared" si="189"/>
        <v>15.681718194750145</v>
      </c>
      <c r="U74" s="208">
        <f t="shared" si="189"/>
        <v>16.044467700031106</v>
      </c>
      <c r="V74" s="208">
        <f t="shared" si="189"/>
        <v>16.586330653467648</v>
      </c>
    </row>
    <row r="75" spans="1:22" x14ac:dyDescent="0.25">
      <c r="B75" s="206" t="s">
        <v>118</v>
      </c>
      <c r="C75" s="207">
        <f>'Proposed price'!P11</f>
        <v>14.268391799167876</v>
      </c>
      <c r="D75" s="208">
        <f>SUM(D72:D74)*D$5</f>
        <v>14.268391799167876</v>
      </c>
      <c r="E75" s="208">
        <f t="shared" ref="E75:H75" si="190">SUM(E72:E74)*E$5</f>
        <v>14.268391799167876</v>
      </c>
      <c r="F75" s="208">
        <f t="shared" si="190"/>
        <v>14.402956824643399</v>
      </c>
      <c r="G75" s="208">
        <f t="shared" si="190"/>
        <v>14.689047598203588</v>
      </c>
      <c r="H75" s="208">
        <f t="shared" si="190"/>
        <v>15.116400328546259</v>
      </c>
      <c r="J75" s="207">
        <f>'Proposed price'!P24</f>
        <v>24.243711885786521</v>
      </c>
      <c r="K75" s="208">
        <f>SUM(K72:K74)*K$5</f>
        <v>24.243711885786521</v>
      </c>
      <c r="L75" s="208">
        <f t="shared" ref="L75:O75" si="191">SUM(L72:L74)*L$5</f>
        <v>24.243711885786521</v>
      </c>
      <c r="M75" s="208">
        <f t="shared" si="191"/>
        <v>24.488005432214848</v>
      </c>
      <c r="N75" s="208">
        <f t="shared" si="191"/>
        <v>25.007383550165386</v>
      </c>
      <c r="O75" s="208">
        <f t="shared" si="191"/>
        <v>25.783213032620534</v>
      </c>
      <c r="Q75" s="207">
        <f t="shared" si="170"/>
        <v>9.9753200866186447</v>
      </c>
      <c r="R75" s="208">
        <f>SUM(R72:R74)*R$5</f>
        <v>9.9753200866186429</v>
      </c>
      <c r="S75" s="208">
        <f t="shared" ref="S75:V75" si="192">SUM(S72:S74)*S$5</f>
        <v>9.9753200866186429</v>
      </c>
      <c r="T75" s="208">
        <f t="shared" si="192"/>
        <v>10.085048607571448</v>
      </c>
      <c r="U75" s="208">
        <f t="shared" si="192"/>
        <v>10.318335951961791</v>
      </c>
      <c r="V75" s="208">
        <f t="shared" si="192"/>
        <v>10.666812704074275</v>
      </c>
    </row>
    <row r="76" spans="1:22" x14ac:dyDescent="0.25">
      <c r="B76" s="210" t="s">
        <v>153</v>
      </c>
      <c r="C76" s="211">
        <f>'Proposed price'!Q11</f>
        <v>239.25091780307636</v>
      </c>
      <c r="D76" s="212">
        <f>SUM(D72:D75)</f>
        <v>239.25091780307636</v>
      </c>
      <c r="E76" s="212">
        <f t="shared" ref="E76:H76" si="193">SUM(E72:E75)</f>
        <v>239.25091780307636</v>
      </c>
      <c r="F76" s="212">
        <f t="shared" si="193"/>
        <v>241.50729023119337</v>
      </c>
      <c r="G76" s="212">
        <f t="shared" si="193"/>
        <v>246.30443072976442</v>
      </c>
      <c r="H76" s="212">
        <f t="shared" si="193"/>
        <v>253.47023710789438</v>
      </c>
      <c r="J76" s="207">
        <f>'Proposed price'!Q24</f>
        <v>406.51605319430939</v>
      </c>
      <c r="K76" s="208">
        <f>SUM(K72:K75)</f>
        <v>406.51605319430939</v>
      </c>
      <c r="L76" s="208">
        <f t="shared" ref="L76:O76" si="194">SUM(L72:L75)</f>
        <v>406.51605319430939</v>
      </c>
      <c r="M76" s="208">
        <f t="shared" si="194"/>
        <v>410.6123421117299</v>
      </c>
      <c r="N76" s="208">
        <f t="shared" si="194"/>
        <v>419.32122067040166</v>
      </c>
      <c r="O76" s="208">
        <f t="shared" si="194"/>
        <v>432.33024918242398</v>
      </c>
      <c r="Q76" s="207">
        <f t="shared" si="170"/>
        <v>167.26513539123303</v>
      </c>
      <c r="R76" s="212">
        <f>SUM(R72:R75)</f>
        <v>167.265135391233</v>
      </c>
      <c r="S76" s="212">
        <f t="shared" ref="S76" si="195">SUM(S72:S75)</f>
        <v>167.265135391233</v>
      </c>
      <c r="T76" s="212">
        <f t="shared" ref="T76" si="196">SUM(T72:T75)</f>
        <v>169.10505188053656</v>
      </c>
      <c r="U76" s="212">
        <f t="shared" ref="U76" si="197">SUM(U72:U75)</f>
        <v>173.01678994063712</v>
      </c>
      <c r="V76" s="212">
        <f t="shared" ref="V76" si="198">SUM(V72:V75)</f>
        <v>178.86001207452955</v>
      </c>
    </row>
    <row r="77" spans="1:22" x14ac:dyDescent="0.25">
      <c r="B77" s="213" t="s">
        <v>156</v>
      </c>
      <c r="C77" s="208"/>
      <c r="D77" s="214">
        <f>'Forecast Revenue - Costs'!D20</f>
        <v>4</v>
      </c>
      <c r="E77" s="214">
        <f>'Forecast Revenue - Costs'!E20</f>
        <v>4</v>
      </c>
      <c r="F77" s="214">
        <f>'Forecast Revenue - Costs'!F20</f>
        <v>4</v>
      </c>
      <c r="G77" s="214">
        <f>'Forecast Revenue - Costs'!G20</f>
        <v>4</v>
      </c>
      <c r="H77" s="214">
        <f>'Forecast Revenue - Costs'!H20</f>
        <v>4</v>
      </c>
      <c r="J77" s="211"/>
      <c r="K77" s="214">
        <f>'Forecast Revenue - Costs'!D20</f>
        <v>4</v>
      </c>
      <c r="L77" s="214">
        <f>'Forecast Revenue - Costs'!E20</f>
        <v>4</v>
      </c>
      <c r="M77" s="214">
        <f>'Forecast Revenue - Costs'!F20</f>
        <v>4</v>
      </c>
      <c r="N77" s="214">
        <f>'Forecast Revenue - Costs'!G20</f>
        <v>4</v>
      </c>
      <c r="O77" s="214">
        <f>'Forecast Revenue - Costs'!H20</f>
        <v>4</v>
      </c>
      <c r="Q77" s="211"/>
      <c r="R77" s="214">
        <f>'Forecast Revenue - Costs'!D20</f>
        <v>4</v>
      </c>
      <c r="S77" s="214">
        <f>'Forecast Revenue - Costs'!E20</f>
        <v>4</v>
      </c>
      <c r="T77" s="214">
        <f>'Forecast Revenue - Costs'!F20</f>
        <v>4</v>
      </c>
      <c r="U77" s="214">
        <f>'Forecast Revenue - Costs'!G20</f>
        <v>4</v>
      </c>
      <c r="V77" s="214">
        <f>'Forecast Revenue - Costs'!H20</f>
        <v>4</v>
      </c>
    </row>
    <row r="78" spans="1:22" x14ac:dyDescent="0.25">
      <c r="B78" s="199" t="s">
        <v>155</v>
      </c>
      <c r="C78" s="197"/>
      <c r="D78" s="198">
        <f>D76*D77</f>
        <v>957.00367121230545</v>
      </c>
      <c r="E78" s="198">
        <f t="shared" ref="E78:H78" si="199">E76*E77</f>
        <v>957.00367121230545</v>
      </c>
      <c r="F78" s="198">
        <f t="shared" si="199"/>
        <v>966.02916092477346</v>
      </c>
      <c r="G78" s="198">
        <f t="shared" si="199"/>
        <v>985.21772291905768</v>
      </c>
      <c r="H78" s="198">
        <f t="shared" si="199"/>
        <v>1013.8809484315775</v>
      </c>
      <c r="J78" s="235"/>
      <c r="K78" s="236">
        <f>K77*K76</f>
        <v>1626.0642127772376</v>
      </c>
      <c r="L78" s="236">
        <f t="shared" ref="L78:O78" si="200">L77*L76</f>
        <v>1626.0642127772376</v>
      </c>
      <c r="M78" s="236">
        <f t="shared" si="200"/>
        <v>1642.4493684469196</v>
      </c>
      <c r="N78" s="236">
        <f t="shared" si="200"/>
        <v>1677.2848826816066</v>
      </c>
      <c r="O78" s="236">
        <f t="shared" si="200"/>
        <v>1729.3209967296959</v>
      </c>
      <c r="Q78" s="235"/>
      <c r="R78" s="236">
        <f>R77*R76</f>
        <v>669.06054156493201</v>
      </c>
      <c r="S78" s="236">
        <f t="shared" ref="S78:V78" si="201">S77*S76</f>
        <v>669.06054156493201</v>
      </c>
      <c r="T78" s="236">
        <f t="shared" si="201"/>
        <v>676.42020752214626</v>
      </c>
      <c r="U78" s="236">
        <f t="shared" si="201"/>
        <v>692.0671597625485</v>
      </c>
      <c r="V78" s="236">
        <f t="shared" si="201"/>
        <v>715.4400482981182</v>
      </c>
    </row>
    <row r="80" spans="1:22" x14ac:dyDescent="0.25">
      <c r="A80" s="281"/>
      <c r="B80" s="203" t="s">
        <v>159</v>
      </c>
      <c r="C80" s="179"/>
      <c r="D80" s="278" t="s">
        <v>141</v>
      </c>
      <c r="E80" s="279"/>
      <c r="F80" s="279"/>
      <c r="G80" s="279"/>
      <c r="H80" s="279"/>
      <c r="J80" s="179"/>
      <c r="K80" s="278" t="s">
        <v>141</v>
      </c>
      <c r="L80" s="279"/>
      <c r="M80" s="279"/>
      <c r="N80" s="279"/>
      <c r="O80" s="279"/>
      <c r="Q80" s="179"/>
      <c r="R80" s="278" t="s">
        <v>141</v>
      </c>
      <c r="S80" s="279"/>
      <c r="T80" s="279"/>
      <c r="U80" s="279"/>
      <c r="V80" s="279"/>
    </row>
    <row r="81" spans="1:22" x14ac:dyDescent="0.25">
      <c r="A81" s="281"/>
      <c r="B81" s="206" t="s">
        <v>110</v>
      </c>
      <c r="C81" s="207"/>
      <c r="D81" s="208">
        <f>C81*D$1</f>
        <v>0</v>
      </c>
      <c r="E81" s="208">
        <f t="shared" ref="E81:H81" si="202">D81*E$1</f>
        <v>0</v>
      </c>
      <c r="F81" s="208">
        <f t="shared" si="202"/>
        <v>0</v>
      </c>
      <c r="G81" s="208">
        <f t="shared" si="202"/>
        <v>0</v>
      </c>
      <c r="H81" s="208">
        <f t="shared" si="202"/>
        <v>0</v>
      </c>
      <c r="J81" s="207"/>
      <c r="K81" s="208">
        <f>J81*K$1</f>
        <v>0</v>
      </c>
      <c r="L81" s="208">
        <f t="shared" ref="L81" si="203">K81*L$1</f>
        <v>0</v>
      </c>
      <c r="M81" s="208">
        <f t="shared" ref="M81" si="204">L81*M$1</f>
        <v>0</v>
      </c>
      <c r="N81" s="208">
        <f t="shared" ref="N81" si="205">M81*N$1</f>
        <v>0</v>
      </c>
      <c r="O81" s="208">
        <f t="shared" ref="O81" si="206">N81*O$1</f>
        <v>0</v>
      </c>
      <c r="Q81" s="207"/>
      <c r="R81" s="208">
        <f>Q81*R$1</f>
        <v>0</v>
      </c>
      <c r="S81" s="208">
        <f t="shared" ref="S81" si="207">R81*S$1</f>
        <v>0</v>
      </c>
      <c r="T81" s="208">
        <f t="shared" ref="T81" si="208">S81*T$1</f>
        <v>0</v>
      </c>
      <c r="U81" s="208">
        <f t="shared" ref="U81" si="209">T81*U$1</f>
        <v>0</v>
      </c>
      <c r="V81" s="208">
        <f t="shared" ref="V81" si="210">U81*V$1</f>
        <v>0</v>
      </c>
    </row>
    <row r="82" spans="1:22" x14ac:dyDescent="0.25">
      <c r="A82" s="281"/>
      <c r="B82" s="206" t="s">
        <v>111</v>
      </c>
      <c r="C82" s="207"/>
      <c r="D82" s="208">
        <f>C82</f>
        <v>0</v>
      </c>
      <c r="E82" s="208">
        <f t="shared" ref="E82:H83" si="211">D82</f>
        <v>0</v>
      </c>
      <c r="F82" s="208">
        <f t="shared" si="211"/>
        <v>0</v>
      </c>
      <c r="G82" s="208">
        <f t="shared" si="211"/>
        <v>0</v>
      </c>
      <c r="H82" s="208">
        <f t="shared" si="211"/>
        <v>0</v>
      </c>
      <c r="J82" s="207"/>
      <c r="K82" s="208">
        <f>J82</f>
        <v>0</v>
      </c>
      <c r="L82" s="208">
        <f t="shared" ref="L82:L83" si="212">K82</f>
        <v>0</v>
      </c>
      <c r="M82" s="208">
        <f t="shared" ref="M82:M83" si="213">L82</f>
        <v>0</v>
      </c>
      <c r="N82" s="208">
        <f t="shared" ref="N82:N83" si="214">M82</f>
        <v>0</v>
      </c>
      <c r="O82" s="208">
        <f t="shared" ref="O82:O83" si="215">N82</f>
        <v>0</v>
      </c>
      <c r="Q82" s="207"/>
      <c r="R82" s="208">
        <f>Q82</f>
        <v>0</v>
      </c>
      <c r="S82" s="208">
        <f t="shared" ref="S82:S83" si="216">R82</f>
        <v>0</v>
      </c>
      <c r="T82" s="208">
        <f t="shared" ref="T82:T83" si="217">S82</f>
        <v>0</v>
      </c>
      <c r="U82" s="208">
        <f t="shared" ref="U82:U83" si="218">T82</f>
        <v>0</v>
      </c>
      <c r="V82" s="208">
        <f t="shared" ref="V82:V83" si="219">U82</f>
        <v>0</v>
      </c>
    </row>
    <row r="83" spans="1:22" x14ac:dyDescent="0.25">
      <c r="A83" s="281"/>
      <c r="B83" s="206" t="s">
        <v>112</v>
      </c>
      <c r="C83" s="207"/>
      <c r="D83" s="208">
        <v>0</v>
      </c>
      <c r="E83" s="208">
        <f t="shared" si="211"/>
        <v>0</v>
      </c>
      <c r="F83" s="208">
        <f t="shared" si="211"/>
        <v>0</v>
      </c>
      <c r="G83" s="208">
        <f t="shared" si="211"/>
        <v>0</v>
      </c>
      <c r="H83" s="208">
        <f t="shared" si="211"/>
        <v>0</v>
      </c>
      <c r="J83" s="207"/>
      <c r="K83" s="208">
        <v>0</v>
      </c>
      <c r="L83" s="208">
        <f t="shared" si="212"/>
        <v>0</v>
      </c>
      <c r="M83" s="208">
        <f t="shared" si="213"/>
        <v>0</v>
      </c>
      <c r="N83" s="208">
        <f t="shared" si="214"/>
        <v>0</v>
      </c>
      <c r="O83" s="208">
        <f t="shared" si="215"/>
        <v>0</v>
      </c>
      <c r="Q83" s="207"/>
      <c r="R83" s="208">
        <v>0</v>
      </c>
      <c r="S83" s="208">
        <f t="shared" si="216"/>
        <v>0</v>
      </c>
      <c r="T83" s="208">
        <f t="shared" si="217"/>
        <v>0</v>
      </c>
      <c r="U83" s="208">
        <f t="shared" si="218"/>
        <v>0</v>
      </c>
      <c r="V83" s="208">
        <f t="shared" si="219"/>
        <v>0</v>
      </c>
    </row>
    <row r="84" spans="1:22" x14ac:dyDescent="0.25">
      <c r="A84" s="281"/>
      <c r="B84" s="203" t="s">
        <v>147</v>
      </c>
      <c r="C84" s="179"/>
      <c r="D84" s="208">
        <f>'Forecast Revenue - Costs'!D21</f>
        <v>1000</v>
      </c>
      <c r="E84" s="208">
        <f>'Forecast Revenue - Costs'!E21</f>
        <v>1000</v>
      </c>
      <c r="F84" s="208">
        <f>'Forecast Revenue - Costs'!F21</f>
        <v>1000</v>
      </c>
      <c r="G84" s="208">
        <f>'Forecast Revenue - Costs'!G21</f>
        <v>1000</v>
      </c>
      <c r="H84" s="208">
        <f>'Forecast Revenue - Costs'!H21</f>
        <v>1000</v>
      </c>
      <c r="J84" s="179"/>
      <c r="K84" s="208">
        <f>'Forecast Revenue - Costs'!D21</f>
        <v>1000</v>
      </c>
      <c r="L84" s="208">
        <f>'Forecast Revenue - Costs'!E21</f>
        <v>1000</v>
      </c>
      <c r="M84" s="208">
        <f>'Forecast Revenue - Costs'!F21</f>
        <v>1000</v>
      </c>
      <c r="N84" s="208">
        <f>'Forecast Revenue - Costs'!G21</f>
        <v>1000</v>
      </c>
      <c r="O84" s="208">
        <f>'Forecast Revenue - Costs'!H21</f>
        <v>1000</v>
      </c>
      <c r="Q84" s="179"/>
      <c r="R84" s="208">
        <f>'Forecast Revenue - Costs'!D21</f>
        <v>1000</v>
      </c>
      <c r="S84" s="208">
        <f>'Forecast Revenue - Costs'!E21</f>
        <v>1000</v>
      </c>
      <c r="T84" s="208">
        <f>'Forecast Revenue - Costs'!F21</f>
        <v>1000</v>
      </c>
      <c r="U84" s="208">
        <f>'Forecast Revenue - Costs'!G21</f>
        <v>1000</v>
      </c>
      <c r="V84" s="208">
        <f>'Forecast Revenue - Costs'!H21</f>
        <v>1000</v>
      </c>
    </row>
    <row r="85" spans="1:22" x14ac:dyDescent="0.25">
      <c r="A85" s="281"/>
      <c r="B85" s="209" t="s">
        <v>148</v>
      </c>
      <c r="C85" s="239"/>
      <c r="D85" s="197">
        <f>SUM(D81:D84)</f>
        <v>1000</v>
      </c>
      <c r="E85" s="197">
        <f t="shared" ref="E85:H85" si="220">SUM(E81:E84)</f>
        <v>1000</v>
      </c>
      <c r="F85" s="197">
        <f t="shared" si="220"/>
        <v>1000</v>
      </c>
      <c r="G85" s="197">
        <f t="shared" si="220"/>
        <v>1000</v>
      </c>
      <c r="H85" s="197">
        <f t="shared" si="220"/>
        <v>1000</v>
      </c>
      <c r="I85" s="175"/>
      <c r="J85" s="239"/>
      <c r="K85" s="197">
        <f>SUM(K81:K84)</f>
        <v>1000</v>
      </c>
      <c r="L85" s="197">
        <f t="shared" ref="L85:O85" si="221">SUM(L81:L84)</f>
        <v>1000</v>
      </c>
      <c r="M85" s="197">
        <f t="shared" si="221"/>
        <v>1000</v>
      </c>
      <c r="N85" s="197">
        <f t="shared" si="221"/>
        <v>1000</v>
      </c>
      <c r="O85" s="197">
        <f t="shared" si="221"/>
        <v>1000</v>
      </c>
      <c r="P85" s="175"/>
      <c r="Q85" s="239"/>
      <c r="R85" s="197">
        <f>SUM(R81:R84)</f>
        <v>1000</v>
      </c>
      <c r="S85" s="197">
        <f t="shared" ref="S85:V85" si="222">SUM(S81:S84)</f>
        <v>1000</v>
      </c>
      <c r="T85" s="197">
        <f t="shared" si="222"/>
        <v>1000</v>
      </c>
      <c r="U85" s="197">
        <f t="shared" si="222"/>
        <v>1000</v>
      </c>
      <c r="V85" s="197">
        <f t="shared" si="222"/>
        <v>1000</v>
      </c>
    </row>
    <row r="86" spans="1:22" x14ac:dyDescent="0.25">
      <c r="A86" s="281"/>
      <c r="B86" s="206" t="s">
        <v>116</v>
      </c>
      <c r="C86" s="207"/>
      <c r="D86" s="208">
        <f>D85*D$3</f>
        <v>465.9266115167602</v>
      </c>
      <c r="E86" s="208">
        <f t="shared" ref="E86:H86" si="223">E85*E$3</f>
        <v>465.9266115167602</v>
      </c>
      <c r="F86" s="208">
        <f t="shared" si="223"/>
        <v>465.9266115167602</v>
      </c>
      <c r="G86" s="208">
        <f t="shared" si="223"/>
        <v>465.9266115167602</v>
      </c>
      <c r="H86" s="208">
        <f t="shared" si="223"/>
        <v>465.9266115167602</v>
      </c>
      <c r="J86" s="207"/>
      <c r="K86" s="208">
        <f>K85*K$3</f>
        <v>465.9266115167602</v>
      </c>
      <c r="L86" s="208">
        <f t="shared" ref="L86:O86" si="224">L85*L$3</f>
        <v>465.9266115167602</v>
      </c>
      <c r="M86" s="208">
        <f t="shared" si="224"/>
        <v>465.9266115167602</v>
      </c>
      <c r="N86" s="208">
        <f t="shared" si="224"/>
        <v>465.9266115167602</v>
      </c>
      <c r="O86" s="208">
        <f t="shared" si="224"/>
        <v>465.9266115167602</v>
      </c>
      <c r="Q86" s="207"/>
      <c r="R86" s="208">
        <f>R85*R$3</f>
        <v>465.9266115167602</v>
      </c>
      <c r="S86" s="208">
        <f t="shared" ref="S86:V86" si="225">S85*S$3</f>
        <v>465.9266115167602</v>
      </c>
      <c r="T86" s="208">
        <f t="shared" si="225"/>
        <v>465.9266115167602</v>
      </c>
      <c r="U86" s="208">
        <f t="shared" si="225"/>
        <v>465.9266115167602</v>
      </c>
      <c r="V86" s="208">
        <f t="shared" si="225"/>
        <v>465.9266115167602</v>
      </c>
    </row>
    <row r="87" spans="1:22" x14ac:dyDescent="0.25">
      <c r="A87" s="281"/>
      <c r="B87" s="206" t="s">
        <v>117</v>
      </c>
      <c r="C87" s="207"/>
      <c r="D87" s="208"/>
      <c r="E87" s="208"/>
      <c r="F87" s="208"/>
      <c r="G87" s="208"/>
      <c r="H87" s="208"/>
      <c r="J87" s="207"/>
      <c r="K87" s="208"/>
      <c r="L87" s="208"/>
      <c r="M87" s="208"/>
      <c r="N87" s="208"/>
      <c r="O87" s="208"/>
      <c r="Q87" s="207"/>
      <c r="R87" s="208"/>
      <c r="S87" s="208"/>
      <c r="T87" s="208"/>
      <c r="U87" s="208"/>
      <c r="V87" s="208"/>
    </row>
    <row r="88" spans="1:22" x14ac:dyDescent="0.25">
      <c r="A88" s="281"/>
      <c r="B88" s="206" t="s">
        <v>118</v>
      </c>
      <c r="C88" s="207"/>
      <c r="D88" s="208">
        <f>SUM(D85:D87)*D$5</f>
        <v>92.969065702392939</v>
      </c>
      <c r="E88" s="208">
        <f t="shared" ref="E88:H88" si="226">SUM(E85:E87)*E$5</f>
        <v>92.969065702392939</v>
      </c>
      <c r="F88" s="208">
        <f t="shared" si="226"/>
        <v>92.969065702392939</v>
      </c>
      <c r="G88" s="208">
        <f t="shared" si="226"/>
        <v>92.969065702392939</v>
      </c>
      <c r="H88" s="208">
        <f t="shared" si="226"/>
        <v>92.969065702392939</v>
      </c>
      <c r="J88" s="207"/>
      <c r="K88" s="208">
        <f>SUM(K85:K87)*K$5</f>
        <v>92.969065702392939</v>
      </c>
      <c r="L88" s="208">
        <f t="shared" ref="L88:O88" si="227">SUM(L85:L87)*L$5</f>
        <v>92.969065702392939</v>
      </c>
      <c r="M88" s="208">
        <f t="shared" si="227"/>
        <v>92.969065702392939</v>
      </c>
      <c r="N88" s="208">
        <f t="shared" si="227"/>
        <v>92.969065702392939</v>
      </c>
      <c r="O88" s="208">
        <f t="shared" si="227"/>
        <v>92.969065702392939</v>
      </c>
      <c r="Q88" s="207"/>
      <c r="R88" s="208">
        <f>SUM(R85:R87)*R$5</f>
        <v>92.969065702392939</v>
      </c>
      <c r="S88" s="208">
        <f t="shared" ref="S88:V88" si="228">SUM(S85:S87)*S$5</f>
        <v>92.969065702392939</v>
      </c>
      <c r="T88" s="208">
        <f t="shared" si="228"/>
        <v>92.969065702392939</v>
      </c>
      <c r="U88" s="208">
        <f t="shared" si="228"/>
        <v>92.969065702392939</v>
      </c>
      <c r="V88" s="208">
        <f t="shared" si="228"/>
        <v>92.969065702392939</v>
      </c>
    </row>
    <row r="89" spans="1:22" x14ac:dyDescent="0.25">
      <c r="A89" s="281"/>
      <c r="B89" s="210" t="s">
        <v>153</v>
      </c>
      <c r="C89" s="211"/>
      <c r="D89" s="212">
        <f>SUM(D85:D88)</f>
        <v>1558.8956772191532</v>
      </c>
      <c r="E89" s="212">
        <f t="shared" ref="E89:H89" si="229">SUM(E85:E88)</f>
        <v>1558.8956772191532</v>
      </c>
      <c r="F89" s="212">
        <f t="shared" si="229"/>
        <v>1558.8956772191532</v>
      </c>
      <c r="G89" s="212">
        <f t="shared" si="229"/>
        <v>1558.8956772191532</v>
      </c>
      <c r="H89" s="212">
        <f t="shared" si="229"/>
        <v>1558.8956772191532</v>
      </c>
      <c r="J89" s="211"/>
      <c r="K89" s="212">
        <f>SUM(K85:K88)</f>
        <v>1558.8956772191532</v>
      </c>
      <c r="L89" s="212">
        <f t="shared" ref="L89:O89" si="230">SUM(L85:L88)</f>
        <v>1558.8956772191532</v>
      </c>
      <c r="M89" s="212">
        <f t="shared" si="230"/>
        <v>1558.8956772191532</v>
      </c>
      <c r="N89" s="212">
        <f t="shared" si="230"/>
        <v>1558.8956772191532</v>
      </c>
      <c r="O89" s="212">
        <f t="shared" si="230"/>
        <v>1558.8956772191532</v>
      </c>
      <c r="Q89" s="211"/>
      <c r="R89" s="212">
        <f>SUM(R85:R88)</f>
        <v>1558.8956772191532</v>
      </c>
      <c r="S89" s="212">
        <f t="shared" ref="S89:V89" si="231">SUM(S85:S88)</f>
        <v>1558.8956772191532</v>
      </c>
      <c r="T89" s="212">
        <f t="shared" si="231"/>
        <v>1558.8956772191532</v>
      </c>
      <c r="U89" s="212">
        <f t="shared" si="231"/>
        <v>1558.8956772191532</v>
      </c>
      <c r="V89" s="212">
        <f t="shared" si="231"/>
        <v>1558.8956772191532</v>
      </c>
    </row>
    <row r="90" spans="1:22" x14ac:dyDescent="0.25">
      <c r="A90" s="281"/>
      <c r="B90" s="213" t="s">
        <v>160</v>
      </c>
      <c r="C90" s="208"/>
      <c r="D90" s="214"/>
      <c r="E90" s="214"/>
      <c r="F90" s="214"/>
      <c r="G90" s="214"/>
      <c r="H90" s="214"/>
      <c r="J90" s="208"/>
      <c r="K90" s="214"/>
      <c r="L90" s="214"/>
      <c r="M90" s="214"/>
      <c r="N90" s="214"/>
      <c r="O90" s="214"/>
      <c r="Q90" s="208"/>
      <c r="R90" s="214"/>
      <c r="S90" s="214"/>
      <c r="T90" s="214"/>
      <c r="U90" s="214"/>
      <c r="V90" s="214"/>
    </row>
    <row r="91" spans="1:22" x14ac:dyDescent="0.25">
      <c r="B91" s="209" t="s">
        <v>155</v>
      </c>
      <c r="C91" s="239"/>
      <c r="D91" s="197">
        <f>D89</f>
        <v>1558.8956772191532</v>
      </c>
      <c r="E91" s="197">
        <f t="shared" ref="E91:H91" si="232">E89</f>
        <v>1558.8956772191532</v>
      </c>
      <c r="F91" s="197">
        <f t="shared" si="232"/>
        <v>1558.8956772191532</v>
      </c>
      <c r="G91" s="197">
        <f t="shared" si="232"/>
        <v>1558.8956772191532</v>
      </c>
      <c r="H91" s="197">
        <f t="shared" si="232"/>
        <v>1558.8956772191532</v>
      </c>
      <c r="I91" s="175"/>
      <c r="J91" s="239"/>
      <c r="K91" s="197">
        <f>K89</f>
        <v>1558.8956772191532</v>
      </c>
      <c r="L91" s="197">
        <f t="shared" ref="L91:O91" si="233">L89</f>
        <v>1558.8956772191532</v>
      </c>
      <c r="M91" s="197">
        <f t="shared" si="233"/>
        <v>1558.8956772191532</v>
      </c>
      <c r="N91" s="197">
        <f t="shared" si="233"/>
        <v>1558.8956772191532</v>
      </c>
      <c r="O91" s="197">
        <f t="shared" si="233"/>
        <v>1558.8956772191532</v>
      </c>
      <c r="P91" s="175"/>
      <c r="Q91" s="239"/>
      <c r="R91" s="197">
        <f>R89</f>
        <v>1558.8956772191532</v>
      </c>
      <c r="S91" s="197">
        <f t="shared" ref="S91:V91" si="234">S89</f>
        <v>1558.8956772191532</v>
      </c>
      <c r="T91" s="197">
        <f t="shared" si="234"/>
        <v>1558.8956772191532</v>
      </c>
      <c r="U91" s="197">
        <f t="shared" si="234"/>
        <v>1558.8956772191532</v>
      </c>
      <c r="V91" s="197">
        <f t="shared" si="234"/>
        <v>1558.8956772191532</v>
      </c>
    </row>
  </sheetData>
  <mergeCells count="25">
    <mergeCell ref="R56:V56"/>
    <mergeCell ref="R68:V68"/>
    <mergeCell ref="D6:H6"/>
    <mergeCell ref="J6:O6"/>
    <mergeCell ref="D7:H7"/>
    <mergeCell ref="J7:O7"/>
    <mergeCell ref="D32:H32"/>
    <mergeCell ref="K32:O32"/>
    <mergeCell ref="D44:H44"/>
    <mergeCell ref="A9:A18"/>
    <mergeCell ref="K20:O20"/>
    <mergeCell ref="K80:O80"/>
    <mergeCell ref="Q6:V6"/>
    <mergeCell ref="Q7:V7"/>
    <mergeCell ref="R20:V20"/>
    <mergeCell ref="R32:V32"/>
    <mergeCell ref="R44:V44"/>
    <mergeCell ref="A80:A90"/>
    <mergeCell ref="D80:H80"/>
    <mergeCell ref="D56:H56"/>
    <mergeCell ref="K56:O56"/>
    <mergeCell ref="D68:H68"/>
    <mergeCell ref="K68:O68"/>
    <mergeCell ref="R80:V80"/>
    <mergeCell ref="K44:O44"/>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46"/>
  <sheetViews>
    <sheetView showGridLines="0" zoomScale="90" zoomScaleNormal="90" workbookViewId="0">
      <selection activeCell="B35" sqref="B35"/>
    </sheetView>
  </sheetViews>
  <sheetFormatPr defaultColWidth="9.140625" defaultRowHeight="15" x14ac:dyDescent="0.25"/>
  <cols>
    <col min="1" max="1" width="3.28515625" style="87" customWidth="1"/>
    <col min="2" max="2" width="76.42578125" style="87" customWidth="1"/>
    <col min="3" max="3" width="65.140625" style="87" customWidth="1"/>
    <col min="4" max="4" width="11.85546875" style="87" customWidth="1"/>
    <col min="5" max="8" width="11.28515625" style="87" customWidth="1"/>
    <col min="9" max="9" width="12.7109375" style="87" customWidth="1"/>
    <col min="10" max="16384" width="9.140625" style="87"/>
  </cols>
  <sheetData>
    <row r="2" spans="2:9" x14ac:dyDescent="0.25">
      <c r="B2" s="85" t="s">
        <v>47</v>
      </c>
      <c r="C2" s="86"/>
      <c r="D2" s="86"/>
      <c r="E2" s="86"/>
      <c r="F2" s="86"/>
      <c r="G2" s="86"/>
      <c r="H2" s="86"/>
      <c r="I2" s="86"/>
    </row>
    <row r="3" spans="2:9" x14ac:dyDescent="0.25">
      <c r="B3" s="88"/>
      <c r="C3" s="88"/>
      <c r="D3" s="88"/>
      <c r="E3" s="88"/>
      <c r="F3" s="88"/>
      <c r="G3" s="88"/>
      <c r="H3" s="88"/>
      <c r="I3" s="88"/>
    </row>
    <row r="4" spans="2:9" x14ac:dyDescent="0.25">
      <c r="B4" s="89" t="s">
        <v>87</v>
      </c>
      <c r="C4" s="89" t="s">
        <v>3</v>
      </c>
      <c r="D4" s="90" t="s">
        <v>55</v>
      </c>
      <c r="E4" s="90" t="s">
        <v>56</v>
      </c>
      <c r="F4" s="90" t="s">
        <v>57</v>
      </c>
      <c r="G4" s="90" t="s">
        <v>88</v>
      </c>
      <c r="H4" s="90" t="s">
        <v>58</v>
      </c>
      <c r="I4" s="91" t="s">
        <v>1</v>
      </c>
    </row>
    <row r="5" spans="2:9" x14ac:dyDescent="0.25">
      <c r="B5" s="217" t="s">
        <v>92</v>
      </c>
      <c r="C5" s="100" t="s">
        <v>93</v>
      </c>
      <c r="D5" s="101">
        <f>'Forecasts by year'!R30</f>
        <v>1039.9340575524379</v>
      </c>
      <c r="E5" s="101">
        <f>'Forecasts by year'!S30</f>
        <v>1039.9340575524379</v>
      </c>
      <c r="F5" s="101">
        <f>'Forecasts by year'!T30</f>
        <v>1051.3733321855145</v>
      </c>
      <c r="G5" s="101">
        <f>'Forecasts by year'!U30</f>
        <v>1075.6937001056297</v>
      </c>
      <c r="H5" s="101">
        <f>'Forecasts by year'!V30</f>
        <v>1112.0226439029484</v>
      </c>
      <c r="I5" s="172">
        <f>SUM(D5:H5)</f>
        <v>5318.957791298968</v>
      </c>
    </row>
    <row r="6" spans="2:9" x14ac:dyDescent="0.25">
      <c r="B6" s="220"/>
      <c r="C6" s="100" t="s">
        <v>94</v>
      </c>
      <c r="D6" s="101">
        <f>'Forecasts by year'!R42</f>
        <v>33777.439316968259</v>
      </c>
      <c r="E6" s="101">
        <f>'Forecasts by year'!S42</f>
        <v>33777.439316968259</v>
      </c>
      <c r="F6" s="101">
        <f>'Forecasts by year'!T42</f>
        <v>34148.991149454901</v>
      </c>
      <c r="G6" s="101">
        <f>'Forecasts by year'!U42</f>
        <v>34938.925612724088</v>
      </c>
      <c r="H6" s="101">
        <f>'Forecasts by year'!V42</f>
        <v>36118.903021533588</v>
      </c>
      <c r="I6" s="172">
        <f t="shared" ref="I6:I10" si="0">SUM(D6:H6)</f>
        <v>172761.69841764911</v>
      </c>
    </row>
    <row r="7" spans="2:9" x14ac:dyDescent="0.25">
      <c r="B7" s="220"/>
      <c r="C7" s="100" t="s">
        <v>95</v>
      </c>
      <c r="D7" s="101">
        <f>'Forecasts by year'!R54</f>
        <v>3640.5632174024304</v>
      </c>
      <c r="E7" s="101">
        <f>'Forecasts by year'!S54</f>
        <v>3640.5632174024304</v>
      </c>
      <c r="F7" s="101">
        <f>'Forecasts by year'!T54</f>
        <v>3680.6094127938563</v>
      </c>
      <c r="G7" s="101">
        <f>'Forecasts by year'!U54</f>
        <v>3765.7492697306038</v>
      </c>
      <c r="H7" s="101">
        <f>'Forecasts by year'!V54</f>
        <v>3892.9283110891261</v>
      </c>
      <c r="I7" s="172">
        <f t="shared" si="0"/>
        <v>18620.413428418447</v>
      </c>
    </row>
    <row r="8" spans="2:9" x14ac:dyDescent="0.25">
      <c r="B8" s="221"/>
      <c r="C8" s="100" t="s">
        <v>96</v>
      </c>
      <c r="D8" s="101">
        <f>'Forecasts by year'!R66</f>
        <v>4368.6758608829168</v>
      </c>
      <c r="E8" s="101">
        <f>'Forecasts by year'!S66</f>
        <v>4368.6758608829168</v>
      </c>
      <c r="F8" s="101">
        <f>'Forecasts by year'!T66</f>
        <v>4416.731295352628</v>
      </c>
      <c r="G8" s="101">
        <f>'Forecasts by year'!U66</f>
        <v>4518.8991236767251</v>
      </c>
      <c r="H8" s="101">
        <f>'Forecasts by year'!V66</f>
        <v>4671.5139733069518</v>
      </c>
      <c r="I8" s="172">
        <f t="shared" si="0"/>
        <v>22344.496114102138</v>
      </c>
    </row>
    <row r="9" spans="2:9" x14ac:dyDescent="0.25">
      <c r="B9" s="221"/>
      <c r="C9" s="100" t="s">
        <v>97</v>
      </c>
      <c r="D9" s="101">
        <f>'Forecasts by year'!R78</f>
        <v>669.06054156493201</v>
      </c>
      <c r="E9" s="101">
        <f>'Forecasts by year'!S78</f>
        <v>669.06054156493201</v>
      </c>
      <c r="F9" s="101">
        <f>'Forecasts by year'!T78</f>
        <v>676.42020752214626</v>
      </c>
      <c r="G9" s="101">
        <f>'Forecasts by year'!U78</f>
        <v>692.0671597625485</v>
      </c>
      <c r="H9" s="101">
        <f>'Forecasts by year'!V78</f>
        <v>715.4400482981182</v>
      </c>
      <c r="I9" s="172">
        <f t="shared" si="0"/>
        <v>3422.048498712677</v>
      </c>
    </row>
    <row r="10" spans="2:9" x14ac:dyDescent="0.25">
      <c r="B10" s="216"/>
      <c r="C10" s="228" t="s">
        <v>162</v>
      </c>
      <c r="D10" s="225">
        <f>'Forecasts by year'!R91</f>
        <v>1558.8956772191532</v>
      </c>
      <c r="E10" s="225">
        <f>'Forecasts by year'!S91</f>
        <v>1558.8956772191532</v>
      </c>
      <c r="F10" s="225">
        <f>'Forecasts by year'!T91</f>
        <v>1558.8956772191532</v>
      </c>
      <c r="G10" s="225">
        <f>'Forecasts by year'!U91</f>
        <v>1558.8956772191532</v>
      </c>
      <c r="H10" s="225">
        <f>'Forecasts by year'!V91</f>
        <v>1558.8956772191532</v>
      </c>
      <c r="I10" s="172">
        <f t="shared" si="0"/>
        <v>7794.4783860957659</v>
      </c>
    </row>
    <row r="11" spans="2:9" x14ac:dyDescent="0.25">
      <c r="B11" s="223" t="s">
        <v>1</v>
      </c>
      <c r="C11" s="224"/>
      <c r="D11" s="226">
        <f>SUM(D5:D10)</f>
        <v>45054.568671590132</v>
      </c>
      <c r="E11" s="226">
        <f t="shared" ref="E11:H11" si="1">SUM(E5:E10)</f>
        <v>45054.568671590132</v>
      </c>
      <c r="F11" s="226">
        <f t="shared" si="1"/>
        <v>45533.021074528202</v>
      </c>
      <c r="G11" s="226">
        <f t="shared" si="1"/>
        <v>46550.230543218742</v>
      </c>
      <c r="H11" s="226">
        <f t="shared" si="1"/>
        <v>48069.703675349891</v>
      </c>
      <c r="I11" s="227">
        <f>SUM(I5:I10)</f>
        <v>230262.09263627711</v>
      </c>
    </row>
    <row r="12" spans="2:9" x14ac:dyDescent="0.25">
      <c r="B12" s="88"/>
      <c r="C12" s="88"/>
      <c r="D12" s="88"/>
      <c r="E12" s="88"/>
      <c r="F12" s="88"/>
      <c r="G12" s="88"/>
      <c r="H12" s="88"/>
      <c r="I12" s="88"/>
    </row>
    <row r="13" spans="2:9" x14ac:dyDescent="0.25">
      <c r="B13" s="85" t="s">
        <v>26</v>
      </c>
      <c r="C13" s="86"/>
      <c r="D13" s="86"/>
      <c r="E13" s="86"/>
      <c r="F13" s="86"/>
      <c r="G13" s="86"/>
      <c r="H13" s="86"/>
      <c r="I13" s="86"/>
    </row>
    <row r="14" spans="2:9" x14ac:dyDescent="0.25">
      <c r="B14" s="88"/>
      <c r="C14" s="88"/>
      <c r="D14" s="88"/>
      <c r="E14" s="88"/>
      <c r="F14" s="88"/>
      <c r="G14" s="88"/>
      <c r="H14" s="88"/>
      <c r="I14" s="88"/>
    </row>
    <row r="15" spans="2:9" x14ac:dyDescent="0.25">
      <c r="B15" s="89" t="s">
        <v>87</v>
      </c>
      <c r="C15" s="89" t="s">
        <v>3</v>
      </c>
      <c r="D15" s="90" t="s">
        <v>55</v>
      </c>
      <c r="E15" s="90" t="s">
        <v>56</v>
      </c>
      <c r="F15" s="90" t="s">
        <v>57</v>
      </c>
      <c r="G15" s="90" t="s">
        <v>88</v>
      </c>
      <c r="H15" s="90" t="s">
        <v>58</v>
      </c>
      <c r="I15" s="91" t="s">
        <v>1</v>
      </c>
    </row>
    <row r="16" spans="2:9" x14ac:dyDescent="0.25">
      <c r="B16" s="217" t="s">
        <v>92</v>
      </c>
      <c r="C16" s="218" t="s">
        <v>80</v>
      </c>
      <c r="D16" s="93">
        <v>10</v>
      </c>
      <c r="E16" s="93">
        <v>10</v>
      </c>
      <c r="F16" s="93">
        <v>10</v>
      </c>
      <c r="G16" s="93">
        <v>10</v>
      </c>
      <c r="H16" s="93">
        <v>10</v>
      </c>
      <c r="I16" s="230">
        <f>SUM(D16:H16)</f>
        <v>50</v>
      </c>
    </row>
    <row r="17" spans="2:9" x14ac:dyDescent="0.25">
      <c r="B17" s="92"/>
      <c r="C17" s="218" t="s">
        <v>75</v>
      </c>
      <c r="D17" s="93">
        <v>300</v>
      </c>
      <c r="E17" s="93">
        <v>300</v>
      </c>
      <c r="F17" s="93">
        <v>300</v>
      </c>
      <c r="G17" s="93">
        <v>300</v>
      </c>
      <c r="H17" s="93">
        <v>300</v>
      </c>
      <c r="I17" s="230">
        <f t="shared" ref="I17:I20" si="2">SUM(D17:H17)</f>
        <v>1500</v>
      </c>
    </row>
    <row r="18" spans="2:9" x14ac:dyDescent="0.25">
      <c r="B18" s="92"/>
      <c r="C18" s="218" t="s">
        <v>76</v>
      </c>
      <c r="D18" s="93">
        <v>25</v>
      </c>
      <c r="E18" s="93">
        <v>25</v>
      </c>
      <c r="F18" s="93">
        <v>25</v>
      </c>
      <c r="G18" s="93">
        <v>25</v>
      </c>
      <c r="H18" s="93">
        <v>25</v>
      </c>
      <c r="I18" s="230">
        <f t="shared" si="2"/>
        <v>125</v>
      </c>
    </row>
    <row r="19" spans="2:9" x14ac:dyDescent="0.25">
      <c r="B19" s="92"/>
      <c r="C19" s="219" t="s">
        <v>77</v>
      </c>
      <c r="D19" s="93">
        <v>30</v>
      </c>
      <c r="E19" s="93">
        <v>30</v>
      </c>
      <c r="F19" s="93">
        <v>30</v>
      </c>
      <c r="G19" s="93">
        <v>30</v>
      </c>
      <c r="H19" s="93">
        <v>30</v>
      </c>
      <c r="I19" s="230">
        <f t="shared" si="2"/>
        <v>150</v>
      </c>
    </row>
    <row r="20" spans="2:9" x14ac:dyDescent="0.25">
      <c r="B20" s="92"/>
      <c r="C20" s="218" t="s">
        <v>78</v>
      </c>
      <c r="D20" s="93">
        <v>4</v>
      </c>
      <c r="E20" s="93">
        <v>4</v>
      </c>
      <c r="F20" s="93">
        <v>4</v>
      </c>
      <c r="G20" s="93">
        <v>4</v>
      </c>
      <c r="H20" s="93">
        <v>4</v>
      </c>
      <c r="I20" s="231">
        <f t="shared" si="2"/>
        <v>20</v>
      </c>
    </row>
    <row r="21" spans="2:9" x14ac:dyDescent="0.25">
      <c r="B21" s="215"/>
      <c r="C21" s="229" t="s">
        <v>162</v>
      </c>
      <c r="D21" s="232">
        <v>1000</v>
      </c>
      <c r="E21" s="232">
        <v>1000</v>
      </c>
      <c r="F21" s="232">
        <v>1000</v>
      </c>
      <c r="G21" s="232">
        <v>1000</v>
      </c>
      <c r="H21" s="232">
        <v>1000</v>
      </c>
      <c r="I21" s="233">
        <f>SUM(D21:H21)</f>
        <v>5000</v>
      </c>
    </row>
    <row r="22" spans="2:9" x14ac:dyDescent="0.25">
      <c r="B22" s="234" t="s">
        <v>163</v>
      </c>
      <c r="C22" s="224"/>
      <c r="D22" s="222">
        <f>SUM(D16:D21)</f>
        <v>1369</v>
      </c>
      <c r="E22" s="222">
        <f t="shared" ref="E22:H22" si="3">SUM(E16:E21)</f>
        <v>1369</v>
      </c>
      <c r="F22" s="222">
        <f t="shared" si="3"/>
        <v>1369</v>
      </c>
      <c r="G22" s="222">
        <f t="shared" si="3"/>
        <v>1369</v>
      </c>
      <c r="H22" s="222">
        <f t="shared" si="3"/>
        <v>1369</v>
      </c>
      <c r="I22" s="222">
        <f>SUM(I16:I21)</f>
        <v>6845</v>
      </c>
    </row>
    <row r="23" spans="2:9" x14ac:dyDescent="0.25">
      <c r="B23" s="234" t="s">
        <v>16</v>
      </c>
      <c r="C23" s="224"/>
      <c r="D23" s="222">
        <v>5</v>
      </c>
      <c r="E23" s="222">
        <v>5</v>
      </c>
      <c r="F23" s="222">
        <v>5</v>
      </c>
      <c r="G23" s="222">
        <v>5</v>
      </c>
      <c r="H23" s="222">
        <v>5</v>
      </c>
      <c r="I23" s="222">
        <f>SUM(D23:H23)</f>
        <v>25</v>
      </c>
    </row>
    <row r="24" spans="2:9" x14ac:dyDescent="0.25">
      <c r="B24" s="88"/>
      <c r="C24" s="88"/>
      <c r="D24" s="94"/>
      <c r="E24" s="94"/>
      <c r="F24" s="94"/>
      <c r="G24" s="94"/>
      <c r="H24" s="94"/>
      <c r="I24" s="94"/>
    </row>
    <row r="25" spans="2:9" x14ac:dyDescent="0.25">
      <c r="B25" s="95" t="s">
        <v>6</v>
      </c>
      <c r="C25" s="88"/>
      <c r="D25" s="94"/>
      <c r="E25" s="94"/>
      <c r="F25" s="94"/>
      <c r="G25" s="94"/>
      <c r="H25" s="94"/>
      <c r="I25" s="94"/>
    </row>
    <row r="26" spans="2:9" x14ac:dyDescent="0.25">
      <c r="B26" s="284"/>
      <c r="C26" s="284"/>
      <c r="D26" s="284"/>
      <c r="E26" s="284"/>
      <c r="F26" s="284"/>
      <c r="G26" s="284"/>
      <c r="H26" s="284"/>
      <c r="I26" s="284"/>
    </row>
    <row r="27" spans="2:9" x14ac:dyDescent="0.25">
      <c r="B27" s="285"/>
      <c r="C27" s="285"/>
      <c r="D27" s="285"/>
      <c r="E27" s="285"/>
      <c r="F27" s="285"/>
      <c r="G27" s="285"/>
      <c r="H27" s="285"/>
      <c r="I27" s="285"/>
    </row>
    <row r="28" spans="2:9" x14ac:dyDescent="0.25">
      <c r="B28" s="88"/>
      <c r="C28" s="88"/>
      <c r="D28" s="94"/>
      <c r="E28" s="94"/>
      <c r="F28" s="94"/>
      <c r="G28" s="94"/>
      <c r="H28" s="94"/>
      <c r="I28" s="94"/>
    </row>
    <row r="29" spans="2:9" x14ac:dyDescent="0.25">
      <c r="B29" s="85" t="s">
        <v>27</v>
      </c>
      <c r="C29" s="86"/>
      <c r="D29" s="86"/>
      <c r="E29" s="86"/>
      <c r="F29" s="86"/>
      <c r="G29" s="86"/>
      <c r="H29" s="86"/>
      <c r="I29" s="86"/>
    </row>
    <row r="30" spans="2:9" x14ac:dyDescent="0.25">
      <c r="B30" s="88"/>
      <c r="C30" s="88"/>
      <c r="D30" s="88"/>
      <c r="E30" s="88"/>
      <c r="F30" s="88"/>
      <c r="G30" s="88"/>
      <c r="H30" s="88"/>
      <c r="I30" s="88"/>
    </row>
    <row r="31" spans="2:9" x14ac:dyDescent="0.25">
      <c r="B31" s="96" t="s">
        <v>25</v>
      </c>
      <c r="C31" s="97"/>
      <c r="D31" s="97"/>
      <c r="E31" s="97"/>
      <c r="F31" s="97"/>
      <c r="G31" s="97"/>
      <c r="H31" s="97"/>
      <c r="I31" s="97"/>
    </row>
    <row r="32" spans="2:9" x14ac:dyDescent="0.25">
      <c r="B32" s="286" t="s">
        <v>169</v>
      </c>
      <c r="C32" s="287"/>
      <c r="D32" s="287"/>
      <c r="E32" s="287"/>
      <c r="F32" s="287"/>
      <c r="G32" s="287"/>
      <c r="H32" s="287"/>
      <c r="I32" s="287"/>
    </row>
    <row r="33" spans="2:9" x14ac:dyDescent="0.25">
      <c r="B33" s="288"/>
      <c r="C33" s="288"/>
      <c r="D33" s="288"/>
      <c r="E33" s="288"/>
      <c r="F33" s="288"/>
      <c r="G33" s="288"/>
      <c r="H33" s="288"/>
      <c r="I33" s="288"/>
    </row>
    <row r="34" spans="2:9" x14ac:dyDescent="0.25">
      <c r="B34" s="98"/>
      <c r="C34" s="99"/>
      <c r="D34" s="99"/>
      <c r="E34" s="99"/>
      <c r="F34" s="99"/>
      <c r="G34" s="99"/>
      <c r="H34" s="99"/>
      <c r="I34" s="99"/>
    </row>
    <row r="35" spans="2:9" x14ac:dyDescent="0.25">
      <c r="B35" s="88"/>
      <c r="C35" s="88"/>
      <c r="D35" s="88"/>
      <c r="E35" s="88"/>
      <c r="F35" s="88"/>
      <c r="G35" s="88"/>
      <c r="H35" s="88"/>
      <c r="I35" s="88"/>
    </row>
    <row r="36" spans="2:9" customFormat="1" x14ac:dyDescent="0.25">
      <c r="B36" s="173" t="s">
        <v>45</v>
      </c>
      <c r="C36" s="31"/>
      <c r="D36" s="289" t="s">
        <v>122</v>
      </c>
      <c r="E36" s="289"/>
      <c r="F36" s="289"/>
      <c r="G36" s="289"/>
      <c r="H36" s="289"/>
      <c r="I36" s="31"/>
    </row>
    <row r="37" spans="2:9" customFormat="1" ht="15.75" customHeight="1" x14ac:dyDescent="0.25">
      <c r="B37" s="2" t="s">
        <v>19</v>
      </c>
      <c r="C37" s="20" t="s">
        <v>3</v>
      </c>
      <c r="D37" s="69" t="s">
        <v>55</v>
      </c>
      <c r="E37" s="69" t="s">
        <v>56</v>
      </c>
      <c r="F37" s="69" t="s">
        <v>57</v>
      </c>
      <c r="G37" s="69" t="s">
        <v>88</v>
      </c>
      <c r="H37" s="174" t="s">
        <v>58</v>
      </c>
      <c r="I37" s="21" t="s">
        <v>1</v>
      </c>
    </row>
    <row r="38" spans="2:9" s="175" customFormat="1" x14ac:dyDescent="0.25">
      <c r="B38" s="176" t="s">
        <v>123</v>
      </c>
      <c r="C38" s="177"/>
      <c r="D38" s="70">
        <f>'Forecasts by year'!R9</f>
        <v>25150.084485736188</v>
      </c>
      <c r="E38" s="70">
        <f>'Forecasts by year'!S9</f>
        <v>25150.084485736188</v>
      </c>
      <c r="F38" s="70">
        <f>'Forecasts by year'!T9</f>
        <v>25426.735415079282</v>
      </c>
      <c r="G38" s="70">
        <f>'Forecasts by year'!U9</f>
        <v>26014.906658700893</v>
      </c>
      <c r="H38" s="70">
        <f>'Forecasts by year'!V9</f>
        <v>26893.496987717066</v>
      </c>
      <c r="I38" s="178">
        <f t="shared" ref="I38:I41" si="4">SUM(D38:H38)</f>
        <v>128635.30803296961</v>
      </c>
    </row>
    <row r="39" spans="2:9" s="175" customFormat="1" x14ac:dyDescent="0.25">
      <c r="B39" s="176" t="s">
        <v>124</v>
      </c>
      <c r="C39" s="179"/>
      <c r="D39" s="70">
        <f>'Forecasts by year'!R10</f>
        <v>0</v>
      </c>
      <c r="E39" s="70">
        <f>'Forecasts by year'!S10</f>
        <v>0</v>
      </c>
      <c r="F39" s="70">
        <f>'Forecasts by year'!T10</f>
        <v>0</v>
      </c>
      <c r="G39" s="70">
        <f>'Forecasts by year'!U10</f>
        <v>0</v>
      </c>
      <c r="H39" s="70">
        <f>'Forecasts by year'!V10</f>
        <v>0</v>
      </c>
      <c r="I39" s="178">
        <f t="shared" si="4"/>
        <v>0</v>
      </c>
    </row>
    <row r="40" spans="2:9" s="175" customFormat="1" x14ac:dyDescent="0.25">
      <c r="B40" s="176" t="s">
        <v>112</v>
      </c>
      <c r="C40" s="179"/>
      <c r="D40" s="70">
        <f>'Forecasts by year'!R11</f>
        <v>0</v>
      </c>
      <c r="E40" s="70">
        <f>'Forecasts by year'!S11</f>
        <v>0</v>
      </c>
      <c r="F40" s="70">
        <f>'Forecasts by year'!T11</f>
        <v>0</v>
      </c>
      <c r="G40" s="70">
        <f>'Forecasts by year'!U11</f>
        <v>0</v>
      </c>
      <c r="H40" s="70">
        <f>'Forecasts by year'!V11</f>
        <v>0</v>
      </c>
      <c r="I40" s="178">
        <f t="shared" si="4"/>
        <v>0</v>
      </c>
    </row>
    <row r="41" spans="2:9" s="175" customFormat="1" x14ac:dyDescent="0.25">
      <c r="B41" s="176" t="s">
        <v>162</v>
      </c>
      <c r="C41" s="179"/>
      <c r="D41" s="70">
        <f>'Forecasts by year'!R12</f>
        <v>1000</v>
      </c>
      <c r="E41" s="70">
        <f>'Forecasts by year'!S12</f>
        <v>1000</v>
      </c>
      <c r="F41" s="70">
        <f>'Forecasts by year'!T12</f>
        <v>1000</v>
      </c>
      <c r="G41" s="70">
        <f>'Forecasts by year'!U12</f>
        <v>1000</v>
      </c>
      <c r="H41" s="70">
        <f>'Forecasts by year'!V12</f>
        <v>1000</v>
      </c>
      <c r="I41" s="178">
        <f t="shared" si="4"/>
        <v>5000</v>
      </c>
    </row>
    <row r="42" spans="2:9" s="175" customFormat="1" x14ac:dyDescent="0.25">
      <c r="B42" s="180" t="s">
        <v>125</v>
      </c>
      <c r="C42" s="179"/>
      <c r="D42" s="181">
        <f>'Forecasts by year'!R13</f>
        <v>26150.084485736188</v>
      </c>
      <c r="E42" s="181">
        <f>'Forecasts by year'!S13</f>
        <v>26150.084485736188</v>
      </c>
      <c r="F42" s="181">
        <f>'Forecasts by year'!T13</f>
        <v>26426.735415079282</v>
      </c>
      <c r="G42" s="181">
        <f>'Forecasts by year'!U13</f>
        <v>27014.906658700893</v>
      </c>
      <c r="H42" s="181">
        <f>'Forecasts by year'!V13</f>
        <v>27893.496987717066</v>
      </c>
      <c r="I42" s="178">
        <f>SUM(D42:H42)</f>
        <v>133635.30803296959</v>
      </c>
    </row>
    <row r="43" spans="2:9" customFormat="1" x14ac:dyDescent="0.25">
      <c r="B43" s="5" t="s">
        <v>116</v>
      </c>
      <c r="C43" s="10"/>
      <c r="D43" s="70">
        <f>'Forecasts by year'!R14</f>
        <v>12184.020255316063</v>
      </c>
      <c r="E43" s="70">
        <f>'Forecasts by year'!S14</f>
        <v>12184.020255316063</v>
      </c>
      <c r="F43" s="70">
        <f>'Forecasts by year'!T14</f>
        <v>12312.919285397853</v>
      </c>
      <c r="G43" s="70">
        <f>'Forecasts by year'!U14</f>
        <v>12586.963919930073</v>
      </c>
      <c r="H43" s="70">
        <f>'Forecasts by year'!V14</f>
        <v>12996.322534839972</v>
      </c>
      <c r="I43" s="178">
        <f>SUM(D43:H43)</f>
        <v>62264.246250800024</v>
      </c>
    </row>
    <row r="44" spans="2:9" customFormat="1" x14ac:dyDescent="0.25">
      <c r="B44" s="5" t="s">
        <v>117</v>
      </c>
      <c r="C44" s="4"/>
      <c r="D44" s="70">
        <f>'Forecasts by year'!R15</f>
        <v>4033.5098153696008</v>
      </c>
      <c r="E44" s="70">
        <f>'Forecasts by year'!S15</f>
        <v>4033.5098153696008</v>
      </c>
      <c r="F44" s="70">
        <f>'Forecasts by year'!T15</f>
        <v>4077.8784233386655</v>
      </c>
      <c r="G44" s="70">
        <f>'Forecasts by year'!U15</f>
        <v>4172.2079070273358</v>
      </c>
      <c r="H44" s="70">
        <f>'Forecasts by year'!V15</f>
        <v>4313.1141023041509</v>
      </c>
      <c r="I44" s="178">
        <f>SUM(D44:H44)</f>
        <v>20630.220063409353</v>
      </c>
    </row>
    <row r="45" spans="2:9" customFormat="1" x14ac:dyDescent="0.25">
      <c r="B45" s="5" t="s">
        <v>126</v>
      </c>
      <c r="C45" s="4"/>
      <c r="D45" s="70">
        <f>'Forecasts by year'!R16</f>
        <v>2686.9541151682743</v>
      </c>
      <c r="E45" s="70">
        <f>'Forecasts by year'!S16</f>
        <v>2686.9541151682743</v>
      </c>
      <c r="F45" s="70">
        <f>'Forecasts by year'!T16</f>
        <v>2715.4879507123978</v>
      </c>
      <c r="G45" s="70">
        <f>'Forecasts by year'!U16</f>
        <v>2776.15205756045</v>
      </c>
      <c r="H45" s="70">
        <f>'Forecasts by year'!V16</f>
        <v>2866.7700504886966</v>
      </c>
      <c r="I45" s="178">
        <f>SUM(D45:H45)</f>
        <v>13732.318289098093</v>
      </c>
    </row>
    <row r="46" spans="2:9" customFormat="1" x14ac:dyDescent="0.25">
      <c r="B46" s="182" t="s">
        <v>1</v>
      </c>
      <c r="C46" s="22"/>
      <c r="D46" s="23">
        <f>SUM(D42:D45)</f>
        <v>45054.568671590125</v>
      </c>
      <c r="E46" s="23">
        <f t="shared" ref="E46:H46" si="5">SUM(E42:E45)</f>
        <v>45054.568671590125</v>
      </c>
      <c r="F46" s="23">
        <f t="shared" si="5"/>
        <v>45533.021074528202</v>
      </c>
      <c r="G46" s="23">
        <f t="shared" si="5"/>
        <v>46550.230543218757</v>
      </c>
      <c r="H46" s="23">
        <f t="shared" si="5"/>
        <v>48069.703675349883</v>
      </c>
      <c r="I46" s="24">
        <f>SUM(I42:I45)</f>
        <v>230262.09263627708</v>
      </c>
    </row>
  </sheetData>
  <mergeCells count="3">
    <mergeCell ref="B26:I27"/>
    <mergeCell ref="B32:I33"/>
    <mergeCell ref="D36:H36"/>
  </mergeCells>
  <pageMargins left="0.7" right="0.7" top="0.75" bottom="0.75" header="0.3" footer="0.3"/>
  <pageSetup paperSize="9" orientation="portrait" verticalDpi="0" r:id="rId1"/>
  <ignoredErrors>
    <ignoredError sqref="I22"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2018-04-18T01:25:43Z</dcterms:modified>
</cp:coreProperties>
</file>