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6_Network Related Property Services\"/>
    </mc:Choice>
  </mc:AlternateContent>
  <xr:revisionPtr revIDLastSave="0" documentId="13_ncr:1_{4EC629E1-EBF7-4EF1-AA92-F9DC695BAD3F}"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build-up"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P8" i="11"/>
  <c r="I7" i="11"/>
  <c r="H7" i="11"/>
  <c r="D10" i="8" l="1"/>
  <c r="E27" i="17" l="1"/>
  <c r="F27" i="17"/>
  <c r="G27" i="17"/>
  <c r="H27" i="17"/>
  <c r="D27" i="17"/>
  <c r="K21" i="17"/>
  <c r="L21" i="17" s="1"/>
  <c r="M21" i="17" s="1"/>
  <c r="N21" i="17" s="1"/>
  <c r="O21" i="17" s="1"/>
  <c r="K20" i="17"/>
  <c r="L20" i="17" s="1"/>
  <c r="M20" i="17" s="1"/>
  <c r="N20" i="17" s="1"/>
  <c r="O20" i="17" s="1"/>
  <c r="O5" i="17"/>
  <c r="N5" i="17"/>
  <c r="M5" i="17"/>
  <c r="O1" i="17"/>
  <c r="N1" i="17"/>
  <c r="M1" i="17"/>
  <c r="L1" i="17"/>
  <c r="K5" i="17" l="1"/>
  <c r="K1" i="17"/>
  <c r="K19" i="17" s="1"/>
  <c r="L5" i="17"/>
  <c r="G10" i="11"/>
  <c r="J10" i="11"/>
  <c r="C21" i="17" s="1"/>
  <c r="D21" i="17" s="1"/>
  <c r="E21" i="17" s="1"/>
  <c r="E10" i="17" s="1"/>
  <c r="E29" i="16" s="1"/>
  <c r="K10" i="11"/>
  <c r="L10" i="11"/>
  <c r="F10" i="11"/>
  <c r="I10" i="11"/>
  <c r="C20" i="17" s="1"/>
  <c r="D20" i="17" s="1"/>
  <c r="M7" i="11"/>
  <c r="I5" i="15"/>
  <c r="I6" i="15"/>
  <c r="I7" i="15"/>
  <c r="I8" i="15"/>
  <c r="M10" i="11" l="1"/>
  <c r="C22" i="17" s="1"/>
  <c r="D10" i="17"/>
  <c r="D29" i="16" s="1"/>
  <c r="D9" i="17"/>
  <c r="D28" i="16" s="1"/>
  <c r="E20" i="17"/>
  <c r="E9" i="17" s="1"/>
  <c r="E28" i="16" s="1"/>
  <c r="F21" i="17"/>
  <c r="F10" i="17" s="1"/>
  <c r="F29" i="16" s="1"/>
  <c r="K22" i="17"/>
  <c r="L19" i="17"/>
  <c r="H10" i="11"/>
  <c r="C19" i="17" s="1"/>
  <c r="D19" i="17" s="1"/>
  <c r="I15" i="13"/>
  <c r="I16" i="13"/>
  <c r="I14" i="13"/>
  <c r="I7" i="13"/>
  <c r="I8" i="13"/>
  <c r="I9" i="13"/>
  <c r="I6" i="13"/>
  <c r="G17" i="13"/>
  <c r="H17" i="13"/>
  <c r="G10" i="13"/>
  <c r="H10" i="13"/>
  <c r="I14" i="15"/>
  <c r="I13" i="15"/>
  <c r="G15" i="15"/>
  <c r="H15" i="15"/>
  <c r="I4" i="15"/>
  <c r="G9" i="15"/>
  <c r="H9" i="15"/>
  <c r="E19" i="17" l="1"/>
  <c r="D8" i="17"/>
  <c r="D27" i="16" s="1"/>
  <c r="D22" i="17"/>
  <c r="F20" i="17"/>
  <c r="G21" i="17"/>
  <c r="G10" i="17" s="1"/>
  <c r="G29" i="16" s="1"/>
  <c r="M19" i="17"/>
  <c r="L22" i="17"/>
  <c r="G12" i="16"/>
  <c r="I11" i="16"/>
  <c r="F9" i="17" l="1"/>
  <c r="F28" i="16" s="1"/>
  <c r="G20" i="17"/>
  <c r="D11" i="17"/>
  <c r="D30" i="16" s="1"/>
  <c r="E8" i="17"/>
  <c r="E27" i="16" s="1"/>
  <c r="F19" i="17"/>
  <c r="E22" i="17"/>
  <c r="H21" i="17"/>
  <c r="H10" i="17" s="1"/>
  <c r="H29" i="16" s="1"/>
  <c r="I29" i="16" s="1"/>
  <c r="N19" i="17"/>
  <c r="M22" i="17"/>
  <c r="F60" i="8"/>
  <c r="E11" i="17" l="1"/>
  <c r="E30" i="16" s="1"/>
  <c r="F8" i="17"/>
  <c r="F27" i="16" s="1"/>
  <c r="G19" i="17"/>
  <c r="F22" i="17"/>
  <c r="C44" i="8"/>
  <c r="G9" i="17"/>
  <c r="G28" i="16" s="1"/>
  <c r="H20" i="17"/>
  <c r="H9" i="17" s="1"/>
  <c r="H28" i="16" s="1"/>
  <c r="I28" i="16" s="1"/>
  <c r="O19" i="17"/>
  <c r="O22" i="17" s="1"/>
  <c r="N22" i="17"/>
  <c r="F11" i="17" l="1"/>
  <c r="F30" i="16" s="1"/>
  <c r="G8" i="17"/>
  <c r="G27" i="16" s="1"/>
  <c r="H19" i="17"/>
  <c r="G22" i="17"/>
  <c r="D44" i="8"/>
  <c r="G11" i="17" l="1"/>
  <c r="G30" i="16" s="1"/>
  <c r="H8" i="17"/>
  <c r="H27" i="16" s="1"/>
  <c r="I27" i="16" s="1"/>
  <c r="H22" i="17"/>
  <c r="E44" i="8"/>
  <c r="H12" i="16"/>
  <c r="F44" i="8" l="1"/>
  <c r="H11" i="17"/>
  <c r="H30" i="16" s="1"/>
  <c r="G60" i="8"/>
  <c r="G44" i="8" l="1"/>
  <c r="I30" i="16"/>
  <c r="F15" i="15"/>
  <c r="E15" i="15"/>
  <c r="D15" i="15"/>
  <c r="I15" i="15" l="1"/>
  <c r="E9" i="15"/>
  <c r="D9" i="15"/>
  <c r="I12" i="16"/>
  <c r="F12" i="16"/>
  <c r="E12" i="16"/>
  <c r="D12" i="16"/>
  <c r="C5" i="16"/>
  <c r="F17" i="13"/>
  <c r="E17" i="13"/>
  <c r="D17" i="13"/>
  <c r="F10" i="13"/>
  <c r="E10" i="13"/>
  <c r="D10" i="13"/>
  <c r="D60" i="8" l="1"/>
  <c r="E60" i="8"/>
  <c r="C60" i="8"/>
  <c r="I10" i="13"/>
  <c r="I17" i="13"/>
  <c r="F9" i="15"/>
  <c r="I9" i="15" l="1"/>
  <c r="D3" i="9" l="1"/>
  <c r="H44" i="8" l="1"/>
  <c r="H60" i="8" l="1"/>
  <c r="H4" i="17" l="1"/>
  <c r="D4" i="17"/>
  <c r="O7" i="11"/>
  <c r="O10" i="11" s="1"/>
  <c r="C24" i="17" s="1"/>
  <c r="G4" i="17"/>
  <c r="F4" i="17"/>
  <c r="E4" i="17"/>
  <c r="N4" i="17" l="1"/>
  <c r="N24" i="17" s="1"/>
  <c r="G24" i="17"/>
  <c r="G13" i="17" s="1"/>
  <c r="G32" i="16" s="1"/>
  <c r="L4" i="17"/>
  <c r="L24" i="17" s="1"/>
  <c r="E24" i="17"/>
  <c r="E13" i="17" s="1"/>
  <c r="E32" i="16" s="1"/>
  <c r="K4" i="17"/>
  <c r="K24" i="17" s="1"/>
  <c r="D24" i="17"/>
  <c r="D13" i="17" s="1"/>
  <c r="D32" i="16" s="1"/>
  <c r="M4" i="17"/>
  <c r="M24" i="17" s="1"/>
  <c r="F24" i="17"/>
  <c r="F13" i="17" s="1"/>
  <c r="F32" i="16" s="1"/>
  <c r="O4" i="17"/>
  <c r="O24" i="17" s="1"/>
  <c r="H24" i="17"/>
  <c r="H13" i="17" s="1"/>
  <c r="H32" i="16" s="1"/>
  <c r="I32" i="16" l="1"/>
  <c r="E3" i="17"/>
  <c r="Q8" i="11"/>
  <c r="H3" i="17"/>
  <c r="D3" i="17"/>
  <c r="N7" i="11"/>
  <c r="G3" i="17"/>
  <c r="N8" i="11"/>
  <c r="D9" i="8" s="1"/>
  <c r="D8" i="8" s="1"/>
  <c r="F3" i="17"/>
  <c r="G23" i="17" l="1"/>
  <c r="N3" i="17"/>
  <c r="N23" i="17" s="1"/>
  <c r="N25" i="17" s="1"/>
  <c r="N26" i="17" s="1"/>
  <c r="F23" i="17"/>
  <c r="M3" i="17"/>
  <c r="M23" i="17" s="1"/>
  <c r="M25" i="17" s="1"/>
  <c r="M26" i="17" s="1"/>
  <c r="K3" i="17"/>
  <c r="K23" i="17" s="1"/>
  <c r="K25" i="17" s="1"/>
  <c r="K26" i="17" s="1"/>
  <c r="D23" i="17"/>
  <c r="O3" i="17"/>
  <c r="O23" i="17" s="1"/>
  <c r="O25" i="17" s="1"/>
  <c r="O26" i="17" s="1"/>
  <c r="H23" i="17"/>
  <c r="P7" i="11"/>
  <c r="P10" i="11" s="1"/>
  <c r="C25" i="17" s="1"/>
  <c r="N10" i="11"/>
  <c r="C23" i="17" s="1"/>
  <c r="E23" i="17"/>
  <c r="L3" i="17"/>
  <c r="L23" i="17" s="1"/>
  <c r="L25" i="17" s="1"/>
  <c r="L26" i="17" s="1"/>
  <c r="E25" i="17" l="1"/>
  <c r="E14" i="17" s="1"/>
  <c r="E33" i="16" s="1"/>
  <c r="E12" i="17"/>
  <c r="H12" i="17"/>
  <c r="H25" i="17"/>
  <c r="H14" i="17" s="1"/>
  <c r="H33" i="16" s="1"/>
  <c r="Q7" i="11"/>
  <c r="F12" i="17"/>
  <c r="F25" i="17"/>
  <c r="F14" i="17" s="1"/>
  <c r="F33" i="16" s="1"/>
  <c r="D12" i="17"/>
  <c r="D25" i="17"/>
  <c r="D14" i="17" s="1"/>
  <c r="D33" i="16" s="1"/>
  <c r="G12" i="17"/>
  <c r="G25" i="17"/>
  <c r="G14" i="17" s="1"/>
  <c r="G33" i="16" s="1"/>
  <c r="D26" i="17" l="1"/>
  <c r="D28" i="17" s="1"/>
  <c r="I33" i="16"/>
  <c r="G26" i="17"/>
  <c r="G28" i="17" s="1"/>
  <c r="G5" i="16" s="1"/>
  <c r="G6" i="16" s="1"/>
  <c r="F26" i="17"/>
  <c r="F28" i="17" s="1"/>
  <c r="F5" i="16" s="1"/>
  <c r="F6" i="16" s="1"/>
  <c r="H26" i="17"/>
  <c r="H28" i="17" s="1"/>
  <c r="F31" i="16"/>
  <c r="F15" i="17"/>
  <c r="H31" i="16"/>
  <c r="H15" i="17"/>
  <c r="H16" i="17" s="1"/>
  <c r="D15" i="17"/>
  <c r="D31" i="16"/>
  <c r="D7" i="8"/>
  <c r="Q10" i="11"/>
  <c r="C26" i="17" s="1"/>
  <c r="E26" i="17"/>
  <c r="E28" i="17" s="1"/>
  <c r="G15" i="17"/>
  <c r="G31" i="16"/>
  <c r="H5" i="16"/>
  <c r="H6" i="16" s="1"/>
  <c r="E15" i="17"/>
  <c r="E31" i="16"/>
  <c r="D16" i="17"/>
  <c r="D5" i="16"/>
  <c r="F16" i="17" l="1"/>
  <c r="G16" i="17"/>
  <c r="C46" i="8"/>
  <c r="I31" i="16"/>
  <c r="I34" i="16" s="1"/>
  <c r="D34" i="16"/>
  <c r="E34" i="16"/>
  <c r="D46" i="8"/>
  <c r="D48" i="8" s="1"/>
  <c r="E16" i="17"/>
  <c r="E5" i="16"/>
  <c r="E6" i="16" s="1"/>
  <c r="F34" i="16"/>
  <c r="E46" i="8"/>
  <c r="E48" i="8" s="1"/>
  <c r="D6" i="16"/>
  <c r="I5" i="16"/>
  <c r="I6" i="16" s="1"/>
  <c r="F46" i="8"/>
  <c r="F48" i="8" s="1"/>
  <c r="G34" i="16"/>
  <c r="H34" i="16"/>
  <c r="G46" i="8"/>
  <c r="G48" i="8" s="1"/>
  <c r="C48" i="8" l="1"/>
  <c r="H46" i="8"/>
  <c r="H48" i="8" s="1"/>
</calcChain>
</file>

<file path=xl/sharedStrings.xml><?xml version="1.0" encoding="utf-8"?>
<sst xmlns="http://schemas.openxmlformats.org/spreadsheetml/2006/main" count="226" uniqueCount="141">
  <si>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</si>
  <si>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</si>
  <si>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</si>
  <si>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</si>
  <si>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</si>
  <si>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</si>
  <si>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</si>
  <si>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</si>
  <si>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</si>
  <si>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</si>
  <si>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</si>
  <si>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</si>
  <si>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Direct Costs (on IO's, work orders, cost objects, cost centres)</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</si>
  <si>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</si>
  <si>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</si>
  <si>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</si>
  <si>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</si>
  <si>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</si>
  <si>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</si>
  <si>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</si>
  <si>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</si>
  <si>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</si>
  <si>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</si>
  <si>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</si>
  <si>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</si>
  <si>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</si>
  <si>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</si>
  <si>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</si>
  <si>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</si>
  <si>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</si>
  <si>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</si>
  <si>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</si>
  <si>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</si>
  <si>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</si>
  <si>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</si>
  <si>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</si>
  <si>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</si>
  <si>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</si>
  <si>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</si>
  <si>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</si>
  <si>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</si>
  <si>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</si>
  <si>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</si>
  <si>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</si>
  <si>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</si>
  <si>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</si>
  <si>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</si>
  <si>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</si>
  <si>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</si>
  <si>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</si>
  <si>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</si>
  <si>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</si>
  <si>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</si>
  <si>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</si>
  <si>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</si>
  <si>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</si>
  <si>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</si>
  <si>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</si>
  <si>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</si>
  <si>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</si>
  <si>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</si>
  <si>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</si>
  <si>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</si>
  <si>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</si>
  <si>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Contestable Works Database</t>
  </si>
  <si>
    <t xml:space="preserve">Existing Service Description (2014 - 19) </t>
  </si>
  <si>
    <t>Conveyancing Officer</t>
  </si>
  <si>
    <t>Network Related Property Services
Property tenure services related to obtaining deeds of agreement, deeds of indemnity, leases, easements or other property tenure in relation to property rights associated with connection or relocation.
Conveyancing inquiry services relating to the provision of property conveyancing information at the request of a customer.</t>
  </si>
  <si>
    <t>Bottom Up Estimation</t>
  </si>
  <si>
    <t>New Service</t>
  </si>
  <si>
    <t xml:space="preserve">
New Service</t>
  </si>
  <si>
    <t xml:space="preserve"> - </t>
  </si>
  <si>
    <t>Compulsory Acquisition over Crown Land (NEW)</t>
  </si>
  <si>
    <t>Compulsory Acquisition over crown land</t>
  </si>
  <si>
    <t>Alternative Control Service - Bottom Up Estimation</t>
  </si>
  <si>
    <t>Compulsory Acquisition over crown land (Hourly Rate)</t>
  </si>
  <si>
    <t>R3</t>
  </si>
  <si>
    <t>Provision of legal services for compulsory acquisition over crwon land</t>
  </si>
  <si>
    <t>Legal - Hrly</t>
  </si>
  <si>
    <r>
      <rPr>
        <b/>
        <sz val="10"/>
        <color theme="1"/>
        <rFont val="Arial"/>
        <family val="2"/>
      </rPr>
      <t xml:space="preserve">
Compulsory Acquisition over Crown Land</t>
    </r>
    <r>
      <rPr>
        <sz val="10"/>
        <color theme="1"/>
        <rFont val="Arial"/>
        <family val="2"/>
      </rPr>
      <t xml:space="preserve">
Work performed by Essential Energy (or on behalf of Essential Energy) relating to acquisition of crown land (including interests in land). Any work or services provided in acquiring the relevant interest through the compulsory acquisition process included but not limited to liaising with customer as to requirements, obtaining internal approvals, preparation, negotiation and execution of formal documentation, engagement of panel lawyer, liaising with panel lawyer, preparation of Ministerial submission including complying with legislative requirements, reviewing VG's determination, arranging required payments including seeking reimbursement from customer, reporting to customer and all matters relating to gazettal and registration. Services also include administration work required such as photocopying, scanning, emailing, accounting processes.</t>
    </r>
  </si>
  <si>
    <t>Projected Volumes for FY2019-24 Regulatory Period</t>
  </si>
  <si>
    <t>FY22/23</t>
  </si>
  <si>
    <t>Project Code</t>
  </si>
  <si>
    <t>New Service - Compulsory Acquisition over Crown Land</t>
  </si>
  <si>
    <t xml:space="preserve">Operating Costs - </t>
  </si>
  <si>
    <t>New Service. No historical operating costs available.</t>
  </si>
  <si>
    <t>New Service. No historical revenue available.</t>
  </si>
  <si>
    <t>Compulsory Acquisition over Crwon Land (Hrs)</t>
  </si>
  <si>
    <t>FY17/18</t>
  </si>
  <si>
    <t>FY18/19</t>
  </si>
  <si>
    <t>Approx 100hrs / year are associated with management of compulsory acquisitions.</t>
  </si>
  <si>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</si>
  <si>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</si>
  <si>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</si>
  <si>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</si>
  <si>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</si>
  <si>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</si>
  <si>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</si>
  <si>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</si>
  <si>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</si>
  <si>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</si>
  <si>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</si>
  <si>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</si>
  <si>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</si>
  <si>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</si>
  <si>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</si>
  <si>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</si>
  <si>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</si>
  <si>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</si>
  <si>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</si>
  <si>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</si>
  <si>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</si>
  <si>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</si>
  <si>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</si>
  <si>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</si>
  <si>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</si>
  <si>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</si>
  <si>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</si>
  <si>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</si>
  <si>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</si>
  <si>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</si>
  <si>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</si>
  <si>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</si>
  <si>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</si>
  <si>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</si>
  <si>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</si>
  <si>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</si>
  <si>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</si>
  <si>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</si>
  <si>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</si>
  <si>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6.5 Crown Land Acquisitions</t>
  </si>
  <si>
    <t>Crown Land Acquisitions</t>
  </si>
  <si>
    <t>Contractor management 
(Invoice + Overheads) + Margin</t>
  </si>
  <si>
    <t>Overheads rate</t>
  </si>
  <si>
    <t>Margin</t>
  </si>
  <si>
    <t>Real $2018-19</t>
  </si>
  <si>
    <t>Per service</t>
  </si>
  <si>
    <t>Legal Contractor management - [Invoice + overheads] + margin</t>
  </si>
  <si>
    <t>Hourly Rate / Fee</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</si>
  <si>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</si>
  <si>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 Forecast costs breakup based on Services involved on DOA costs breakup.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</si>
</sst>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12"/>
      <color theme="0"/>
      <name val="Arial"/>
      <family val="2"/>
    </font>
    <font>
      <b/>
      <sz val="7"/>
      <color theme="1"/>
      <name val="Arial"/>
      <family val="2"/>
    </font>
    <font>
      <b/>
      <sz val="7"/>
      <name val="Arial"/>
      <family val="2"/>
    </font>
    <font>
      <sz val="11"/>
      <color rgb="FF0070C0"/>
      <name val="Calibri"/>
      <family val="2"/>
      <scheme val="minor"/>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5"/>
        <bgColor indexed="64"/>
      </patternFill>
    </fill>
    <fill>
      <patternFill patternType="solid">
        <fgColor theme="1" tint="0.499984740745262"/>
        <bgColor indexed="64"/>
      </patternFill>
    </fill>
    <fill>
      <patternFill patternType="solid">
        <fgColor theme="1" tint="4.9989318521683403E-2"/>
        <bgColor indexed="64"/>
      </patternFill>
    </fill>
    <fill>
      <patternFill patternType="solid">
        <fgColor rgb="FF002060"/>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57">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8" fillId="0" borderId="0" xfId="0" applyFont="1"/>
    <xf numFmtId="0" fontId="8" fillId="0" borderId="0" xfId="0" applyFont="1" applyBorder="1"/>
    <xf numFmtId="0" fontId="8" fillId="0" borderId="2" xfId="0" applyFont="1" applyBorder="1"/>
    <xf numFmtId="169"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5" fillId="8" borderId="10" xfId="0" applyFont="1" applyFill="1" applyBorder="1"/>
    <xf numFmtId="0" fontId="7" fillId="9" borderId="4" xfId="0" applyFont="1" applyFill="1" applyBorder="1"/>
    <xf numFmtId="0" fontId="2" fillId="6" borderId="0" xfId="0" applyFont="1" applyFill="1"/>
    <xf numFmtId="169" fontId="2" fillId="7" borderId="4" xfId="0" applyNumberFormat="1" applyFont="1" applyFill="1" applyBorder="1" applyAlignment="1">
      <alignment horizontal="center"/>
    </xf>
    <xf numFmtId="0" fontId="7" fillId="9" borderId="8" xfId="0" applyFont="1" applyFill="1" applyBorder="1" applyAlignment="1">
      <alignment horizontal="left" vertical="center"/>
    </xf>
    <xf numFmtId="0" fontId="8" fillId="8" borderId="0"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2" fillId="7" borderId="0" xfId="0" applyFont="1" applyFill="1" applyAlignment="1">
      <alignment horizontal="left"/>
    </xf>
    <xf numFmtId="0" fontId="7" fillId="2" borderId="1" xfId="0" applyFont="1" applyFill="1" applyBorder="1"/>
    <xf numFmtId="167" fontId="4" fillId="0" borderId="0" xfId="2" applyNumberFormat="1" applyFont="1"/>
    <xf numFmtId="0" fontId="7" fillId="2" borderId="6" xfId="0" applyFont="1" applyFill="1" applyBorder="1"/>
    <xf numFmtId="167" fontId="7" fillId="2" borderId="7" xfId="2" applyNumberFormat="1" applyFont="1" applyFill="1" applyBorder="1"/>
    <xf numFmtId="10" fontId="2" fillId="0" borderId="0" xfId="1" applyNumberFormat="1" applyFont="1"/>
    <xf numFmtId="10" fontId="2" fillId="0" borderId="0" xfId="0" applyNumberFormat="1" applyFont="1"/>
    <xf numFmtId="170"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8" fontId="4" fillId="0" borderId="0" xfId="3" applyNumberFormat="1" applyFont="1" applyAlignment="1"/>
    <xf numFmtId="171" fontId="7" fillId="2" borderId="7" xfId="2" applyNumberFormat="1" applyFont="1" applyFill="1" applyBorder="1" applyAlignment="1"/>
    <xf numFmtId="168" fontId="10" fillId="0" borderId="0" xfId="3" applyNumberFormat="1" applyFont="1" applyAlignment="1">
      <alignment horizontal="right"/>
    </xf>
    <xf numFmtId="168" fontId="10" fillId="0" borderId="0" xfId="3" applyNumberFormat="1" applyFont="1" applyAlignment="1">
      <alignment horizontal="center" vertical="center"/>
    </xf>
    <xf numFmtId="0" fontId="2" fillId="0" borderId="0" xfId="0" applyFont="1" applyFill="1" applyAlignment="1">
      <alignment horizontal="left"/>
    </xf>
    <xf numFmtId="0" fontId="12" fillId="0" borderId="0" xfId="0" applyFont="1"/>
    <xf numFmtId="0" fontId="2" fillId="0" borderId="6"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2"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13" fillId="8" borderId="8" xfId="0" applyNumberFormat="1" applyFont="1" applyFill="1" applyBorder="1" applyAlignment="1">
      <alignment horizontal="left"/>
    </xf>
    <xf numFmtId="0" fontId="14" fillId="2" borderId="4" xfId="0" applyFont="1" applyFill="1" applyBorder="1" applyAlignment="1">
      <alignment horizontal="center" vertical="center" wrapText="1"/>
    </xf>
    <xf numFmtId="0" fontId="7" fillId="5" borderId="4" xfId="0" applyFont="1" applyFill="1" applyBorder="1" applyAlignment="1">
      <alignment horizontal="center"/>
    </xf>
    <xf numFmtId="0" fontId="7" fillId="5" borderId="7" xfId="0" applyFont="1" applyFill="1" applyBorder="1" applyAlignment="1">
      <alignment horizontal="center"/>
    </xf>
    <xf numFmtId="169" fontId="2" fillId="3" borderId="4" xfId="0" applyNumberFormat="1" applyFont="1" applyFill="1" applyBorder="1" applyAlignment="1">
      <alignment horizontal="center"/>
    </xf>
    <xf numFmtId="0" fontId="4" fillId="10" borderId="4" xfId="0" applyFont="1" applyFill="1" applyBorder="1" applyAlignment="1">
      <alignment horizontal="center"/>
    </xf>
    <xf numFmtId="0" fontId="14"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7" fillId="9" borderId="10" xfId="0" applyFont="1" applyFill="1" applyBorder="1"/>
    <xf numFmtId="0" fontId="7" fillId="9" borderId="5" xfId="0" applyFont="1" applyFill="1" applyBorder="1"/>
    <xf numFmtId="0" fontId="2" fillId="2" borderId="4" xfId="0" applyFont="1" applyFill="1" applyBorder="1" applyAlignment="1">
      <alignment horizontal="center"/>
    </xf>
    <xf numFmtId="0" fontId="7" fillId="9" borderId="10" xfId="0" applyFont="1" applyFill="1" applyBorder="1" applyAlignment="1">
      <alignment horizontal="left" vertical="center"/>
    </xf>
    <xf numFmtId="0" fontId="2" fillId="7" borderId="0" xfId="0" applyFont="1" applyFill="1" applyBorder="1" applyAlignment="1">
      <alignment horizontal="center" vertical="center"/>
    </xf>
    <xf numFmtId="0" fontId="16" fillId="6" borderId="0" xfId="0" applyFont="1" applyFill="1"/>
    <xf numFmtId="4" fontId="4" fillId="10" borderId="4" xfId="0" applyNumberFormat="1" applyFont="1" applyFill="1" applyBorder="1" applyAlignment="1">
      <alignment horizontal="center"/>
    </xf>
    <xf numFmtId="4" fontId="4" fillId="10" borderId="10" xfId="3" applyNumberFormat="1" applyFont="1" applyFill="1" applyBorder="1" applyAlignment="1">
      <alignment horizontal="center" vertical="center"/>
    </xf>
    <xf numFmtId="4" fontId="7" fillId="11" borderId="4" xfId="0" applyNumberFormat="1" applyFont="1" applyFill="1" applyBorder="1" applyAlignment="1">
      <alignment horizontal="center"/>
    </xf>
    <xf numFmtId="0" fontId="14" fillId="2" borderId="4" xfId="0" applyFont="1" applyFill="1" applyBorder="1" applyAlignment="1">
      <alignment horizontal="center"/>
    </xf>
    <xf numFmtId="0" fontId="4" fillId="10" borderId="3" xfId="0" applyFont="1" applyFill="1" applyBorder="1" applyAlignment="1">
      <alignment horizontal="left" vertical="center" wrapText="1"/>
    </xf>
    <xf numFmtId="0" fontId="4" fillId="10" borderId="4" xfId="0" applyFont="1" applyFill="1" applyBorder="1" applyAlignment="1">
      <alignment horizontal="left" vertical="center"/>
    </xf>
    <xf numFmtId="10" fontId="7" fillId="10" borderId="4" xfId="0" applyNumberFormat="1" applyFont="1" applyFill="1" applyBorder="1" applyAlignment="1">
      <alignment horizontal="center"/>
    </xf>
    <xf numFmtId="169" fontId="2" fillId="7" borderId="4" xfId="0" applyNumberFormat="1" applyFont="1" applyFill="1" applyBorder="1" applyAlignment="1">
      <alignment horizontal="left"/>
    </xf>
    <xf numFmtId="10" fontId="4" fillId="10" borderId="4" xfId="0" applyNumberFormat="1" applyFont="1" applyFill="1" applyBorder="1" applyAlignment="1">
      <alignment horizontal="center"/>
    </xf>
    <xf numFmtId="10" fontId="2" fillId="3" borderId="4" xfId="0"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0" fontId="9" fillId="4" borderId="4" xfId="0" applyFont="1" applyFill="1" applyBorder="1" applyAlignment="1">
      <alignment horizontal="left"/>
    </xf>
    <xf numFmtId="0" fontId="9" fillId="4" borderId="0" xfId="0" applyFont="1" applyFill="1" applyBorder="1" applyAlignment="1">
      <alignment horizontal="left" vertical="top" wrapText="1"/>
    </xf>
    <xf numFmtId="0" fontId="7" fillId="11" borderId="8" xfId="0" applyFont="1" applyFill="1" applyBorder="1" applyAlignment="1">
      <alignment horizontal="center"/>
    </xf>
    <xf numFmtId="0" fontId="17" fillId="8" borderId="0" xfId="0" applyFont="1" applyFill="1"/>
    <xf numFmtId="0" fontId="18" fillId="8" borderId="0" xfId="0" applyFont="1" applyFill="1"/>
    <xf numFmtId="0" fontId="19" fillId="0" borderId="0" xfId="0" applyFont="1"/>
    <xf numFmtId="0" fontId="20" fillId="0" borderId="0" xfId="0" applyFont="1"/>
    <xf numFmtId="0" fontId="21" fillId="11" borderId="7" xfId="0" applyFont="1" applyFill="1" applyBorder="1" applyAlignment="1">
      <alignment horizontal="left"/>
    </xf>
    <xf numFmtId="0" fontId="21" fillId="11" borderId="7" xfId="0" applyFont="1" applyFill="1" applyBorder="1" applyAlignment="1">
      <alignment horizontal="center"/>
    </xf>
    <xf numFmtId="0" fontId="21" fillId="11" borderId="8" xfId="0" applyFont="1" applyFill="1" applyBorder="1" applyAlignment="1">
      <alignment horizontal="center"/>
    </xf>
    <xf numFmtId="0" fontId="21" fillId="11" borderId="8" xfId="0" applyFont="1" applyFill="1" applyBorder="1" applyAlignment="1">
      <alignment horizontal="right"/>
    </xf>
    <xf numFmtId="0" fontId="22" fillId="10" borderId="4" xfId="0" applyFont="1" applyFill="1" applyBorder="1" applyAlignment="1">
      <alignment horizontal="left"/>
    </xf>
    <xf numFmtId="0" fontId="20" fillId="10" borderId="4" xfId="0" applyFont="1" applyFill="1" applyBorder="1" applyAlignment="1">
      <alignment wrapText="1"/>
    </xf>
    <xf numFmtId="167" fontId="20" fillId="10" borderId="4" xfId="2" applyNumberFormat="1" applyFont="1" applyFill="1" applyBorder="1"/>
    <xf numFmtId="0" fontId="20" fillId="4" borderId="3" xfId="0" applyFont="1" applyFill="1" applyBorder="1"/>
    <xf numFmtId="0" fontId="20" fillId="10" borderId="4" xfId="0" applyFont="1" applyFill="1" applyBorder="1"/>
    <xf numFmtId="0" fontId="21" fillId="5" borderId="8" xfId="0" applyFont="1" applyFill="1" applyBorder="1"/>
    <xf numFmtId="0" fontId="21" fillId="5" borderId="0" xfId="0" applyFont="1" applyFill="1" applyBorder="1"/>
    <xf numFmtId="167" fontId="21" fillId="5" borderId="8" xfId="2" applyNumberFormat="1" applyFont="1" applyFill="1" applyBorder="1"/>
    <xf numFmtId="0" fontId="21" fillId="11" borderId="11" xfId="0" applyFont="1" applyFill="1" applyBorder="1" applyAlignment="1">
      <alignment horizontal="left"/>
    </xf>
    <xf numFmtId="0" fontId="20" fillId="4" borderId="5" xfId="0" applyFont="1" applyFill="1" applyBorder="1"/>
    <xf numFmtId="3" fontId="20" fillId="10" borderId="4" xfId="0" applyNumberFormat="1" applyFont="1" applyFill="1" applyBorder="1"/>
    <xf numFmtId="0" fontId="20" fillId="4" borderId="5" xfId="0" quotePrefix="1" applyFont="1" applyFill="1" applyBorder="1"/>
    <xf numFmtId="3" fontId="20" fillId="4" borderId="4" xfId="0" applyNumberFormat="1" applyFont="1" applyFill="1" applyBorder="1"/>
    <xf numFmtId="0" fontId="21" fillId="11" borderId="8" xfId="0" applyFont="1" applyFill="1" applyBorder="1"/>
    <xf numFmtId="3" fontId="21" fillId="5" borderId="8" xfId="0" applyNumberFormat="1" applyFont="1" applyFill="1" applyBorder="1"/>
    <xf numFmtId="0" fontId="23" fillId="0" borderId="0" xfId="0" applyFont="1"/>
    <xf numFmtId="0" fontId="21" fillId="5" borderId="6" xfId="0" applyFont="1" applyFill="1" applyBorder="1" applyAlignment="1">
      <alignment horizontal="left"/>
    </xf>
    <xf numFmtId="0" fontId="21" fillId="5" borderId="12" xfId="0" applyFont="1" applyFill="1" applyBorder="1"/>
    <xf numFmtId="0" fontId="24" fillId="5" borderId="12" xfId="0" applyFont="1" applyFill="1" applyBorder="1"/>
    <xf numFmtId="0" fontId="20" fillId="4" borderId="0" xfId="0" quotePrefix="1" applyFont="1" applyFill="1" applyBorder="1" applyAlignment="1">
      <alignment vertical="top"/>
    </xf>
    <xf numFmtId="0" fontId="20" fillId="4" borderId="0" xfId="0" applyFont="1" applyFill="1" applyBorder="1" applyAlignment="1">
      <alignment vertical="top"/>
    </xf>
    <xf numFmtId="167" fontId="20" fillId="10" borderId="4" xfId="2" applyNumberFormat="1" applyFont="1" applyFill="1" applyBorder="1" applyAlignment="1">
      <alignment horizontal="right"/>
    </xf>
    <xf numFmtId="0" fontId="5" fillId="8" borderId="0" xfId="0" applyFont="1" applyFill="1" applyAlignment="1">
      <alignment horizontal="left"/>
    </xf>
    <xf numFmtId="0" fontId="26" fillId="2" borderId="4" xfId="0" applyFont="1" applyFill="1" applyBorder="1" applyAlignment="1">
      <alignment horizontal="center" vertical="center"/>
    </xf>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0" fontId="4" fillId="10" borderId="13" xfId="0" applyFont="1" applyFill="1" applyBorder="1"/>
    <xf numFmtId="0" fontId="4" fillId="10" borderId="13" xfId="0" applyFont="1" applyFill="1" applyBorder="1" applyAlignment="1">
      <alignment horizontal="center"/>
    </xf>
    <xf numFmtId="4" fontId="4" fillId="10" borderId="13" xfId="0" applyNumberFormat="1" applyFont="1" applyFill="1" applyBorder="1" applyAlignment="1">
      <alignment horizontal="center"/>
    </xf>
    <xf numFmtId="4" fontId="4" fillId="10" borderId="8" xfId="3" applyNumberFormat="1" applyFont="1" applyFill="1" applyBorder="1" applyAlignment="1">
      <alignment horizontal="center" vertic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2" fontId="5" fillId="8" borderId="9" xfId="0" applyNumberFormat="1" applyFont="1" applyFill="1" applyBorder="1" applyAlignment="1">
      <alignment horizontal="center" vertical="center" wrapText="1"/>
    </xf>
    <xf numFmtId="3"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167" fontId="23" fillId="11" borderId="5" xfId="2" applyNumberFormat="1" applyFont="1" applyFill="1" applyBorder="1"/>
    <xf numFmtId="3" fontId="23" fillId="11" borderId="10" xfId="0" applyNumberFormat="1" applyFont="1" applyFill="1" applyBorder="1"/>
    <xf numFmtId="3" fontId="23" fillId="11" borderId="4" xfId="0" applyNumberFormat="1"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25"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27" fillId="0" borderId="0" xfId="0" applyFont="1"/>
    <xf numFmtId="166" fontId="5" fillId="13" borderId="4" xfId="3" applyFont="1" applyFill="1" applyBorder="1" applyAlignment="1">
      <alignment horizontal="left"/>
    </xf>
    <xf numFmtId="166" fontId="5" fillId="13"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28" fillId="4" borderId="5" xfId="0" applyFont="1" applyFill="1" applyBorder="1"/>
    <xf numFmtId="0" fontId="2" fillId="4" borderId="4" xfId="0" applyFont="1" applyFill="1" applyBorder="1" applyAlignment="1">
      <alignment horizontal="left"/>
    </xf>
    <xf numFmtId="166" fontId="29"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29" fillId="5" borderId="4" xfId="3" applyFont="1" applyFill="1" applyBorder="1"/>
    <xf numFmtId="0" fontId="6" fillId="4" borderId="4" xfId="0" applyFont="1" applyFill="1" applyBorder="1" applyAlignment="1">
      <alignment horizontal="left"/>
    </xf>
    <xf numFmtId="166" fontId="30"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169" fontId="2" fillId="7" borderId="5" xfId="0" applyNumberFormat="1" applyFont="1" applyFill="1" applyBorder="1" applyAlignment="1">
      <alignment horizontal="left" wrapText="1"/>
    </xf>
    <xf numFmtId="10" fontId="2" fillId="3" borderId="4" xfId="0" applyNumberFormat="1" applyFont="1" applyFill="1" applyBorder="1" applyAlignment="1">
      <alignment horizontal="center" vertical="center"/>
    </xf>
    <xf numFmtId="10" fontId="4" fillId="10" borderId="4" xfId="1" applyNumberFormat="1" applyFont="1" applyFill="1" applyBorder="1" applyAlignment="1">
      <alignment horizontal="center" vertical="center"/>
    </xf>
    <xf numFmtId="10" fontId="4" fillId="10" borderId="4" xfId="1" applyNumberFormat="1" applyFont="1" applyFill="1" applyBorder="1" applyAlignment="1">
      <alignment horizontal="center" vertical="center" wrapText="1"/>
    </xf>
    <xf numFmtId="0" fontId="2" fillId="7" borderId="1" xfId="0" applyFont="1" applyFill="1" applyBorder="1" applyAlignment="1">
      <alignment horizontal="left" wrapText="1"/>
    </xf>
    <xf numFmtId="0" fontId="2" fillId="7" borderId="0" xfId="0" applyFont="1" applyFill="1" applyBorder="1" applyAlignment="1">
      <alignment horizontal="left" wrapText="1"/>
    </xf>
    <xf numFmtId="0" fontId="9" fillId="7" borderId="0" xfId="0" quotePrefix="1"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169" fontId="4" fillId="7" borderId="4" xfId="0" applyNumberFormat="1" applyFont="1" applyFill="1" applyBorder="1" applyAlignment="1">
      <alignment horizontal="left"/>
    </xf>
    <xf numFmtId="0" fontId="6" fillId="7" borderId="5" xfId="0" applyNumberFormat="1" applyFont="1" applyFill="1" applyBorder="1" applyAlignment="1">
      <alignment horizontal="left" wrapText="1"/>
    </xf>
    <xf numFmtId="0" fontId="6" fillId="7" borderId="2" xfId="0" applyNumberFormat="1" applyFont="1" applyFill="1" applyBorder="1" applyAlignment="1">
      <alignment horizontal="left" wrapText="1"/>
    </xf>
    <xf numFmtId="0" fontId="6"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7" fillId="9" borderId="9" xfId="0" applyFont="1" applyFill="1" applyBorder="1" applyAlignment="1">
      <alignment horizontal="left" vertical="center"/>
    </xf>
    <xf numFmtId="0" fontId="7" fillId="9" borderId="7" xfId="0" applyFont="1" applyFill="1" applyBorder="1" applyAlignment="1">
      <alignment horizontal="left" vertical="center"/>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4" borderId="0" xfId="0" applyFont="1" applyFill="1" applyBorder="1" applyAlignment="1">
      <alignment horizontal="center"/>
    </xf>
    <xf numFmtId="2" fontId="5" fillId="15" borderId="0" xfId="0" applyNumberFormat="1" applyFont="1" applyFill="1" applyAlignment="1">
      <alignment horizontal="center"/>
    </xf>
    <xf numFmtId="0" fontId="22" fillId="4" borderId="1" xfId="0" applyFont="1" applyFill="1" applyBorder="1" applyAlignment="1">
      <alignment horizontal="left" vertical="top" wrapText="1"/>
    </xf>
    <xf numFmtId="0" fontId="22" fillId="4" borderId="0" xfId="0" applyFont="1" applyFill="1" applyBorder="1" applyAlignment="1">
      <alignment horizontal="left" vertical="top" wrapText="1"/>
    </xf>
    <xf numFmtId="0" fontId="20" fillId="4" borderId="1" xfId="0" quotePrefix="1" applyFont="1" applyFill="1" applyBorder="1" applyAlignment="1">
      <alignment horizontal="left" vertical="top" wrapText="1"/>
    </xf>
    <xf numFmtId="0" fontId="20" fillId="4" borderId="0" xfId="0" quotePrefix="1" applyFont="1" applyFill="1" applyBorder="1" applyAlignment="1">
      <alignment horizontal="left" vertical="top" wrapText="1"/>
    </xf>
    <xf numFmtId="10" fontId="27" fillId="12" borderId="12" xfId="0" applyNumberFormat="1" applyFont="1" applyFill="1" applyBorder="1" applyAlignment="1">
      <alignment horizontal="center"/>
    </xf>
    <xf numFmtId="10" fontId="27" fillId="12"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7" fillId="5" borderId="5" xfId="0" applyFont="1" applyFill="1" applyBorder="1"/>
    <xf numFmtId="0" fontId="4" fillId="5" borderId="2" xfId="0" applyFont="1" applyFill="1" applyBorder="1"/>
    <xf numFmtId="0" fontId="4" fillId="5" borderId="3" xfId="0" applyFont="1" applyFill="1" applyBorder="1"/>
    <xf numFmtId="166" fontId="30"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1"/>
  <sheetViews>
    <sheetView showGridLines="0" tabSelected="1" zoomScale="90" zoomScaleNormal="90" workbookViewId="0">
      <selection activeCell="H60" sqref="H60"/>
    </sheetView>
  </sheetViews>
  <sheetFormatPr defaultColWidth="9.140625" defaultRowHeight="12.75" x14ac:dyDescent="0.2"/>
  <cols>
    <col min="1" max="1" width="2.42578125" style="1" customWidth="1"/>
    <col min="2" max="2" width="41.85546875" style="1" customWidth="1"/>
    <col min="3" max="3" width="20" style="1" customWidth="1"/>
    <col min="4" max="4" width="17.42578125" style="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48" t="s">
        <v>7</v>
      </c>
      <c r="C2" s="27"/>
      <c r="D2" s="27"/>
      <c r="E2" s="27"/>
      <c r="F2" s="27"/>
      <c r="G2" s="27"/>
      <c r="H2" s="27"/>
      <c r="O2" s="35"/>
      <c r="P2" s="35"/>
      <c r="Q2" s="35"/>
      <c r="R2" s="35"/>
      <c r="S2" s="35"/>
    </row>
    <row r="3" spans="2:19" ht="75.75" customHeight="1" x14ac:dyDescent="0.2">
      <c r="B3" s="50" t="s">
        <v>55</v>
      </c>
      <c r="C3" s="214" t="s">
        <v>72</v>
      </c>
      <c r="D3" s="215"/>
      <c r="E3" s="216"/>
      <c r="F3" s="216"/>
      <c r="G3" s="216"/>
      <c r="H3" s="216"/>
      <c r="M3" s="51"/>
      <c r="N3" s="51"/>
      <c r="O3" s="35"/>
      <c r="P3" s="35"/>
      <c r="Q3" s="35"/>
      <c r="R3" s="35"/>
      <c r="S3" s="35"/>
    </row>
    <row r="4" spans="2:19" ht="55.5" customHeight="1" x14ac:dyDescent="0.2">
      <c r="B4" s="98"/>
      <c r="C4" s="100"/>
      <c r="D4" s="91"/>
      <c r="E4" s="96"/>
      <c r="F4" s="96"/>
      <c r="G4" s="96"/>
      <c r="H4" s="96"/>
      <c r="M4" s="51"/>
      <c r="N4" s="51"/>
      <c r="O4" s="35"/>
      <c r="P4" s="35"/>
      <c r="Q4" s="35"/>
      <c r="R4" s="35"/>
      <c r="S4" s="35"/>
    </row>
    <row r="5" spans="2:19" x14ac:dyDescent="0.2">
      <c r="B5" s="99" t="s">
        <v>14</v>
      </c>
      <c r="C5" s="107"/>
      <c r="D5" s="150" t="s">
        <v>138</v>
      </c>
      <c r="E5" s="97"/>
      <c r="F5" s="97"/>
      <c r="G5" s="97"/>
      <c r="H5" s="97"/>
      <c r="M5" s="51"/>
      <c r="N5" s="51"/>
      <c r="O5" s="35"/>
      <c r="P5" s="35"/>
      <c r="Q5" s="35"/>
      <c r="R5" s="35"/>
      <c r="S5" s="35"/>
    </row>
    <row r="6" spans="2:19" x14ac:dyDescent="0.2">
      <c r="B6" s="101" t="s">
        <v>42</v>
      </c>
      <c r="C6" s="52"/>
      <c r="D6" s="52" t="s">
        <v>71</v>
      </c>
      <c r="E6" s="102"/>
      <c r="F6" s="102"/>
      <c r="G6" s="102"/>
      <c r="H6" s="102"/>
      <c r="M6" s="51"/>
      <c r="N6" s="51"/>
      <c r="O6" s="35"/>
      <c r="P6" s="35"/>
      <c r="Q6" s="35"/>
      <c r="R6" s="35"/>
      <c r="S6" s="35"/>
    </row>
    <row r="7" spans="2:19" ht="15" customHeight="1" x14ac:dyDescent="0.2">
      <c r="B7" s="218" t="s">
        <v>91</v>
      </c>
      <c r="C7" s="111" t="s">
        <v>78</v>
      </c>
      <c r="D7" s="94">
        <f>'Proposed price build-up'!Q7</f>
        <v>239.25091780307636</v>
      </c>
      <c r="E7" s="102"/>
      <c r="F7" s="102"/>
      <c r="G7" s="102"/>
      <c r="H7" s="102"/>
      <c r="M7" s="51"/>
      <c r="N7" s="51"/>
      <c r="O7" s="35"/>
      <c r="P7" s="35"/>
      <c r="Q7" s="35"/>
      <c r="R7" s="35"/>
      <c r="S7" s="35"/>
    </row>
    <row r="8" spans="2:19" ht="52.9" customHeight="1" x14ac:dyDescent="0.2">
      <c r="B8" s="219"/>
      <c r="C8" s="204" t="s">
        <v>132</v>
      </c>
      <c r="D8" s="205">
        <f>(1+D9)*(1+D10)-1</f>
        <v>0.55889567721915312</v>
      </c>
      <c r="E8" s="102"/>
      <c r="F8" s="102"/>
      <c r="G8" s="102"/>
      <c r="H8" s="102"/>
      <c r="M8" s="51"/>
      <c r="N8" s="51"/>
      <c r="O8" s="35"/>
      <c r="P8" s="35"/>
      <c r="Q8" s="35"/>
      <c r="R8" s="35"/>
      <c r="S8" s="35"/>
    </row>
    <row r="9" spans="2:19" ht="12" customHeight="1" x14ac:dyDescent="0.2">
      <c r="B9" s="219"/>
      <c r="C9" s="204" t="s">
        <v>133</v>
      </c>
      <c r="D9" s="113">
        <f>'Proposed price build-up'!N8</f>
        <v>0.46592661151676018</v>
      </c>
      <c r="E9" s="102"/>
      <c r="F9" s="102"/>
      <c r="G9" s="102"/>
      <c r="H9" s="102"/>
      <c r="M9" s="51"/>
      <c r="N9" s="51"/>
      <c r="O9" s="35"/>
      <c r="P9" s="35"/>
      <c r="Q9" s="35"/>
      <c r="R9" s="35"/>
      <c r="S9" s="35"/>
    </row>
    <row r="10" spans="2:19" ht="11.45" customHeight="1" x14ac:dyDescent="0.2">
      <c r="B10" s="219"/>
      <c r="C10" s="204" t="s">
        <v>134</v>
      </c>
      <c r="D10" s="113">
        <f>'Proposed price build-up'!P8</f>
        <v>6.3420000000000004E-2</v>
      </c>
      <c r="E10" s="102"/>
      <c r="F10" s="102"/>
      <c r="G10" s="102"/>
      <c r="H10" s="102"/>
      <c r="M10" s="51"/>
      <c r="N10" s="51"/>
      <c r="O10" s="35"/>
      <c r="P10" s="35"/>
      <c r="Q10" s="35"/>
      <c r="R10" s="35"/>
      <c r="S10" s="35"/>
    </row>
    <row r="11" spans="2:19" x14ac:dyDescent="0.2">
      <c r="B11" s="53" t="s">
        <v>48</v>
      </c>
      <c r="C11" s="213" t="s">
        <v>68</v>
      </c>
      <c r="D11" s="213"/>
      <c r="E11" s="37"/>
      <c r="F11" s="37"/>
      <c r="G11" s="37"/>
      <c r="H11" s="37"/>
      <c r="O11" s="35"/>
      <c r="P11" s="35"/>
      <c r="Q11" s="35"/>
      <c r="R11" s="35"/>
      <c r="S11" s="35"/>
    </row>
    <row r="12" spans="2:19" x14ac:dyDescent="0.2">
      <c r="B12" s="49" t="s">
        <v>5</v>
      </c>
      <c r="C12" s="54"/>
      <c r="D12" s="54"/>
      <c r="E12" s="32"/>
      <c r="F12" s="32"/>
      <c r="G12" s="32"/>
      <c r="H12" s="32"/>
      <c r="O12" s="35"/>
      <c r="P12" s="35"/>
      <c r="Q12" s="35"/>
      <c r="R12" s="35"/>
      <c r="S12" s="35"/>
    </row>
    <row r="13" spans="2:19" ht="126" customHeight="1" x14ac:dyDescent="0.2">
      <c r="B13" s="217" t="s">
        <v>79</v>
      </c>
      <c r="C13" s="217"/>
      <c r="D13" s="217"/>
      <c r="E13" s="217"/>
      <c r="F13" s="217"/>
      <c r="G13" s="217"/>
      <c r="H13" s="217"/>
      <c r="O13" s="35"/>
      <c r="P13" s="35"/>
      <c r="Q13" s="35"/>
      <c r="R13" s="35"/>
      <c r="S13" s="35"/>
    </row>
    <row r="14" spans="2:19" x14ac:dyDescent="0.2">
      <c r="B14" s="55"/>
      <c r="C14" s="55"/>
      <c r="D14" s="55"/>
      <c r="E14" s="55"/>
      <c r="F14" s="55"/>
      <c r="G14" s="55"/>
      <c r="H14" s="55"/>
      <c r="O14" s="35"/>
      <c r="P14" s="35"/>
      <c r="Q14" s="35"/>
      <c r="R14" s="35"/>
      <c r="S14" s="35"/>
    </row>
    <row r="15" spans="2:19" x14ac:dyDescent="0.2">
      <c r="O15" s="35"/>
      <c r="P15" s="35"/>
      <c r="Q15" s="35"/>
      <c r="R15" s="35"/>
      <c r="S15" s="35"/>
    </row>
    <row r="16" spans="2:19" x14ac:dyDescent="0.2">
      <c r="B16" s="26" t="s">
        <v>35</v>
      </c>
      <c r="C16" s="27"/>
      <c r="D16" s="27"/>
      <c r="E16" s="27"/>
      <c r="F16" s="27"/>
      <c r="G16" s="27"/>
      <c r="H16" s="27"/>
      <c r="O16" s="35"/>
      <c r="P16" s="35"/>
      <c r="Q16" s="35"/>
      <c r="R16" s="35"/>
      <c r="S16" s="35"/>
    </row>
    <row r="17" spans="2:9" x14ac:dyDescent="0.2">
      <c r="B17" s="209"/>
      <c r="C17" s="209"/>
      <c r="D17" s="209"/>
      <c r="E17" s="209"/>
      <c r="F17" s="209"/>
      <c r="G17" s="209"/>
      <c r="H17" s="209"/>
    </row>
    <row r="18" spans="2:9" ht="143.25" customHeight="1" x14ac:dyDescent="0.2">
      <c r="B18" s="211" t="s">
        <v>139</v>
      </c>
      <c r="C18" s="211"/>
      <c r="D18" s="211"/>
      <c r="E18" s="211"/>
      <c r="F18" s="211"/>
      <c r="G18" s="211"/>
      <c r="H18" s="211"/>
      <c r="I18" s="35"/>
    </row>
    <row r="19" spans="2:9" x14ac:dyDescent="0.2">
      <c r="B19" s="57"/>
      <c r="C19" s="57"/>
      <c r="D19" s="57"/>
      <c r="E19" s="57"/>
      <c r="F19" s="57"/>
      <c r="G19" s="57"/>
      <c r="H19" s="57"/>
    </row>
    <row r="20" spans="2:9" x14ac:dyDescent="0.2">
      <c r="B20" s="58"/>
      <c r="C20" s="58"/>
      <c r="D20" s="58"/>
      <c r="E20" s="58"/>
      <c r="F20" s="58"/>
      <c r="G20" s="58"/>
      <c r="H20" s="58"/>
    </row>
    <row r="21" spans="2:9" x14ac:dyDescent="0.2">
      <c r="B21" s="26" t="s">
        <v>43</v>
      </c>
      <c r="C21" s="27"/>
      <c r="D21" s="27"/>
      <c r="E21" s="27"/>
      <c r="F21" s="27"/>
      <c r="G21" s="27"/>
      <c r="H21" s="27"/>
    </row>
    <row r="22" spans="2:9" x14ac:dyDescent="0.2">
      <c r="B22" s="209"/>
      <c r="C22" s="209"/>
      <c r="D22" s="209"/>
      <c r="E22" s="209"/>
      <c r="F22" s="209"/>
      <c r="G22" s="209"/>
      <c r="H22" s="209"/>
    </row>
    <row r="23" spans="2:9" x14ac:dyDescent="0.2">
      <c r="B23" s="210" t="s">
        <v>69</v>
      </c>
      <c r="C23" s="210"/>
      <c r="D23" s="210"/>
      <c r="E23" s="210"/>
      <c r="F23" s="210"/>
      <c r="G23" s="210"/>
      <c r="H23" s="210"/>
    </row>
    <row r="24" spans="2:9" x14ac:dyDescent="0.2">
      <c r="B24" s="211"/>
      <c r="C24" s="211"/>
      <c r="D24" s="211"/>
      <c r="E24" s="211"/>
      <c r="F24" s="211"/>
      <c r="G24" s="211"/>
      <c r="H24" s="211"/>
    </row>
    <row r="25" spans="2:9" x14ac:dyDescent="0.2">
      <c r="B25" s="211"/>
      <c r="C25" s="212"/>
      <c r="D25" s="212"/>
      <c r="E25" s="212"/>
      <c r="F25" s="212"/>
      <c r="G25" s="212"/>
      <c r="H25" s="212"/>
    </row>
    <row r="26" spans="2:9" x14ac:dyDescent="0.2">
      <c r="B26" s="56"/>
      <c r="C26" s="56"/>
      <c r="D26" s="56"/>
      <c r="E26" s="56"/>
      <c r="F26" s="56"/>
      <c r="G26" s="56"/>
      <c r="H26" s="56"/>
    </row>
    <row r="27" spans="2:9" x14ac:dyDescent="0.2">
      <c r="B27" s="209"/>
      <c r="C27" s="209"/>
      <c r="D27" s="209"/>
      <c r="E27" s="209"/>
      <c r="F27" s="209"/>
      <c r="G27" s="209"/>
      <c r="H27" s="209"/>
    </row>
    <row r="28" spans="2:9" x14ac:dyDescent="0.2">
      <c r="B28" s="57"/>
      <c r="C28" s="57"/>
      <c r="D28" s="57"/>
      <c r="E28" s="57"/>
      <c r="F28" s="57"/>
      <c r="G28" s="57"/>
      <c r="H28" s="57"/>
    </row>
    <row r="29" spans="2:9" x14ac:dyDescent="0.2">
      <c r="B29" s="57"/>
      <c r="C29" s="57"/>
      <c r="D29" s="57"/>
      <c r="E29" s="57"/>
      <c r="F29" s="57"/>
      <c r="G29" s="57"/>
      <c r="H29" s="57"/>
    </row>
    <row r="30" spans="2:9" x14ac:dyDescent="0.2">
      <c r="B30" s="57"/>
      <c r="C30" s="57"/>
      <c r="D30" s="57"/>
      <c r="E30" s="57"/>
      <c r="F30" s="57"/>
      <c r="G30" s="57"/>
      <c r="H30" s="57"/>
    </row>
    <row r="31" spans="2:9" x14ac:dyDescent="0.2">
      <c r="B31" s="57"/>
      <c r="C31" s="57"/>
      <c r="D31" s="57"/>
      <c r="E31" s="57"/>
      <c r="F31" s="57"/>
      <c r="G31" s="57"/>
      <c r="H31" s="57"/>
    </row>
    <row r="32" spans="2:9" x14ac:dyDescent="0.2">
      <c r="B32" s="59"/>
      <c r="C32" s="59"/>
      <c r="D32" s="59"/>
      <c r="E32" s="59"/>
      <c r="F32" s="59"/>
      <c r="G32" s="59"/>
      <c r="H32" s="59"/>
      <c r="I32" s="35"/>
    </row>
    <row r="33" spans="2:8" x14ac:dyDescent="0.2">
      <c r="B33" s="26" t="s">
        <v>6</v>
      </c>
    </row>
    <row r="34" spans="2:8" x14ac:dyDescent="0.2">
      <c r="B34" s="60" t="s">
        <v>15</v>
      </c>
      <c r="C34" s="61" t="s">
        <v>30</v>
      </c>
      <c r="D34" s="61"/>
      <c r="E34" s="61"/>
      <c r="F34" s="61"/>
      <c r="G34" s="61"/>
      <c r="H34" s="61"/>
    </row>
    <row r="35" spans="2:8" x14ac:dyDescent="0.2">
      <c r="B35" s="62" t="s">
        <v>46</v>
      </c>
      <c r="C35" s="61" t="s">
        <v>52</v>
      </c>
      <c r="D35" s="61"/>
      <c r="E35" s="61"/>
      <c r="F35" s="61"/>
      <c r="G35" s="61"/>
      <c r="H35" s="61"/>
    </row>
    <row r="36" spans="2:8" x14ac:dyDescent="0.2">
      <c r="B36" s="62" t="s">
        <v>47</v>
      </c>
      <c r="C36" s="61" t="s">
        <v>53</v>
      </c>
      <c r="D36" s="61"/>
      <c r="E36" s="61"/>
      <c r="F36" s="61"/>
      <c r="G36" s="61"/>
      <c r="H36" s="61"/>
    </row>
    <row r="37" spans="2:8" x14ac:dyDescent="0.2">
      <c r="B37" s="62" t="s">
        <v>16</v>
      </c>
      <c r="C37" s="61" t="s">
        <v>31</v>
      </c>
      <c r="D37" s="61"/>
      <c r="E37" s="61"/>
      <c r="F37" s="61"/>
      <c r="G37" s="61"/>
      <c r="H37" s="61"/>
    </row>
    <row r="40" spans="2:8" x14ac:dyDescent="0.2">
      <c r="B40" s="26" t="s">
        <v>36</v>
      </c>
      <c r="C40" s="27"/>
      <c r="D40" s="27"/>
      <c r="E40" s="27"/>
      <c r="F40" s="27"/>
      <c r="G40" s="27"/>
      <c r="H40" s="27"/>
    </row>
    <row r="42" spans="2:8" x14ac:dyDescent="0.2">
      <c r="B42" s="47"/>
      <c r="C42" s="28" t="s">
        <v>37</v>
      </c>
      <c r="D42" s="28" t="s">
        <v>38</v>
      </c>
      <c r="E42" s="28" t="s">
        <v>39</v>
      </c>
      <c r="F42" s="28" t="s">
        <v>41</v>
      </c>
      <c r="G42" s="28" t="s">
        <v>40</v>
      </c>
      <c r="H42" s="29" t="s">
        <v>1</v>
      </c>
    </row>
    <row r="43" spans="2:8" x14ac:dyDescent="0.2">
      <c r="C43" s="63"/>
      <c r="D43" s="63"/>
      <c r="E43" s="63"/>
      <c r="F43" s="63"/>
      <c r="G43" s="63"/>
      <c r="H43" s="63"/>
    </row>
    <row r="44" spans="2:8" x14ac:dyDescent="0.2">
      <c r="B44" s="64" t="s">
        <v>92</v>
      </c>
      <c r="C44" s="65">
        <f>'Forecast Revenue - Costs'!D30</f>
        <v>13833.975615956129</v>
      </c>
      <c r="D44" s="65">
        <f>'Forecast Revenue - Costs'!E30</f>
        <v>13833.975615956129</v>
      </c>
      <c r="E44" s="65">
        <f>'Forecast Revenue - Costs'!F30</f>
        <v>13964.443667814465</v>
      </c>
      <c r="F44" s="65">
        <f>'Forecast Revenue - Costs'!G30</f>
        <v>14241.824107116145</v>
      </c>
      <c r="G44" s="65">
        <f>'Forecast Revenue - Costs'!H30</f>
        <v>14656.165634471563</v>
      </c>
      <c r="H44" s="65">
        <f>SUM(C44:G44)</f>
        <v>70530.384641314435</v>
      </c>
    </row>
    <row r="45" spans="2:8" x14ac:dyDescent="0.2">
      <c r="C45" s="66"/>
      <c r="D45" s="67"/>
      <c r="E45" s="66"/>
      <c r="F45" s="66"/>
      <c r="G45" s="66"/>
    </row>
    <row r="46" spans="2:8" x14ac:dyDescent="0.2">
      <c r="B46" s="64" t="s">
        <v>93</v>
      </c>
      <c r="C46" s="65">
        <f>SUM('Forecast Revenue - Costs'!D31:D33)</f>
        <v>10091.116164351508</v>
      </c>
      <c r="D46" s="65">
        <f>SUM('Forecast Revenue - Costs'!E31:E33)</f>
        <v>10091.116164351508</v>
      </c>
      <c r="E46" s="65">
        <f>SUM('Forecast Revenue - Costs'!F31:F33)</f>
        <v>10186.285355304874</v>
      </c>
      <c r="F46" s="65">
        <f>SUM('Forecast Revenue - Costs'!G31:G33)</f>
        <v>10388.618965860296</v>
      </c>
      <c r="G46" s="65">
        <f>SUM('Forecast Revenue - Costs'!H31:H33)</f>
        <v>10690.858076317872</v>
      </c>
      <c r="H46" s="65">
        <f>SUM(C46:G46)</f>
        <v>51447.994726186065</v>
      </c>
    </row>
    <row r="47" spans="2:8" x14ac:dyDescent="0.2">
      <c r="C47" s="66"/>
      <c r="D47" s="67"/>
      <c r="E47" s="66"/>
      <c r="F47" s="66"/>
      <c r="G47" s="66"/>
    </row>
    <row r="48" spans="2:8" x14ac:dyDescent="0.2">
      <c r="B48" s="64" t="s">
        <v>94</v>
      </c>
      <c r="C48" s="65">
        <f t="shared" ref="C48:H48" si="0">+C44+C46</f>
        <v>23925.091780307637</v>
      </c>
      <c r="D48" s="65">
        <f t="shared" si="0"/>
        <v>23925.091780307637</v>
      </c>
      <c r="E48" s="65">
        <f t="shared" si="0"/>
        <v>24150.72902311934</v>
      </c>
      <c r="F48" s="65">
        <f t="shared" si="0"/>
        <v>24630.443072976443</v>
      </c>
      <c r="G48" s="65">
        <f t="shared" si="0"/>
        <v>25347.023710789435</v>
      </c>
      <c r="H48" s="65">
        <f t="shared" si="0"/>
        <v>121978.3793675005</v>
      </c>
    </row>
    <row r="49" spans="2:9" x14ac:dyDescent="0.2">
      <c r="C49" s="68"/>
      <c r="D49" s="68"/>
      <c r="E49" s="68"/>
      <c r="F49" s="68"/>
      <c r="G49" s="68"/>
    </row>
    <row r="50" spans="2:9" x14ac:dyDescent="0.2">
      <c r="B50" s="69" t="s">
        <v>6</v>
      </c>
    </row>
    <row r="51" spans="2:9" ht="14.25" customHeight="1" x14ac:dyDescent="0.2">
      <c r="B51" s="208"/>
      <c r="C51" s="208"/>
      <c r="D51" s="208"/>
      <c r="E51" s="208"/>
      <c r="F51" s="208"/>
      <c r="G51" s="208"/>
      <c r="H51" s="208"/>
    </row>
    <row r="52" spans="2:9" x14ac:dyDescent="0.2">
      <c r="B52" s="209"/>
      <c r="C52" s="209"/>
      <c r="D52" s="209"/>
      <c r="E52" s="209"/>
      <c r="F52" s="209"/>
      <c r="G52" s="209"/>
      <c r="H52" s="209"/>
      <c r="I52" s="35"/>
    </row>
    <row r="53" spans="2:9" ht="27.75" customHeight="1" x14ac:dyDescent="0.2">
      <c r="B53" s="209"/>
      <c r="C53" s="209"/>
      <c r="D53" s="209"/>
      <c r="E53" s="209"/>
      <c r="F53" s="209"/>
      <c r="G53" s="209"/>
      <c r="H53" s="209"/>
    </row>
    <row r="56" spans="2:9" x14ac:dyDescent="0.2">
      <c r="B56" s="26" t="s">
        <v>80</v>
      </c>
      <c r="C56" s="27"/>
      <c r="D56" s="27"/>
      <c r="E56" s="27"/>
      <c r="F56" s="27"/>
      <c r="G56" s="27"/>
      <c r="H56" s="27"/>
    </row>
    <row r="57" spans="2:9" x14ac:dyDescent="0.2">
      <c r="B57" s="14"/>
    </row>
    <row r="58" spans="2:9" x14ac:dyDescent="0.2">
      <c r="B58" s="70"/>
      <c r="C58" s="71" t="s">
        <v>37</v>
      </c>
      <c r="D58" s="71" t="s">
        <v>38</v>
      </c>
      <c r="E58" s="71" t="s">
        <v>39</v>
      </c>
      <c r="F58" s="71" t="s">
        <v>41</v>
      </c>
      <c r="G58" s="71" t="s">
        <v>40</v>
      </c>
      <c r="H58" s="72" t="s">
        <v>1</v>
      </c>
    </row>
    <row r="59" spans="2:9" x14ac:dyDescent="0.2">
      <c r="C59" s="73"/>
      <c r="D59" s="73"/>
      <c r="E59" s="73"/>
      <c r="F59" s="73"/>
      <c r="G59" s="73"/>
      <c r="H59" s="73"/>
    </row>
    <row r="60" spans="2:9" x14ac:dyDescent="0.2">
      <c r="B60" s="70" t="s">
        <v>13</v>
      </c>
      <c r="C60" s="74">
        <f>'Forecast Revenue - Costs'!D12</f>
        <v>100</v>
      </c>
      <c r="D60" s="74">
        <f>'Forecast Revenue - Costs'!E12</f>
        <v>100</v>
      </c>
      <c r="E60" s="74">
        <f>'Forecast Revenue - Costs'!F12</f>
        <v>100</v>
      </c>
      <c r="F60" s="74">
        <f>'Forecast Revenue - Costs'!G12</f>
        <v>100</v>
      </c>
      <c r="G60" s="74">
        <f>'Forecast Revenue - Costs'!H12</f>
        <v>100</v>
      </c>
      <c r="H60" s="74">
        <f>SUM(C60:G60)</f>
        <v>500</v>
      </c>
    </row>
    <row r="61" spans="2:9" x14ac:dyDescent="0.2">
      <c r="C61" s="75"/>
      <c r="D61" s="75"/>
      <c r="E61" s="75"/>
      <c r="F61" s="75"/>
      <c r="G61" s="75"/>
      <c r="H61" s="76"/>
    </row>
  </sheetData>
  <mergeCells count="12">
    <mergeCell ref="C11:D11"/>
    <mergeCell ref="C3:H3"/>
    <mergeCell ref="B17:H17"/>
    <mergeCell ref="B13:H13"/>
    <mergeCell ref="B18:H18"/>
    <mergeCell ref="B7:B10"/>
    <mergeCell ref="B51:H53"/>
    <mergeCell ref="B22:H22"/>
    <mergeCell ref="B23:H23"/>
    <mergeCell ref="B24:H24"/>
    <mergeCell ref="B25:H25"/>
    <mergeCell ref="B27:H27"/>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R20" sqref="R20"/>
    </sheetView>
  </sheetViews>
  <sheetFormatPr defaultColWidth="9.140625" defaultRowHeight="12.75" x14ac:dyDescent="0.2"/>
  <cols>
    <col min="1" max="1" width="2.28515625" style="1" customWidth="1"/>
    <col min="2" max="2" width="2.42578125" style="58" customWidth="1"/>
    <col min="3" max="3" width="10.140625" style="58" customWidth="1"/>
    <col min="4" max="9" width="13.140625" style="58" customWidth="1"/>
    <col min="10" max="11" width="9.140625" style="58"/>
    <col min="12" max="12" width="5.28515625" style="58" customWidth="1"/>
    <col min="13" max="13" width="2.42578125" style="1" customWidth="1"/>
    <col min="14" max="16384" width="9.140625" style="1"/>
  </cols>
  <sheetData>
    <row r="1" spans="2:14" ht="9" customHeight="1" x14ac:dyDescent="0.2"/>
    <row r="2" spans="2:14" ht="18" customHeight="1" x14ac:dyDescent="0.2">
      <c r="B2" s="46" t="s">
        <v>17</v>
      </c>
      <c r="C2" s="46"/>
      <c r="D2" s="46"/>
      <c r="E2" s="46"/>
      <c r="F2" s="46"/>
      <c r="G2" s="46"/>
      <c r="H2" s="46"/>
      <c r="I2" s="46"/>
      <c r="J2" s="46"/>
      <c r="K2" s="46"/>
    </row>
    <row r="3" spans="2:14" x14ac:dyDescent="0.2">
      <c r="B3" s="36" t="s">
        <v>0</v>
      </c>
      <c r="C3" s="47"/>
      <c r="D3" s="222" t="str">
        <f>'AER Summary'!C3</f>
        <v>Compulsory Acquisition over Crown Land (NEW)</v>
      </c>
      <c r="E3" s="223"/>
      <c r="F3" s="223"/>
      <c r="G3" s="223"/>
      <c r="H3" s="223"/>
      <c r="I3" s="223"/>
      <c r="J3" s="223"/>
      <c r="K3" s="223"/>
      <c r="N3" s="34"/>
    </row>
    <row r="4" spans="2:14" x14ac:dyDescent="0.2">
      <c r="N4" s="34"/>
    </row>
    <row r="5" spans="2:14" x14ac:dyDescent="0.2">
      <c r="B5" s="224" t="s">
        <v>65</v>
      </c>
      <c r="C5" s="224"/>
      <c r="D5" s="224"/>
      <c r="E5" s="224"/>
      <c r="F5" s="224"/>
      <c r="G5" s="224"/>
      <c r="H5" s="224"/>
      <c r="I5" s="224"/>
      <c r="J5" s="224"/>
      <c r="K5" s="224"/>
      <c r="N5" s="34"/>
    </row>
    <row r="6" spans="2:14" ht="69" customHeight="1" x14ac:dyDescent="0.2">
      <c r="B6" s="225" t="s">
        <v>70</v>
      </c>
      <c r="C6" s="226"/>
      <c r="D6" s="226"/>
      <c r="E6" s="226"/>
      <c r="F6" s="226"/>
      <c r="G6" s="226"/>
      <c r="H6" s="226"/>
      <c r="I6" s="226"/>
      <c r="J6" s="226"/>
      <c r="K6" s="226"/>
      <c r="N6" s="34"/>
    </row>
    <row r="9" spans="2:14" x14ac:dyDescent="0.2">
      <c r="B9" s="224" t="s">
        <v>44</v>
      </c>
      <c r="C9" s="224"/>
      <c r="D9" s="224"/>
      <c r="E9" s="224"/>
      <c r="F9" s="224"/>
      <c r="G9" s="224"/>
      <c r="H9" s="224"/>
      <c r="I9" s="224"/>
      <c r="J9" s="224"/>
      <c r="K9" s="224"/>
    </row>
    <row r="10" spans="2:14" ht="15" customHeight="1" x14ac:dyDescent="0.2">
      <c r="B10" s="221" t="s">
        <v>67</v>
      </c>
      <c r="C10" s="221"/>
      <c r="D10" s="221"/>
      <c r="E10" s="221"/>
      <c r="F10" s="221"/>
      <c r="G10" s="221"/>
      <c r="H10" s="221"/>
      <c r="I10" s="221"/>
      <c r="J10" s="221"/>
      <c r="K10" s="221"/>
    </row>
    <row r="11" spans="2:14" ht="24.75" customHeight="1" x14ac:dyDescent="0.2">
      <c r="B11" s="227"/>
      <c r="C11" s="227"/>
      <c r="D11" s="227"/>
      <c r="E11" s="227"/>
      <c r="F11" s="227"/>
      <c r="G11" s="227"/>
      <c r="H11" s="227"/>
      <c r="I11" s="227"/>
      <c r="J11" s="227"/>
      <c r="K11" s="227"/>
      <c r="L11" s="77"/>
      <c r="M11" s="35"/>
      <c r="N11" s="35"/>
    </row>
    <row r="12" spans="2:14" x14ac:dyDescent="0.2">
      <c r="B12" s="227"/>
      <c r="C12" s="227"/>
      <c r="D12" s="227"/>
      <c r="E12" s="227"/>
      <c r="F12" s="227"/>
      <c r="G12" s="227"/>
      <c r="H12" s="227"/>
      <c r="I12" s="227"/>
      <c r="J12" s="227"/>
      <c r="K12" s="227"/>
      <c r="L12" s="77"/>
      <c r="M12" s="35"/>
      <c r="N12" s="35"/>
    </row>
    <row r="13" spans="2:14" x14ac:dyDescent="0.2">
      <c r="B13" s="227"/>
      <c r="C13" s="227"/>
      <c r="D13" s="227"/>
      <c r="E13" s="227"/>
      <c r="F13" s="227"/>
      <c r="G13" s="227"/>
      <c r="H13" s="227"/>
      <c r="I13" s="227"/>
      <c r="J13" s="227"/>
      <c r="K13" s="227"/>
      <c r="L13" s="77"/>
      <c r="M13" s="35"/>
      <c r="N13" s="35"/>
    </row>
    <row r="14" spans="2:14" ht="48" customHeight="1" x14ac:dyDescent="0.2">
      <c r="B14" s="227"/>
      <c r="C14" s="227"/>
      <c r="D14" s="227"/>
      <c r="E14" s="227"/>
      <c r="F14" s="227"/>
      <c r="G14" s="227"/>
      <c r="H14" s="227"/>
      <c r="I14" s="227"/>
      <c r="J14" s="227"/>
      <c r="K14" s="227"/>
      <c r="L14" s="77"/>
      <c r="M14" s="35"/>
      <c r="N14" s="35"/>
    </row>
    <row r="15" spans="2:14" x14ac:dyDescent="0.2">
      <c r="B15" s="227"/>
      <c r="C15" s="227"/>
      <c r="D15" s="227"/>
      <c r="E15" s="227"/>
      <c r="F15" s="227"/>
      <c r="G15" s="227"/>
      <c r="H15" s="227"/>
      <c r="I15" s="227"/>
      <c r="J15" s="227"/>
      <c r="K15" s="227"/>
      <c r="L15" s="77"/>
      <c r="M15" s="35"/>
      <c r="N15" s="35"/>
    </row>
    <row r="16" spans="2:14" x14ac:dyDescent="0.2">
      <c r="B16" s="227"/>
      <c r="C16" s="227"/>
      <c r="D16" s="227"/>
      <c r="E16" s="227"/>
      <c r="F16" s="227"/>
      <c r="G16" s="227"/>
      <c r="H16" s="227"/>
      <c r="I16" s="227"/>
      <c r="J16" s="227"/>
      <c r="K16" s="227"/>
      <c r="L16" s="77"/>
      <c r="M16" s="35"/>
      <c r="N16" s="35"/>
    </row>
    <row r="17" spans="2:14" x14ac:dyDescent="0.2">
      <c r="L17" s="77"/>
      <c r="M17" s="35"/>
      <c r="N17" s="35"/>
    </row>
    <row r="18" spans="2:14" x14ac:dyDescent="0.2">
      <c r="L18" s="77"/>
      <c r="M18" s="35"/>
      <c r="N18" s="35"/>
    </row>
    <row r="19" spans="2:14" x14ac:dyDescent="0.2">
      <c r="B19" s="224" t="s">
        <v>45</v>
      </c>
      <c r="C19" s="224"/>
      <c r="D19" s="224"/>
      <c r="E19" s="224"/>
      <c r="F19" s="224"/>
      <c r="G19" s="224"/>
      <c r="H19" s="224"/>
      <c r="I19" s="224"/>
      <c r="J19" s="224"/>
      <c r="K19" s="224"/>
      <c r="L19" s="77"/>
      <c r="M19" s="35"/>
      <c r="N19" s="35"/>
    </row>
    <row r="20" spans="2:14" ht="155.25" customHeight="1" x14ac:dyDescent="0.2">
      <c r="B20" s="221" t="str">
        <f>'AER Summary'!B13:H13</f>
        <v xml:space="preserve">
Compulsory Acquisition over Crown Land
Work performed by Essential Energy (or on behalf of Essential Energy) relating to acquisition of crown land (including interests in land). Any work or services provided in acquiring the relevant interest through the compulsory acquisition process included but not limited to liaising with customer as to requirements, obtaining internal approvals, preparation, negotiation and execution of formal documentation, engagement of panel lawyer, liaising with panel lawyer, preparation of Ministerial submission including complying with legislative requirements, reviewing VG's determination, arranging required payments including seeking reimbursement from customer, reporting to customer and all matters relating to gazettal and registration. Services also include administration work required such as photocopying, scanning, emailing, accounting processes.</v>
      </c>
      <c r="C20" s="221"/>
      <c r="D20" s="221"/>
      <c r="E20" s="221"/>
      <c r="F20" s="221"/>
      <c r="G20" s="221"/>
      <c r="H20" s="221"/>
      <c r="I20" s="221"/>
      <c r="J20" s="221"/>
      <c r="K20" s="221"/>
    </row>
    <row r="21" spans="2:14" x14ac:dyDescent="0.2">
      <c r="B21" s="220"/>
      <c r="C21" s="220"/>
      <c r="D21" s="220"/>
      <c r="E21" s="220"/>
      <c r="F21" s="220"/>
      <c r="G21" s="220"/>
      <c r="H21" s="220"/>
      <c r="I21" s="220"/>
      <c r="J21" s="220"/>
      <c r="K21" s="220"/>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29" sqref="B29"/>
    </sheetView>
  </sheetViews>
  <sheetFormatPr defaultColWidth="9.140625" defaultRowHeight="12.75" x14ac:dyDescent="0.2"/>
  <cols>
    <col min="1" max="1" width="3.5703125" style="78" customWidth="1"/>
    <col min="2" max="2" width="58.7109375" style="78" customWidth="1"/>
    <col min="3" max="3" width="65.140625" style="78" customWidth="1"/>
    <col min="4" max="4" width="12.85546875" style="78" customWidth="1"/>
    <col min="5" max="8" width="11.28515625" style="78" customWidth="1"/>
    <col min="9" max="9" width="12.7109375" style="78" customWidth="1"/>
    <col min="10" max="16384" width="9.140625" style="78"/>
  </cols>
  <sheetData>
    <row r="2" spans="1:9" x14ac:dyDescent="0.2">
      <c r="B2" s="48" t="s">
        <v>12</v>
      </c>
      <c r="C2" s="32"/>
      <c r="D2" s="32"/>
      <c r="E2" s="32"/>
      <c r="F2" s="32"/>
      <c r="G2" s="32"/>
      <c r="H2" s="32"/>
      <c r="I2" s="32"/>
    </row>
    <row r="3" spans="1:9" x14ac:dyDescent="0.2">
      <c r="B3" s="20" t="s">
        <v>21</v>
      </c>
      <c r="C3" s="20" t="s">
        <v>3</v>
      </c>
      <c r="D3" s="92" t="s">
        <v>58</v>
      </c>
      <c r="E3" s="92" t="s">
        <v>57</v>
      </c>
      <c r="F3" s="92" t="s">
        <v>56</v>
      </c>
      <c r="G3" s="118" t="s">
        <v>88</v>
      </c>
      <c r="H3" s="118" t="s">
        <v>89</v>
      </c>
      <c r="I3" s="21" t="s">
        <v>1</v>
      </c>
    </row>
    <row r="4" spans="1:9" x14ac:dyDescent="0.2">
      <c r="B4" s="5" t="s">
        <v>22</v>
      </c>
      <c r="C4" s="5" t="s">
        <v>66</v>
      </c>
      <c r="D4" s="114"/>
      <c r="E4" s="114"/>
      <c r="F4" s="114"/>
      <c r="G4" s="114"/>
      <c r="H4" s="114"/>
      <c r="I4" s="151">
        <f>SUM(D4:H4)</f>
        <v>0</v>
      </c>
    </row>
    <row r="5" spans="1:9" x14ac:dyDescent="0.2">
      <c r="B5" s="5" t="s">
        <v>24</v>
      </c>
      <c r="C5" s="11"/>
      <c r="D5" s="114"/>
      <c r="E5" s="114"/>
      <c r="F5" s="114"/>
      <c r="G5" s="114"/>
      <c r="H5" s="114"/>
      <c r="I5" s="151">
        <f t="shared" ref="I5:I8" si="0">SUM(D5:H5)</f>
        <v>0</v>
      </c>
    </row>
    <row r="6" spans="1:9" x14ac:dyDescent="0.2">
      <c r="B6" s="5" t="s">
        <v>25</v>
      </c>
      <c r="C6" s="5"/>
      <c r="D6" s="114">
        <v>0</v>
      </c>
      <c r="E6" s="114">
        <v>0</v>
      </c>
      <c r="F6" s="114">
        <v>0</v>
      </c>
      <c r="G6" s="114">
        <v>0</v>
      </c>
      <c r="H6" s="114">
        <v>0</v>
      </c>
      <c r="I6" s="151">
        <f t="shared" si="0"/>
        <v>0</v>
      </c>
    </row>
    <row r="7" spans="1:9" x14ac:dyDescent="0.2">
      <c r="B7" s="5" t="s">
        <v>26</v>
      </c>
      <c r="C7" s="5"/>
      <c r="D7" s="114"/>
      <c r="E7" s="114"/>
      <c r="F7" s="114"/>
      <c r="G7" s="114"/>
      <c r="H7" s="114"/>
      <c r="I7" s="151">
        <f t="shared" si="0"/>
        <v>0</v>
      </c>
    </row>
    <row r="8" spans="1:9" x14ac:dyDescent="0.2">
      <c r="B8" s="5" t="s">
        <v>23</v>
      </c>
      <c r="C8" s="5"/>
      <c r="D8" s="114"/>
      <c r="E8" s="114"/>
      <c r="F8" s="114"/>
      <c r="G8" s="114"/>
      <c r="H8" s="114"/>
      <c r="I8" s="151">
        <f t="shared" si="0"/>
        <v>0</v>
      </c>
    </row>
    <row r="9" spans="1:9" x14ac:dyDescent="0.2">
      <c r="B9" s="84" t="s">
        <v>1</v>
      </c>
      <c r="C9" s="23"/>
      <c r="D9" s="24">
        <f t="shared" ref="D9:I9" si="1">SUM(D4:D8)</f>
        <v>0</v>
      </c>
      <c r="E9" s="24">
        <f t="shared" si="1"/>
        <v>0</v>
      </c>
      <c r="F9" s="24">
        <f t="shared" si="1"/>
        <v>0</v>
      </c>
      <c r="G9" s="24">
        <f t="shared" ref="G9:H9" si="2">SUM(G4:G8)</f>
        <v>0</v>
      </c>
      <c r="H9" s="24">
        <f t="shared" si="2"/>
        <v>0</v>
      </c>
      <c r="I9" s="25">
        <f t="shared" si="1"/>
        <v>0</v>
      </c>
    </row>
    <row r="10" spans="1:9" x14ac:dyDescent="0.2">
      <c r="B10" s="80"/>
      <c r="C10" s="81"/>
      <c r="D10" s="82"/>
      <c r="E10" s="82"/>
      <c r="F10" s="82"/>
      <c r="G10" s="82"/>
      <c r="H10" s="82"/>
      <c r="I10" s="82"/>
    </row>
    <row r="11" spans="1:9" x14ac:dyDescent="0.2">
      <c r="B11" s="83" t="s">
        <v>10</v>
      </c>
      <c r="C11" s="27"/>
      <c r="D11" s="27"/>
      <c r="E11" s="27"/>
      <c r="F11" s="27"/>
      <c r="G11" s="27"/>
      <c r="H11" s="27"/>
      <c r="I11" s="27"/>
    </row>
    <row r="12" spans="1:9" x14ac:dyDescent="0.2">
      <c r="B12" s="85" t="s">
        <v>4</v>
      </c>
      <c r="C12" s="10" t="s">
        <v>9</v>
      </c>
      <c r="D12" s="93" t="s">
        <v>58</v>
      </c>
      <c r="E12" s="93" t="s">
        <v>57</v>
      </c>
      <c r="F12" s="93" t="s">
        <v>56</v>
      </c>
      <c r="G12" s="118" t="s">
        <v>88</v>
      </c>
      <c r="H12" s="118" t="s">
        <v>89</v>
      </c>
      <c r="I12" s="4" t="s">
        <v>1</v>
      </c>
    </row>
    <row r="13" spans="1:9" x14ac:dyDescent="0.2">
      <c r="B13" s="5" t="s">
        <v>20</v>
      </c>
      <c r="C13" s="11" t="s">
        <v>50</v>
      </c>
      <c r="D13" s="115"/>
      <c r="E13" s="115"/>
      <c r="F13" s="115"/>
      <c r="G13" s="115"/>
      <c r="H13" s="115"/>
      <c r="I13" s="152">
        <f>SUM(D13:H13)</f>
        <v>0</v>
      </c>
    </row>
    <row r="14" spans="1:9" x14ac:dyDescent="0.2">
      <c r="B14" s="11"/>
      <c r="C14" s="12"/>
      <c r="D14" s="115"/>
      <c r="E14" s="115"/>
      <c r="F14" s="115"/>
      <c r="G14" s="115"/>
      <c r="H14" s="115"/>
      <c r="I14" s="153">
        <f>SUM(D14:H14)</f>
        <v>0</v>
      </c>
    </row>
    <row r="15" spans="1:9" x14ac:dyDescent="0.2">
      <c r="A15" s="86"/>
      <c r="B15" s="87" t="s">
        <v>54</v>
      </c>
      <c r="C15" s="8"/>
      <c r="D15" s="13">
        <f t="shared" ref="D15:I15" si="3">SUM(D13:D14)</f>
        <v>0</v>
      </c>
      <c r="E15" s="13">
        <f t="shared" si="3"/>
        <v>0</v>
      </c>
      <c r="F15" s="13">
        <f t="shared" si="3"/>
        <v>0</v>
      </c>
      <c r="G15" s="13">
        <f t="shared" ref="G15:H15" si="4">SUM(G13:G14)</f>
        <v>0</v>
      </c>
      <c r="H15" s="13">
        <f t="shared" si="4"/>
        <v>0</v>
      </c>
      <c r="I15" s="13">
        <f t="shared" si="3"/>
        <v>0</v>
      </c>
    </row>
    <row r="17" spans="1:9" x14ac:dyDescent="0.2">
      <c r="A17" s="86"/>
      <c r="B17" s="15" t="s">
        <v>6</v>
      </c>
      <c r="C17" s="1"/>
      <c r="D17" s="14"/>
      <c r="E17" s="14"/>
      <c r="F17" s="14"/>
      <c r="G17" s="14"/>
      <c r="H17" s="14"/>
      <c r="I17" s="14"/>
    </row>
    <row r="18" spans="1:9" x14ac:dyDescent="0.2">
      <c r="B18" s="228" t="s">
        <v>85</v>
      </c>
      <c r="C18" s="229"/>
      <c r="D18" s="229"/>
      <c r="E18" s="229"/>
      <c r="F18" s="229"/>
      <c r="G18" s="229"/>
      <c r="H18" s="229"/>
      <c r="I18" s="229"/>
    </row>
    <row r="19" spans="1:9" x14ac:dyDescent="0.2">
      <c r="B19" s="230"/>
      <c r="C19" s="231"/>
      <c r="D19" s="231"/>
      <c r="E19" s="231"/>
      <c r="F19" s="231"/>
      <c r="G19" s="231"/>
      <c r="H19" s="231"/>
      <c r="I19" s="231"/>
    </row>
    <row r="20" spans="1:9" x14ac:dyDescent="0.2">
      <c r="B20" s="88"/>
      <c r="C20" s="33"/>
      <c r="D20" s="33"/>
      <c r="E20" s="33"/>
      <c r="F20" s="33"/>
      <c r="G20" s="117"/>
      <c r="H20" s="117"/>
      <c r="I20" s="33"/>
    </row>
    <row r="21" spans="1:9" x14ac:dyDescent="0.2">
      <c r="B21" s="1"/>
      <c r="C21" s="1"/>
      <c r="D21" s="14"/>
      <c r="E21" s="14"/>
      <c r="F21" s="14"/>
      <c r="G21" s="14"/>
      <c r="H21" s="14"/>
      <c r="I21" s="14"/>
    </row>
    <row r="22" spans="1:9" x14ac:dyDescent="0.2">
      <c r="B22" s="83" t="s">
        <v>84</v>
      </c>
      <c r="C22" s="27"/>
      <c r="D22" s="27"/>
      <c r="E22" s="27"/>
      <c r="F22" s="27"/>
      <c r="G22" s="27"/>
      <c r="H22" s="27"/>
      <c r="I22" s="27"/>
    </row>
    <row r="23" spans="1:9" x14ac:dyDescent="0.2">
      <c r="B23" s="252" t="s">
        <v>11</v>
      </c>
      <c r="C23" s="253"/>
      <c r="D23" s="253"/>
      <c r="E23" s="253"/>
      <c r="F23" s="253"/>
      <c r="G23" s="253"/>
      <c r="H23" s="253"/>
      <c r="I23" s="254"/>
    </row>
    <row r="24" spans="1:9" x14ac:dyDescent="0.2">
      <c r="B24" s="232"/>
      <c r="C24" s="233"/>
      <c r="D24" s="233"/>
      <c r="E24" s="233"/>
      <c r="F24" s="233"/>
      <c r="G24" s="233"/>
      <c r="H24" s="233"/>
      <c r="I24" s="233"/>
    </row>
    <row r="25" spans="1:9" x14ac:dyDescent="0.2">
      <c r="B25" s="234"/>
      <c r="C25" s="235"/>
      <c r="D25" s="235"/>
      <c r="E25" s="235"/>
      <c r="F25" s="235"/>
      <c r="G25" s="235"/>
      <c r="H25" s="235"/>
      <c r="I25" s="235"/>
    </row>
    <row r="26" spans="1:9" x14ac:dyDescent="0.2">
      <c r="B26" s="89"/>
      <c r="C26" s="19"/>
      <c r="D26" s="19"/>
      <c r="E26" s="19"/>
      <c r="F26" s="19"/>
      <c r="G26" s="19"/>
      <c r="H26" s="19"/>
      <c r="I26" s="19"/>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C32" sqref="C32"/>
    </sheetView>
  </sheetViews>
  <sheetFormatPr defaultColWidth="9.140625" defaultRowHeight="12.75" x14ac:dyDescent="0.2"/>
  <cols>
    <col min="1" max="1" width="3.140625" style="121" customWidth="1"/>
    <col min="2" max="2" width="80" style="121" bestFit="1" customWidth="1"/>
    <col min="3" max="3" width="65.140625" style="121" customWidth="1"/>
    <col min="4" max="4" width="12.85546875" style="121" customWidth="1"/>
    <col min="5" max="8" width="11.28515625" style="121" customWidth="1"/>
    <col min="9" max="9" width="12.7109375" style="121" customWidth="1"/>
    <col min="10" max="16384" width="9.140625" style="121"/>
  </cols>
  <sheetData>
    <row r="2" spans="2:9" x14ac:dyDescent="0.2">
      <c r="B2" s="119" t="s">
        <v>8</v>
      </c>
      <c r="C2" s="120"/>
      <c r="D2" s="120"/>
      <c r="E2" s="120"/>
      <c r="F2" s="120"/>
      <c r="G2" s="120"/>
      <c r="H2" s="120"/>
      <c r="I2" s="120"/>
    </row>
    <row r="3" spans="2:9" x14ac:dyDescent="0.2">
      <c r="B3" s="122"/>
      <c r="C3" s="122"/>
      <c r="D3" s="122"/>
      <c r="E3" s="122"/>
      <c r="F3" s="122"/>
      <c r="G3" s="122"/>
      <c r="H3" s="122"/>
      <c r="I3" s="122"/>
    </row>
    <row r="4" spans="2:9" x14ac:dyDescent="0.2">
      <c r="B4" s="119" t="s">
        <v>2</v>
      </c>
      <c r="C4" s="120"/>
      <c r="D4" s="120"/>
      <c r="E4" s="120"/>
      <c r="F4" s="120"/>
      <c r="G4" s="120"/>
      <c r="H4" s="120"/>
      <c r="I4" s="120"/>
    </row>
    <row r="5" spans="2:9" x14ac:dyDescent="0.2">
      <c r="B5" s="123" t="s">
        <v>82</v>
      </c>
      <c r="C5" s="123" t="s">
        <v>9</v>
      </c>
      <c r="D5" s="124" t="s">
        <v>58</v>
      </c>
      <c r="E5" s="124" t="s">
        <v>57</v>
      </c>
      <c r="F5" s="124" t="s">
        <v>56</v>
      </c>
      <c r="G5" s="125" t="s">
        <v>88</v>
      </c>
      <c r="H5" s="125" t="s">
        <v>89</v>
      </c>
      <c r="I5" s="126" t="s">
        <v>1</v>
      </c>
    </row>
    <row r="6" spans="2:9" ht="15" customHeight="1" x14ac:dyDescent="0.2">
      <c r="B6" s="127" t="s">
        <v>69</v>
      </c>
      <c r="C6" s="128" t="s">
        <v>64</v>
      </c>
      <c r="D6" s="148" t="s">
        <v>71</v>
      </c>
      <c r="E6" s="148" t="s">
        <v>71</v>
      </c>
      <c r="F6" s="148" t="s">
        <v>71</v>
      </c>
      <c r="G6" s="148" t="s">
        <v>71</v>
      </c>
      <c r="H6" s="148" t="s">
        <v>71</v>
      </c>
      <c r="I6" s="168">
        <f>SUM(D6:H6)</f>
        <v>0</v>
      </c>
    </row>
    <row r="7" spans="2:9" x14ac:dyDescent="0.2">
      <c r="B7" s="130"/>
      <c r="C7" s="131"/>
      <c r="D7" s="129"/>
      <c r="E7" s="129"/>
      <c r="F7" s="129"/>
      <c r="G7" s="129"/>
      <c r="H7" s="129"/>
      <c r="I7" s="168">
        <f t="shared" ref="I7:I9" si="0">SUM(D7:H7)</f>
        <v>0</v>
      </c>
    </row>
    <row r="8" spans="2:9" x14ac:dyDescent="0.2">
      <c r="B8" s="130"/>
      <c r="C8" s="131"/>
      <c r="D8" s="129"/>
      <c r="E8" s="129"/>
      <c r="F8" s="129"/>
      <c r="G8" s="129"/>
      <c r="H8" s="129"/>
      <c r="I8" s="168">
        <f t="shared" si="0"/>
        <v>0</v>
      </c>
    </row>
    <row r="9" spans="2:9" x14ac:dyDescent="0.2">
      <c r="B9" s="130"/>
      <c r="C9" s="131"/>
      <c r="D9" s="129"/>
      <c r="E9" s="129"/>
      <c r="F9" s="129"/>
      <c r="G9" s="129"/>
      <c r="H9" s="129"/>
      <c r="I9" s="168">
        <f t="shared" si="0"/>
        <v>0</v>
      </c>
    </row>
    <row r="10" spans="2:9" x14ac:dyDescent="0.2">
      <c r="B10" s="132" t="s">
        <v>1</v>
      </c>
      <c r="C10" s="133"/>
      <c r="D10" s="134">
        <f t="shared" ref="D10:I10" si="1">SUM(D6:D9)</f>
        <v>0</v>
      </c>
      <c r="E10" s="134">
        <f t="shared" si="1"/>
        <v>0</v>
      </c>
      <c r="F10" s="134">
        <f t="shared" si="1"/>
        <v>0</v>
      </c>
      <c r="G10" s="134">
        <f t="shared" ref="G10:H10" si="2">SUM(G6:G9)</f>
        <v>0</v>
      </c>
      <c r="H10" s="134">
        <f t="shared" si="2"/>
        <v>0</v>
      </c>
      <c r="I10" s="134">
        <f t="shared" si="1"/>
        <v>0</v>
      </c>
    </row>
    <row r="11" spans="2:9" x14ac:dyDescent="0.2">
      <c r="B11" s="122"/>
      <c r="C11" s="122"/>
      <c r="D11" s="122"/>
      <c r="E11" s="122"/>
      <c r="F11" s="122"/>
      <c r="G11" s="122"/>
      <c r="H11" s="122"/>
      <c r="I11" s="122"/>
    </row>
    <row r="12" spans="2:9" x14ac:dyDescent="0.2">
      <c r="B12" s="119" t="s">
        <v>10</v>
      </c>
      <c r="C12" s="120"/>
      <c r="D12" s="120"/>
      <c r="E12" s="120"/>
      <c r="F12" s="120"/>
      <c r="G12" s="120"/>
      <c r="H12" s="120"/>
      <c r="I12" s="120"/>
    </row>
    <row r="13" spans="2:9" x14ac:dyDescent="0.2">
      <c r="B13" s="123" t="s">
        <v>4</v>
      </c>
      <c r="C13" s="135" t="s">
        <v>9</v>
      </c>
      <c r="D13" s="124" t="s">
        <v>58</v>
      </c>
      <c r="E13" s="124" t="s">
        <v>57</v>
      </c>
      <c r="F13" s="124" t="s">
        <v>56</v>
      </c>
      <c r="G13" s="125" t="s">
        <v>88</v>
      </c>
      <c r="H13" s="125" t="s">
        <v>89</v>
      </c>
      <c r="I13" s="126" t="s">
        <v>1</v>
      </c>
    </row>
    <row r="14" spans="2:9" x14ac:dyDescent="0.2">
      <c r="B14" s="136" t="s">
        <v>20</v>
      </c>
      <c r="C14" s="136"/>
      <c r="D14" s="137"/>
      <c r="E14" s="137"/>
      <c r="F14" s="137"/>
      <c r="G14" s="137"/>
      <c r="H14" s="137"/>
      <c r="I14" s="169">
        <f>SUM(D14:H14)</f>
        <v>0</v>
      </c>
    </row>
    <row r="15" spans="2:9" x14ac:dyDescent="0.2">
      <c r="B15" s="136"/>
      <c r="C15" s="138"/>
      <c r="D15" s="139"/>
      <c r="E15" s="139"/>
      <c r="F15" s="139"/>
      <c r="G15" s="139"/>
      <c r="H15" s="139"/>
      <c r="I15" s="169">
        <f t="shared" ref="I15:I16" si="3">SUM(D15:H15)</f>
        <v>0</v>
      </c>
    </row>
    <row r="16" spans="2:9" x14ac:dyDescent="0.2">
      <c r="B16" s="136"/>
      <c r="C16" s="136"/>
      <c r="D16" s="139"/>
      <c r="E16" s="139"/>
      <c r="F16" s="139"/>
      <c r="G16" s="139"/>
      <c r="H16" s="139"/>
      <c r="I16" s="170">
        <f t="shared" si="3"/>
        <v>0</v>
      </c>
    </row>
    <row r="17" spans="2:9" x14ac:dyDescent="0.2">
      <c r="B17" s="140" t="s">
        <v>18</v>
      </c>
      <c r="C17" s="133"/>
      <c r="D17" s="141">
        <f t="shared" ref="D17:F17" si="4">SUM(D14:D16)</f>
        <v>0</v>
      </c>
      <c r="E17" s="141">
        <f t="shared" si="4"/>
        <v>0</v>
      </c>
      <c r="F17" s="141">
        <f t="shared" si="4"/>
        <v>0</v>
      </c>
      <c r="G17" s="141">
        <f t="shared" ref="G17:H17" si="5">SUM(G14:G16)</f>
        <v>0</v>
      </c>
      <c r="H17" s="141">
        <f t="shared" si="5"/>
        <v>0</v>
      </c>
      <c r="I17" s="141">
        <f>SUM(I14:I16)</f>
        <v>0</v>
      </c>
    </row>
    <row r="18" spans="2:9" x14ac:dyDescent="0.2">
      <c r="B18" s="122"/>
      <c r="C18" s="122"/>
      <c r="D18" s="142"/>
      <c r="E18" s="142"/>
      <c r="F18" s="142"/>
      <c r="G18" s="142"/>
      <c r="H18" s="142"/>
      <c r="I18" s="142"/>
    </row>
    <row r="19" spans="2:9" x14ac:dyDescent="0.2">
      <c r="B19" s="143" t="s">
        <v>6</v>
      </c>
      <c r="C19" s="122"/>
      <c r="D19" s="142"/>
      <c r="E19" s="142"/>
      <c r="F19" s="142"/>
      <c r="G19" s="142"/>
      <c r="H19" s="142"/>
      <c r="I19" s="142"/>
    </row>
    <row r="20" spans="2:9" x14ac:dyDescent="0.2">
      <c r="B20" s="241" t="s">
        <v>86</v>
      </c>
      <c r="C20" s="241"/>
      <c r="D20" s="241"/>
      <c r="E20" s="241"/>
      <c r="F20" s="241"/>
      <c r="G20" s="241"/>
      <c r="H20" s="241"/>
      <c r="I20" s="241"/>
    </row>
    <row r="21" spans="2:9" x14ac:dyDescent="0.2">
      <c r="B21" s="242"/>
      <c r="C21" s="242"/>
      <c r="D21" s="242"/>
      <c r="E21" s="242"/>
      <c r="F21" s="242"/>
      <c r="G21" s="242"/>
      <c r="H21" s="242"/>
      <c r="I21" s="242"/>
    </row>
    <row r="22" spans="2:9" x14ac:dyDescent="0.2">
      <c r="B22" s="122"/>
      <c r="C22" s="122"/>
      <c r="D22" s="142"/>
      <c r="E22" s="142"/>
      <c r="F22" s="142"/>
      <c r="G22" s="142"/>
      <c r="H22" s="142"/>
      <c r="I22" s="142"/>
    </row>
    <row r="23" spans="2:9" x14ac:dyDescent="0.2">
      <c r="B23" s="119" t="s">
        <v>2</v>
      </c>
      <c r="C23" s="120"/>
      <c r="D23" s="120"/>
      <c r="E23" s="120"/>
      <c r="F23" s="120"/>
      <c r="G23" s="120"/>
      <c r="H23" s="120"/>
      <c r="I23" s="120"/>
    </row>
    <row r="24" spans="2:9" x14ac:dyDescent="0.2">
      <c r="B24" s="144" t="s">
        <v>11</v>
      </c>
      <c r="C24" s="145"/>
      <c r="D24" s="145"/>
      <c r="E24" s="145"/>
      <c r="F24" s="145"/>
      <c r="G24" s="145"/>
      <c r="H24" s="145"/>
      <c r="I24" s="145"/>
    </row>
    <row r="25" spans="2:9" x14ac:dyDescent="0.2">
      <c r="B25" s="243"/>
      <c r="C25" s="243"/>
      <c r="D25" s="243"/>
      <c r="E25" s="243"/>
      <c r="F25" s="243"/>
      <c r="G25" s="243"/>
      <c r="H25" s="243"/>
      <c r="I25" s="243"/>
    </row>
    <row r="26" spans="2:9" x14ac:dyDescent="0.2">
      <c r="B26" s="244"/>
      <c r="C26" s="244"/>
      <c r="D26" s="244"/>
      <c r="E26" s="244"/>
      <c r="F26" s="244"/>
      <c r="G26" s="244"/>
      <c r="H26" s="244"/>
      <c r="I26" s="244"/>
    </row>
    <row r="27" spans="2:9" x14ac:dyDescent="0.2">
      <c r="B27" s="146"/>
      <c r="C27" s="147"/>
      <c r="D27" s="147"/>
      <c r="E27" s="147"/>
      <c r="F27" s="147"/>
      <c r="G27" s="147"/>
      <c r="H27" s="147"/>
      <c r="I27" s="147"/>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22"/>
  <sheetViews>
    <sheetView showGridLines="0" zoomScale="90" zoomScaleNormal="90" workbookViewId="0">
      <selection activeCell="H7" sqref="H7"/>
    </sheetView>
  </sheetViews>
  <sheetFormatPr defaultColWidth="9.140625" defaultRowHeight="12.75" x14ac:dyDescent="0.2"/>
  <cols>
    <col min="1" max="1" width="2.28515625" style="1" customWidth="1"/>
    <col min="2" max="2" width="62.85546875" style="1" customWidth="1"/>
    <col min="3" max="3" width="15.7109375" style="1" customWidth="1"/>
    <col min="4" max="16" width="9.140625" style="1"/>
    <col min="17" max="17" width="12" style="1" customWidth="1"/>
    <col min="18" max="16384" width="9.140625" style="1"/>
  </cols>
  <sheetData>
    <row r="2" spans="1:17" x14ac:dyDescent="0.2">
      <c r="B2" s="154" t="s">
        <v>74</v>
      </c>
      <c r="C2" s="155"/>
      <c r="D2" s="155"/>
      <c r="E2" s="155"/>
      <c r="F2" s="155"/>
      <c r="G2" s="155"/>
      <c r="H2" s="239" t="s">
        <v>135</v>
      </c>
      <c r="I2" s="239"/>
      <c r="J2" s="239"/>
      <c r="K2" s="239"/>
      <c r="L2" s="239"/>
      <c r="M2" s="239"/>
      <c r="N2" s="239"/>
      <c r="O2" s="239"/>
      <c r="P2" s="239"/>
      <c r="Q2" s="239"/>
    </row>
    <row r="3" spans="1:17" ht="15.75" x14ac:dyDescent="0.25">
      <c r="B3" s="90" t="s">
        <v>73</v>
      </c>
      <c r="C3" s="46"/>
      <c r="D3" s="46"/>
      <c r="E3" s="46"/>
      <c r="F3" s="46"/>
      <c r="G3" s="149"/>
      <c r="H3" s="240" t="s">
        <v>136</v>
      </c>
      <c r="I3" s="240"/>
      <c r="J3" s="240"/>
      <c r="K3" s="240"/>
      <c r="L3" s="240"/>
      <c r="M3" s="240"/>
      <c r="N3" s="240"/>
      <c r="O3" s="240"/>
      <c r="P3" s="240"/>
      <c r="Q3" s="240"/>
    </row>
    <row r="4" spans="1:17" s="35" customFormat="1" ht="3" customHeight="1" x14ac:dyDescent="0.2">
      <c r="B4" s="38"/>
      <c r="C4" s="38"/>
      <c r="D4" s="38"/>
      <c r="E4" s="38"/>
      <c r="F4" s="38"/>
      <c r="G4" s="38"/>
      <c r="H4" s="38"/>
      <c r="I4" s="38"/>
      <c r="J4" s="38"/>
      <c r="K4" s="38"/>
      <c r="L4" s="38"/>
      <c r="M4" s="38"/>
      <c r="N4" s="38"/>
      <c r="O4" s="38"/>
      <c r="P4" s="38"/>
      <c r="Q4" s="38"/>
    </row>
    <row r="5" spans="1:17" ht="76.5" x14ac:dyDescent="0.2">
      <c r="B5" s="39" t="s">
        <v>19</v>
      </c>
      <c r="C5" s="39" t="s">
        <v>32</v>
      </c>
      <c r="D5" s="156" t="s">
        <v>63</v>
      </c>
      <c r="E5" s="156" t="s">
        <v>34</v>
      </c>
      <c r="F5" s="156" t="s">
        <v>33</v>
      </c>
      <c r="G5" s="164" t="s">
        <v>95</v>
      </c>
      <c r="H5" s="164" t="s">
        <v>96</v>
      </c>
      <c r="I5" s="164" t="s">
        <v>97</v>
      </c>
      <c r="J5" s="164" t="s">
        <v>98</v>
      </c>
      <c r="K5" s="156" t="s">
        <v>99</v>
      </c>
      <c r="L5" s="156" t="s">
        <v>100</v>
      </c>
      <c r="M5" s="164" t="s">
        <v>101</v>
      </c>
      <c r="N5" s="164" t="s">
        <v>102</v>
      </c>
      <c r="O5" s="164" t="s">
        <v>103</v>
      </c>
      <c r="P5" s="164" t="s">
        <v>104</v>
      </c>
      <c r="Q5" s="164" t="s">
        <v>105</v>
      </c>
    </row>
    <row r="6" spans="1:17" x14ac:dyDescent="0.2">
      <c r="B6" s="161" t="s">
        <v>75</v>
      </c>
      <c r="C6" s="162"/>
      <c r="D6" s="162"/>
      <c r="E6" s="162"/>
      <c r="F6" s="162"/>
      <c r="G6" s="162"/>
      <c r="H6" s="162"/>
      <c r="I6" s="162"/>
      <c r="J6" s="162"/>
      <c r="K6" s="162"/>
      <c r="L6" s="162"/>
      <c r="M6" s="162"/>
      <c r="N6" s="162"/>
      <c r="O6" s="162"/>
      <c r="P6" s="162"/>
      <c r="Q6" s="163"/>
    </row>
    <row r="7" spans="1:17" x14ac:dyDescent="0.2">
      <c r="B7" s="157" t="s">
        <v>77</v>
      </c>
      <c r="C7" s="158" t="s">
        <v>76</v>
      </c>
      <c r="D7" s="159"/>
      <c r="E7" s="159"/>
      <c r="F7" s="160">
        <v>1</v>
      </c>
      <c r="G7" s="165">
        <v>0</v>
      </c>
      <c r="H7" s="166">
        <f>IF(G7=0,VLOOKUP(C:C,[1]Inputs!$B$20:$H$25,7,FALSE)*F7,VLOOKUP(C:C,[1]Inputs!$B$20:$I$25,8,FALSE)*F7)</f>
        <v>118.60731987121498</v>
      </c>
      <c r="I7" s="167">
        <f>VLOOKUP(C:C,[1]Inputs!$C$54:$G$59,5,FALSE)*F7</f>
        <v>19.732436288346317</v>
      </c>
      <c r="J7" s="167"/>
      <c r="K7" s="167"/>
      <c r="L7" s="167"/>
      <c r="M7" s="167">
        <f>SUM(H7:J7)</f>
        <v>138.33975615956129</v>
      </c>
      <c r="N7" s="167">
        <f>[1]Inputs!$M$43*M7</f>
        <v>64.45617382547924</v>
      </c>
      <c r="O7" s="167">
        <f>[1]Inputs!$M$48*M7</f>
        <v>22.18659601886797</v>
      </c>
      <c r="P7" s="166">
        <f>[1]Inputs!$H$13*SUM(M7:O7)</f>
        <v>14.268391799167876</v>
      </c>
      <c r="Q7" s="167">
        <f t="shared" ref="Q7" si="0">SUM(M7:P7)</f>
        <v>239.25091780307636</v>
      </c>
    </row>
    <row r="8" spans="1:17" ht="63.75" x14ac:dyDescent="0.2">
      <c r="B8" s="108" t="s">
        <v>137</v>
      </c>
      <c r="C8" s="95"/>
      <c r="D8" s="104"/>
      <c r="E8" s="104"/>
      <c r="F8" s="105"/>
      <c r="G8" s="105"/>
      <c r="H8" s="105"/>
      <c r="I8" s="105"/>
      <c r="J8" s="105"/>
      <c r="K8" s="105"/>
      <c r="L8" s="105"/>
      <c r="M8" s="105"/>
      <c r="N8" s="206">
        <f>[1]Inputs!$M$43</f>
        <v>0.46592661151676018</v>
      </c>
      <c r="O8" s="40"/>
      <c r="P8" s="206">
        <f>[1]Inputs!$H$13</f>
        <v>6.3420000000000004E-2</v>
      </c>
      <c r="Q8" s="207" t="str">
        <f>_xlfn.CONCAT("[Invoice + ",TEXT([1]Inputs!$M$43,"0.00%")," Overheads] + ",TEXT(P8,"0.00%")," Margin")</f>
        <v>[Invoice + 46.59% Overheads] + 6.34% Margin</v>
      </c>
    </row>
    <row r="9" spans="1:17" x14ac:dyDescent="0.2">
      <c r="B9" s="109"/>
      <c r="C9" s="95"/>
      <c r="D9" s="104"/>
      <c r="E9" s="104"/>
      <c r="F9" s="105"/>
      <c r="G9" s="105"/>
      <c r="H9" s="105"/>
      <c r="I9" s="105"/>
      <c r="J9" s="105"/>
      <c r="K9" s="105"/>
      <c r="L9" s="105"/>
      <c r="M9" s="105"/>
      <c r="N9" s="41"/>
      <c r="O9" s="40"/>
      <c r="P9" s="112"/>
      <c r="Q9" s="110"/>
    </row>
    <row r="10" spans="1:17" x14ac:dyDescent="0.2">
      <c r="B10" s="236" t="s">
        <v>1</v>
      </c>
      <c r="C10" s="237"/>
      <c r="D10" s="237"/>
      <c r="E10" s="238"/>
      <c r="F10" s="106">
        <f t="shared" ref="F10:Q10" si="1">SUM(F7:F9)</f>
        <v>1</v>
      </c>
      <c r="G10" s="106">
        <f t="shared" si="1"/>
        <v>0</v>
      </c>
      <c r="H10" s="106">
        <f t="shared" si="1"/>
        <v>118.60731987121498</v>
      </c>
      <c r="I10" s="106">
        <f t="shared" si="1"/>
        <v>19.732436288346317</v>
      </c>
      <c r="J10" s="106">
        <f t="shared" si="1"/>
        <v>0</v>
      </c>
      <c r="K10" s="106">
        <f t="shared" si="1"/>
        <v>0</v>
      </c>
      <c r="L10" s="106">
        <f t="shared" si="1"/>
        <v>0</v>
      </c>
      <c r="M10" s="106">
        <f t="shared" si="1"/>
        <v>138.33975615956129</v>
      </c>
      <c r="N10" s="106">
        <f t="shared" si="1"/>
        <v>64.922100436996004</v>
      </c>
      <c r="O10" s="106">
        <f t="shared" si="1"/>
        <v>22.18659601886797</v>
      </c>
      <c r="P10" s="106">
        <f t="shared" si="1"/>
        <v>14.331811799167877</v>
      </c>
      <c r="Q10" s="106">
        <f t="shared" si="1"/>
        <v>239.25091780307636</v>
      </c>
    </row>
    <row r="11" spans="1:17" x14ac:dyDescent="0.2">
      <c r="A11" s="79"/>
      <c r="B11" s="42"/>
      <c r="C11" s="42"/>
      <c r="D11" s="43"/>
      <c r="E11" s="42"/>
      <c r="F11" s="43"/>
      <c r="G11" s="43"/>
      <c r="H11" s="43"/>
      <c r="I11" s="43"/>
      <c r="J11" s="43"/>
      <c r="K11" s="43"/>
      <c r="L11" s="43"/>
      <c r="M11" s="43"/>
      <c r="N11" s="44"/>
      <c r="O11" s="45"/>
      <c r="P11" s="45"/>
      <c r="Q11" s="45"/>
    </row>
    <row r="21" spans="2:2" ht="15" x14ac:dyDescent="0.25">
      <c r="B21" s="103"/>
    </row>
    <row r="22" spans="2:2" ht="15" x14ac:dyDescent="0.25">
      <c r="B22" s="103"/>
    </row>
  </sheetData>
  <mergeCells count="3">
    <mergeCell ref="B10:E10"/>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A6DC8-E89A-4C17-9652-D3459FE562B3}">
  <dimension ref="B1:O28"/>
  <sheetViews>
    <sheetView workbookViewId="0">
      <selection activeCell="D9" sqref="D9"/>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111</v>
      </c>
      <c r="D1" s="179">
        <f>[1]Inputs!H16</f>
        <v>1</v>
      </c>
      <c r="E1" s="179">
        <f>[1]Inputs!I16</f>
        <v>1</v>
      </c>
      <c r="F1" s="179">
        <f>[1]Inputs!J16</f>
        <v>1.0109999999999999</v>
      </c>
      <c r="G1" s="179">
        <f>[1]Inputs!K16</f>
        <v>1.0231319999999999</v>
      </c>
      <c r="H1" s="179">
        <f>[1]Inputs!L16</f>
        <v>1.0337725727999998</v>
      </c>
      <c r="K1" s="180">
        <f>D1</f>
        <v>1</v>
      </c>
      <c r="L1" s="180">
        <f t="shared" ref="L1:O5" si="0">E1</f>
        <v>1</v>
      </c>
      <c r="M1" s="180">
        <f t="shared" si="0"/>
        <v>1.0109999999999999</v>
      </c>
      <c r="N1" s="180">
        <f t="shared" si="0"/>
        <v>1.0231319999999999</v>
      </c>
      <c r="O1" s="180">
        <f t="shared" si="0"/>
        <v>1.0337725727999998</v>
      </c>
    </row>
    <row r="2" spans="2:15" x14ac:dyDescent="0.25">
      <c r="B2" t="s">
        <v>112</v>
      </c>
      <c r="D2" s="179">
        <f>[1]Inputs!H61</f>
        <v>0.04</v>
      </c>
      <c r="E2" s="179">
        <f>[1]Inputs!I61</f>
        <v>0.04</v>
      </c>
      <c r="F2" s="179">
        <f>[1]Inputs!J61</f>
        <v>0.04</v>
      </c>
      <c r="G2" s="179">
        <f>[1]Inputs!K61</f>
        <v>0.04</v>
      </c>
      <c r="H2" s="179">
        <f>[1]Inputs!L61</f>
        <v>0.04</v>
      </c>
      <c r="K2" s="180"/>
      <c r="L2" s="180"/>
      <c r="M2" s="180"/>
      <c r="N2" s="180"/>
      <c r="O2" s="180"/>
    </row>
    <row r="3" spans="2:15" x14ac:dyDescent="0.25">
      <c r="B3" t="s">
        <v>113</v>
      </c>
      <c r="D3" s="180">
        <f>[1]Inputs!$M$43</f>
        <v>0.46592661151676018</v>
      </c>
      <c r="E3" s="180">
        <f>[1]Inputs!$M$43</f>
        <v>0.46592661151676018</v>
      </c>
      <c r="F3" s="180">
        <f>[1]Inputs!$M$43</f>
        <v>0.46592661151676018</v>
      </c>
      <c r="G3" s="180">
        <f>[1]Inputs!$M$43</f>
        <v>0.46592661151676018</v>
      </c>
      <c r="H3" s="180">
        <f>[1]Inputs!$M$43</f>
        <v>0.46592661151676018</v>
      </c>
      <c r="K3" s="180">
        <f t="shared" ref="K3:K5" si="1">D3</f>
        <v>0.46592661151676018</v>
      </c>
      <c r="L3" s="180">
        <f t="shared" si="0"/>
        <v>0.46592661151676018</v>
      </c>
      <c r="M3" s="180">
        <f t="shared" si="0"/>
        <v>0.46592661151676018</v>
      </c>
      <c r="N3" s="180">
        <f t="shared" si="0"/>
        <v>0.46592661151676018</v>
      </c>
      <c r="O3" s="180">
        <f t="shared" si="0"/>
        <v>0.46592661151676018</v>
      </c>
    </row>
    <row r="4" spans="2:15" x14ac:dyDescent="0.25">
      <c r="B4" t="s">
        <v>114</v>
      </c>
      <c r="D4" s="180">
        <f>[1]Inputs!$M$48</f>
        <v>0.16037758511933414</v>
      </c>
      <c r="E4" s="180">
        <f>[1]Inputs!$M$48</f>
        <v>0.16037758511933414</v>
      </c>
      <c r="F4" s="180">
        <f>[1]Inputs!$M$48</f>
        <v>0.16037758511933414</v>
      </c>
      <c r="G4" s="180">
        <f>[1]Inputs!$M$48</f>
        <v>0.16037758511933414</v>
      </c>
      <c r="H4" s="180">
        <f>[1]Inputs!$M$48</f>
        <v>0.16037758511933414</v>
      </c>
      <c r="K4" s="180">
        <f t="shared" si="1"/>
        <v>0.16037758511933414</v>
      </c>
      <c r="L4" s="180">
        <f t="shared" si="0"/>
        <v>0.16037758511933414</v>
      </c>
      <c r="M4" s="180">
        <f t="shared" si="0"/>
        <v>0.16037758511933414</v>
      </c>
      <c r="N4" s="180">
        <f t="shared" si="0"/>
        <v>0.16037758511933414</v>
      </c>
      <c r="O4" s="180">
        <f t="shared" si="0"/>
        <v>0.16037758511933414</v>
      </c>
    </row>
    <row r="5" spans="2:15" x14ac:dyDescent="0.25">
      <c r="B5" t="s">
        <v>115</v>
      </c>
      <c r="D5" s="180">
        <f>[1]Inputs!$H$13</f>
        <v>6.3420000000000004E-2</v>
      </c>
      <c r="E5" s="180">
        <f>[1]Inputs!$H$13</f>
        <v>6.3420000000000004E-2</v>
      </c>
      <c r="F5" s="180">
        <f>[1]Inputs!$H$13</f>
        <v>6.3420000000000004E-2</v>
      </c>
      <c r="G5" s="180">
        <f>[1]Inputs!$H$13</f>
        <v>6.3420000000000004E-2</v>
      </c>
      <c r="H5" s="180">
        <f>[1]Inputs!$H$13</f>
        <v>6.3420000000000004E-2</v>
      </c>
      <c r="K5" s="180">
        <f t="shared" si="1"/>
        <v>6.3420000000000004E-2</v>
      </c>
      <c r="L5" s="180">
        <f t="shared" si="0"/>
        <v>6.3420000000000004E-2</v>
      </c>
      <c r="M5" s="180">
        <f t="shared" si="0"/>
        <v>6.3420000000000004E-2</v>
      </c>
      <c r="N5" s="180">
        <f t="shared" si="0"/>
        <v>6.3420000000000004E-2</v>
      </c>
      <c r="O5" s="180">
        <f t="shared" si="0"/>
        <v>6.3420000000000004E-2</v>
      </c>
    </row>
    <row r="6" spans="2:15" s="181" customFormat="1" ht="15.75" x14ac:dyDescent="0.25">
      <c r="D6" s="245" t="s">
        <v>116</v>
      </c>
      <c r="E6" s="245"/>
      <c r="F6" s="245"/>
      <c r="G6" s="245"/>
      <c r="H6" s="245"/>
      <c r="J6" s="246" t="s">
        <v>117</v>
      </c>
      <c r="K6" s="246"/>
      <c r="L6" s="246"/>
      <c r="M6" s="246"/>
      <c r="N6" s="246"/>
      <c r="O6" s="246"/>
    </row>
    <row r="7" spans="2:15" x14ac:dyDescent="0.25">
      <c r="B7" s="182" t="s">
        <v>130</v>
      </c>
      <c r="C7" s="183"/>
      <c r="D7" s="183" t="s">
        <v>118</v>
      </c>
      <c r="E7" s="183" t="s">
        <v>119</v>
      </c>
      <c r="F7" s="183" t="s">
        <v>120</v>
      </c>
      <c r="G7" s="183" t="s">
        <v>121</v>
      </c>
      <c r="H7" s="183" t="s">
        <v>122</v>
      </c>
    </row>
    <row r="8" spans="2:15" x14ac:dyDescent="0.25">
      <c r="B8" s="184" t="s">
        <v>96</v>
      </c>
      <c r="C8" s="185"/>
      <c r="D8" s="186">
        <f>(D19*D$27)</f>
        <v>11860.731987121499</v>
      </c>
      <c r="E8" s="186">
        <f t="shared" ref="E8:H8" si="2">(E19*E$27)</f>
        <v>11860.731987121499</v>
      </c>
      <c r="F8" s="186">
        <f t="shared" si="2"/>
        <v>11991.200038979834</v>
      </c>
      <c r="G8" s="186">
        <f t="shared" si="2"/>
        <v>12268.580478281514</v>
      </c>
      <c r="H8" s="186">
        <f t="shared" si="2"/>
        <v>12682.922005636932</v>
      </c>
    </row>
    <row r="9" spans="2:15" x14ac:dyDescent="0.25">
      <c r="B9" s="184" t="s">
        <v>97</v>
      </c>
      <c r="C9" s="185"/>
      <c r="D9" s="186">
        <f t="shared" ref="D9:H14" si="3">(D20*D$27)</f>
        <v>1973.2436288346316</v>
      </c>
      <c r="E9" s="186">
        <f t="shared" si="3"/>
        <v>1973.2436288346316</v>
      </c>
      <c r="F9" s="186">
        <f t="shared" si="3"/>
        <v>1973.2436288346316</v>
      </c>
      <c r="G9" s="186">
        <f t="shared" si="3"/>
        <v>1973.2436288346316</v>
      </c>
      <c r="H9" s="186">
        <f t="shared" si="3"/>
        <v>1973.2436288346316</v>
      </c>
    </row>
    <row r="10" spans="2:15" x14ac:dyDescent="0.25">
      <c r="B10" s="184" t="s">
        <v>98</v>
      </c>
      <c r="C10" s="185"/>
      <c r="D10" s="186">
        <f t="shared" si="3"/>
        <v>0</v>
      </c>
      <c r="E10" s="186">
        <f t="shared" si="3"/>
        <v>0</v>
      </c>
      <c r="F10" s="186">
        <f t="shared" si="3"/>
        <v>0</v>
      </c>
      <c r="G10" s="186">
        <f t="shared" si="3"/>
        <v>0</v>
      </c>
      <c r="H10" s="186">
        <f t="shared" si="3"/>
        <v>0</v>
      </c>
    </row>
    <row r="11" spans="2:15" x14ac:dyDescent="0.25">
      <c r="B11" s="187" t="s">
        <v>123</v>
      </c>
      <c r="C11" s="187"/>
      <c r="D11" s="188">
        <f t="shared" si="3"/>
        <v>13833.975615956129</v>
      </c>
      <c r="E11" s="188">
        <f t="shared" si="3"/>
        <v>13833.975615956129</v>
      </c>
      <c r="F11" s="188">
        <f t="shared" si="3"/>
        <v>13964.443667814465</v>
      </c>
      <c r="G11" s="188">
        <f t="shared" si="3"/>
        <v>14241.824107116145</v>
      </c>
      <c r="H11" s="188">
        <f t="shared" si="3"/>
        <v>14656.165634471563</v>
      </c>
    </row>
    <row r="12" spans="2:15" x14ac:dyDescent="0.25">
      <c r="B12" s="185" t="s">
        <v>102</v>
      </c>
      <c r="C12" s="185"/>
      <c r="D12" s="186">
        <f t="shared" si="3"/>
        <v>6445.6173825479236</v>
      </c>
      <c r="E12" s="186">
        <f t="shared" si="3"/>
        <v>6445.6173825479236</v>
      </c>
      <c r="F12" s="186">
        <f t="shared" si="3"/>
        <v>6506.4059198614714</v>
      </c>
      <c r="G12" s="186">
        <f t="shared" si="3"/>
        <v>6635.6448480463341</v>
      </c>
      <c r="H12" s="186">
        <f t="shared" si="3"/>
        <v>6828.6975918977232</v>
      </c>
    </row>
    <row r="13" spans="2:15" x14ac:dyDescent="0.25">
      <c r="B13" s="185" t="s">
        <v>103</v>
      </c>
      <c r="C13" s="185"/>
      <c r="D13" s="186">
        <f t="shared" si="3"/>
        <v>2218.6596018867972</v>
      </c>
      <c r="E13" s="186">
        <f t="shared" si="3"/>
        <v>2218.6596018867972</v>
      </c>
      <c r="F13" s="186">
        <f t="shared" si="3"/>
        <v>2239.5837529790606</v>
      </c>
      <c r="G13" s="186">
        <f t="shared" si="3"/>
        <v>2284.0693579936042</v>
      </c>
      <c r="H13" s="186">
        <f t="shared" si="3"/>
        <v>2350.5204515655228</v>
      </c>
    </row>
    <row r="14" spans="2:15" x14ac:dyDescent="0.25">
      <c r="B14" s="185" t="s">
        <v>110</v>
      </c>
      <c r="C14" s="185"/>
      <c r="D14" s="186">
        <f t="shared" si="3"/>
        <v>1426.8391799167875</v>
      </c>
      <c r="E14" s="186">
        <f t="shared" si="3"/>
        <v>1426.8391799167875</v>
      </c>
      <c r="F14" s="186">
        <f t="shared" si="3"/>
        <v>1440.29568246434</v>
      </c>
      <c r="G14" s="186">
        <f t="shared" si="3"/>
        <v>1468.9047598203588</v>
      </c>
      <c r="H14" s="186">
        <f t="shared" si="3"/>
        <v>1511.6400328546258</v>
      </c>
    </row>
    <row r="15" spans="2:15" s="190" customFormat="1" x14ac:dyDescent="0.25">
      <c r="B15" s="189" t="s">
        <v>124</v>
      </c>
      <c r="C15" s="185"/>
      <c r="D15" s="188">
        <f>SUM(D11:D14)</f>
        <v>23925.091780307637</v>
      </c>
      <c r="E15" s="188">
        <f t="shared" ref="E15:H15" si="4">SUM(E11:E14)</f>
        <v>23925.091780307637</v>
      </c>
      <c r="F15" s="188">
        <f t="shared" si="4"/>
        <v>24150.72902311934</v>
      </c>
      <c r="G15" s="188">
        <f t="shared" si="4"/>
        <v>24630.443072976443</v>
      </c>
      <c r="H15" s="188">
        <f t="shared" si="4"/>
        <v>25347.023710789435</v>
      </c>
    </row>
    <row r="16" spans="2:15" s="175" customFormat="1" x14ac:dyDescent="0.25">
      <c r="B16" s="191" t="s">
        <v>125</v>
      </c>
      <c r="C16" s="187"/>
      <c r="D16" s="188">
        <f>D28-D15</f>
        <v>0</v>
      </c>
      <c r="E16" s="188">
        <f t="shared" ref="E16:H16" si="5">E28-E15</f>
        <v>0</v>
      </c>
      <c r="F16" s="188">
        <f t="shared" si="5"/>
        <v>0</v>
      </c>
      <c r="G16" s="188">
        <f t="shared" si="5"/>
        <v>0</v>
      </c>
      <c r="H16" s="188">
        <f t="shared" si="5"/>
        <v>0</v>
      </c>
    </row>
    <row r="17" spans="2:15" s="175" customFormat="1" x14ac:dyDescent="0.25">
      <c r="C17" s="192"/>
    </row>
    <row r="18" spans="2:15" x14ac:dyDescent="0.25">
      <c r="B18" s="193" t="s">
        <v>131</v>
      </c>
      <c r="C18" s="176"/>
      <c r="D18" s="247" t="s">
        <v>126</v>
      </c>
      <c r="E18" s="248"/>
      <c r="F18" s="248"/>
      <c r="G18" s="248"/>
      <c r="H18" s="248"/>
      <c r="J18" s="176"/>
      <c r="K18" s="247" t="s">
        <v>126</v>
      </c>
      <c r="L18" s="248"/>
      <c r="M18" s="248"/>
      <c r="N18" s="248"/>
      <c r="O18" s="248"/>
    </row>
    <row r="19" spans="2:15" x14ac:dyDescent="0.25">
      <c r="B19" s="194" t="s">
        <v>96</v>
      </c>
      <c r="C19" s="195">
        <f>'Proposed price build-up'!H10</f>
        <v>118.60731987121498</v>
      </c>
      <c r="D19" s="196">
        <f>C19*D$1</f>
        <v>118.60731987121498</v>
      </c>
      <c r="E19" s="196">
        <f>D19*E1</f>
        <v>118.60731987121498</v>
      </c>
      <c r="F19" s="196">
        <f>E19*F1</f>
        <v>119.91200038979834</v>
      </c>
      <c r="G19" s="196">
        <f>F19*G1</f>
        <v>122.68580478281514</v>
      </c>
      <c r="H19" s="196">
        <f>G19*H1</f>
        <v>126.82922005636932</v>
      </c>
      <c r="J19" s="195"/>
      <c r="K19" s="196">
        <f>J19*K$1</f>
        <v>0</v>
      </c>
      <c r="L19" s="196">
        <f>K19*L1</f>
        <v>0</v>
      </c>
      <c r="M19" s="196">
        <f>L19*M1</f>
        <v>0</v>
      </c>
      <c r="N19" s="196">
        <f>M19*N1</f>
        <v>0</v>
      </c>
      <c r="O19" s="196">
        <f>N19*O1</f>
        <v>0</v>
      </c>
    </row>
    <row r="20" spans="2:15" x14ac:dyDescent="0.25">
      <c r="B20" s="194" t="s">
        <v>97</v>
      </c>
      <c r="C20" s="195">
        <f>'Proposed price build-up'!I10</f>
        <v>19.732436288346317</v>
      </c>
      <c r="D20" s="196">
        <f>C20</f>
        <v>19.732436288346317</v>
      </c>
      <c r="E20" s="196">
        <f t="shared" ref="E20:H21" si="6">D20</f>
        <v>19.732436288346317</v>
      </c>
      <c r="F20" s="196">
        <f t="shared" si="6"/>
        <v>19.732436288346317</v>
      </c>
      <c r="G20" s="196">
        <f t="shared" si="6"/>
        <v>19.732436288346317</v>
      </c>
      <c r="H20" s="196">
        <f t="shared" si="6"/>
        <v>19.732436288346317</v>
      </c>
      <c r="J20" s="195"/>
      <c r="K20" s="196">
        <f>J20</f>
        <v>0</v>
      </c>
      <c r="L20" s="196">
        <f t="shared" ref="L20:O21" si="7">K20</f>
        <v>0</v>
      </c>
      <c r="M20" s="196">
        <f t="shared" si="7"/>
        <v>0</v>
      </c>
      <c r="N20" s="196">
        <f t="shared" si="7"/>
        <v>0</v>
      </c>
      <c r="O20" s="196">
        <f t="shared" si="7"/>
        <v>0</v>
      </c>
    </row>
    <row r="21" spans="2:15" x14ac:dyDescent="0.25">
      <c r="B21" s="194" t="s">
        <v>98</v>
      </c>
      <c r="C21" s="195">
        <f>'Proposed price build-up'!J10</f>
        <v>0</v>
      </c>
      <c r="D21" s="196">
        <f>C21</f>
        <v>0</v>
      </c>
      <c r="E21" s="196">
        <f t="shared" si="6"/>
        <v>0</v>
      </c>
      <c r="F21" s="196">
        <f t="shared" si="6"/>
        <v>0</v>
      </c>
      <c r="G21" s="196">
        <f t="shared" si="6"/>
        <v>0</v>
      </c>
      <c r="H21" s="196">
        <f t="shared" si="6"/>
        <v>0</v>
      </c>
      <c r="J21" s="195"/>
      <c r="K21" s="196">
        <f>J21</f>
        <v>0</v>
      </c>
      <c r="L21" s="196">
        <f t="shared" si="7"/>
        <v>0</v>
      </c>
      <c r="M21" s="196">
        <f t="shared" si="7"/>
        <v>0</v>
      </c>
      <c r="N21" s="196">
        <f t="shared" si="7"/>
        <v>0</v>
      </c>
      <c r="O21" s="196">
        <f t="shared" si="7"/>
        <v>0</v>
      </c>
    </row>
    <row r="22" spans="2:15" s="175" customFormat="1" x14ac:dyDescent="0.25">
      <c r="B22" s="197" t="s">
        <v>123</v>
      </c>
      <c r="C22" s="255">
        <f>'Proposed price build-up'!M10</f>
        <v>138.33975615956129</v>
      </c>
      <c r="D22" s="187">
        <f>SUM(D19:D21)</f>
        <v>138.33975615956129</v>
      </c>
      <c r="E22" s="187">
        <f t="shared" ref="E22:H22" si="8">SUM(E19:E21)</f>
        <v>138.33975615956129</v>
      </c>
      <c r="F22" s="187">
        <f t="shared" si="8"/>
        <v>139.64443667814464</v>
      </c>
      <c r="G22" s="187">
        <f t="shared" si="8"/>
        <v>142.41824107116145</v>
      </c>
      <c r="H22" s="187">
        <f t="shared" si="8"/>
        <v>146.56165634471563</v>
      </c>
      <c r="J22" s="198"/>
      <c r="K22" s="185">
        <f>SUM(K19:K21)</f>
        <v>0</v>
      </c>
      <c r="L22" s="185">
        <f t="shared" ref="L22:O22" si="9">SUM(L19:L21)</f>
        <v>0</v>
      </c>
      <c r="M22" s="185">
        <f t="shared" si="9"/>
        <v>0</v>
      </c>
      <c r="N22" s="185">
        <f t="shared" si="9"/>
        <v>0</v>
      </c>
      <c r="O22" s="185">
        <f t="shared" si="9"/>
        <v>0</v>
      </c>
    </row>
    <row r="23" spans="2:15" x14ac:dyDescent="0.25">
      <c r="B23" s="194" t="s">
        <v>102</v>
      </c>
      <c r="C23" s="195">
        <f>'Proposed price build-up'!N10</f>
        <v>64.922100436996004</v>
      </c>
      <c r="D23" s="196">
        <f>D22*D$3</f>
        <v>64.45617382547924</v>
      </c>
      <c r="E23" s="196">
        <f t="shared" ref="E23:H23" si="10">E22*E$3</f>
        <v>64.45617382547924</v>
      </c>
      <c r="F23" s="196">
        <f t="shared" si="10"/>
        <v>65.064059198614714</v>
      </c>
      <c r="G23" s="196">
        <f t="shared" si="10"/>
        <v>66.356448480463342</v>
      </c>
      <c r="H23" s="196">
        <f t="shared" si="10"/>
        <v>68.286975918977234</v>
      </c>
      <c r="J23" s="195"/>
      <c r="K23" s="196">
        <f>K22*K$3</f>
        <v>0</v>
      </c>
      <c r="L23" s="196">
        <f t="shared" ref="L23:O23" si="11">L22*L$3</f>
        <v>0</v>
      </c>
      <c r="M23" s="196">
        <f t="shared" si="11"/>
        <v>0</v>
      </c>
      <c r="N23" s="196">
        <f t="shared" si="11"/>
        <v>0</v>
      </c>
      <c r="O23" s="196">
        <f t="shared" si="11"/>
        <v>0</v>
      </c>
    </row>
    <row r="24" spans="2:15" x14ac:dyDescent="0.25">
      <c r="B24" s="194" t="s">
        <v>103</v>
      </c>
      <c r="C24" s="195">
        <f>'Proposed price build-up'!O10</f>
        <v>22.18659601886797</v>
      </c>
      <c r="D24" s="196">
        <f>D22*D$4</f>
        <v>22.18659601886797</v>
      </c>
      <c r="E24" s="196">
        <f t="shared" ref="E24:H24" si="12">E22*E$4</f>
        <v>22.18659601886797</v>
      </c>
      <c r="F24" s="196">
        <f t="shared" si="12"/>
        <v>22.395837529790608</v>
      </c>
      <c r="G24" s="196">
        <f t="shared" si="12"/>
        <v>22.840693579936044</v>
      </c>
      <c r="H24" s="196">
        <f t="shared" si="12"/>
        <v>23.50520451565523</v>
      </c>
      <c r="J24" s="195"/>
      <c r="K24" s="196">
        <f>K22*K$4</f>
        <v>0</v>
      </c>
      <c r="L24" s="196">
        <f t="shared" ref="L24:O24" si="13">L22*L$4</f>
        <v>0</v>
      </c>
      <c r="M24" s="196">
        <f t="shared" si="13"/>
        <v>0</v>
      </c>
      <c r="N24" s="196">
        <f t="shared" si="13"/>
        <v>0</v>
      </c>
      <c r="O24" s="196">
        <f t="shared" si="13"/>
        <v>0</v>
      </c>
    </row>
    <row r="25" spans="2:15" x14ac:dyDescent="0.25">
      <c r="B25" s="194" t="s">
        <v>104</v>
      </c>
      <c r="C25" s="195">
        <f>'Proposed price build-up'!P10</f>
        <v>14.331811799167877</v>
      </c>
      <c r="D25" s="196">
        <f>SUM(D22:D24)*D$5</f>
        <v>14.268391799167876</v>
      </c>
      <c r="E25" s="196">
        <f t="shared" ref="E25:H25" si="14">SUM(E22:E24)*E$5</f>
        <v>14.268391799167876</v>
      </c>
      <c r="F25" s="196">
        <f t="shared" si="14"/>
        <v>14.402956824643399</v>
      </c>
      <c r="G25" s="196">
        <f t="shared" si="14"/>
        <v>14.689047598203588</v>
      </c>
      <c r="H25" s="196">
        <f t="shared" si="14"/>
        <v>15.116400328546259</v>
      </c>
      <c r="J25" s="195"/>
      <c r="K25" s="196">
        <f>SUM(K22:K24)*K$5</f>
        <v>0</v>
      </c>
      <c r="L25" s="196">
        <f t="shared" ref="L25:O25" si="15">SUM(L22:L24)*L$5</f>
        <v>0</v>
      </c>
      <c r="M25" s="196">
        <f t="shared" si="15"/>
        <v>0</v>
      </c>
      <c r="N25" s="196">
        <f t="shared" si="15"/>
        <v>0</v>
      </c>
      <c r="O25" s="196">
        <f t="shared" si="15"/>
        <v>0</v>
      </c>
    </row>
    <row r="26" spans="2:15" s="175" customFormat="1" x14ac:dyDescent="0.25">
      <c r="B26" s="199" t="s">
        <v>127</v>
      </c>
      <c r="C26" s="200">
        <f>'Proposed price build-up'!Q10</f>
        <v>239.25091780307636</v>
      </c>
      <c r="D26" s="201">
        <f>SUM(D22:D25)</f>
        <v>239.25091780307636</v>
      </c>
      <c r="E26" s="201">
        <f t="shared" ref="E26:H26" si="16">SUM(E22:E25)</f>
        <v>239.25091780307636</v>
      </c>
      <c r="F26" s="201">
        <f t="shared" si="16"/>
        <v>241.50729023119337</v>
      </c>
      <c r="G26" s="201">
        <f t="shared" si="16"/>
        <v>246.30443072976442</v>
      </c>
      <c r="H26" s="201">
        <f t="shared" si="16"/>
        <v>253.47023710789438</v>
      </c>
      <c r="J26" s="200"/>
      <c r="K26" s="201">
        <f>SUM(K22:K25)</f>
        <v>0</v>
      </c>
      <c r="L26" s="201">
        <f t="shared" ref="L26:O26" si="17">SUM(L22:L25)</f>
        <v>0</v>
      </c>
      <c r="M26" s="201">
        <f t="shared" si="17"/>
        <v>0</v>
      </c>
      <c r="N26" s="201">
        <f t="shared" si="17"/>
        <v>0</v>
      </c>
      <c r="O26" s="201">
        <f t="shared" si="17"/>
        <v>0</v>
      </c>
    </row>
    <row r="27" spans="2:15" x14ac:dyDescent="0.25">
      <c r="B27" s="202" t="s">
        <v>128</v>
      </c>
      <c r="C27" s="196"/>
      <c r="D27" s="203">
        <f>'Forecast Revenue - Costs'!D11</f>
        <v>100</v>
      </c>
      <c r="E27" s="203">
        <f>'Forecast Revenue - Costs'!E11</f>
        <v>100</v>
      </c>
      <c r="F27" s="203">
        <f>'Forecast Revenue - Costs'!F11</f>
        <v>100</v>
      </c>
      <c r="G27" s="203">
        <f>'Forecast Revenue - Costs'!G11</f>
        <v>100</v>
      </c>
      <c r="H27" s="203">
        <f>'Forecast Revenue - Costs'!H11</f>
        <v>100</v>
      </c>
      <c r="J27" s="196"/>
      <c r="K27" s="203"/>
      <c r="L27" s="203"/>
      <c r="M27" s="203"/>
      <c r="N27" s="203"/>
      <c r="O27" s="203"/>
    </row>
    <row r="28" spans="2:15" s="175" customFormat="1" x14ac:dyDescent="0.25">
      <c r="B28" s="189" t="s">
        <v>129</v>
      </c>
      <c r="C28" s="187"/>
      <c r="D28" s="188">
        <f>D26*D27</f>
        <v>23925.091780307637</v>
      </c>
      <c r="E28" s="188">
        <f t="shared" ref="E28:H28" si="18">E26*E27</f>
        <v>23925.091780307637</v>
      </c>
      <c r="F28" s="188">
        <f t="shared" si="18"/>
        <v>24150.729023119336</v>
      </c>
      <c r="G28" s="188">
        <f t="shared" si="18"/>
        <v>24630.443072976443</v>
      </c>
      <c r="H28" s="188">
        <f t="shared" si="18"/>
        <v>25347.023710789439</v>
      </c>
      <c r="J28" s="187"/>
      <c r="K28" s="188"/>
      <c r="L28" s="188"/>
      <c r="M28" s="188"/>
      <c r="N28" s="188"/>
      <c r="O28" s="188"/>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workbookViewId="0">
      <selection activeCell="K17" sqref="K17"/>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6" t="s">
        <v>51</v>
      </c>
      <c r="C2" s="27"/>
      <c r="D2" s="27"/>
      <c r="E2" s="27"/>
      <c r="F2" s="27"/>
      <c r="G2" s="27"/>
      <c r="H2" s="27"/>
      <c r="I2" s="27"/>
    </row>
    <row r="3" spans="2:9" x14ac:dyDescent="0.25">
      <c r="B3" s="1"/>
      <c r="C3" s="1"/>
      <c r="D3" s="1"/>
      <c r="E3" s="1"/>
      <c r="F3" s="1"/>
      <c r="G3" s="1"/>
      <c r="H3" s="1"/>
      <c r="I3" s="1"/>
    </row>
    <row r="4" spans="2:9" x14ac:dyDescent="0.25">
      <c r="B4" s="3" t="s">
        <v>82</v>
      </c>
      <c r="C4" s="3" t="s">
        <v>3</v>
      </c>
      <c r="D4" s="93" t="s">
        <v>59</v>
      </c>
      <c r="E4" s="93" t="s">
        <v>60</v>
      </c>
      <c r="F4" s="93" t="s">
        <v>61</v>
      </c>
      <c r="G4" s="93" t="s">
        <v>81</v>
      </c>
      <c r="H4" s="93" t="s">
        <v>62</v>
      </c>
      <c r="I4" s="4" t="s">
        <v>1</v>
      </c>
    </row>
    <row r="5" spans="2:9" x14ac:dyDescent="0.25">
      <c r="B5" s="116" t="s">
        <v>83</v>
      </c>
      <c r="C5" s="5" t="str">
        <f>'AER Summary'!$C$3</f>
        <v>Compulsory Acquisition over Crown Land (NEW)</v>
      </c>
      <c r="D5" s="30">
        <f>'Forecasts by year'!D28</f>
        <v>23925.091780307637</v>
      </c>
      <c r="E5" s="30">
        <f>'Forecasts by year'!E28</f>
        <v>23925.091780307637</v>
      </c>
      <c r="F5" s="30">
        <f>'Forecasts by year'!F28</f>
        <v>24150.729023119336</v>
      </c>
      <c r="G5" s="30">
        <f>'Forecasts by year'!G28</f>
        <v>24630.443072976443</v>
      </c>
      <c r="H5" s="30">
        <f>'Forecasts by year'!H28</f>
        <v>25347.023710789439</v>
      </c>
      <c r="I5" s="151">
        <f>SUM(D5:H5)</f>
        <v>121978.37936750049</v>
      </c>
    </row>
    <row r="6" spans="2:9" x14ac:dyDescent="0.25">
      <c r="B6" s="7" t="s">
        <v>1</v>
      </c>
      <c r="C6" s="8"/>
      <c r="D6" s="9">
        <f>SUM(D5:D5)</f>
        <v>23925.091780307637</v>
      </c>
      <c r="E6" s="9">
        <f>SUM(E5:E5)</f>
        <v>23925.091780307637</v>
      </c>
      <c r="F6" s="9">
        <f>SUM(F5:F5)</f>
        <v>24150.729023119336</v>
      </c>
      <c r="G6" s="9">
        <f>SUM(G5:G5)</f>
        <v>24630.443072976443</v>
      </c>
      <c r="H6" s="9">
        <f>SUM(H5:H5)</f>
        <v>25347.023710789439</v>
      </c>
      <c r="I6" s="9">
        <f>SUM(I5:I5)</f>
        <v>121978.37936750049</v>
      </c>
    </row>
    <row r="7" spans="2:9" x14ac:dyDescent="0.25">
      <c r="B7" s="1"/>
      <c r="C7" s="1"/>
      <c r="D7" s="1"/>
      <c r="E7" s="1"/>
      <c r="F7" s="1"/>
      <c r="G7" s="1"/>
      <c r="H7" s="1"/>
      <c r="I7" s="1"/>
    </row>
    <row r="8" spans="2:9" x14ac:dyDescent="0.25">
      <c r="B8" s="26" t="s">
        <v>28</v>
      </c>
      <c r="C8" s="27"/>
      <c r="D8" s="27"/>
      <c r="E8" s="27"/>
      <c r="F8" s="27"/>
      <c r="G8" s="27"/>
      <c r="H8" s="27"/>
      <c r="I8" s="27"/>
    </row>
    <row r="9" spans="2:9" x14ac:dyDescent="0.25">
      <c r="B9" s="1"/>
      <c r="C9" s="1"/>
      <c r="D9" s="1"/>
      <c r="E9" s="1"/>
      <c r="F9" s="1"/>
      <c r="G9" s="1"/>
      <c r="H9" s="1"/>
      <c r="I9" s="1"/>
    </row>
    <row r="10" spans="2:9" x14ac:dyDescent="0.25">
      <c r="B10" s="3" t="s">
        <v>82</v>
      </c>
      <c r="C10" s="3" t="s">
        <v>3</v>
      </c>
      <c r="D10" s="93" t="s">
        <v>59</v>
      </c>
      <c r="E10" s="93" t="s">
        <v>60</v>
      </c>
      <c r="F10" s="93" t="s">
        <v>61</v>
      </c>
      <c r="G10" s="93" t="s">
        <v>81</v>
      </c>
      <c r="H10" s="93" t="s">
        <v>62</v>
      </c>
      <c r="I10" s="4" t="s">
        <v>1</v>
      </c>
    </row>
    <row r="11" spans="2:9" x14ac:dyDescent="0.25">
      <c r="B11" s="116" t="s">
        <v>83</v>
      </c>
      <c r="C11" s="5" t="s">
        <v>87</v>
      </c>
      <c r="D11" s="115">
        <v>100</v>
      </c>
      <c r="E11" s="115">
        <v>100</v>
      </c>
      <c r="F11" s="115">
        <v>100</v>
      </c>
      <c r="G11" s="115">
        <v>100</v>
      </c>
      <c r="H11" s="115">
        <v>100</v>
      </c>
      <c r="I11" s="153">
        <f>SUM(D11:H11)</f>
        <v>500</v>
      </c>
    </row>
    <row r="12" spans="2:9" x14ac:dyDescent="0.25">
      <c r="B12" s="7" t="s">
        <v>18</v>
      </c>
      <c r="C12" s="8"/>
      <c r="D12" s="13">
        <f>SUM(D11:D11)</f>
        <v>100</v>
      </c>
      <c r="E12" s="13">
        <f>SUM(E11:E11)</f>
        <v>100</v>
      </c>
      <c r="F12" s="13">
        <f>SUM(F11:F11)</f>
        <v>100</v>
      </c>
      <c r="G12" s="13">
        <f>SUM(G11:G11)</f>
        <v>100</v>
      </c>
      <c r="H12" s="13">
        <f>SUM(H11:H11)</f>
        <v>100</v>
      </c>
      <c r="I12" s="13">
        <f>SUM(I11:I11)</f>
        <v>500</v>
      </c>
    </row>
    <row r="13" spans="2:9" x14ac:dyDescent="0.25">
      <c r="B13" s="1"/>
      <c r="C13" s="1"/>
      <c r="D13" s="14"/>
      <c r="E13" s="14"/>
      <c r="F13" s="14"/>
      <c r="G13" s="14"/>
      <c r="H13" s="14"/>
      <c r="I13" s="14"/>
    </row>
    <row r="14" spans="2:9" x14ac:dyDescent="0.25">
      <c r="B14" s="15" t="s">
        <v>6</v>
      </c>
      <c r="C14" s="1"/>
      <c r="D14" s="14"/>
      <c r="E14" s="14"/>
      <c r="F14" s="14"/>
      <c r="G14" s="14"/>
      <c r="H14" s="14"/>
      <c r="I14" s="14"/>
    </row>
    <row r="15" spans="2:9" x14ac:dyDescent="0.25">
      <c r="B15" s="249" t="s">
        <v>90</v>
      </c>
      <c r="C15" s="249"/>
      <c r="D15" s="249"/>
      <c r="E15" s="249"/>
      <c r="F15" s="249"/>
      <c r="G15" s="249"/>
      <c r="H15" s="249"/>
      <c r="I15" s="249"/>
    </row>
    <row r="16" spans="2:9" x14ac:dyDescent="0.25">
      <c r="B16" s="250"/>
      <c r="C16" s="250"/>
      <c r="D16" s="250"/>
      <c r="E16" s="250"/>
      <c r="F16" s="250"/>
      <c r="G16" s="250"/>
      <c r="H16" s="250"/>
      <c r="I16" s="250"/>
    </row>
    <row r="17" spans="2:9" x14ac:dyDescent="0.25">
      <c r="B17" s="1"/>
      <c r="C17" s="1"/>
      <c r="D17" s="14"/>
      <c r="E17" s="14"/>
      <c r="F17" s="14"/>
      <c r="G17" s="14"/>
      <c r="H17" s="14"/>
      <c r="I17" s="14"/>
    </row>
    <row r="18" spans="2:9" x14ac:dyDescent="0.25">
      <c r="B18" s="26" t="s">
        <v>29</v>
      </c>
      <c r="C18" s="27"/>
      <c r="D18" s="27"/>
      <c r="E18" s="27"/>
      <c r="F18" s="27"/>
      <c r="G18" s="27"/>
      <c r="H18" s="27"/>
      <c r="I18" s="27"/>
    </row>
    <row r="19" spans="2:9" x14ac:dyDescent="0.25">
      <c r="B19" s="1"/>
      <c r="C19" s="1"/>
      <c r="D19" s="1"/>
      <c r="E19" s="1"/>
      <c r="F19" s="1"/>
      <c r="G19" s="1"/>
      <c r="H19" s="1"/>
      <c r="I19" s="1"/>
    </row>
    <row r="20" spans="2:9" x14ac:dyDescent="0.25">
      <c r="B20" s="16" t="s">
        <v>27</v>
      </c>
      <c r="C20" s="17"/>
      <c r="D20" s="17"/>
      <c r="E20" s="17"/>
      <c r="F20" s="17"/>
      <c r="G20" s="17"/>
      <c r="H20" s="17"/>
      <c r="I20" s="17"/>
    </row>
    <row r="21" spans="2:9" x14ac:dyDescent="0.25">
      <c r="B21" s="256" t="s">
        <v>140</v>
      </c>
      <c r="C21" s="233"/>
      <c r="D21" s="233"/>
      <c r="E21" s="233"/>
      <c r="F21" s="233"/>
      <c r="G21" s="233"/>
      <c r="H21" s="233"/>
      <c r="I21" s="233"/>
    </row>
    <row r="22" spans="2:9" x14ac:dyDescent="0.25">
      <c r="B22" s="235"/>
      <c r="C22" s="235"/>
      <c r="D22" s="235"/>
      <c r="E22" s="235"/>
      <c r="F22" s="235"/>
      <c r="G22" s="235"/>
      <c r="H22" s="235"/>
      <c r="I22" s="235"/>
    </row>
    <row r="23" spans="2:9" x14ac:dyDescent="0.25">
      <c r="B23" s="18"/>
      <c r="C23" s="19"/>
      <c r="D23" s="19"/>
      <c r="E23" s="19"/>
      <c r="F23" s="19"/>
      <c r="G23" s="19"/>
      <c r="H23" s="19"/>
      <c r="I23" s="19"/>
    </row>
    <row r="24" spans="2:9" x14ac:dyDescent="0.25">
      <c r="B24" s="1"/>
      <c r="C24" s="1"/>
      <c r="D24" s="1"/>
      <c r="E24" s="1"/>
      <c r="F24" s="1"/>
      <c r="G24" s="1"/>
      <c r="H24" s="1"/>
      <c r="I24" s="1"/>
    </row>
    <row r="25" spans="2:9" x14ac:dyDescent="0.25">
      <c r="B25" s="31" t="s">
        <v>49</v>
      </c>
      <c r="C25" s="32"/>
      <c r="D25" s="251" t="s">
        <v>106</v>
      </c>
      <c r="E25" s="251"/>
      <c r="F25" s="251"/>
      <c r="G25" s="251"/>
      <c r="H25" s="251"/>
      <c r="I25" s="32"/>
    </row>
    <row r="26" spans="2:9" ht="15.75" customHeight="1" x14ac:dyDescent="0.25">
      <c r="B26" s="2" t="s">
        <v>21</v>
      </c>
      <c r="C26" s="20" t="s">
        <v>3</v>
      </c>
      <c r="D26" s="93" t="s">
        <v>59</v>
      </c>
      <c r="E26" s="93" t="s">
        <v>60</v>
      </c>
      <c r="F26" s="93" t="s">
        <v>61</v>
      </c>
      <c r="G26" s="93" t="s">
        <v>81</v>
      </c>
      <c r="H26" s="171" t="s">
        <v>62</v>
      </c>
      <c r="I26" s="21" t="s">
        <v>1</v>
      </c>
    </row>
    <row r="27" spans="2:9" s="175" customFormat="1" x14ac:dyDescent="0.25">
      <c r="B27" s="172" t="s">
        <v>107</v>
      </c>
      <c r="C27" s="173"/>
      <c r="D27" s="114">
        <f>'Forecasts by year'!D8</f>
        <v>11860.731987121499</v>
      </c>
      <c r="E27" s="114">
        <f>'Forecasts by year'!E8</f>
        <v>11860.731987121499</v>
      </c>
      <c r="F27" s="114">
        <f>'Forecasts by year'!F8</f>
        <v>11991.200038979834</v>
      </c>
      <c r="G27" s="114">
        <f>'Forecasts by year'!G8</f>
        <v>12268.580478281514</v>
      </c>
      <c r="H27" s="114">
        <f>'Forecasts by year'!H8</f>
        <v>12682.922005636932</v>
      </c>
      <c r="I27" s="174">
        <f t="shared" ref="I27:I29" si="0">SUM(D27:H27)</f>
        <v>60664.166497141276</v>
      </c>
    </row>
    <row r="28" spans="2:9" s="175" customFormat="1" x14ac:dyDescent="0.25">
      <c r="B28" s="172" t="s">
        <v>108</v>
      </c>
      <c r="C28" s="176"/>
      <c r="D28" s="114">
        <f>'Forecasts by year'!D9</f>
        <v>1973.2436288346316</v>
      </c>
      <c r="E28" s="114">
        <f>'Forecasts by year'!E9</f>
        <v>1973.2436288346316</v>
      </c>
      <c r="F28" s="114">
        <f>'Forecasts by year'!F9</f>
        <v>1973.2436288346316</v>
      </c>
      <c r="G28" s="114">
        <f>'Forecasts by year'!G9</f>
        <v>1973.2436288346316</v>
      </c>
      <c r="H28" s="114">
        <f>'Forecasts by year'!H9</f>
        <v>1973.2436288346316</v>
      </c>
      <c r="I28" s="174">
        <f t="shared" si="0"/>
        <v>9866.2181441731591</v>
      </c>
    </row>
    <row r="29" spans="2:9" s="175" customFormat="1" x14ac:dyDescent="0.25">
      <c r="B29" s="172" t="s">
        <v>98</v>
      </c>
      <c r="C29" s="176"/>
      <c r="D29" s="114">
        <f>'Forecasts by year'!D10</f>
        <v>0</v>
      </c>
      <c r="E29" s="114">
        <f>'Forecasts by year'!E10</f>
        <v>0</v>
      </c>
      <c r="F29" s="114">
        <f>'Forecasts by year'!F10</f>
        <v>0</v>
      </c>
      <c r="G29" s="114">
        <f>'Forecasts by year'!G10</f>
        <v>0</v>
      </c>
      <c r="H29" s="114">
        <f>'Forecasts by year'!H10</f>
        <v>0</v>
      </c>
      <c r="I29" s="174">
        <f t="shared" si="0"/>
        <v>0</v>
      </c>
    </row>
    <row r="30" spans="2:9" s="175" customFormat="1" x14ac:dyDescent="0.25">
      <c r="B30" s="177" t="s">
        <v>109</v>
      </c>
      <c r="C30" s="176"/>
      <c r="D30" s="178">
        <f>'Forecasts by year'!D11</f>
        <v>13833.975615956129</v>
      </c>
      <c r="E30" s="178">
        <f>'Forecasts by year'!E11</f>
        <v>13833.975615956129</v>
      </c>
      <c r="F30" s="178">
        <f>'Forecasts by year'!F11</f>
        <v>13964.443667814465</v>
      </c>
      <c r="G30" s="178">
        <f>'Forecasts by year'!G11</f>
        <v>14241.824107116145</v>
      </c>
      <c r="H30" s="178">
        <f>'Forecasts by year'!H11</f>
        <v>14656.165634471563</v>
      </c>
      <c r="I30" s="174">
        <f>SUM(D30:H30)</f>
        <v>70530.384641314435</v>
      </c>
    </row>
    <row r="31" spans="2:9" x14ac:dyDescent="0.25">
      <c r="B31" s="6" t="s">
        <v>102</v>
      </c>
      <c r="C31" s="11"/>
      <c r="D31" s="114">
        <f>'Forecasts by year'!D12</f>
        <v>6445.6173825479236</v>
      </c>
      <c r="E31" s="114">
        <f>'Forecasts by year'!E12</f>
        <v>6445.6173825479236</v>
      </c>
      <c r="F31" s="114">
        <f>'Forecasts by year'!F12</f>
        <v>6506.4059198614714</v>
      </c>
      <c r="G31" s="114">
        <f>'Forecasts by year'!G12</f>
        <v>6635.6448480463341</v>
      </c>
      <c r="H31" s="114">
        <f>'Forecasts by year'!H12</f>
        <v>6828.6975918977232</v>
      </c>
      <c r="I31" s="174">
        <f>SUM(D31:H31)</f>
        <v>32861.983124901373</v>
      </c>
    </row>
    <row r="32" spans="2:9" x14ac:dyDescent="0.25">
      <c r="B32" s="6" t="s">
        <v>103</v>
      </c>
      <c r="C32" s="5"/>
      <c r="D32" s="114">
        <f>'Forecasts by year'!D13</f>
        <v>2218.6596018867972</v>
      </c>
      <c r="E32" s="114">
        <f>'Forecasts by year'!E13</f>
        <v>2218.6596018867972</v>
      </c>
      <c r="F32" s="114">
        <f>'Forecasts by year'!F13</f>
        <v>2239.5837529790606</v>
      </c>
      <c r="G32" s="114">
        <f>'Forecasts by year'!G13</f>
        <v>2284.0693579936042</v>
      </c>
      <c r="H32" s="114">
        <f>'Forecasts by year'!H13</f>
        <v>2350.5204515655228</v>
      </c>
      <c r="I32" s="174">
        <f>SUM(D32:H32)</f>
        <v>11311.492766311781</v>
      </c>
    </row>
    <row r="33" spans="2:9" x14ac:dyDescent="0.25">
      <c r="B33" s="6" t="s">
        <v>110</v>
      </c>
      <c r="C33" s="5"/>
      <c r="D33" s="114">
        <f>'Forecasts by year'!D14</f>
        <v>1426.8391799167875</v>
      </c>
      <c r="E33" s="114">
        <f>'Forecasts by year'!E14</f>
        <v>1426.8391799167875</v>
      </c>
      <c r="F33" s="114">
        <f>'Forecasts by year'!F14</f>
        <v>1440.29568246434</v>
      </c>
      <c r="G33" s="114">
        <f>'Forecasts by year'!G14</f>
        <v>1468.9047598203588</v>
      </c>
      <c r="H33" s="114">
        <f>'Forecasts by year'!H14</f>
        <v>1511.6400328546258</v>
      </c>
      <c r="I33" s="174">
        <f>SUM(D33:H33)</f>
        <v>7274.5188349728996</v>
      </c>
    </row>
    <row r="34" spans="2:9" x14ac:dyDescent="0.25">
      <c r="B34" s="22" t="s">
        <v>1</v>
      </c>
      <c r="C34" s="23"/>
      <c r="D34" s="24">
        <f>SUM(D30:D33)</f>
        <v>23925.091780307637</v>
      </c>
      <c r="E34" s="24">
        <f t="shared" ref="E34:H34" si="1">SUM(E30:E33)</f>
        <v>23925.091780307637</v>
      </c>
      <c r="F34" s="24">
        <f t="shared" si="1"/>
        <v>24150.72902311934</v>
      </c>
      <c r="G34" s="24">
        <f t="shared" si="1"/>
        <v>24630.443072976443</v>
      </c>
      <c r="H34" s="24">
        <f t="shared" si="1"/>
        <v>25347.023710789435</v>
      </c>
      <c r="I34" s="25">
        <f>SUM(I30:I33)</f>
        <v>121978.3793675005</v>
      </c>
    </row>
  </sheetData>
  <mergeCells count="3">
    <mergeCell ref="B15:I16"/>
    <mergeCell ref="B21:I22"/>
    <mergeCell ref="D25:H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 build-up</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2018-04-17T04:28:38Z</dcterms:modified>
</cp:coreProperties>
</file>