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029"/>
  <workbookPr codeName="ThisWorkbook" defaultThemeVersion="124226"/>
  <mc:AlternateContent xmlns:mc="http://schemas.openxmlformats.org/markup-compatibility/2006">
    <mc:Choice Requires="x15">
      <x15ac:absPath xmlns:x15ac="http://schemas.microsoft.com/office/spreadsheetml/2010/11/ac" url="T:\Coy1-Fin\Reg_Affairs\2019 Determination\Models\2. FP - Final Proposal\ANS models - AER Version\Anc Serv - 2019-24\14_Provision of Training to 3rd Parties\"/>
    </mc:Choice>
  </mc:AlternateContent>
  <xr:revisionPtr revIDLastSave="0" documentId="13_ncr:1_{35A2D9C8-C1F7-4A57-AD93-A68318F93A07}" xr6:coauthVersionLast="28" xr6:coauthVersionMax="28" xr10:uidLastSave="{00000000-0000-0000-0000-000000000000}"/>
  <bookViews>
    <workbookView xWindow="120" yWindow="15" windowWidth="19440" windowHeight="12120" tabRatio="570" firstSheet="1" activeTab="6" xr2:uid="{00000000-000D-0000-FFFF-FFFF00000000}"/>
  </bookViews>
  <sheets>
    <sheet name="AER Summary" sheetId="8" r:id="rId1"/>
    <sheet name="Service Description" sheetId="9" r:id="rId2"/>
    <sheet name="Operating Costs" sheetId="15" r:id="rId3"/>
    <sheet name="Historical Revenue" sheetId="13" r:id="rId4"/>
    <sheet name="Proposed price" sheetId="11" r:id="rId5"/>
    <sheet name="Forecasts by year" sheetId="17" r:id="rId6"/>
    <sheet name="Forecast Revenue - Costs" sheetId="16" r:id="rId7"/>
  </sheets>
  <externalReferences>
    <externalReference r:id="rId8"/>
  </externalReferences>
  <calcPr calcId="171027"/>
  <fileRecoveryPr autoRecover="0"/>
</workbook>
</file>

<file path=xl/calcChain.xml><?xml version="1.0" encoding="utf-8"?>
<calcChain xmlns="http://schemas.openxmlformats.org/spreadsheetml/2006/main">
  <c r="E17" i="13" l="1"/>
  <c r="F17" i="13"/>
  <c r="G17" i="13"/>
  <c r="H17" i="13"/>
  <c r="I15" i="13"/>
  <c r="I16" i="13"/>
  <c r="I7" i="13"/>
  <c r="I8" i="13"/>
  <c r="I9" i="13"/>
  <c r="E10" i="13"/>
  <c r="F10" i="13"/>
  <c r="G10" i="13"/>
  <c r="H10" i="13"/>
  <c r="E9" i="15"/>
  <c r="F9" i="15"/>
  <c r="G9" i="15"/>
  <c r="B20" i="9"/>
  <c r="P23" i="11" l="1"/>
  <c r="D12" i="8" s="1"/>
  <c r="N23" i="11"/>
  <c r="D11" i="8" s="1"/>
  <c r="Q23" i="11" l="1"/>
  <c r="D10" i="8"/>
  <c r="F22" i="11"/>
  <c r="H22" i="11"/>
  <c r="I22" i="11"/>
  <c r="L24" i="11"/>
  <c r="K24" i="11"/>
  <c r="J24" i="11"/>
  <c r="G24" i="11"/>
  <c r="F20" i="11"/>
  <c r="I20" i="11" s="1"/>
  <c r="F19" i="11"/>
  <c r="I19" i="11" s="1"/>
  <c r="M22" i="11" l="1"/>
  <c r="N22" i="11" s="1"/>
  <c r="I24" i="11"/>
  <c r="F24" i="11"/>
  <c r="H19" i="11"/>
  <c r="H20" i="11"/>
  <c r="M20" i="11" s="1"/>
  <c r="H5" i="17"/>
  <c r="G5" i="17"/>
  <c r="F5" i="17"/>
  <c r="E5" i="17"/>
  <c r="D5" i="17"/>
  <c r="H2" i="17"/>
  <c r="G2" i="17"/>
  <c r="F2" i="17"/>
  <c r="E2" i="17"/>
  <c r="D2" i="17"/>
  <c r="H1" i="17"/>
  <c r="G1" i="17"/>
  <c r="F1" i="17"/>
  <c r="E1" i="17"/>
  <c r="D1" i="17"/>
  <c r="O22" i="11" l="1"/>
  <c r="P22" i="11" s="1"/>
  <c r="Q22" i="11" s="1"/>
  <c r="D9" i="8" s="1"/>
  <c r="O20" i="11"/>
  <c r="N20" i="11"/>
  <c r="M19" i="11"/>
  <c r="H24" i="11"/>
  <c r="E27" i="17"/>
  <c r="F27" i="17"/>
  <c r="G27" i="17"/>
  <c r="H27" i="17"/>
  <c r="D27" i="17"/>
  <c r="K21" i="17"/>
  <c r="L21" i="17" s="1"/>
  <c r="M21" i="17" s="1"/>
  <c r="N21" i="17" s="1"/>
  <c r="O21" i="17" s="1"/>
  <c r="K20" i="17"/>
  <c r="L20" i="17" s="1"/>
  <c r="M20" i="17" s="1"/>
  <c r="N20" i="17" s="1"/>
  <c r="O20" i="17" s="1"/>
  <c r="O5" i="17"/>
  <c r="L5" i="17"/>
  <c r="O1" i="17"/>
  <c r="N1" i="17"/>
  <c r="M1" i="17"/>
  <c r="L1" i="17"/>
  <c r="K1" i="17"/>
  <c r="G9" i="11"/>
  <c r="J9" i="11"/>
  <c r="C21" i="17" s="1"/>
  <c r="D21" i="17" s="1"/>
  <c r="K9" i="11"/>
  <c r="L9" i="11"/>
  <c r="P20" i="11" l="1"/>
  <c r="Q20" i="11" s="1"/>
  <c r="M24" i="11"/>
  <c r="O19" i="11"/>
  <c r="O24" i="11" s="1"/>
  <c r="N19" i="11"/>
  <c r="N24" i="11" s="1"/>
  <c r="E21" i="17"/>
  <c r="E10" i="17" s="1"/>
  <c r="E27" i="16" s="1"/>
  <c r="D10" i="17"/>
  <c r="D27" i="16" s="1"/>
  <c r="K19" i="17"/>
  <c r="K5" i="17"/>
  <c r="N5" i="17"/>
  <c r="M5" i="17"/>
  <c r="H5" i="15"/>
  <c r="I5" i="15" s="1"/>
  <c r="H6" i="15"/>
  <c r="I6" i="15" s="1"/>
  <c r="H7" i="15"/>
  <c r="I7" i="15" s="1"/>
  <c r="H8" i="15"/>
  <c r="I8" i="15" s="1"/>
  <c r="H4" i="15"/>
  <c r="H9" i="15" l="1"/>
  <c r="P19" i="11"/>
  <c r="F21" i="17"/>
  <c r="F10" i="17" s="1"/>
  <c r="F27" i="16" s="1"/>
  <c r="K22" i="17"/>
  <c r="L19" i="17"/>
  <c r="H6" i="13"/>
  <c r="G21" i="17" l="1"/>
  <c r="H21" i="17" s="1"/>
  <c r="H10" i="17" s="1"/>
  <c r="H27" i="16" s="1"/>
  <c r="P24" i="11"/>
  <c r="Q19" i="11"/>
  <c r="Q24" i="11" s="1"/>
  <c r="D8" i="8" s="1"/>
  <c r="M19" i="17"/>
  <c r="L22" i="17"/>
  <c r="F8" i="11"/>
  <c r="F7" i="11"/>
  <c r="G10" i="17" l="1"/>
  <c r="G27" i="16" s="1"/>
  <c r="I27" i="16" s="1"/>
  <c r="I7" i="11"/>
  <c r="H7" i="11"/>
  <c r="F9" i="11"/>
  <c r="I8" i="11"/>
  <c r="H8" i="11"/>
  <c r="M22" i="17"/>
  <c r="N19" i="17"/>
  <c r="I14" i="13"/>
  <c r="I6" i="13"/>
  <c r="I14" i="15"/>
  <c r="I13" i="15"/>
  <c r="G15" i="15"/>
  <c r="H15" i="15"/>
  <c r="I4" i="15"/>
  <c r="H9" i="11" l="1"/>
  <c r="C19" i="17" s="1"/>
  <c r="D19" i="17" s="1"/>
  <c r="M8" i="11"/>
  <c r="I9" i="11"/>
  <c r="C20" i="17" s="1"/>
  <c r="D20" i="17" s="1"/>
  <c r="O19" i="17"/>
  <c r="O22" i="17" s="1"/>
  <c r="N22" i="17"/>
  <c r="M7" i="11"/>
  <c r="G11" i="16"/>
  <c r="F62" i="8" s="1"/>
  <c r="I10" i="16"/>
  <c r="D9" i="15"/>
  <c r="E19" i="17" l="1"/>
  <c r="E8" i="17" s="1"/>
  <c r="E25" i="16" s="1"/>
  <c r="D8" i="17"/>
  <c r="D22" i="17"/>
  <c r="D11" i="17" s="1"/>
  <c r="D28" i="16" s="1"/>
  <c r="D25" i="16"/>
  <c r="M9" i="11"/>
  <c r="C22" i="17" s="1"/>
  <c r="D9" i="17"/>
  <c r="D26" i="16" s="1"/>
  <c r="E20" i="17"/>
  <c r="E22" i="17" s="1"/>
  <c r="H11" i="16"/>
  <c r="G62" i="8" s="1"/>
  <c r="F19" i="17" l="1"/>
  <c r="G19" i="17" s="1"/>
  <c r="E11" i="17"/>
  <c r="E28" i="16" s="1"/>
  <c r="E9" i="17"/>
  <c r="E26" i="16" s="1"/>
  <c r="F20" i="17"/>
  <c r="C46" i="8"/>
  <c r="F8" i="17" l="1"/>
  <c r="F25" i="16" s="1"/>
  <c r="F22" i="17"/>
  <c r="F11" i="17"/>
  <c r="F28" i="16" s="1"/>
  <c r="F9" i="17"/>
  <c r="F26" i="16" s="1"/>
  <c r="G20" i="17"/>
  <c r="G22" i="17" s="1"/>
  <c r="G8" i="17"/>
  <c r="G25" i="16" s="1"/>
  <c r="H19" i="17"/>
  <c r="D46" i="8"/>
  <c r="F15" i="15"/>
  <c r="E15" i="15"/>
  <c r="D15" i="15"/>
  <c r="G9" i="17" l="1"/>
  <c r="G26" i="16" s="1"/>
  <c r="H20" i="17"/>
  <c r="H9" i="17" s="1"/>
  <c r="H26" i="16" s="1"/>
  <c r="G11" i="17"/>
  <c r="G28" i="16" s="1"/>
  <c r="H8" i="17"/>
  <c r="H25" i="16" s="1"/>
  <c r="I25" i="16" s="1"/>
  <c r="E46" i="8"/>
  <c r="I15" i="15"/>
  <c r="F11" i="16"/>
  <c r="E62" i="8" s="1"/>
  <c r="E11" i="16"/>
  <c r="D62" i="8" s="1"/>
  <c r="D11" i="16"/>
  <c r="C62" i="8" s="1"/>
  <c r="I11" i="16"/>
  <c r="C5" i="16"/>
  <c r="C10" i="16" s="1"/>
  <c r="D17" i="13"/>
  <c r="D10" i="13"/>
  <c r="H22" i="17" l="1"/>
  <c r="H11" i="17" s="1"/>
  <c r="H28" i="16" s="1"/>
  <c r="I28" i="16" s="1"/>
  <c r="I26" i="16"/>
  <c r="F46" i="8"/>
  <c r="H62" i="8"/>
  <c r="I10" i="13"/>
  <c r="I17" i="13"/>
  <c r="G46" i="8" l="1"/>
  <c r="I9" i="15"/>
  <c r="D3" i="9" l="1"/>
  <c r="H46" i="8" l="1"/>
  <c r="H4" i="17" l="1"/>
  <c r="D4" i="17"/>
  <c r="O7" i="11"/>
  <c r="G4" i="17"/>
  <c r="O8" i="11"/>
  <c r="F4" i="17"/>
  <c r="E4" i="17"/>
  <c r="O9" i="11" l="1"/>
  <c r="C24" i="17" s="1"/>
  <c r="N4" i="17"/>
  <c r="G24" i="17"/>
  <c r="G13" i="17" s="1"/>
  <c r="G30" i="16" s="1"/>
  <c r="M4" i="17"/>
  <c r="F24" i="17"/>
  <c r="F13" i="17" s="1"/>
  <c r="F30" i="16" s="1"/>
  <c r="K4" i="17"/>
  <c r="D24" i="17"/>
  <c r="D13" i="17" s="1"/>
  <c r="D30" i="16" s="1"/>
  <c r="L4" i="17"/>
  <c r="E24" i="17"/>
  <c r="E13" i="17" s="1"/>
  <c r="O4" i="17"/>
  <c r="H24" i="17"/>
  <c r="H13" i="17" s="1"/>
  <c r="H30" i="16" s="1"/>
  <c r="E30" i="16" l="1"/>
  <c r="I30" i="16" s="1"/>
  <c r="L24" i="17"/>
  <c r="M24" i="17"/>
  <c r="O24" i="17"/>
  <c r="K24" i="17"/>
  <c r="N24" i="17"/>
  <c r="E3" i="17"/>
  <c r="H3" i="17"/>
  <c r="D3" i="17"/>
  <c r="N7" i="11"/>
  <c r="G3" i="17"/>
  <c r="N8" i="11"/>
  <c r="F3" i="17"/>
  <c r="P7" i="11" l="1"/>
  <c r="Q7" i="11" s="1"/>
  <c r="N9" i="11"/>
  <c r="C23" i="17" s="1"/>
  <c r="K3" i="17"/>
  <c r="D23" i="17"/>
  <c r="P8" i="11"/>
  <c r="Q8" i="11" s="1"/>
  <c r="O3" i="17"/>
  <c r="H23" i="17"/>
  <c r="M3" i="17"/>
  <c r="F23" i="17"/>
  <c r="N3" i="17"/>
  <c r="G23" i="17"/>
  <c r="L3" i="17"/>
  <c r="E23" i="17"/>
  <c r="L23" i="17" l="1"/>
  <c r="L25" i="17" s="1"/>
  <c r="K23" i="17"/>
  <c r="K25" i="17" s="1"/>
  <c r="K26" i="17" s="1"/>
  <c r="M23" i="17"/>
  <c r="M25" i="17" s="1"/>
  <c r="M26" i="17" s="1"/>
  <c r="N23" i="17"/>
  <c r="N25" i="17" s="1"/>
  <c r="N26" i="17" s="1"/>
  <c r="O23" i="17"/>
  <c r="O25" i="17" s="1"/>
  <c r="O26" i="17" s="1"/>
  <c r="P9" i="11"/>
  <c r="C25" i="17" s="1"/>
  <c r="E25" i="17"/>
  <c r="E12" i="17"/>
  <c r="E29" i="16" s="1"/>
  <c r="Q9" i="11"/>
  <c r="F12" i="17"/>
  <c r="F29" i="16" s="1"/>
  <c r="F25" i="17"/>
  <c r="F14" i="17" s="1"/>
  <c r="F31" i="16" s="1"/>
  <c r="G25" i="17"/>
  <c r="G14" i="17" s="1"/>
  <c r="G31" i="16" s="1"/>
  <c r="G12" i="17"/>
  <c r="G29" i="16" s="1"/>
  <c r="H25" i="17"/>
  <c r="H14" i="17" s="1"/>
  <c r="H31" i="16" s="1"/>
  <c r="H12" i="17"/>
  <c r="H29" i="16" s="1"/>
  <c r="D12" i="17"/>
  <c r="D29" i="16" s="1"/>
  <c r="D25" i="17"/>
  <c r="D14" i="17" s="1"/>
  <c r="D31" i="16" s="1"/>
  <c r="L26" i="17" l="1"/>
  <c r="E14" i="17"/>
  <c r="E31" i="16" s="1"/>
  <c r="D48" i="8" s="1"/>
  <c r="D50" i="8" s="1"/>
  <c r="F26" i="17"/>
  <c r="F28" i="17" s="1"/>
  <c r="F5" i="16" s="1"/>
  <c r="F6" i="16" s="1"/>
  <c r="E26" i="17"/>
  <c r="E15" i="17" s="1"/>
  <c r="G26" i="17"/>
  <c r="G15" i="17" s="1"/>
  <c r="I31" i="16"/>
  <c r="D26" i="17"/>
  <c r="G48" i="8"/>
  <c r="G50" i="8" s="1"/>
  <c r="H32" i="16"/>
  <c r="C26" i="17"/>
  <c r="D7" i="8"/>
  <c r="I29" i="16"/>
  <c r="D32" i="16"/>
  <c r="C48" i="8"/>
  <c r="H26" i="17"/>
  <c r="F48" i="8"/>
  <c r="F50" i="8" s="1"/>
  <c r="G32" i="16"/>
  <c r="F32" i="16"/>
  <c r="E48" i="8"/>
  <c r="E50" i="8" s="1"/>
  <c r="E32" i="16" l="1"/>
  <c r="I32" i="16"/>
  <c r="F15" i="17"/>
  <c r="F16" i="17" s="1"/>
  <c r="E28" i="17"/>
  <c r="E16" i="17" s="1"/>
  <c r="G28" i="17"/>
  <c r="G16" i="17" s="1"/>
  <c r="D28" i="17"/>
  <c r="D15" i="17"/>
  <c r="H48" i="8"/>
  <c r="H50" i="8" s="1"/>
  <c r="C50" i="8"/>
  <c r="H15" i="17"/>
  <c r="H28" i="17"/>
  <c r="G5" i="16" l="1"/>
  <c r="G6" i="16" s="1"/>
  <c r="E5" i="16"/>
  <c r="E6" i="16" s="1"/>
  <c r="D16" i="17"/>
  <c r="D5" i="16"/>
  <c r="H5" i="16"/>
  <c r="H6" i="16" s="1"/>
  <c r="H16" i="17"/>
  <c r="I5" i="16" l="1"/>
  <c r="I6" i="16" s="1"/>
  <c r="D6" i="16"/>
</calcChain>
</file>

<file path=xl/sharedStrings.xml><?xml version="1.0" encoding="utf-8"?>
<sst xmlns="http://schemas.openxmlformats.org/spreadsheetml/2006/main" count="270" uniqueCount="165">
  <si>
    <t>Service:</t>
  </si>
  <si>
    <t>Total</t>
  </si>
  <si>
    <t>Historical Revenue</t>
  </si>
  <si>
    <t>Description</t>
  </si>
  <si>
    <t>Volumes</t>
  </si>
  <si>
    <t>Detailed Service Description</t>
  </si>
  <si>
    <t>Notes:</t>
  </si>
  <si>
    <t>Alternative Control Service Summary</t>
  </si>
  <si>
    <t>Alternative Control Service - Historical Revenue &amp; Costs Workings</t>
  </si>
  <si>
    <t>Source</t>
  </si>
  <si>
    <t>Historical Completed Volumes</t>
  </si>
  <si>
    <t>Details on how costs were obtained:</t>
  </si>
  <si>
    <t>Projected Volumes</t>
  </si>
  <si>
    <t>Pricing mechanism</t>
  </si>
  <si>
    <t>Historical revenue, costs and volumes</t>
  </si>
  <si>
    <t>Forecast revenue, costs and volumes</t>
  </si>
  <si>
    <t>Alternative Control Service - Service Description</t>
  </si>
  <si>
    <t>Total Projects Charged</t>
  </si>
  <si>
    <t>Task</t>
  </si>
  <si>
    <t>Derived</t>
  </si>
  <si>
    <t>Cost type</t>
  </si>
  <si>
    <t>labour</t>
  </si>
  <si>
    <t>overhead</t>
  </si>
  <si>
    <t>stores</t>
  </si>
  <si>
    <t>fleet</t>
  </si>
  <si>
    <t>other</t>
  </si>
  <si>
    <t>Details on how costs are estimated:</t>
  </si>
  <si>
    <t>Estimated Future Volumes</t>
  </si>
  <si>
    <t>Forecast Costs</t>
  </si>
  <si>
    <t>Details of historic revenue, costs and volumes can be found on the 'Details' sheet.</t>
  </si>
  <si>
    <t>Details of forecast revenue, costs and volumes can be found on the 'Details' sheet.</t>
  </si>
  <si>
    <t>Class of Labour</t>
  </si>
  <si>
    <t>Total Time
(Hours)</t>
  </si>
  <si>
    <t>Number of Staff</t>
  </si>
  <si>
    <t>2019-2024 Pricing Methodology for Service (Summary)</t>
  </si>
  <si>
    <t>Projected Costs for FY2019-24 Regulatory Period</t>
  </si>
  <si>
    <t>FY2020</t>
  </si>
  <si>
    <t>FY2021</t>
  </si>
  <si>
    <t>FY2022</t>
  </si>
  <si>
    <t>FY2024</t>
  </si>
  <si>
    <t>FY2023</t>
  </si>
  <si>
    <t>Current Fee ($2017/2018 - Excl GST)</t>
  </si>
  <si>
    <t>Changes to Service or Pricing since prior Reg period</t>
  </si>
  <si>
    <t>AER Framework and Approach paper 1 July 2019</t>
  </si>
  <si>
    <t>Detailed Service Description (2019-24)</t>
  </si>
  <si>
    <t>Operating costs</t>
  </si>
  <si>
    <t>Bottum Up cost estimation</t>
  </si>
  <si>
    <t>Fee Methodology Structure Selected</t>
  </si>
  <si>
    <t>Forecast Cost Breakup</t>
  </si>
  <si>
    <t>Alternative Control Service - Botom Up Estimation</t>
  </si>
  <si>
    <t xml:space="preserve">Direct Costs - </t>
  </si>
  <si>
    <t>Alternative Control Service - Forecast Revenue &amp; Costs Workings</t>
  </si>
  <si>
    <t>Details of historical operating costs can be found on the "Operating Costs" sheet.</t>
  </si>
  <si>
    <t>Details of bottom up costs can be found on the "Bottom Up Estimation" sheet.</t>
  </si>
  <si>
    <t xml:space="preserve">Total </t>
  </si>
  <si>
    <t>Network Service:</t>
  </si>
  <si>
    <t>FY16/17</t>
  </si>
  <si>
    <t>FY15/16</t>
  </si>
  <si>
    <t>FY14/15</t>
  </si>
  <si>
    <t>FY19/20</t>
  </si>
  <si>
    <t>FY20/21</t>
  </si>
  <si>
    <t>FY21/22</t>
  </si>
  <si>
    <t>FY23/24</t>
  </si>
  <si>
    <t>Time on Task (Hours)</t>
  </si>
  <si>
    <t>Provision of Training to ASP's for Network Access  (fixed fee)</t>
  </si>
  <si>
    <t>R2b</t>
  </si>
  <si>
    <t xml:space="preserve">
Provision of Access Permit Recipient training as required for Essential Energy's ASP authorisation purposes.</t>
  </si>
  <si>
    <t>Provision of training to third parties for network related access.
Training services provided to third parties that result in a set of learning outcomes that are required to obtain a distribution network access authorisation specific to a distributor’s network. Such learning outcomes may include those necessary to demonstrate competency in the distributor’s electrical safety rules, to hold an access authority on the distributor’s network and to carry out switching on the distributor’s network. Examples of training might include high voltage training, protection training or working near power lines training.</t>
  </si>
  <si>
    <t xml:space="preserve">Existing Service Description (2014 - 19) </t>
  </si>
  <si>
    <t>Training Officer</t>
  </si>
  <si>
    <t>Bottom Up Estimation</t>
  </si>
  <si>
    <t>Projected Volumes for FY2019-24 Regulatory Period</t>
  </si>
  <si>
    <t>Operating Costs (on IO's, work orders, cost objects, cost centres)</t>
  </si>
  <si>
    <t>Project Code</t>
  </si>
  <si>
    <t>FY22/23</t>
  </si>
  <si>
    <t>ACSCW 30220 - Provision of Training to ASP's for Network Access</t>
  </si>
  <si>
    <t xml:space="preserve"> -  </t>
  </si>
  <si>
    <t xml:space="preserve"> - </t>
  </si>
  <si>
    <t>Class training and assesment conducted by training assessor (R2b). Class consists of 5 student min for 6 hrs.</t>
  </si>
  <si>
    <t>Class costs / student -  6hrs / 5 students = 1.2hrs (R2b) per student.</t>
  </si>
  <si>
    <t>FY17/18</t>
  </si>
  <si>
    <t>FY18/19</t>
  </si>
  <si>
    <t>R1a</t>
  </si>
  <si>
    <t>Training - Site attendance, training and assessing</t>
  </si>
  <si>
    <t>Administration - Issuing authorisation</t>
  </si>
  <si>
    <t xml:space="preserve">ANS P&amp;L Report </t>
  </si>
  <si>
    <t>Provision of Training to ASP's for Network Access</t>
  </si>
  <si>
    <t>ACSCW 30220</t>
  </si>
  <si>
    <t>FY14/15 operating costs  - N/A</t>
  </si>
  <si>
    <t>FY15/16 operating costs  - Actuals</t>
  </si>
  <si>
    <t>FY16/17 operating costs  - Actuals</t>
  </si>
  <si>
    <t>FY17/18 operating costs  - Pro rata based on YTD Dec17 values</t>
  </si>
  <si>
    <t xml:space="preserve">FY18/19 operating costs  - Estimated </t>
  </si>
  <si>
    <t>FY14/15 revenue  - N/A</t>
  </si>
  <si>
    <t>FY15/16 revenue  - Actuals</t>
  </si>
  <si>
    <t>FY16/17 revenue  - Actuals</t>
  </si>
  <si>
    <t>FY17/18 revenue  - Pro rata based on YTD Dec17 values</t>
  </si>
  <si>
    <t xml:space="preserve">FY18/19 revenue  - Estimated </t>
  </si>
  <si>
    <t>Training Records</t>
  </si>
  <si>
    <t>Inconsistencies between recorded values and operating costs.</t>
  </si>
  <si>
    <t xml:space="preserve">Inconsistencies within billing info </t>
  </si>
  <si>
    <t>Proposed Fee ($2018/19 - Excl GST)</t>
  </si>
  <si>
    <t>Total Direct Costs $2018/19</t>
  </si>
  <si>
    <t>Total Indirect Costs $2018/19</t>
  </si>
  <si>
    <t>TOTAL COSTS $2018/19</t>
  </si>
  <si>
    <t>Overtime loading?
0 = No
1 = Yes</t>
  </si>
  <si>
    <t>Direct Labour Rate (incl on-costs)</t>
  </si>
  <si>
    <t>Fleet rate</t>
  </si>
  <si>
    <t>Materials</t>
  </si>
  <si>
    <t>Material Price</t>
  </si>
  <si>
    <t>Material Price Oncost %</t>
  </si>
  <si>
    <t>Direct cost per service</t>
  </si>
  <si>
    <t>Overheads</t>
  </si>
  <si>
    <t>Non-system charge</t>
  </si>
  <si>
    <t>Profit margin (WACC FY20) per service</t>
  </si>
  <si>
    <t>FY2019 Fully Loaded Cost per service</t>
  </si>
  <si>
    <t>Real $2018-19</t>
  </si>
  <si>
    <t>Per service</t>
  </si>
  <si>
    <t>Real 2018-19 (including labour escalation)</t>
  </si>
  <si>
    <t>Labour</t>
  </si>
  <si>
    <t>Fleet</t>
  </si>
  <si>
    <t>Total costs before OHDs, non-system and margin</t>
  </si>
  <si>
    <t>Profit margin</t>
  </si>
  <si>
    <t>Labour escalation</t>
  </si>
  <si>
    <t>Contractor rate increase</t>
  </si>
  <si>
    <t>Overhead rate</t>
  </si>
  <si>
    <t>Average non-system charge</t>
  </si>
  <si>
    <t>WACC rate</t>
  </si>
  <si>
    <t>ORDINARY LABOUR TIME</t>
  </si>
  <si>
    <t>OVERTIME</t>
  </si>
  <si>
    <t>2019-20</t>
  </si>
  <si>
    <t>2020-21</t>
  </si>
  <si>
    <t>2021-22</t>
  </si>
  <si>
    <t>2022-23</t>
  </si>
  <si>
    <t>2023-24</t>
  </si>
  <si>
    <t>Total before OHDs, non-system &amp; margin</t>
  </si>
  <si>
    <t>Fully Loaded Costs</t>
  </si>
  <si>
    <t>Forecast revenue (check)</t>
  </si>
  <si>
    <t>Real 2018-19 including escalation</t>
  </si>
  <si>
    <t>Fully Loaded Cost per service</t>
  </si>
  <si>
    <t>Forecast volumes</t>
  </si>
  <si>
    <t>Forecast revenue</t>
  </si>
  <si>
    <t>14.1 Provision of Training to ASP's</t>
  </si>
  <si>
    <t>Provision of Training to ASP's</t>
  </si>
  <si>
    <t>Provision of Training to ASP's for Network Access (attendance of scheduled course)</t>
  </si>
  <si>
    <t>Class training and assesment conducted by training assessor (R2b).</t>
  </si>
  <si>
    <t>Travel to dedicated training location (hourly rates apply)</t>
  </si>
  <si>
    <t>Travel and Incidentals (hrly rate + expenses)</t>
  </si>
  <si>
    <t>Provision of out of schedule training facilitation added.</t>
  </si>
  <si>
    <t>Out of Schedule Training Travel (hrly)</t>
  </si>
  <si>
    <t>Fixed Fee / Hourly Rate</t>
  </si>
  <si>
    <t>Attendance of scheduled training course (fixed fee)</t>
  </si>
  <si>
    <t>Meals and accommodation - [Invoice + overheads] + margin</t>
  </si>
  <si>
    <t>Out of Schedule Training (Accomodation and incidentals) (Invoice + Overheads) + Margin</t>
  </si>
  <si>
    <t>Overheads rate</t>
  </si>
  <si>
    <t>Margin</t>
  </si>
  <si>
    <t>Scheduled Course - Trainer / Assessor time input is estimated as a spread across class attendees</t>
  </si>
  <si>
    <t xml:space="preserve">Dedicated Course - out of schedule
</t>
  </si>
  <si>
    <t>Out of Schedule Training  (fixed fee daily course rate)</t>
  </si>
  <si>
    <t>Provision of Training to ASP's for Network Access  (fixed fee/ hrly rate)</t>
  </si>
  <si>
    <t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relevant employee class an hourly rate ($2018/19) was calculated having regard to the base rate plus statutory on-costs and multiplied by the applicable hours to determine the direct unit cost for each task. The direct unit cost of all tasks relevant to the specific service was then totalled to derive the overall direct unit rate for each service. 
-  The forecast unit rate was applied to the volumes forecast for the 2019 - 2024 regulatory period for this ancillary network service, to calculate an estimate for direct operating expenditure for this ancillary network service. 
-  Overheads were applied to the direct costs based on our Cost Allocation Methodology (CAM).
</t>
  </si>
  <si>
    <r>
      <t xml:space="preserve">
</t>
    </r>
    <r>
      <rPr>
        <b/>
        <sz val="11"/>
        <color theme="1"/>
        <rFont val="Calibri"/>
        <family val="2"/>
        <scheme val="minor"/>
      </rPr>
      <t xml:space="preserve">Provision of Training to ASP's for Network Access </t>
    </r>
    <r>
      <rPr>
        <sz val="11"/>
        <color theme="1"/>
        <rFont val="Calibri"/>
        <family val="2"/>
        <scheme val="minor"/>
      </rPr>
      <t xml:space="preserve">
Provision of Access Permit Recipient training as required for Essential Energy's ASP authorisation purposes.
To provide greater delivery flexibility, out of schedule courses can be requested pending resource availability but additional fees will apply. Where this occurs additional travel expenses are applied in addition to out of schedule course costs.</t>
    </r>
  </si>
  <si>
    <t>Historical operating costs refrenced from ANS P&amp;L Report</t>
  </si>
  <si>
    <t>Historical revenue refrenced from ANS P&amp;L Report.</t>
  </si>
  <si>
    <t xml:space="preserve">Estimates have been provided on the work effort that will be required to complete each service. Volumes based of AP authorisation in FY16/17.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</si>
</sst>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_);_(* \(#,##0\);_(* &quot;-&quot;_);_(@_)"/>
    <numFmt numFmtId="165" formatCode="&quot;$&quot;#,##0_);\(&quot;$&quot;#,##0\)"/>
    <numFmt numFmtId="166" formatCode="_(&quot;$&quot;* #,##0.00_);_(&quot;$&quot;* \(#,##0.00\);_(&quot;$&quot;* &quot;-&quot;??_);_(@_)"/>
    <numFmt numFmtId="167" formatCode="_(* #,##0.00_);_(* \(#,##0.00\);_(* &quot;-&quot;??_);_(@_)"/>
    <numFmt numFmtId="168" formatCode="_-&quot;$&quot;* #,##0_-;\-&quot;$&quot;* #,##0_-;_-&quot;$&quot;* &quot;-&quot;??_-;_-@_-"/>
    <numFmt numFmtId="169" formatCode="_-* #,##0_-;\-* #,##0_-;_-* &quot;-&quot;??_-;_-@_-"/>
    <numFmt numFmtId="170" formatCode="&quot;$&quot;#,##0.00"/>
    <numFmt numFmtId="171" formatCode="#,##0.00\ ;\(#,##0.00\);\-\ "/>
    <numFmt numFmtId="172" formatCode="#,##0\ ;\(#,##0\);\-\ "/>
    <numFmt numFmtId="173" formatCode="_(* #,##0_);_(* \(#,##0\);_(* &quot;-&quot;??_);_(@_)"/>
  </numFmts>
  <fonts count="37"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1"/>
      <color theme="1"/>
      <name val="Calibri"/>
      <family val="2"/>
      <scheme val="minor"/>
    </font>
    <font>
      <sz val="10"/>
      <name val="Arial"/>
      <family val="2"/>
    </font>
    <font>
      <b/>
      <sz val="10"/>
      <color theme="0"/>
      <name val="Arial"/>
      <family val="2"/>
    </font>
    <font>
      <b/>
      <sz val="10"/>
      <color theme="1"/>
      <name val="Arial"/>
      <family val="2"/>
    </font>
    <font>
      <b/>
      <sz val="10"/>
      <name val="Arial"/>
      <family val="2"/>
    </font>
    <font>
      <sz val="10"/>
      <color theme="0"/>
      <name val="Arial"/>
      <family val="2"/>
    </font>
    <font>
      <sz val="10"/>
      <color rgb="FFFF0000"/>
      <name val="Arial"/>
      <family val="2"/>
    </font>
    <font>
      <b/>
      <sz val="10"/>
      <color rgb="FFFF0000"/>
      <name val="Arial"/>
      <family val="2"/>
    </font>
    <font>
      <sz val="10"/>
      <color theme="1"/>
      <name val="Calibri"/>
      <family val="2"/>
      <scheme val="minor"/>
    </font>
    <font>
      <b/>
      <sz val="12"/>
      <color theme="0"/>
      <name val="Arial"/>
      <family val="2"/>
    </font>
    <font>
      <b/>
      <sz val="11"/>
      <color theme="1"/>
      <name val="Calibri"/>
      <family val="2"/>
      <scheme val="minor"/>
    </font>
    <font>
      <b/>
      <sz val="10"/>
      <color theme="0"/>
      <name val="Arial"/>
      <family val="2"/>
    </font>
    <font>
      <sz val="10"/>
      <color theme="0"/>
      <name val="Arial"/>
      <family val="2"/>
    </font>
    <font>
      <sz val="10"/>
      <color theme="1"/>
      <name val="Arial"/>
      <family val="2"/>
    </font>
    <font>
      <b/>
      <sz val="10"/>
      <name val="Arial"/>
      <family val="2"/>
    </font>
    <font>
      <b/>
      <sz val="10"/>
      <color theme="1"/>
      <name val="Arial"/>
      <family val="2"/>
    </font>
    <font>
      <b/>
      <sz val="7"/>
      <color theme="1"/>
      <name val="Arial"/>
      <family val="2"/>
    </font>
    <font>
      <b/>
      <sz val="7"/>
      <name val="Arial"/>
      <family val="2"/>
    </font>
    <font>
      <sz val="10"/>
      <name val="Arial"/>
      <family val="2"/>
    </font>
    <font>
      <sz val="10"/>
      <color rgb="FFFF0000"/>
      <name val="Arial"/>
      <family val="2"/>
    </font>
    <font>
      <sz val="10"/>
      <color rgb="FF0065A6"/>
      <name val="Arial"/>
      <family val="2"/>
    </font>
    <font>
      <b/>
      <sz val="10"/>
      <color theme="0"/>
      <name val="Arial"/>
      <family val="2"/>
    </font>
    <font>
      <sz val="10"/>
      <color theme="0"/>
      <name val="Arial"/>
      <family val="2"/>
    </font>
    <font>
      <sz val="11"/>
      <color theme="1"/>
      <name val="Calibri"/>
      <family val="2"/>
      <scheme val="minor"/>
    </font>
    <font>
      <sz val="10"/>
      <color theme="1"/>
      <name val="Arial"/>
      <family val="2"/>
    </font>
    <font>
      <b/>
      <sz val="10"/>
      <name val="Arial"/>
      <family val="2"/>
    </font>
    <font>
      <b/>
      <sz val="10"/>
      <color theme="1"/>
      <name val="Arial"/>
      <family val="2"/>
    </font>
    <font>
      <sz val="10"/>
      <name val="Arial"/>
      <family val="2"/>
    </font>
    <font>
      <b/>
      <sz val="8"/>
      <color theme="1"/>
      <name val="Arial"/>
      <family val="2"/>
    </font>
    <font>
      <b/>
      <sz val="12"/>
      <color theme="1"/>
      <name val="Calibri"/>
      <family val="2"/>
      <scheme val="minor"/>
    </font>
    <font>
      <b/>
      <sz val="11"/>
      <color theme="1"/>
      <name val="Arial"/>
      <family val="2"/>
    </font>
    <font>
      <sz val="10"/>
      <color theme="3"/>
      <name val="Arial"/>
      <family val="2"/>
    </font>
    <font>
      <b/>
      <sz val="10"/>
      <color theme="3"/>
      <name val="Arial"/>
      <family val="2"/>
    </font>
  </fonts>
  <fills count="1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EAEAEA"/>
        <bgColor indexed="64"/>
      </patternFill>
    </fill>
    <fill>
      <patternFill patternType="solid">
        <fgColor rgb="FF5E6A71"/>
        <bgColor indexed="64"/>
      </patternFill>
    </fill>
    <fill>
      <patternFill patternType="solid">
        <fgColor rgb="FFBFBFBF"/>
        <bgColor indexed="64"/>
      </patternFill>
    </fill>
    <fill>
      <patternFill patternType="solid">
        <fgColor rgb="FFD9D9D9"/>
        <bgColor indexed="64"/>
      </patternFill>
    </fill>
    <fill>
      <patternFill patternType="solid">
        <fgColor rgb="FFA6A6A6"/>
        <bgColor indexed="64"/>
      </patternFill>
    </fill>
    <fill>
      <patternFill patternType="solid">
        <fgColor theme="1" tint="0.499984740745262"/>
        <bgColor indexed="64"/>
      </patternFill>
    </fill>
    <fill>
      <patternFill patternType="solid">
        <fgColor theme="1" tint="4.9989318521683403E-2"/>
        <bgColor indexed="64"/>
      </patternFill>
    </fill>
    <fill>
      <patternFill patternType="solid">
        <fgColor rgb="FF002060"/>
        <bgColor indexed="64"/>
      </patternFill>
    </fill>
    <fill>
      <patternFill patternType="solid">
        <fgColor theme="5"/>
        <bgColor indexed="64"/>
      </patternFill>
    </fill>
  </fills>
  <borders count="20">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style="thin">
        <color theme="0"/>
      </bottom>
      <diagonal/>
    </border>
    <border>
      <left/>
      <right/>
      <top/>
      <bottom style="thin">
        <color theme="0"/>
      </bottom>
      <diagonal/>
    </border>
    <border>
      <left style="thin">
        <color theme="0"/>
      </left>
      <right style="thin">
        <color theme="0"/>
      </right>
      <top/>
      <bottom style="thin">
        <color theme="0"/>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6">
    <xf numFmtId="0" fontId="0" fillId="0" borderId="0"/>
    <xf numFmtId="9" fontId="4" fillId="0" borderId="0" applyFont="0" applyFill="0" applyBorder="0" applyAlignment="0" applyProtection="0"/>
    <xf numFmtId="166" fontId="4" fillId="0" borderId="0" applyFont="0" applyFill="0" applyBorder="0" applyAlignment="0" applyProtection="0"/>
    <xf numFmtId="167" fontId="4" fillId="0" borderId="0" applyFont="0" applyFill="0" applyBorder="0" applyAlignment="0" applyProtection="0"/>
    <xf numFmtId="166" fontId="4" fillId="0" borderId="0" applyFont="0" applyFill="0" applyBorder="0" applyAlignment="0" applyProtection="0"/>
    <xf numFmtId="0" fontId="5" fillId="0" borderId="0"/>
  </cellStyleXfs>
  <cellXfs count="275">
    <xf numFmtId="0" fontId="0" fillId="0" borderId="0" xfId="0"/>
    <xf numFmtId="0" fontId="3" fillId="0" borderId="0" xfId="0" applyFont="1"/>
    <xf numFmtId="0" fontId="8" fillId="5" borderId="3" xfId="0" applyFont="1" applyFill="1" applyBorder="1"/>
    <xf numFmtId="0" fontId="3" fillId="4" borderId="4" xfId="0" applyFont="1" applyFill="1" applyBorder="1"/>
    <xf numFmtId="0" fontId="3" fillId="4" borderId="3" xfId="0" applyFont="1" applyFill="1" applyBorder="1"/>
    <xf numFmtId="0" fontId="3" fillId="4" borderId="5" xfId="0" applyFont="1" applyFill="1" applyBorder="1"/>
    <xf numFmtId="3" fontId="3" fillId="4" borderId="4" xfId="0" applyNumberFormat="1" applyFont="1" applyFill="1" applyBorder="1"/>
    <xf numFmtId="0" fontId="7" fillId="0" borderId="0" xfId="0" applyFont="1"/>
    <xf numFmtId="0" fontId="8" fillId="5" borderId="6" xfId="0" applyFont="1" applyFill="1" applyBorder="1" applyAlignment="1">
      <alignment horizontal="left"/>
    </xf>
    <xf numFmtId="0" fontId="8" fillId="5" borderId="12" xfId="0" applyFont="1" applyFill="1" applyBorder="1"/>
    <xf numFmtId="0" fontId="5" fillId="5" borderId="12" xfId="0" applyFont="1" applyFill="1" applyBorder="1"/>
    <xf numFmtId="0" fontId="3" fillId="4" borderId="0" xfId="0" quotePrefix="1" applyFont="1" applyFill="1" applyBorder="1" applyAlignment="1">
      <alignment vertical="top"/>
    </xf>
    <xf numFmtId="0" fontId="3" fillId="4" borderId="0" xfId="0" applyFont="1" applyFill="1" applyBorder="1" applyAlignment="1">
      <alignment vertical="top"/>
    </xf>
    <xf numFmtId="0" fontId="8" fillId="5" borderId="4" xfId="0" applyFont="1" applyFill="1" applyBorder="1"/>
    <xf numFmtId="0" fontId="8" fillId="5" borderId="5" xfId="0" applyFont="1" applyFill="1" applyBorder="1" applyAlignment="1">
      <alignment horizontal="right"/>
    </xf>
    <xf numFmtId="0" fontId="5" fillId="5" borderId="1" xfId="0" applyFont="1" applyFill="1" applyBorder="1"/>
    <xf numFmtId="168" fontId="8" fillId="5" borderId="10" xfId="2" applyNumberFormat="1" applyFont="1" applyFill="1" applyBorder="1"/>
    <xf numFmtId="0" fontId="6" fillId="8" borderId="0" xfId="0" applyFont="1" applyFill="1"/>
    <xf numFmtId="0" fontId="9" fillId="8" borderId="0" xfId="0" applyFont="1" applyFill="1"/>
    <xf numFmtId="0" fontId="3" fillId="10" borderId="4" xfId="0" applyFont="1" applyFill="1" applyBorder="1"/>
    <xf numFmtId="168" fontId="3" fillId="10" borderId="4" xfId="2" applyNumberFormat="1" applyFont="1" applyFill="1" applyBorder="1"/>
    <xf numFmtId="0" fontId="3" fillId="10" borderId="4" xfId="0" applyFont="1" applyFill="1" applyBorder="1" applyAlignment="1">
      <alignment wrapText="1"/>
    </xf>
    <xf numFmtId="0" fontId="9" fillId="8" borderId="12" xfId="0" applyFont="1" applyFill="1" applyBorder="1"/>
    <xf numFmtId="0" fontId="3" fillId="0" borderId="0" xfId="0" applyFont="1" applyAlignment="1">
      <alignment horizontal="left" indent="15"/>
    </xf>
    <xf numFmtId="0" fontId="3" fillId="0" borderId="0" xfId="0" applyFont="1" applyFill="1"/>
    <xf numFmtId="0" fontId="3" fillId="0" borderId="0" xfId="0" applyFont="1" applyFill="1" applyBorder="1"/>
    <xf numFmtId="0" fontId="8" fillId="9" borderId="0" xfId="0" applyFont="1" applyFill="1" applyBorder="1" applyAlignment="1">
      <alignment horizontal="left"/>
    </xf>
    <xf numFmtId="0" fontId="6" fillId="0" borderId="0" xfId="0" applyFont="1" applyFill="1" applyAlignment="1">
      <alignment horizontal="left"/>
    </xf>
    <xf numFmtId="0" fontId="6" fillId="8" borderId="9" xfId="0" applyFont="1" applyFill="1" applyBorder="1" applyAlignment="1">
      <alignment horizontal="center" vertical="center"/>
    </xf>
    <xf numFmtId="0" fontId="9" fillId="0" borderId="0" xfId="0" applyFont="1"/>
    <xf numFmtId="0" fontId="9" fillId="0" borderId="0" xfId="0" applyFont="1" applyBorder="1"/>
    <xf numFmtId="0" fontId="9" fillId="0" borderId="2" xfId="0" applyFont="1" applyBorder="1"/>
    <xf numFmtId="170" fontId="9" fillId="0" borderId="1" xfId="0" applyNumberFormat="1" applyFont="1" applyBorder="1" applyAlignment="1">
      <alignment horizontal="center"/>
    </xf>
    <xf numFmtId="0" fontId="6" fillId="8" borderId="0" xfId="0" applyFont="1" applyFill="1" applyAlignment="1">
      <alignment horizontal="left"/>
    </xf>
    <xf numFmtId="0" fontId="8" fillId="9" borderId="6" xfId="0" applyFont="1" applyFill="1" applyBorder="1" applyAlignment="1">
      <alignment horizontal="left"/>
    </xf>
    <xf numFmtId="0" fontId="6" fillId="8" borderId="11" xfId="0" applyFont="1" applyFill="1" applyBorder="1"/>
    <xf numFmtId="0" fontId="3" fillId="0" borderId="0" xfId="0" applyFont="1" applyAlignment="1">
      <alignment horizontal="left"/>
    </xf>
    <xf numFmtId="0" fontId="3" fillId="0" borderId="0" xfId="0" applyFont="1" applyFill="1" applyAlignment="1">
      <alignment horizontal="left"/>
    </xf>
    <xf numFmtId="0" fontId="12" fillId="0" borderId="0" xfId="0" applyFont="1"/>
    <xf numFmtId="0" fontId="3" fillId="0" borderId="6" xfId="0" applyFont="1" applyBorder="1"/>
    <xf numFmtId="0" fontId="8" fillId="0" borderId="0" xfId="0" applyFont="1" applyFill="1" applyBorder="1"/>
    <xf numFmtId="0" fontId="5" fillId="0" borderId="0" xfId="0" applyFont="1" applyFill="1" applyBorder="1"/>
    <xf numFmtId="168" fontId="8" fillId="0" borderId="0" xfId="2" applyNumberFormat="1" applyFont="1" applyFill="1" applyBorder="1"/>
    <xf numFmtId="0" fontId="6" fillId="8" borderId="8" xfId="0" applyFont="1" applyFill="1" applyBorder="1"/>
    <xf numFmtId="0" fontId="12" fillId="0" borderId="6" xfId="0" applyFont="1" applyBorder="1"/>
    <xf numFmtId="0" fontId="8" fillId="5" borderId="11" xfId="0" applyFont="1" applyFill="1" applyBorder="1"/>
    <xf numFmtId="0" fontId="3" fillId="4" borderId="8" xfId="0" quotePrefix="1" applyFont="1" applyFill="1" applyBorder="1" applyAlignment="1">
      <alignment vertical="top"/>
    </xf>
    <xf numFmtId="0" fontId="13" fillId="8" borderId="8" xfId="0" applyNumberFormat="1" applyFont="1" applyFill="1" applyBorder="1" applyAlignment="1">
      <alignment horizontal="left"/>
    </xf>
    <xf numFmtId="0" fontId="8" fillId="5" borderId="4" xfId="0" applyFont="1" applyFill="1" applyBorder="1" applyAlignment="1">
      <alignment horizontal="center"/>
    </xf>
    <xf numFmtId="0" fontId="8" fillId="5" borderId="7" xfId="0" applyFont="1" applyFill="1" applyBorder="1" applyAlignment="1">
      <alignment horizontal="center"/>
    </xf>
    <xf numFmtId="3" fontId="3" fillId="10" borderId="4" xfId="0" applyNumberFormat="1" applyFont="1" applyFill="1" applyBorder="1"/>
    <xf numFmtId="4" fontId="5" fillId="10" borderId="10" xfId="3" applyNumberFormat="1" applyFont="1" applyFill="1" applyBorder="1" applyAlignment="1">
      <alignment horizontal="center"/>
    </xf>
    <xf numFmtId="0" fontId="3" fillId="10" borderId="4" xfId="0" applyFont="1" applyFill="1" applyBorder="1" applyAlignment="1">
      <alignment horizontal="left"/>
    </xf>
    <xf numFmtId="0" fontId="7" fillId="0" borderId="0" xfId="0" applyFont="1" applyFill="1" applyBorder="1"/>
    <xf numFmtId="0" fontId="3" fillId="0" borderId="0" xfId="0" applyFont="1" applyFill="1" applyBorder="1" applyAlignment="1">
      <alignment horizontal="center"/>
    </xf>
    <xf numFmtId="0" fontId="8" fillId="5" borderId="8" xfId="0" applyFont="1" applyFill="1" applyBorder="1" applyAlignment="1">
      <alignment horizontal="center"/>
    </xf>
    <xf numFmtId="0" fontId="10" fillId="4" borderId="8" xfId="0" applyFont="1" applyFill="1" applyBorder="1" applyAlignment="1">
      <alignment horizontal="left" vertical="top" wrapText="1"/>
    </xf>
    <xf numFmtId="0" fontId="5" fillId="10" borderId="10" xfId="0" applyFont="1" applyFill="1" applyBorder="1"/>
    <xf numFmtId="0" fontId="5" fillId="10" borderId="10" xfId="0" applyFont="1" applyFill="1" applyBorder="1" applyAlignment="1">
      <alignment horizontal="center"/>
    </xf>
    <xf numFmtId="4" fontId="5" fillId="10" borderId="10" xfId="0" applyNumberFormat="1" applyFont="1" applyFill="1" applyBorder="1" applyAlignment="1">
      <alignment horizontal="center"/>
    </xf>
    <xf numFmtId="0" fontId="10" fillId="4" borderId="1" xfId="0" applyFont="1" applyFill="1" applyBorder="1" applyAlignment="1">
      <alignment vertical="top" wrapText="1"/>
    </xf>
    <xf numFmtId="0" fontId="10" fillId="4" borderId="8" xfId="0" applyFont="1" applyFill="1" applyBorder="1" applyAlignment="1">
      <alignment vertical="top" wrapText="1"/>
    </xf>
    <xf numFmtId="0" fontId="10" fillId="4" borderId="0" xfId="0" applyFont="1" applyFill="1" applyBorder="1" applyAlignment="1">
      <alignment vertical="top" wrapText="1"/>
    </xf>
    <xf numFmtId="0" fontId="15" fillId="8" borderId="11" xfId="0" applyFont="1" applyFill="1" applyBorder="1"/>
    <xf numFmtId="0" fontId="16" fillId="8" borderId="0" xfId="0" applyFont="1" applyFill="1"/>
    <xf numFmtId="0" fontId="17" fillId="0" borderId="0" xfId="0" applyFont="1"/>
    <xf numFmtId="0" fontId="17" fillId="0" borderId="0" xfId="0" applyFont="1" applyFill="1"/>
    <xf numFmtId="0" fontId="18" fillId="9" borderId="4" xfId="0" applyFont="1" applyFill="1" applyBorder="1"/>
    <xf numFmtId="0" fontId="17" fillId="6" borderId="0" xfId="0" applyFont="1" applyFill="1"/>
    <xf numFmtId="0" fontId="18" fillId="9" borderId="10" xfId="0" applyFont="1" applyFill="1" applyBorder="1"/>
    <xf numFmtId="0" fontId="20" fillId="7" borderId="0" xfId="0" applyFont="1" applyFill="1" applyBorder="1" applyAlignment="1">
      <alignment horizontal="center" vertical="center" wrapText="1"/>
    </xf>
    <xf numFmtId="0" fontId="18" fillId="9" borderId="5" xfId="0" applyFont="1" applyFill="1" applyBorder="1"/>
    <xf numFmtId="0" fontId="20" fillId="2" borderId="4" xfId="0" applyFont="1" applyFill="1" applyBorder="1" applyAlignment="1">
      <alignment horizontal="center" vertical="center"/>
    </xf>
    <xf numFmtId="0" fontId="21" fillId="7" borderId="0" xfId="0" applyFont="1" applyFill="1" applyBorder="1" applyAlignment="1">
      <alignment horizontal="center" vertical="center"/>
    </xf>
    <xf numFmtId="0" fontId="18" fillId="9" borderId="10" xfId="0" applyFont="1" applyFill="1" applyBorder="1" applyAlignment="1">
      <alignment vertical="center"/>
    </xf>
    <xf numFmtId="170" fontId="17" fillId="7" borderId="4" xfId="0" applyNumberFormat="1" applyFont="1" applyFill="1" applyBorder="1" applyAlignment="1">
      <alignment horizontal="center"/>
    </xf>
    <xf numFmtId="0" fontId="17" fillId="7" borderId="0" xfId="0" applyFont="1" applyFill="1" applyBorder="1" applyAlignment="1">
      <alignment horizontal="center" vertical="center"/>
    </xf>
    <xf numFmtId="170" fontId="17" fillId="3" borderId="4" xfId="0" applyNumberFormat="1" applyFont="1" applyFill="1" applyBorder="1" applyAlignment="1">
      <alignment horizontal="center"/>
    </xf>
    <xf numFmtId="0" fontId="19" fillId="7" borderId="0" xfId="0" applyFont="1" applyFill="1" applyBorder="1" applyAlignment="1">
      <alignment horizontal="left"/>
    </xf>
    <xf numFmtId="0" fontId="15" fillId="8" borderId="5" xfId="0" applyFont="1" applyFill="1" applyBorder="1"/>
    <xf numFmtId="0" fontId="16" fillId="8" borderId="2" xfId="0" applyFont="1" applyFill="1" applyBorder="1"/>
    <xf numFmtId="0" fontId="16" fillId="8" borderId="3" xfId="0" applyFont="1" applyFill="1" applyBorder="1"/>
    <xf numFmtId="0" fontId="17" fillId="7" borderId="0" xfId="0" applyFont="1" applyFill="1" applyBorder="1" applyAlignment="1">
      <alignment horizontal="left" vertical="top" wrapText="1"/>
    </xf>
    <xf numFmtId="0" fontId="15" fillId="8" borderId="0" xfId="0" applyFont="1" applyFill="1"/>
    <xf numFmtId="0" fontId="17" fillId="7" borderId="0" xfId="0" applyFont="1" applyFill="1" applyBorder="1" applyAlignment="1">
      <alignment horizontal="left"/>
    </xf>
    <xf numFmtId="0" fontId="17" fillId="0" borderId="0" xfId="0" applyFont="1" applyAlignment="1">
      <alignment horizontal="left"/>
    </xf>
    <xf numFmtId="0" fontId="17" fillId="7" borderId="0" xfId="0" applyFont="1" applyFill="1" applyBorder="1" applyAlignment="1">
      <alignment horizontal="left" wrapText="1"/>
    </xf>
    <xf numFmtId="0" fontId="17" fillId="0" borderId="0" xfId="0" applyFont="1" applyFill="1" applyBorder="1" applyAlignment="1">
      <alignment horizontal="left"/>
    </xf>
    <xf numFmtId="0" fontId="18" fillId="2" borderId="3" xfId="0" applyFont="1" applyFill="1" applyBorder="1"/>
    <xf numFmtId="0" fontId="17" fillId="7" borderId="0" xfId="0" applyFont="1" applyFill="1" applyAlignment="1">
      <alignment horizontal="left"/>
    </xf>
    <xf numFmtId="0" fontId="18" fillId="2" borderId="1" xfId="0" applyFont="1" applyFill="1" applyBorder="1"/>
    <xf numFmtId="0" fontId="18" fillId="9" borderId="6" xfId="0" applyFont="1" applyFill="1" applyBorder="1" applyAlignment="1">
      <alignment horizontal="left"/>
    </xf>
    <xf numFmtId="0" fontId="18" fillId="9" borderId="7" xfId="0" applyFont="1" applyFill="1" applyBorder="1" applyAlignment="1">
      <alignment horizontal="right"/>
    </xf>
    <xf numFmtId="0" fontId="18" fillId="9" borderId="8" xfId="0" applyFont="1" applyFill="1" applyBorder="1" applyAlignment="1">
      <alignment horizontal="right"/>
    </xf>
    <xf numFmtId="168" fontId="22" fillId="0" borderId="0" xfId="2" applyNumberFormat="1" applyFont="1"/>
    <xf numFmtId="168" fontId="18" fillId="2" borderId="7" xfId="2" applyNumberFormat="1" applyFont="1" applyFill="1" applyBorder="1"/>
    <xf numFmtId="10" fontId="17" fillId="0" borderId="0" xfId="1" applyNumberFormat="1" applyFont="1"/>
    <xf numFmtId="10" fontId="17" fillId="0" borderId="0" xfId="0" applyNumberFormat="1" applyFont="1"/>
    <xf numFmtId="171" fontId="17" fillId="0" borderId="0" xfId="1" applyNumberFormat="1" applyFont="1"/>
    <xf numFmtId="0" fontId="15" fillId="8" borderId="6" xfId="0" applyFont="1" applyFill="1" applyBorder="1" applyAlignment="1">
      <alignment horizontal="left"/>
    </xf>
    <xf numFmtId="0" fontId="19" fillId="0" borderId="0" xfId="0" applyFont="1"/>
    <xf numFmtId="0" fontId="18" fillId="2" borderId="6" xfId="0" applyFont="1" applyFill="1" applyBorder="1" applyAlignment="1">
      <alignment horizontal="left"/>
    </xf>
    <xf numFmtId="0" fontId="18" fillId="2" borderId="7" xfId="0" applyFont="1" applyFill="1" applyBorder="1" applyAlignment="1">
      <alignment horizontal="right"/>
    </xf>
    <xf numFmtId="0" fontId="18" fillId="2" borderId="8" xfId="0" applyFont="1" applyFill="1" applyBorder="1" applyAlignment="1">
      <alignment horizontal="right"/>
    </xf>
    <xf numFmtId="169" fontId="22" fillId="0" borderId="0" xfId="3" applyNumberFormat="1" applyFont="1" applyAlignment="1"/>
    <xf numFmtId="172" fontId="18" fillId="2" borderId="7" xfId="2" applyNumberFormat="1" applyFont="1" applyFill="1" applyBorder="1" applyAlignment="1"/>
    <xf numFmtId="169" fontId="24" fillId="0" borderId="0" xfId="3" applyNumberFormat="1" applyFont="1" applyAlignment="1">
      <alignment horizontal="right"/>
    </xf>
    <xf numFmtId="169" fontId="24" fillId="0" borderId="0" xfId="3" applyNumberFormat="1" applyFont="1" applyAlignment="1">
      <alignment horizontal="center" vertical="center"/>
    </xf>
    <xf numFmtId="3" fontId="3" fillId="10" borderId="4" xfId="0" applyNumberFormat="1" applyFont="1" applyFill="1" applyBorder="1" applyAlignment="1">
      <alignment horizontal="right"/>
    </xf>
    <xf numFmtId="3" fontId="5" fillId="10" borderId="4" xfId="0" applyNumberFormat="1" applyFont="1" applyFill="1" applyBorder="1"/>
    <xf numFmtId="3" fontId="3" fillId="4" borderId="4" xfId="0" applyNumberFormat="1" applyFont="1" applyFill="1" applyBorder="1" applyAlignment="1">
      <alignment horizontal="right"/>
    </xf>
    <xf numFmtId="0" fontId="6" fillId="8" borderId="0" xfId="0" applyFont="1" applyFill="1" applyAlignment="1">
      <alignment horizontal="left"/>
    </xf>
    <xf numFmtId="0" fontId="25" fillId="8" borderId="0" xfId="0" applyFont="1" applyFill="1"/>
    <xf numFmtId="0" fontId="26" fillId="8" borderId="0" xfId="0" applyFont="1" applyFill="1"/>
    <xf numFmtId="0" fontId="27" fillId="0" borderId="0" xfId="0" applyFont="1"/>
    <xf numFmtId="0" fontId="28" fillId="0" borderId="0" xfId="0" applyFont="1"/>
    <xf numFmtId="0" fontId="28" fillId="10" borderId="4" xfId="0" applyFont="1" applyFill="1" applyBorder="1" applyAlignment="1">
      <alignment horizontal="left"/>
    </xf>
    <xf numFmtId="0" fontId="28" fillId="4" borderId="4" xfId="0" applyFont="1" applyFill="1" applyBorder="1"/>
    <xf numFmtId="168" fontId="28" fillId="10" borderId="4" xfId="2" applyNumberFormat="1" applyFont="1" applyFill="1" applyBorder="1"/>
    <xf numFmtId="3" fontId="28" fillId="10" borderId="4" xfId="0" applyNumberFormat="1" applyFont="1" applyFill="1" applyBorder="1"/>
    <xf numFmtId="0" fontId="30" fillId="0" borderId="0" xfId="0" applyFont="1"/>
    <xf numFmtId="0" fontId="29" fillId="5" borderId="6" xfId="0" applyFont="1" applyFill="1" applyBorder="1" applyAlignment="1">
      <alignment horizontal="left"/>
    </xf>
    <xf numFmtId="0" fontId="29" fillId="5" borderId="12" xfId="0" applyFont="1" applyFill="1" applyBorder="1"/>
    <xf numFmtId="0" fontId="31" fillId="5" borderId="12" xfId="0" applyFont="1" applyFill="1" applyBorder="1"/>
    <xf numFmtId="0" fontId="28" fillId="4" borderId="0" xfId="0" quotePrefix="1" applyFont="1" applyFill="1" applyBorder="1" applyAlignment="1">
      <alignment vertical="top"/>
    </xf>
    <xf numFmtId="0" fontId="28" fillId="4" borderId="0" xfId="0" applyFont="1" applyFill="1" applyBorder="1" applyAlignment="1">
      <alignment vertical="top"/>
    </xf>
    <xf numFmtId="0" fontId="32" fillId="2" borderId="4" xfId="0" applyFont="1" applyFill="1" applyBorder="1" applyAlignment="1">
      <alignment horizontal="center" vertical="center"/>
    </xf>
    <xf numFmtId="0" fontId="8" fillId="2" borderId="6" xfId="0" applyFont="1" applyFill="1" applyBorder="1"/>
    <xf numFmtId="0" fontId="7" fillId="0" borderId="14" xfId="0" applyFont="1" applyFill="1" applyBorder="1"/>
    <xf numFmtId="0" fontId="3" fillId="0" borderId="15" xfId="0" applyFont="1" applyFill="1" applyBorder="1" applyAlignment="1">
      <alignment horizontal="center"/>
    </xf>
    <xf numFmtId="0" fontId="3" fillId="0" borderId="16" xfId="0" applyFont="1" applyFill="1" applyBorder="1"/>
    <xf numFmtId="0" fontId="3" fillId="0" borderId="17" xfId="0" applyFont="1" applyFill="1" applyBorder="1" applyAlignment="1">
      <alignment horizontal="center"/>
    </xf>
    <xf numFmtId="0" fontId="3" fillId="0" borderId="17" xfId="0" applyFont="1" applyFill="1" applyBorder="1"/>
    <xf numFmtId="0" fontId="3" fillId="0" borderId="18" xfId="0" applyFont="1" applyFill="1" applyBorder="1"/>
    <xf numFmtId="0" fontId="3" fillId="0" borderId="19" xfId="0" applyFont="1" applyFill="1" applyBorder="1"/>
    <xf numFmtId="0" fontId="6" fillId="8" borderId="8" xfId="0" applyFont="1" applyFill="1" applyBorder="1" applyAlignment="1"/>
    <xf numFmtId="0" fontId="6" fillId="8" borderId="0" xfId="0" applyFont="1" applyFill="1" applyBorder="1" applyAlignment="1"/>
    <xf numFmtId="0" fontId="6" fillId="8" borderId="9" xfId="0" applyFont="1" applyFill="1" applyBorder="1" applyAlignment="1">
      <alignment horizontal="center" vertical="center" wrapText="1"/>
    </xf>
    <xf numFmtId="0" fontId="5" fillId="10" borderId="13" xfId="0" applyFont="1" applyFill="1" applyBorder="1"/>
    <xf numFmtId="0" fontId="5" fillId="10" borderId="11" xfId="0" applyFont="1" applyFill="1" applyBorder="1" applyAlignment="1">
      <alignment horizontal="center"/>
    </xf>
    <xf numFmtId="4" fontId="5" fillId="10" borderId="7" xfId="0" applyNumberFormat="1" applyFont="1" applyFill="1" applyBorder="1" applyAlignment="1">
      <alignment horizontal="center"/>
    </xf>
    <xf numFmtId="4" fontId="5" fillId="10" borderId="8" xfId="3" applyNumberFormat="1" applyFont="1" applyFill="1" applyBorder="1" applyAlignment="1">
      <alignment horizontal="center"/>
    </xf>
    <xf numFmtId="170" fontId="8" fillId="9" borderId="5" xfId="0" applyNumberFormat="1" applyFont="1" applyFill="1" applyBorder="1" applyAlignment="1"/>
    <xf numFmtId="170" fontId="8" fillId="9" borderId="2" xfId="0" applyNumberFormat="1" applyFont="1" applyFill="1" applyBorder="1" applyAlignment="1"/>
    <xf numFmtId="2" fontId="6" fillId="8" borderId="9" xfId="0" applyNumberFormat="1" applyFont="1" applyFill="1" applyBorder="1" applyAlignment="1">
      <alignment horizontal="center" vertical="center" wrapText="1"/>
    </xf>
    <xf numFmtId="1" fontId="5" fillId="10" borderId="8" xfId="3" applyNumberFormat="1" applyFont="1" applyFill="1" applyBorder="1" applyAlignment="1">
      <alignment horizontal="center"/>
    </xf>
    <xf numFmtId="2" fontId="5" fillId="10" borderId="4" xfId="3" applyNumberFormat="1" applyFont="1" applyFill="1" applyBorder="1" applyAlignment="1">
      <alignment horizontal="center"/>
    </xf>
    <xf numFmtId="2" fontId="5" fillId="10" borderId="8" xfId="3" applyNumberFormat="1" applyFont="1" applyFill="1" applyBorder="1" applyAlignment="1">
      <alignment horizontal="center"/>
    </xf>
    <xf numFmtId="1" fontId="5" fillId="10" borderId="4" xfId="3" applyNumberFormat="1" applyFont="1" applyFill="1" applyBorder="1" applyAlignment="1">
      <alignment horizontal="center"/>
    </xf>
    <xf numFmtId="4" fontId="8" fillId="11" borderId="4" xfId="0" applyNumberFormat="1" applyFont="1" applyFill="1" applyBorder="1" applyAlignment="1">
      <alignment horizontal="center"/>
    </xf>
    <xf numFmtId="0" fontId="6" fillId="8" borderId="12" xfId="0" applyFont="1" applyFill="1" applyBorder="1"/>
    <xf numFmtId="0" fontId="14" fillId="0" borderId="0" xfId="0" applyFont="1"/>
    <xf numFmtId="0" fontId="3" fillId="4" borderId="3" xfId="0" applyFont="1" applyFill="1" applyBorder="1" applyAlignment="1">
      <alignment horizontal="left" indent="1"/>
    </xf>
    <xf numFmtId="0" fontId="7" fillId="4" borderId="4" xfId="0" applyFont="1" applyFill="1" applyBorder="1"/>
    <xf numFmtId="168" fontId="3" fillId="10" borderId="5" xfId="2" applyNumberFormat="1" applyFont="1" applyFill="1" applyBorder="1" applyAlignment="1">
      <alignment horizontal="center"/>
    </xf>
    <xf numFmtId="168" fontId="7" fillId="5" borderId="5" xfId="2" applyNumberFormat="1" applyFont="1" applyFill="1" applyBorder="1" applyAlignment="1">
      <alignment horizontal="center"/>
    </xf>
    <xf numFmtId="0" fontId="7" fillId="4" borderId="5" xfId="0" applyFont="1" applyFill="1" applyBorder="1"/>
    <xf numFmtId="0" fontId="7" fillId="4" borderId="3" xfId="0" applyFont="1" applyFill="1" applyBorder="1"/>
    <xf numFmtId="168" fontId="7" fillId="10" borderId="5" xfId="2" applyNumberFormat="1" applyFont="1" applyFill="1" applyBorder="1" applyAlignment="1">
      <alignment horizontal="center"/>
    </xf>
    <xf numFmtId="0" fontId="8" fillId="5" borderId="1" xfId="0" applyFont="1" applyFill="1" applyBorder="1"/>
    <xf numFmtId="168" fontId="8" fillId="5" borderId="9" xfId="2" applyNumberFormat="1" applyFont="1" applyFill="1" applyBorder="1"/>
    <xf numFmtId="10" fontId="0" fillId="0" borderId="0" xfId="1" applyNumberFormat="1" applyFont="1"/>
    <xf numFmtId="10" fontId="0" fillId="0" borderId="0" xfId="0" applyNumberFormat="1"/>
    <xf numFmtId="0" fontId="33" fillId="0" borderId="0" xfId="0" applyFont="1"/>
    <xf numFmtId="167" fontId="6" fillId="12" borderId="4" xfId="3" applyFont="1" applyFill="1" applyBorder="1" applyAlignment="1">
      <alignment horizontal="left"/>
    </xf>
    <xf numFmtId="167" fontId="6" fillId="12" borderId="4" xfId="3" applyFont="1" applyFill="1" applyBorder="1" applyAlignment="1">
      <alignment horizontal="center"/>
    </xf>
    <xf numFmtId="167" fontId="3" fillId="5" borderId="4" xfId="3" applyFont="1" applyFill="1" applyBorder="1" applyAlignment="1">
      <alignment horizontal="left" indent="2"/>
    </xf>
    <xf numFmtId="167" fontId="3" fillId="5" borderId="4" xfId="3" applyFont="1" applyFill="1" applyBorder="1"/>
    <xf numFmtId="173" fontId="3" fillId="5" borderId="4" xfId="3" applyNumberFormat="1" applyFont="1" applyFill="1" applyBorder="1"/>
    <xf numFmtId="167" fontId="7" fillId="5" borderId="4" xfId="3" applyFont="1" applyFill="1" applyBorder="1"/>
    <xf numFmtId="173" fontId="7" fillId="5" borderId="4" xfId="3" applyNumberFormat="1" applyFont="1" applyFill="1" applyBorder="1"/>
    <xf numFmtId="0" fontId="7" fillId="5" borderId="5" xfId="0" applyFont="1" applyFill="1" applyBorder="1"/>
    <xf numFmtId="0" fontId="0" fillId="0" borderId="0" xfId="0" applyFont="1"/>
    <xf numFmtId="0" fontId="7" fillId="5" borderId="0" xfId="0" applyFont="1" applyFill="1" applyBorder="1"/>
    <xf numFmtId="0" fontId="8" fillId="0" borderId="8" xfId="0" applyFont="1" applyFill="1" applyBorder="1"/>
    <xf numFmtId="0" fontId="34" fillId="4" borderId="5" xfId="0" applyFont="1" applyFill="1" applyBorder="1"/>
    <xf numFmtId="0" fontId="3" fillId="4" borderId="4" xfId="0" applyFont="1" applyFill="1" applyBorder="1" applyAlignment="1">
      <alignment horizontal="left"/>
    </xf>
    <xf numFmtId="167" fontId="35" fillId="10" borderId="4" xfId="3" applyFont="1" applyFill="1" applyBorder="1"/>
    <xf numFmtId="167" fontId="3" fillId="10" borderId="4" xfId="3" applyFont="1" applyFill="1" applyBorder="1"/>
    <xf numFmtId="167" fontId="7" fillId="5" borderId="4" xfId="3" applyFont="1" applyFill="1" applyBorder="1" applyAlignment="1">
      <alignment horizontal="left"/>
    </xf>
    <xf numFmtId="167" fontId="35" fillId="5" borderId="4" xfId="3" applyFont="1" applyFill="1" applyBorder="1"/>
    <xf numFmtId="0" fontId="7" fillId="4" borderId="4" xfId="0" applyFont="1" applyFill="1" applyBorder="1" applyAlignment="1">
      <alignment horizontal="left"/>
    </xf>
    <xf numFmtId="167" fontId="36" fillId="10" borderId="4" xfId="3" applyFont="1" applyFill="1" applyBorder="1"/>
    <xf numFmtId="167" fontId="7" fillId="10" borderId="4" xfId="3" applyFont="1" applyFill="1" applyBorder="1"/>
    <xf numFmtId="0" fontId="3" fillId="4" borderId="7" xfId="0" applyFont="1" applyFill="1" applyBorder="1" applyAlignment="1">
      <alignment horizontal="left"/>
    </xf>
    <xf numFmtId="173" fontId="3" fillId="10" borderId="4" xfId="3" applyNumberFormat="1" applyFont="1" applyFill="1" applyBorder="1"/>
    <xf numFmtId="0" fontId="5" fillId="10" borderId="4" xfId="0" applyFont="1" applyFill="1" applyBorder="1"/>
    <xf numFmtId="0" fontId="5" fillId="10" borderId="4" xfId="0" applyFont="1" applyFill="1" applyBorder="1" applyAlignment="1">
      <alignment horizontal="center"/>
    </xf>
    <xf numFmtId="4" fontId="5" fillId="10" borderId="4" xfId="0" applyNumberFormat="1" applyFont="1" applyFill="1" applyBorder="1" applyAlignment="1">
      <alignment horizontal="center"/>
    </xf>
    <xf numFmtId="4" fontId="5" fillId="10" borderId="4" xfId="3" applyNumberFormat="1" applyFont="1" applyFill="1" applyBorder="1" applyAlignment="1">
      <alignment horizontal="center"/>
    </xf>
    <xf numFmtId="0" fontId="8" fillId="10" borderId="10" xfId="0" applyFont="1" applyFill="1" applyBorder="1"/>
    <xf numFmtId="0" fontId="18" fillId="9" borderId="9" xfId="0" applyFont="1" applyFill="1" applyBorder="1" applyAlignment="1">
      <alignment vertical="center"/>
    </xf>
    <xf numFmtId="170" fontId="3" fillId="7" borderId="4" xfId="0" applyNumberFormat="1" applyFont="1" applyFill="1" applyBorder="1" applyAlignment="1">
      <alignment horizontal="left"/>
    </xf>
    <xf numFmtId="10" fontId="5" fillId="10" borderId="4" xfId="3" applyNumberFormat="1" applyFont="1" applyFill="1" applyBorder="1" applyAlignment="1">
      <alignment horizontal="center" vertical="center"/>
    </xf>
    <xf numFmtId="10" fontId="5" fillId="10" borderId="4" xfId="1" applyNumberFormat="1" applyFont="1" applyFill="1" applyBorder="1" applyAlignment="1">
      <alignment horizontal="center" vertical="center" wrapText="1"/>
    </xf>
    <xf numFmtId="0" fontId="5" fillId="10" borderId="4" xfId="0" applyFont="1" applyFill="1" applyBorder="1" applyAlignment="1">
      <alignment horizontal="left" vertical="center"/>
    </xf>
    <xf numFmtId="4" fontId="5" fillId="10" borderId="4" xfId="0" applyNumberFormat="1" applyFont="1" applyFill="1" applyBorder="1" applyAlignment="1">
      <alignment horizontal="left" vertical="center"/>
    </xf>
    <xf numFmtId="4" fontId="5" fillId="10" borderId="4" xfId="3" applyNumberFormat="1" applyFont="1" applyFill="1" applyBorder="1" applyAlignment="1">
      <alignment horizontal="left" vertical="center"/>
    </xf>
    <xf numFmtId="1" fontId="5" fillId="10" borderId="4" xfId="3" applyNumberFormat="1" applyFont="1" applyFill="1" applyBorder="1" applyAlignment="1">
      <alignment horizontal="left" vertical="center"/>
    </xf>
    <xf numFmtId="2" fontId="5" fillId="10" borderId="4" xfId="3" applyNumberFormat="1" applyFont="1" applyFill="1" applyBorder="1" applyAlignment="1">
      <alignment horizontal="left" vertical="center"/>
    </xf>
    <xf numFmtId="170" fontId="3" fillId="7" borderId="4" xfId="0" applyNumberFormat="1" applyFont="1" applyFill="1" applyBorder="1" applyAlignment="1">
      <alignment horizontal="left" vertical="center" wrapText="1"/>
    </xf>
    <xf numFmtId="10" fontId="17" fillId="3" borderId="4" xfId="0" applyNumberFormat="1" applyFont="1" applyFill="1" applyBorder="1" applyAlignment="1">
      <alignment horizontal="center"/>
    </xf>
    <xf numFmtId="10" fontId="17" fillId="3" borderId="4" xfId="0" applyNumberFormat="1" applyFont="1" applyFill="1" applyBorder="1" applyAlignment="1">
      <alignment horizontal="center" vertical="center"/>
    </xf>
    <xf numFmtId="0" fontId="7" fillId="0" borderId="14" xfId="0" applyFont="1" applyFill="1" applyBorder="1" applyAlignment="1">
      <alignment wrapText="1"/>
    </xf>
    <xf numFmtId="0" fontId="8" fillId="11" borderId="4" xfId="0" applyFont="1" applyFill="1" applyBorder="1" applyAlignment="1">
      <alignment horizontal="left"/>
    </xf>
    <xf numFmtId="0" fontId="8" fillId="11" borderId="4" xfId="0" applyFont="1" applyFill="1" applyBorder="1" applyAlignment="1">
      <alignment horizontal="center"/>
    </xf>
    <xf numFmtId="0" fontId="8" fillId="11" borderId="4" xfId="0" applyFont="1" applyFill="1" applyBorder="1" applyAlignment="1">
      <alignment horizontal="right"/>
    </xf>
    <xf numFmtId="3" fontId="7" fillId="11" borderId="4" xfId="0" applyNumberFormat="1" applyFont="1" applyFill="1" applyBorder="1"/>
    <xf numFmtId="0" fontId="3" fillId="4" borderId="4" xfId="0" quotePrefix="1" applyFont="1" applyFill="1" applyBorder="1"/>
    <xf numFmtId="0" fontId="8" fillId="11" borderId="4" xfId="0" applyFont="1" applyFill="1" applyBorder="1"/>
    <xf numFmtId="3" fontId="8" fillId="5" borderId="4" xfId="0" applyNumberFormat="1" applyFont="1" applyFill="1" applyBorder="1"/>
    <xf numFmtId="168" fontId="7" fillId="11" borderId="4" xfId="2" applyNumberFormat="1" applyFont="1" applyFill="1" applyBorder="1"/>
    <xf numFmtId="168" fontId="8" fillId="5" borderId="4" xfId="2" applyNumberFormat="1" applyFont="1" applyFill="1" applyBorder="1"/>
    <xf numFmtId="0" fontId="8" fillId="5" borderId="4" xfId="0" applyFont="1" applyFill="1" applyBorder="1" applyAlignment="1">
      <alignment horizontal="left"/>
    </xf>
    <xf numFmtId="0" fontId="8" fillId="5" borderId="4" xfId="0" applyFont="1" applyFill="1" applyBorder="1" applyAlignment="1">
      <alignment horizontal="right"/>
    </xf>
    <xf numFmtId="165" fontId="3" fillId="4" borderId="4" xfId="2" applyNumberFormat="1" applyFont="1" applyFill="1" applyBorder="1" applyAlignment="1">
      <alignment horizontal="right"/>
    </xf>
    <xf numFmtId="165" fontId="3" fillId="10" borderId="4" xfId="2" applyNumberFormat="1" applyFont="1" applyFill="1" applyBorder="1" applyAlignment="1">
      <alignment horizontal="right"/>
    </xf>
    <xf numFmtId="164" fontId="3" fillId="10" borderId="4" xfId="2" applyNumberFormat="1" applyFont="1" applyFill="1" applyBorder="1" applyAlignment="1">
      <alignment horizontal="right"/>
    </xf>
    <xf numFmtId="164" fontId="3" fillId="4" borderId="4" xfId="2" applyNumberFormat="1" applyFont="1" applyFill="1" applyBorder="1" applyAlignment="1">
      <alignment horizontal="right"/>
    </xf>
    <xf numFmtId="0" fontId="5" fillId="5" borderId="4" xfId="0" applyFont="1" applyFill="1" applyBorder="1"/>
    <xf numFmtId="165" fontId="8" fillId="11" borderId="4" xfId="2" applyNumberFormat="1" applyFont="1" applyFill="1" applyBorder="1"/>
    <xf numFmtId="167" fontId="36" fillId="5" borderId="4" xfId="3" applyFont="1" applyFill="1" applyBorder="1"/>
    <xf numFmtId="0" fontId="29" fillId="5" borderId="4" xfId="0" applyFont="1" applyFill="1" applyBorder="1" applyAlignment="1">
      <alignment horizontal="left"/>
    </xf>
    <xf numFmtId="0" fontId="29" fillId="5" borderId="4" xfId="0" applyFont="1" applyFill="1" applyBorder="1" applyAlignment="1">
      <alignment horizontal="center"/>
    </xf>
    <xf numFmtId="0" fontId="29" fillId="5" borderId="4" xfId="0" applyFont="1" applyFill="1" applyBorder="1" applyAlignment="1">
      <alignment horizontal="right"/>
    </xf>
    <xf numFmtId="3" fontId="30" fillId="11" borderId="4" xfId="0" applyNumberFormat="1" applyFont="1" applyFill="1" applyBorder="1"/>
    <xf numFmtId="168" fontId="30" fillId="11" borderId="4" xfId="2" applyNumberFormat="1" applyFont="1" applyFill="1" applyBorder="1"/>
    <xf numFmtId="0" fontId="29" fillId="5" borderId="4" xfId="0" applyFont="1" applyFill="1" applyBorder="1"/>
    <xf numFmtId="168" fontId="29" fillId="5" borderId="4" xfId="2" applyNumberFormat="1" applyFont="1" applyFill="1" applyBorder="1"/>
    <xf numFmtId="3" fontId="29" fillId="5" borderId="4" xfId="0" applyNumberFormat="1" applyFont="1" applyFill="1" applyBorder="1"/>
    <xf numFmtId="0" fontId="17" fillId="7" borderId="1" xfId="0" applyFont="1" applyFill="1" applyBorder="1" applyAlignment="1">
      <alignment horizontal="left" wrapText="1"/>
    </xf>
    <xf numFmtId="0" fontId="17" fillId="7" borderId="0" xfId="0" applyFont="1" applyFill="1" applyBorder="1" applyAlignment="1">
      <alignment horizontal="left" wrapText="1"/>
    </xf>
    <xf numFmtId="0" fontId="10" fillId="7" borderId="0" xfId="0" quotePrefix="1" applyFont="1" applyFill="1" applyBorder="1" applyAlignment="1">
      <alignment horizontal="left" vertical="top" wrapText="1"/>
    </xf>
    <xf numFmtId="0" fontId="23" fillId="7" borderId="0" xfId="0" quotePrefix="1" applyFont="1" applyFill="1" applyBorder="1" applyAlignment="1">
      <alignment horizontal="left" vertical="top" wrapText="1"/>
    </xf>
    <xf numFmtId="0" fontId="17" fillId="7" borderId="0" xfId="0" quotePrefix="1" applyFont="1" applyFill="1" applyBorder="1" applyAlignment="1">
      <alignment horizontal="left" vertical="top" wrapText="1"/>
    </xf>
    <xf numFmtId="0" fontId="17" fillId="7" borderId="0" xfId="0" applyFont="1" applyFill="1" applyBorder="1" applyAlignment="1">
      <alignment horizontal="left" vertical="top" wrapText="1"/>
    </xf>
    <xf numFmtId="0" fontId="19" fillId="7" borderId="5" xfId="0" applyNumberFormat="1" applyFont="1" applyFill="1" applyBorder="1" applyAlignment="1">
      <alignment horizontal="left" wrapText="1"/>
    </xf>
    <xf numFmtId="0" fontId="19" fillId="7" borderId="1" xfId="0" applyNumberFormat="1" applyFont="1" applyFill="1" applyBorder="1" applyAlignment="1">
      <alignment horizontal="left" wrapText="1"/>
    </xf>
    <xf numFmtId="0" fontId="3" fillId="7" borderId="1" xfId="0" applyFont="1" applyFill="1" applyBorder="1" applyAlignment="1">
      <alignment horizontal="left" vertical="top" wrapText="1"/>
    </xf>
    <xf numFmtId="0" fontId="17" fillId="7" borderId="1" xfId="0" applyFont="1" applyFill="1" applyBorder="1" applyAlignment="1">
      <alignment horizontal="left" vertical="top" wrapText="1"/>
    </xf>
    <xf numFmtId="0" fontId="3" fillId="7" borderId="0" xfId="0" quotePrefix="1" applyFont="1" applyFill="1" applyBorder="1" applyAlignment="1">
      <alignment horizontal="left" vertical="top" wrapText="1"/>
    </xf>
    <xf numFmtId="0" fontId="17" fillId="2" borderId="5" xfId="0" applyFont="1" applyFill="1" applyBorder="1" applyAlignment="1">
      <alignment horizontal="center"/>
    </xf>
    <xf numFmtId="0" fontId="17" fillId="2" borderId="3" xfId="0" applyFont="1" applyFill="1" applyBorder="1" applyAlignment="1">
      <alignment horizontal="center"/>
    </xf>
    <xf numFmtId="170" fontId="22" fillId="7" borderId="4" xfId="0" applyNumberFormat="1" applyFont="1" applyFill="1" applyBorder="1" applyAlignment="1">
      <alignment horizontal="left"/>
    </xf>
    <xf numFmtId="0" fontId="8" fillId="9" borderId="9" xfId="0" applyFont="1" applyFill="1" applyBorder="1" applyAlignment="1">
      <alignment horizontal="left" vertical="center"/>
    </xf>
    <xf numFmtId="0" fontId="8" fillId="9" borderId="7" xfId="0" applyFont="1" applyFill="1" applyBorder="1" applyAlignment="1">
      <alignment horizontal="left" vertical="center"/>
    </xf>
    <xf numFmtId="0" fontId="8" fillId="9" borderId="13" xfId="0" applyFont="1" applyFill="1" applyBorder="1" applyAlignment="1">
      <alignment horizontal="left" vertical="center"/>
    </xf>
    <xf numFmtId="0" fontId="11" fillId="10" borderId="0" xfId="0" applyFont="1" applyFill="1" applyAlignment="1">
      <alignment horizontal="center"/>
    </xf>
    <xf numFmtId="0" fontId="3" fillId="4" borderId="1" xfId="0" applyFont="1" applyFill="1" applyBorder="1" applyAlignment="1">
      <alignment horizontal="left" vertical="top" wrapText="1"/>
    </xf>
    <xf numFmtId="0" fontId="7" fillId="4" borderId="8" xfId="0" applyFont="1" applyFill="1" applyBorder="1" applyAlignment="1">
      <alignment horizontal="left"/>
    </xf>
    <xf numFmtId="0" fontId="7" fillId="4" borderId="0" xfId="0" applyFont="1" applyFill="1" applyBorder="1" applyAlignment="1">
      <alignment horizontal="left"/>
    </xf>
    <xf numFmtId="0" fontId="6" fillId="8" borderId="12" xfId="0" applyFont="1" applyFill="1" applyBorder="1" applyAlignment="1">
      <alignment horizontal="left"/>
    </xf>
    <xf numFmtId="49" fontId="3" fillId="10" borderId="1" xfId="0" applyNumberFormat="1" applyFont="1" applyFill="1" applyBorder="1" applyAlignment="1">
      <alignment horizontal="left" vertical="top" wrapText="1"/>
    </xf>
    <xf numFmtId="0" fontId="3" fillId="10" borderId="1" xfId="0" applyFont="1" applyFill="1" applyBorder="1" applyAlignment="1">
      <alignment horizontal="left" vertical="top" wrapText="1"/>
    </xf>
    <xf numFmtId="0" fontId="3" fillId="4" borderId="0" xfId="0" applyFont="1" applyFill="1" applyBorder="1" applyAlignment="1">
      <alignment horizontal="left" vertical="top" wrapText="1"/>
    </xf>
    <xf numFmtId="0" fontId="2" fillId="4" borderId="10" xfId="0" quotePrefix="1" applyFont="1" applyFill="1" applyBorder="1" applyAlignment="1">
      <alignment horizontal="left" vertical="top" wrapText="1"/>
    </xf>
    <xf numFmtId="0" fontId="3" fillId="4" borderId="1" xfId="0" quotePrefix="1" applyFont="1" applyFill="1" applyBorder="1" applyAlignment="1">
      <alignment horizontal="left" vertical="top" wrapText="1"/>
    </xf>
    <xf numFmtId="0" fontId="3" fillId="4" borderId="8" xfId="0" quotePrefix="1" applyFont="1" applyFill="1" applyBorder="1" applyAlignment="1">
      <alignment horizontal="left" vertical="top" wrapText="1"/>
    </xf>
    <xf numFmtId="0" fontId="3" fillId="4" borderId="0" xfId="0" quotePrefix="1" applyFont="1" applyFill="1" applyBorder="1" applyAlignment="1">
      <alignment horizontal="left" vertical="top" wrapText="1"/>
    </xf>
    <xf numFmtId="0" fontId="2" fillId="4" borderId="1" xfId="0" quotePrefix="1" applyFont="1" applyFill="1" applyBorder="1" applyAlignment="1">
      <alignment horizontal="left" vertical="top" wrapText="1"/>
    </xf>
    <xf numFmtId="0" fontId="8" fillId="11" borderId="5" xfId="0" applyFont="1" applyFill="1" applyBorder="1" applyAlignment="1">
      <alignment horizontal="left" vertical="center"/>
    </xf>
    <xf numFmtId="0" fontId="8" fillId="11" borderId="2" xfId="0" applyFont="1" applyFill="1" applyBorder="1" applyAlignment="1">
      <alignment horizontal="left" vertical="center"/>
    </xf>
    <xf numFmtId="0" fontId="8" fillId="11" borderId="3" xfId="0" applyFont="1" applyFill="1" applyBorder="1" applyAlignment="1">
      <alignment horizontal="left" vertical="center"/>
    </xf>
    <xf numFmtId="0" fontId="6" fillId="13" borderId="0" xfId="0" applyFont="1" applyFill="1" applyBorder="1" applyAlignment="1">
      <alignment horizontal="center"/>
    </xf>
    <xf numFmtId="2" fontId="6" fillId="14" borderId="0" xfId="0" applyNumberFormat="1" applyFont="1" applyFill="1" applyAlignment="1">
      <alignment horizontal="center"/>
    </xf>
    <xf numFmtId="10" fontId="33" fillId="15" borderId="12" xfId="0" applyNumberFormat="1" applyFont="1" applyFill="1" applyBorder="1" applyAlignment="1">
      <alignment horizontal="center"/>
    </xf>
    <xf numFmtId="10" fontId="33" fillId="15" borderId="0" xfId="0" applyNumberFormat="1" applyFont="1" applyFill="1" applyBorder="1" applyAlignment="1">
      <alignment horizontal="center"/>
    </xf>
    <xf numFmtId="0" fontId="7" fillId="4" borderId="5" xfId="0" applyFont="1" applyFill="1" applyBorder="1" applyAlignment="1">
      <alignment horizontal="center"/>
    </xf>
    <xf numFmtId="0" fontId="7" fillId="4" borderId="2" xfId="0" applyFont="1" applyFill="1" applyBorder="1" applyAlignment="1">
      <alignment horizontal="center"/>
    </xf>
    <xf numFmtId="0" fontId="31" fillId="4" borderId="1" xfId="0" applyFont="1" applyFill="1" applyBorder="1" applyAlignment="1">
      <alignment horizontal="left" vertical="top"/>
    </xf>
    <xf numFmtId="0" fontId="31" fillId="4" borderId="0" xfId="0" applyFont="1" applyFill="1" applyBorder="1" applyAlignment="1">
      <alignment horizontal="left" vertical="top"/>
    </xf>
    <xf numFmtId="0" fontId="28" fillId="4" borderId="1" xfId="0" quotePrefix="1" applyFont="1" applyFill="1" applyBorder="1" applyAlignment="1">
      <alignment horizontal="left" vertical="top" wrapText="1"/>
    </xf>
    <xf numFmtId="0" fontId="28" fillId="4" borderId="0" xfId="0" quotePrefix="1" applyFont="1" applyFill="1" applyBorder="1" applyAlignment="1">
      <alignment horizontal="left" vertical="top" wrapText="1"/>
    </xf>
    <xf numFmtId="0" fontId="6" fillId="8" borderId="12" xfId="0" applyFont="1" applyFill="1" applyBorder="1" applyAlignment="1">
      <alignment horizontal="center"/>
    </xf>
    <xf numFmtId="0" fontId="1" fillId="4" borderId="1" xfId="0" quotePrefix="1" applyFont="1" applyFill="1" applyBorder="1" applyAlignment="1">
      <alignment horizontal="left" vertical="top" wrapText="1"/>
    </xf>
  </cellXfs>
  <cellStyles count="6">
    <cellStyle name="Comma" xfId="3" builtinId="3"/>
    <cellStyle name="Currency" xfId="2" builtinId="4"/>
    <cellStyle name="Currency 2" xfId="4" xr:uid="{00000000-0005-0000-0000-000003000000}"/>
    <cellStyle name="Normal" xfId="0" builtinId="0"/>
    <cellStyle name="Normal 2" xfId="5" xr:uid="{00000000-0005-0000-0000-000005000000}"/>
    <cellStyle name="Percent" xfId="1" builtinId="5"/>
  </cellStyles>
  <dxfs count="0"/>
  <tableStyles count="0" defaultTableStyle="TableStyleMedium9" defaultPivotStyle="PivotStyleLight16"/>
  <colors>
    <mruColors>
      <color rgb="FFA6A6A6"/>
      <color rgb="FF5E6A71"/>
      <color rgb="FFD9D9D9"/>
      <color rgb="FFEAEAEA"/>
      <color rgb="FFBFBFBF"/>
      <color rgb="FFBC921A"/>
      <color rgb="FFE0AE20"/>
      <color rgb="FF006A71"/>
      <color rgb="FFF58025"/>
      <color rgb="FF5D87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y1-Fin/Reg_Affairs/2019%20Determination/Models/2.%20FP%20-%20Final%20Proposal/ANS%20models/Ancillary%20Service%20Pricing%20Model%2019_24%20current%20output%20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First"/>
      <sheetName val="Inputs"/>
      <sheetName val="Inputs To Reg Sub"/>
    </sheetNames>
    <sheetDataSet>
      <sheetData sheetId="0"/>
      <sheetData sheetId="1">
        <row r="13">
          <cell r="H13">
            <v>6.3420000000000004E-2</v>
          </cell>
        </row>
        <row r="16">
          <cell r="H16">
            <v>1</v>
          </cell>
          <cell r="I16">
            <v>1</v>
          </cell>
          <cell r="J16">
            <v>1.0109999999999999</v>
          </cell>
          <cell r="K16">
            <v>1.0231319999999999</v>
          </cell>
          <cell r="L16">
            <v>1.0337725727999998</v>
          </cell>
        </row>
        <row r="20">
          <cell r="B20" t="str">
            <v>R1a</v>
          </cell>
          <cell r="C20" t="str">
            <v>AO11</v>
          </cell>
          <cell r="D20">
            <v>28</v>
          </cell>
          <cell r="E20">
            <v>45.84</v>
          </cell>
          <cell r="F20">
            <v>46.756800000000005</v>
          </cell>
          <cell r="G20">
            <v>47.212678799999999</v>
          </cell>
          <cell r="H20">
            <v>73.74148301772</v>
          </cell>
          <cell r="I20">
            <v>133.8725894163336</v>
          </cell>
        </row>
        <row r="21">
          <cell r="B21" t="str">
            <v>R1b</v>
          </cell>
          <cell r="C21" t="str">
            <v>AO23</v>
          </cell>
          <cell r="D21">
            <v>40</v>
          </cell>
          <cell r="E21">
            <v>62.63</v>
          </cell>
          <cell r="F21">
            <v>63.882600000000004</v>
          </cell>
          <cell r="G21">
            <v>64.505455350000005</v>
          </cell>
          <cell r="H21">
            <v>100.75107071116501</v>
          </cell>
          <cell r="I21">
            <v>182.9066377649427</v>
          </cell>
        </row>
        <row r="22">
          <cell r="B22" t="str">
            <v>R2a</v>
          </cell>
          <cell r="C22" t="str">
            <v>TO16</v>
          </cell>
          <cell r="D22">
            <v>40</v>
          </cell>
          <cell r="E22">
            <v>64.19</v>
          </cell>
          <cell r="F22">
            <v>65.473799999999997</v>
          </cell>
          <cell r="G22">
            <v>66.11216954999999</v>
          </cell>
          <cell r="H22">
            <v>103.26059762014499</v>
          </cell>
          <cell r="I22">
            <v>187.46251122675505</v>
          </cell>
        </row>
        <row r="23">
          <cell r="B23" t="str">
            <v>R2b</v>
          </cell>
          <cell r="C23" t="str">
            <v>TO16</v>
          </cell>
          <cell r="D23">
            <v>40</v>
          </cell>
          <cell r="E23">
            <v>64.19</v>
          </cell>
          <cell r="F23">
            <v>65.473799999999997</v>
          </cell>
          <cell r="G23">
            <v>66.11216954999999</v>
          </cell>
          <cell r="H23">
            <v>103.26059762014499</v>
          </cell>
          <cell r="I23">
            <v>187.46251122675505</v>
          </cell>
        </row>
        <row r="24">
          <cell r="B24" t="str">
            <v>R3</v>
          </cell>
          <cell r="C24" t="str">
            <v>EAMS8</v>
          </cell>
          <cell r="D24">
            <v>44</v>
          </cell>
          <cell r="E24">
            <v>73.73</v>
          </cell>
          <cell r="F24">
            <v>75.204599999999999</v>
          </cell>
          <cell r="G24">
            <v>75.937844849999991</v>
          </cell>
          <cell r="H24">
            <v>118.60731987121498</v>
          </cell>
          <cell r="I24">
            <v>215.32342970476165</v>
          </cell>
        </row>
        <row r="25">
          <cell r="B25" t="str">
            <v>R4</v>
          </cell>
          <cell r="C25" t="str">
            <v>TO8</v>
          </cell>
          <cell r="D25">
            <v>32</v>
          </cell>
          <cell r="E25">
            <v>49.63</v>
          </cell>
          <cell r="F25">
            <v>50.622600000000006</v>
          </cell>
          <cell r="G25">
            <v>51.116170350000004</v>
          </cell>
          <cell r="H25">
            <v>79.838346469665012</v>
          </cell>
          <cell r="I25">
            <v>144.94102558317272</v>
          </cell>
        </row>
        <row r="43">
          <cell r="M43">
            <v>0.46592661151676018</v>
          </cell>
        </row>
        <row r="48">
          <cell r="M48">
            <v>0.16037758511933414</v>
          </cell>
        </row>
        <row r="54">
          <cell r="C54" t="str">
            <v>R1a</v>
          </cell>
          <cell r="D54"/>
          <cell r="E54"/>
          <cell r="F54"/>
          <cell r="G54">
            <v>0</v>
          </cell>
        </row>
        <row r="55">
          <cell r="C55" t="str">
            <v>R1b</v>
          </cell>
          <cell r="D55"/>
          <cell r="E55"/>
          <cell r="F55"/>
          <cell r="G55">
            <v>0</v>
          </cell>
        </row>
        <row r="56">
          <cell r="C56" t="str">
            <v>R2a</v>
          </cell>
          <cell r="D56"/>
          <cell r="E56"/>
          <cell r="F56"/>
          <cell r="G56">
            <v>0</v>
          </cell>
        </row>
        <row r="57">
          <cell r="C57" t="str">
            <v>R2b</v>
          </cell>
          <cell r="D57">
            <v>1</v>
          </cell>
          <cell r="E57"/>
          <cell r="F57"/>
          <cell r="G57">
            <v>19.732436288346317</v>
          </cell>
        </row>
        <row r="58">
          <cell r="C58" t="str">
            <v>R3</v>
          </cell>
          <cell r="D58">
            <v>1</v>
          </cell>
          <cell r="E58"/>
          <cell r="F58"/>
          <cell r="G58">
            <v>19.732436288346317</v>
          </cell>
        </row>
        <row r="59">
          <cell r="C59" t="str">
            <v>R4</v>
          </cell>
          <cell r="D59">
            <v>1</v>
          </cell>
          <cell r="E59"/>
          <cell r="F59"/>
          <cell r="G59">
            <v>19.732436288346317</v>
          </cell>
        </row>
        <row r="61">
          <cell r="H61">
            <v>0.04</v>
          </cell>
          <cell r="I61">
            <v>0.04</v>
          </cell>
          <cell r="J61">
            <v>0.04</v>
          </cell>
          <cell r="K61">
            <v>0.04</v>
          </cell>
          <cell r="L61">
            <v>0.04</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S63"/>
  <sheetViews>
    <sheetView showGridLines="0" topLeftCell="A10" zoomScale="90" zoomScaleNormal="90" workbookViewId="0">
      <selection activeCell="H62" sqref="H62"/>
    </sheetView>
  </sheetViews>
  <sheetFormatPr defaultColWidth="9.140625" defaultRowHeight="12.75" x14ac:dyDescent="0.2"/>
  <cols>
    <col min="1" max="1" width="2.42578125" style="65" customWidth="1"/>
    <col min="2" max="2" width="41.85546875" style="65" customWidth="1"/>
    <col min="3" max="3" width="51.7109375" style="65" customWidth="1"/>
    <col min="4" max="4" width="22" style="65" bestFit="1" customWidth="1"/>
    <col min="5" max="5" width="13.85546875" style="65" customWidth="1"/>
    <col min="6" max="6" width="14" style="65" customWidth="1"/>
    <col min="7" max="7" width="12.85546875" style="65" customWidth="1"/>
    <col min="8" max="8" width="13.28515625" style="65" customWidth="1"/>
    <col min="9" max="9" width="11.5703125" style="65" customWidth="1"/>
    <col min="10" max="16384" width="9.140625" style="65"/>
  </cols>
  <sheetData>
    <row r="2" spans="2:19" x14ac:dyDescent="0.2">
      <c r="B2" s="63" t="s">
        <v>7</v>
      </c>
      <c r="C2" s="64"/>
      <c r="D2" s="64"/>
      <c r="E2" s="64"/>
      <c r="F2" s="64"/>
      <c r="G2" s="64"/>
      <c r="H2" s="64"/>
      <c r="O2" s="66"/>
      <c r="P2" s="66"/>
      <c r="Q2" s="66"/>
      <c r="R2" s="66"/>
      <c r="S2" s="66"/>
    </row>
    <row r="3" spans="2:19" ht="75.75" customHeight="1" x14ac:dyDescent="0.2">
      <c r="B3" s="67" t="s">
        <v>55</v>
      </c>
      <c r="C3" s="236" t="s">
        <v>86</v>
      </c>
      <c r="D3" s="237"/>
      <c r="E3" s="237"/>
      <c r="F3" s="237"/>
      <c r="G3" s="237"/>
      <c r="H3" s="237"/>
      <c r="M3" s="68"/>
      <c r="N3" s="68"/>
      <c r="O3" s="66"/>
      <c r="P3" s="66"/>
      <c r="Q3" s="66"/>
      <c r="R3" s="66"/>
      <c r="S3" s="66"/>
    </row>
    <row r="4" spans="2:19" ht="55.5" customHeight="1" x14ac:dyDescent="0.2">
      <c r="B4" s="69"/>
      <c r="C4" s="241"/>
      <c r="D4" s="242"/>
      <c r="E4" s="70"/>
      <c r="F4" s="70"/>
      <c r="G4" s="70"/>
      <c r="H4" s="70"/>
      <c r="M4" s="68"/>
      <c r="N4" s="68"/>
      <c r="O4" s="66"/>
      <c r="P4" s="66"/>
      <c r="Q4" s="66"/>
      <c r="R4" s="66"/>
      <c r="S4" s="66"/>
    </row>
    <row r="5" spans="2:19" x14ac:dyDescent="0.2">
      <c r="B5" s="71" t="s">
        <v>13</v>
      </c>
      <c r="C5" s="72"/>
      <c r="D5" s="126" t="s">
        <v>150</v>
      </c>
      <c r="E5" s="73"/>
      <c r="F5" s="73"/>
      <c r="G5" s="73"/>
      <c r="H5" s="73"/>
      <c r="M5" s="68"/>
      <c r="N5" s="68"/>
      <c r="O5" s="66"/>
      <c r="P5" s="66"/>
      <c r="Q5" s="66"/>
      <c r="R5" s="66"/>
      <c r="S5" s="66"/>
    </row>
    <row r="6" spans="2:19" x14ac:dyDescent="0.2">
      <c r="B6" s="74" t="s">
        <v>41</v>
      </c>
      <c r="C6" s="75"/>
      <c r="D6" s="75">
        <v>293.49</v>
      </c>
      <c r="E6" s="76"/>
      <c r="F6" s="76"/>
      <c r="G6" s="76"/>
      <c r="H6" s="76"/>
      <c r="M6" s="68"/>
      <c r="N6" s="68"/>
      <c r="O6" s="66"/>
      <c r="P6" s="66"/>
      <c r="Q6" s="66"/>
      <c r="R6" s="66"/>
      <c r="S6" s="66"/>
    </row>
    <row r="7" spans="2:19" x14ac:dyDescent="0.2">
      <c r="B7" s="244" t="s">
        <v>101</v>
      </c>
      <c r="C7" s="192" t="s">
        <v>151</v>
      </c>
      <c r="D7" s="77">
        <f>'Proposed price'!Q9</f>
        <v>280.75789687544</v>
      </c>
      <c r="E7" s="76"/>
      <c r="F7" s="76"/>
      <c r="G7" s="76"/>
      <c r="H7" s="76"/>
      <c r="O7" s="66"/>
      <c r="P7" s="66"/>
      <c r="Q7" s="66"/>
      <c r="R7" s="66"/>
      <c r="S7" s="66"/>
    </row>
    <row r="8" spans="2:19" ht="14.25" customHeight="1" x14ac:dyDescent="0.2">
      <c r="B8" s="245"/>
      <c r="C8" s="192" t="s">
        <v>158</v>
      </c>
      <c r="D8" s="77">
        <f>'Proposed price'!Q24</f>
        <v>2509.6915346295191</v>
      </c>
      <c r="E8" s="76"/>
      <c r="F8" s="76"/>
      <c r="G8" s="76"/>
      <c r="H8" s="76"/>
      <c r="O8" s="66"/>
      <c r="P8" s="66"/>
      <c r="Q8" s="66"/>
      <c r="R8" s="66"/>
      <c r="S8" s="66"/>
    </row>
    <row r="9" spans="2:19" x14ac:dyDescent="0.2">
      <c r="B9" s="245"/>
      <c r="C9" s="192" t="s">
        <v>149</v>
      </c>
      <c r="D9" s="77">
        <f>'Proposed price'!Q22</f>
        <v>212.70961481276012</v>
      </c>
      <c r="E9" s="76"/>
      <c r="F9" s="76"/>
      <c r="G9" s="76"/>
      <c r="H9" s="76"/>
      <c r="O9" s="66"/>
      <c r="P9" s="66"/>
      <c r="Q9" s="66"/>
      <c r="R9" s="66"/>
      <c r="S9" s="66"/>
    </row>
    <row r="10" spans="2:19" ht="33" customHeight="1" x14ac:dyDescent="0.2">
      <c r="B10" s="245"/>
      <c r="C10" s="200" t="s">
        <v>153</v>
      </c>
      <c r="D10" s="202">
        <f>(1+D11)*(1+D12)-1</f>
        <v>0.55889567721915312</v>
      </c>
      <c r="E10" s="76"/>
      <c r="F10" s="76"/>
      <c r="G10" s="76"/>
      <c r="H10" s="76"/>
      <c r="O10" s="66"/>
      <c r="P10" s="66"/>
      <c r="Q10" s="66"/>
      <c r="R10" s="66"/>
      <c r="S10" s="66"/>
    </row>
    <row r="11" spans="2:19" ht="12.75" customHeight="1" x14ac:dyDescent="0.2">
      <c r="B11" s="245"/>
      <c r="C11" s="192" t="s">
        <v>154</v>
      </c>
      <c r="D11" s="201">
        <f>'Proposed price'!N23</f>
        <v>0.46592661151676018</v>
      </c>
      <c r="E11" s="76"/>
      <c r="F11" s="76"/>
      <c r="G11" s="76"/>
      <c r="H11" s="76"/>
      <c r="O11" s="66"/>
      <c r="P11" s="66"/>
      <c r="Q11" s="66"/>
      <c r="R11" s="66"/>
      <c r="S11" s="66"/>
    </row>
    <row r="12" spans="2:19" ht="12.75" customHeight="1" x14ac:dyDescent="0.2">
      <c r="B12" s="246"/>
      <c r="C12" s="192" t="s">
        <v>155</v>
      </c>
      <c r="D12" s="201">
        <f>'Proposed price'!P23</f>
        <v>6.3420000000000004E-2</v>
      </c>
      <c r="E12" s="76"/>
      <c r="F12" s="76"/>
      <c r="G12" s="76"/>
      <c r="H12" s="76"/>
      <c r="O12" s="66"/>
      <c r="P12" s="66"/>
      <c r="Q12" s="66"/>
      <c r="R12" s="66"/>
      <c r="S12" s="66"/>
    </row>
    <row r="13" spans="2:19" x14ac:dyDescent="0.2">
      <c r="B13" s="191" t="s">
        <v>47</v>
      </c>
      <c r="C13" s="243" t="s">
        <v>70</v>
      </c>
      <c r="D13" s="243"/>
      <c r="E13" s="78"/>
      <c r="F13" s="78"/>
      <c r="G13" s="78"/>
      <c r="H13" s="78"/>
      <c r="O13" s="66"/>
      <c r="P13" s="66"/>
      <c r="Q13" s="66"/>
      <c r="R13" s="66"/>
      <c r="S13" s="66"/>
    </row>
    <row r="14" spans="2:19" x14ac:dyDescent="0.2">
      <c r="B14" s="79" t="s">
        <v>5</v>
      </c>
      <c r="C14" s="80"/>
      <c r="D14" s="80"/>
      <c r="E14" s="80"/>
      <c r="F14" s="80"/>
      <c r="G14" s="80"/>
      <c r="H14" s="81"/>
      <c r="O14" s="66"/>
      <c r="P14" s="66"/>
      <c r="Q14" s="66"/>
      <c r="R14" s="66"/>
      <c r="S14" s="66"/>
    </row>
    <row r="15" spans="2:19" ht="102.75" customHeight="1" x14ac:dyDescent="0.2">
      <c r="B15" s="238" t="s">
        <v>161</v>
      </c>
      <c r="C15" s="239"/>
      <c r="D15" s="239"/>
      <c r="E15" s="239"/>
      <c r="F15" s="239"/>
      <c r="G15" s="239"/>
      <c r="H15" s="239"/>
      <c r="O15" s="66"/>
      <c r="P15" s="66"/>
      <c r="Q15" s="66"/>
      <c r="R15" s="66"/>
      <c r="S15" s="66"/>
    </row>
    <row r="16" spans="2:19" x14ac:dyDescent="0.2">
      <c r="B16" s="82"/>
      <c r="C16" s="82"/>
      <c r="D16" s="82"/>
      <c r="E16" s="82"/>
      <c r="F16" s="82"/>
      <c r="G16" s="82"/>
      <c r="H16" s="82"/>
      <c r="O16" s="66"/>
      <c r="P16" s="66"/>
      <c r="Q16" s="66"/>
      <c r="R16" s="66"/>
      <c r="S16" s="66"/>
    </row>
    <row r="17" spans="2:19" x14ac:dyDescent="0.2">
      <c r="O17" s="66"/>
      <c r="P17" s="66"/>
      <c r="Q17" s="66"/>
      <c r="R17" s="66"/>
      <c r="S17" s="66"/>
    </row>
    <row r="18" spans="2:19" x14ac:dyDescent="0.2">
      <c r="B18" s="83" t="s">
        <v>34</v>
      </c>
      <c r="C18" s="64"/>
      <c r="D18" s="64"/>
      <c r="E18" s="64"/>
      <c r="F18" s="64"/>
      <c r="G18" s="64"/>
      <c r="H18" s="64"/>
      <c r="O18" s="66"/>
      <c r="P18" s="66"/>
      <c r="Q18" s="66"/>
      <c r="R18" s="66"/>
      <c r="S18" s="66"/>
    </row>
    <row r="19" spans="2:19" x14ac:dyDescent="0.2">
      <c r="B19" s="231"/>
      <c r="C19" s="231"/>
      <c r="D19" s="231"/>
      <c r="E19" s="231"/>
      <c r="F19" s="231"/>
      <c r="G19" s="231"/>
      <c r="H19" s="231"/>
    </row>
    <row r="20" spans="2:19" ht="135" customHeight="1" x14ac:dyDescent="0.2">
      <c r="B20" s="240" t="s">
        <v>160</v>
      </c>
      <c r="C20" s="240"/>
      <c r="D20" s="240"/>
      <c r="E20" s="240"/>
      <c r="F20" s="240"/>
      <c r="G20" s="240"/>
      <c r="H20" s="240"/>
      <c r="I20" s="66"/>
    </row>
    <row r="21" spans="2:19" x14ac:dyDescent="0.2">
      <c r="B21" s="84"/>
      <c r="C21" s="84"/>
      <c r="D21" s="84"/>
      <c r="E21" s="84"/>
      <c r="F21" s="84"/>
      <c r="G21" s="84"/>
      <c r="H21" s="84"/>
    </row>
    <row r="22" spans="2:19" x14ac:dyDescent="0.2">
      <c r="B22" s="85"/>
      <c r="C22" s="85"/>
      <c r="D22" s="85"/>
      <c r="E22" s="85"/>
      <c r="F22" s="85"/>
      <c r="G22" s="85"/>
      <c r="H22" s="85"/>
    </row>
    <row r="23" spans="2:19" x14ac:dyDescent="0.2">
      <c r="B23" s="83" t="s">
        <v>42</v>
      </c>
      <c r="C23" s="64"/>
      <c r="D23" s="64"/>
      <c r="E23" s="64"/>
      <c r="F23" s="64"/>
      <c r="G23" s="64"/>
      <c r="H23" s="64"/>
    </row>
    <row r="24" spans="2:19" x14ac:dyDescent="0.2">
      <c r="B24" s="231"/>
      <c r="C24" s="231"/>
      <c r="D24" s="231"/>
      <c r="E24" s="231"/>
      <c r="F24" s="231"/>
      <c r="G24" s="231"/>
      <c r="H24" s="231"/>
    </row>
    <row r="25" spans="2:19" x14ac:dyDescent="0.2">
      <c r="B25" s="232" t="s">
        <v>148</v>
      </c>
      <c r="C25" s="233"/>
      <c r="D25" s="233"/>
      <c r="E25" s="233"/>
      <c r="F25" s="233"/>
      <c r="G25" s="233"/>
      <c r="H25" s="233"/>
    </row>
    <row r="26" spans="2:19" x14ac:dyDescent="0.2">
      <c r="B26" s="234"/>
      <c r="C26" s="234"/>
      <c r="D26" s="234"/>
      <c r="E26" s="234"/>
      <c r="F26" s="234"/>
      <c r="G26" s="234"/>
      <c r="H26" s="234"/>
    </row>
    <row r="27" spans="2:19" x14ac:dyDescent="0.2">
      <c r="B27" s="234"/>
      <c r="C27" s="235"/>
      <c r="D27" s="235"/>
      <c r="E27" s="235"/>
      <c r="F27" s="235"/>
      <c r="G27" s="235"/>
      <c r="H27" s="235"/>
    </row>
    <row r="28" spans="2:19" x14ac:dyDescent="0.2">
      <c r="B28" s="86"/>
      <c r="C28" s="86"/>
      <c r="D28" s="86"/>
      <c r="E28" s="86"/>
      <c r="F28" s="86"/>
      <c r="G28" s="86"/>
      <c r="H28" s="86"/>
    </row>
    <row r="29" spans="2:19" x14ac:dyDescent="0.2">
      <c r="B29" s="231"/>
      <c r="C29" s="231"/>
      <c r="D29" s="231"/>
      <c r="E29" s="231"/>
      <c r="F29" s="231"/>
      <c r="G29" s="231"/>
      <c r="H29" s="231"/>
    </row>
    <row r="30" spans="2:19" x14ac:dyDescent="0.2">
      <c r="B30" s="84"/>
      <c r="C30" s="84"/>
      <c r="D30" s="84"/>
      <c r="E30" s="84"/>
      <c r="F30" s="84"/>
      <c r="G30" s="84"/>
      <c r="H30" s="84"/>
    </row>
    <row r="31" spans="2:19" x14ac:dyDescent="0.2">
      <c r="B31" s="84"/>
      <c r="C31" s="84"/>
      <c r="D31" s="84"/>
      <c r="E31" s="84"/>
      <c r="F31" s="84"/>
      <c r="G31" s="84"/>
      <c r="H31" s="84"/>
    </row>
    <row r="32" spans="2:19" x14ac:dyDescent="0.2">
      <c r="B32" s="84"/>
      <c r="C32" s="84"/>
      <c r="D32" s="84"/>
      <c r="E32" s="84"/>
      <c r="F32" s="84"/>
      <c r="G32" s="84"/>
      <c r="H32" s="84"/>
    </row>
    <row r="33" spans="2:9" x14ac:dyDescent="0.2">
      <c r="B33" s="84"/>
      <c r="C33" s="84"/>
      <c r="D33" s="84"/>
      <c r="E33" s="84"/>
      <c r="F33" s="84"/>
      <c r="G33" s="84"/>
      <c r="H33" s="84"/>
    </row>
    <row r="34" spans="2:9" x14ac:dyDescent="0.2">
      <c r="B34" s="87"/>
      <c r="C34" s="87"/>
      <c r="D34" s="87"/>
      <c r="E34" s="87"/>
      <c r="F34" s="87"/>
      <c r="G34" s="87"/>
      <c r="H34" s="87"/>
      <c r="I34" s="66"/>
    </row>
    <row r="35" spans="2:9" x14ac:dyDescent="0.2">
      <c r="B35" s="83" t="s">
        <v>6</v>
      </c>
    </row>
    <row r="36" spans="2:9" x14ac:dyDescent="0.2">
      <c r="B36" s="88" t="s">
        <v>14</v>
      </c>
      <c r="C36" s="89" t="s">
        <v>29</v>
      </c>
      <c r="D36" s="89"/>
      <c r="E36" s="89"/>
      <c r="F36" s="89"/>
      <c r="G36" s="89"/>
      <c r="H36" s="89"/>
    </row>
    <row r="37" spans="2:9" x14ac:dyDescent="0.2">
      <c r="B37" s="90" t="s">
        <v>45</v>
      </c>
      <c r="C37" s="89" t="s">
        <v>52</v>
      </c>
      <c r="D37" s="89"/>
      <c r="E37" s="89"/>
      <c r="F37" s="89"/>
      <c r="G37" s="89"/>
      <c r="H37" s="89"/>
    </row>
    <row r="38" spans="2:9" x14ac:dyDescent="0.2">
      <c r="B38" s="90" t="s">
        <v>46</v>
      </c>
      <c r="C38" s="89" t="s">
        <v>53</v>
      </c>
      <c r="D38" s="89"/>
      <c r="E38" s="89"/>
      <c r="F38" s="89"/>
      <c r="G38" s="89"/>
      <c r="H38" s="89"/>
    </row>
    <row r="39" spans="2:9" x14ac:dyDescent="0.2">
      <c r="B39" s="90" t="s">
        <v>15</v>
      </c>
      <c r="C39" s="89" t="s">
        <v>30</v>
      </c>
      <c r="D39" s="89"/>
      <c r="E39" s="89"/>
      <c r="F39" s="89"/>
      <c r="G39" s="89"/>
      <c r="H39" s="89"/>
    </row>
    <row r="42" spans="2:9" x14ac:dyDescent="0.2">
      <c r="B42" s="83" t="s">
        <v>35</v>
      </c>
      <c r="C42" s="64"/>
      <c r="D42" s="64"/>
      <c r="E42" s="64"/>
      <c r="F42" s="64"/>
      <c r="G42" s="64"/>
      <c r="H42" s="64"/>
    </row>
    <row r="44" spans="2:9" x14ac:dyDescent="0.2">
      <c r="B44" s="91"/>
      <c r="C44" s="92" t="s">
        <v>36</v>
      </c>
      <c r="D44" s="92" t="s">
        <v>37</v>
      </c>
      <c r="E44" s="92" t="s">
        <v>38</v>
      </c>
      <c r="F44" s="92" t="s">
        <v>40</v>
      </c>
      <c r="G44" s="92" t="s">
        <v>39</v>
      </c>
      <c r="H44" s="93" t="s">
        <v>1</v>
      </c>
    </row>
    <row r="45" spans="2:9" x14ac:dyDescent="0.2">
      <c r="C45" s="94"/>
      <c r="D45" s="94"/>
      <c r="E45" s="94"/>
      <c r="F45" s="94"/>
      <c r="G45" s="94"/>
      <c r="H45" s="94"/>
    </row>
    <row r="46" spans="2:9" x14ac:dyDescent="0.2">
      <c r="B46" s="127" t="s">
        <v>102</v>
      </c>
      <c r="C46" s="95">
        <f>'Forecast Revenue - Costs'!D28</f>
        <v>16233.993729373356</v>
      </c>
      <c r="D46" s="95">
        <f>'Forecast Revenue - Costs'!E28</f>
        <v>16233.993729373356</v>
      </c>
      <c r="E46" s="95">
        <f>'Forecast Revenue - Costs'!F28</f>
        <v>16386.520844495844</v>
      </c>
      <c r="F46" s="95">
        <f>'Forecast Revenue - Costs'!G28</f>
        <v>16710.799758724075</v>
      </c>
      <c r="G46" s="95">
        <f>'Forecast Revenue - Costs'!H28</f>
        <v>17195.19664319346</v>
      </c>
      <c r="H46" s="95">
        <f>SUM(C46:G46)</f>
        <v>82760.5047051601</v>
      </c>
    </row>
    <row r="47" spans="2:9" x14ac:dyDescent="0.2">
      <c r="C47" s="96"/>
      <c r="D47" s="97"/>
      <c r="E47" s="96"/>
      <c r="F47" s="96"/>
      <c r="G47" s="96"/>
    </row>
    <row r="48" spans="2:9" x14ac:dyDescent="0.2">
      <c r="B48" s="127" t="s">
        <v>103</v>
      </c>
      <c r="C48" s="95">
        <f>SUM('Forecast Revenue - Costs'!D29:D31)</f>
        <v>11841.795958170642</v>
      </c>
      <c r="D48" s="95">
        <f>SUM('Forecast Revenue - Costs'!E29:E31)</f>
        <v>11841.795958170642</v>
      </c>
      <c r="E48" s="95">
        <f>SUM('Forecast Revenue - Costs'!F29:F31)</f>
        <v>11953.056009485113</v>
      </c>
      <c r="F48" s="95">
        <f>SUM('Forecast Revenue - Costs'!G29:G31)</f>
        <v>12189.59945035634</v>
      </c>
      <c r="G48" s="95">
        <f>SUM('Forecast Revenue - Costs'!H29:H31)</f>
        <v>12542.940049366254</v>
      </c>
      <c r="H48" s="95">
        <f>SUM(C48:G48)</f>
        <v>60369.187425548997</v>
      </c>
    </row>
    <row r="49" spans="2:9" x14ac:dyDescent="0.2">
      <c r="C49" s="96"/>
      <c r="D49" s="97"/>
      <c r="E49" s="96"/>
      <c r="F49" s="96"/>
      <c r="G49" s="96"/>
    </row>
    <row r="50" spans="2:9" x14ac:dyDescent="0.2">
      <c r="B50" s="127" t="s">
        <v>104</v>
      </c>
      <c r="C50" s="95">
        <f t="shared" ref="C50:H50" si="0">+C46+C48</f>
        <v>28075.789687543998</v>
      </c>
      <c r="D50" s="95">
        <f t="shared" si="0"/>
        <v>28075.789687543998</v>
      </c>
      <c r="E50" s="95">
        <f t="shared" si="0"/>
        <v>28339.576853980958</v>
      </c>
      <c r="F50" s="95">
        <f t="shared" si="0"/>
        <v>28900.399209080417</v>
      </c>
      <c r="G50" s="95">
        <f t="shared" si="0"/>
        <v>29738.136692559714</v>
      </c>
      <c r="H50" s="95">
        <f t="shared" si="0"/>
        <v>143129.6921307091</v>
      </c>
    </row>
    <row r="51" spans="2:9" x14ac:dyDescent="0.2">
      <c r="C51" s="98"/>
      <c r="D51" s="98"/>
      <c r="E51" s="98"/>
      <c r="F51" s="98"/>
      <c r="G51" s="98"/>
    </row>
    <row r="52" spans="2:9" x14ac:dyDescent="0.2">
      <c r="B52" s="99" t="s">
        <v>6</v>
      </c>
    </row>
    <row r="53" spans="2:9" ht="14.25" customHeight="1" x14ac:dyDescent="0.2">
      <c r="B53" s="230"/>
      <c r="C53" s="230"/>
      <c r="D53" s="230"/>
      <c r="E53" s="230"/>
      <c r="F53" s="230"/>
      <c r="G53" s="230"/>
      <c r="H53" s="230"/>
    </row>
    <row r="54" spans="2:9" x14ac:dyDescent="0.2">
      <c r="B54" s="231"/>
      <c r="C54" s="231"/>
      <c r="D54" s="231"/>
      <c r="E54" s="231"/>
      <c r="F54" s="231"/>
      <c r="G54" s="231"/>
      <c r="H54" s="231"/>
      <c r="I54" s="66"/>
    </row>
    <row r="55" spans="2:9" ht="27.75" customHeight="1" x14ac:dyDescent="0.2">
      <c r="B55" s="231"/>
      <c r="C55" s="231"/>
      <c r="D55" s="231"/>
      <c r="E55" s="231"/>
      <c r="F55" s="231"/>
      <c r="G55" s="231"/>
      <c r="H55" s="231"/>
    </row>
    <row r="58" spans="2:9" x14ac:dyDescent="0.2">
      <c r="B58" s="83" t="s">
        <v>71</v>
      </c>
      <c r="C58" s="64"/>
      <c r="D58" s="64"/>
      <c r="E58" s="64"/>
      <c r="F58" s="64"/>
      <c r="G58" s="64"/>
      <c r="H58" s="64"/>
    </row>
    <row r="59" spans="2:9" x14ac:dyDescent="0.2">
      <c r="B59" s="100"/>
    </row>
    <row r="60" spans="2:9" x14ac:dyDescent="0.2">
      <c r="B60" s="101"/>
      <c r="C60" s="102" t="s">
        <v>36</v>
      </c>
      <c r="D60" s="102" t="s">
        <v>37</v>
      </c>
      <c r="E60" s="102" t="s">
        <v>38</v>
      </c>
      <c r="F60" s="102" t="s">
        <v>40</v>
      </c>
      <c r="G60" s="102" t="s">
        <v>39</v>
      </c>
      <c r="H60" s="103" t="s">
        <v>1</v>
      </c>
    </row>
    <row r="61" spans="2:9" x14ac:dyDescent="0.2">
      <c r="C61" s="104"/>
      <c r="D61" s="104"/>
      <c r="E61" s="104"/>
      <c r="F61" s="104"/>
      <c r="G61" s="104"/>
      <c r="H61" s="104"/>
    </row>
    <row r="62" spans="2:9" x14ac:dyDescent="0.2">
      <c r="B62" s="101" t="s">
        <v>12</v>
      </c>
      <c r="C62" s="105">
        <f>'Forecast Revenue - Costs'!D11</f>
        <v>100</v>
      </c>
      <c r="D62" s="105">
        <f>'Forecast Revenue - Costs'!E11</f>
        <v>100</v>
      </c>
      <c r="E62" s="105">
        <f>'Forecast Revenue - Costs'!F11</f>
        <v>100</v>
      </c>
      <c r="F62" s="105">
        <f>'Forecast Revenue - Costs'!G11</f>
        <v>100</v>
      </c>
      <c r="G62" s="105">
        <f>'Forecast Revenue - Costs'!H11</f>
        <v>100</v>
      </c>
      <c r="H62" s="105">
        <f>SUM(C62:G62)</f>
        <v>500</v>
      </c>
    </row>
    <row r="63" spans="2:9" x14ac:dyDescent="0.2">
      <c r="C63" s="106"/>
      <c r="D63" s="106"/>
      <c r="E63" s="106"/>
      <c r="F63" s="106"/>
      <c r="G63" s="106"/>
      <c r="H63" s="107"/>
    </row>
  </sheetData>
  <mergeCells count="13">
    <mergeCell ref="C3:H3"/>
    <mergeCell ref="B19:H19"/>
    <mergeCell ref="B15:H15"/>
    <mergeCell ref="B20:H20"/>
    <mergeCell ref="C4:D4"/>
    <mergeCell ref="C13:D13"/>
    <mergeCell ref="B7:B12"/>
    <mergeCell ref="B53:H55"/>
    <mergeCell ref="B24:H24"/>
    <mergeCell ref="B25:H25"/>
    <mergeCell ref="B26:H26"/>
    <mergeCell ref="B27:H27"/>
    <mergeCell ref="B29:H29"/>
  </mergeCells>
  <pageMargins left="0.39370078740157483" right="0.39370078740157483" top="0.39370078740157483" bottom="0.39370078740157483" header="0.19685039370078741" footer="0.19685039370078741"/>
  <pageSetup paperSize="9"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N34"/>
  <sheetViews>
    <sheetView showGridLines="0" zoomScaleNormal="100" workbookViewId="0">
      <selection activeCell="B20" sqref="B20:K20"/>
    </sheetView>
  </sheetViews>
  <sheetFormatPr defaultColWidth="9.140625" defaultRowHeight="12.75" x14ac:dyDescent="0.2"/>
  <cols>
    <col min="1" max="1" width="2.28515625" style="1" customWidth="1"/>
    <col min="2" max="2" width="2.42578125" style="36" customWidth="1"/>
    <col min="3" max="3" width="10.140625" style="36" customWidth="1"/>
    <col min="4" max="9" width="13.140625" style="36" customWidth="1"/>
    <col min="10" max="11" width="9.140625" style="36"/>
    <col min="12" max="12" width="5.28515625" style="36" customWidth="1"/>
    <col min="13" max="13" width="2.42578125" style="1" customWidth="1"/>
    <col min="14" max="16384" width="9.140625" style="1"/>
  </cols>
  <sheetData>
    <row r="1" spans="2:14" ht="9" customHeight="1" x14ac:dyDescent="0.2"/>
    <row r="2" spans="2:14" ht="18" customHeight="1" x14ac:dyDescent="0.2">
      <c r="B2" s="33" t="s">
        <v>16</v>
      </c>
      <c r="C2" s="33"/>
      <c r="D2" s="33"/>
      <c r="E2" s="33"/>
      <c r="F2" s="33"/>
      <c r="G2" s="33"/>
      <c r="H2" s="33"/>
      <c r="I2" s="33"/>
      <c r="J2" s="33"/>
      <c r="K2" s="33"/>
    </row>
    <row r="3" spans="2:14" x14ac:dyDescent="0.2">
      <c r="B3" s="26" t="s">
        <v>0</v>
      </c>
      <c r="C3" s="34"/>
      <c r="D3" s="249" t="str">
        <f>'AER Summary'!C3</f>
        <v>Provision of Training to ASP's for Network Access</v>
      </c>
      <c r="E3" s="250"/>
      <c r="F3" s="250"/>
      <c r="G3" s="250"/>
      <c r="H3" s="250"/>
      <c r="I3" s="250"/>
      <c r="J3" s="250"/>
      <c r="K3" s="250"/>
      <c r="N3" s="23"/>
    </row>
    <row r="4" spans="2:14" x14ac:dyDescent="0.2">
      <c r="N4" s="23"/>
    </row>
    <row r="5" spans="2:14" x14ac:dyDescent="0.2">
      <c r="B5" s="251" t="s">
        <v>68</v>
      </c>
      <c r="C5" s="251"/>
      <c r="D5" s="251"/>
      <c r="E5" s="251"/>
      <c r="F5" s="251"/>
      <c r="G5" s="251"/>
      <c r="H5" s="251"/>
      <c r="I5" s="251"/>
      <c r="J5" s="251"/>
      <c r="K5" s="251"/>
      <c r="N5" s="23"/>
    </row>
    <row r="6" spans="2:14" ht="71.25" customHeight="1" x14ac:dyDescent="0.2">
      <c r="B6" s="252" t="s">
        <v>66</v>
      </c>
      <c r="C6" s="253"/>
      <c r="D6" s="253"/>
      <c r="E6" s="253"/>
      <c r="F6" s="253"/>
      <c r="G6" s="253"/>
      <c r="H6" s="253"/>
      <c r="I6" s="253"/>
      <c r="J6" s="253"/>
      <c r="K6" s="253"/>
      <c r="N6" s="23"/>
    </row>
    <row r="9" spans="2:14" x14ac:dyDescent="0.2">
      <c r="B9" s="251" t="s">
        <v>43</v>
      </c>
      <c r="C9" s="251"/>
      <c r="D9" s="251"/>
      <c r="E9" s="251"/>
      <c r="F9" s="251"/>
      <c r="G9" s="251"/>
      <c r="H9" s="251"/>
      <c r="I9" s="251"/>
      <c r="J9" s="251"/>
      <c r="K9" s="251"/>
    </row>
    <row r="10" spans="2:14" ht="15" customHeight="1" x14ac:dyDescent="0.2">
      <c r="B10" s="248" t="s">
        <v>67</v>
      </c>
      <c r="C10" s="248"/>
      <c r="D10" s="248"/>
      <c r="E10" s="248"/>
      <c r="F10" s="248"/>
      <c r="G10" s="248"/>
      <c r="H10" s="248"/>
      <c r="I10" s="248"/>
      <c r="J10" s="248"/>
      <c r="K10" s="248"/>
    </row>
    <row r="11" spans="2:14" ht="24.75" customHeight="1" x14ac:dyDescent="0.2">
      <c r="B11" s="254"/>
      <c r="C11" s="254"/>
      <c r="D11" s="254"/>
      <c r="E11" s="254"/>
      <c r="F11" s="254"/>
      <c r="G11" s="254"/>
      <c r="H11" s="254"/>
      <c r="I11" s="254"/>
      <c r="J11" s="254"/>
      <c r="K11" s="254"/>
      <c r="L11" s="37"/>
      <c r="M11" s="24"/>
      <c r="N11" s="24"/>
    </row>
    <row r="12" spans="2:14" x14ac:dyDescent="0.2">
      <c r="B12" s="254"/>
      <c r="C12" s="254"/>
      <c r="D12" s="254"/>
      <c r="E12" s="254"/>
      <c r="F12" s="254"/>
      <c r="G12" s="254"/>
      <c r="H12" s="254"/>
      <c r="I12" s="254"/>
      <c r="J12" s="254"/>
      <c r="K12" s="254"/>
      <c r="L12" s="37"/>
      <c r="M12" s="24"/>
      <c r="N12" s="24"/>
    </row>
    <row r="13" spans="2:14" x14ac:dyDescent="0.2">
      <c r="B13" s="254"/>
      <c r="C13" s="254"/>
      <c r="D13" s="254"/>
      <c r="E13" s="254"/>
      <c r="F13" s="254"/>
      <c r="G13" s="254"/>
      <c r="H13" s="254"/>
      <c r="I13" s="254"/>
      <c r="J13" s="254"/>
      <c r="K13" s="254"/>
      <c r="L13" s="37"/>
      <c r="M13" s="24"/>
      <c r="N13" s="24"/>
    </row>
    <row r="14" spans="2:14" ht="48" customHeight="1" x14ac:dyDescent="0.2">
      <c r="B14" s="254"/>
      <c r="C14" s="254"/>
      <c r="D14" s="254"/>
      <c r="E14" s="254"/>
      <c r="F14" s="254"/>
      <c r="G14" s="254"/>
      <c r="H14" s="254"/>
      <c r="I14" s="254"/>
      <c r="J14" s="254"/>
      <c r="K14" s="254"/>
      <c r="L14" s="37"/>
      <c r="M14" s="24"/>
      <c r="N14" s="24"/>
    </row>
    <row r="15" spans="2:14" x14ac:dyDescent="0.2">
      <c r="B15" s="254"/>
      <c r="C15" s="254"/>
      <c r="D15" s="254"/>
      <c r="E15" s="254"/>
      <c r="F15" s="254"/>
      <c r="G15" s="254"/>
      <c r="H15" s="254"/>
      <c r="I15" s="254"/>
      <c r="J15" s="254"/>
      <c r="K15" s="254"/>
      <c r="L15" s="37"/>
      <c r="M15" s="24"/>
      <c r="N15" s="24"/>
    </row>
    <row r="16" spans="2:14" x14ac:dyDescent="0.2">
      <c r="B16" s="254"/>
      <c r="C16" s="254"/>
      <c r="D16" s="254"/>
      <c r="E16" s="254"/>
      <c r="F16" s="254"/>
      <c r="G16" s="254"/>
      <c r="H16" s="254"/>
      <c r="I16" s="254"/>
      <c r="J16" s="254"/>
      <c r="K16" s="254"/>
      <c r="L16" s="37"/>
      <c r="M16" s="24"/>
      <c r="N16" s="24"/>
    </row>
    <row r="17" spans="2:14" x14ac:dyDescent="0.2">
      <c r="L17" s="37"/>
      <c r="M17" s="24"/>
      <c r="N17" s="24"/>
    </row>
    <row r="18" spans="2:14" x14ac:dyDescent="0.2">
      <c r="L18" s="37"/>
      <c r="M18" s="24"/>
      <c r="N18" s="24"/>
    </row>
    <row r="19" spans="2:14" x14ac:dyDescent="0.2">
      <c r="B19" s="251" t="s">
        <v>44</v>
      </c>
      <c r="C19" s="251"/>
      <c r="D19" s="251"/>
      <c r="E19" s="251"/>
      <c r="F19" s="251"/>
      <c r="G19" s="251"/>
      <c r="H19" s="251"/>
      <c r="I19" s="251"/>
      <c r="J19" s="251"/>
      <c r="K19" s="251"/>
      <c r="L19" s="37"/>
      <c r="M19" s="24"/>
      <c r="N19" s="24"/>
    </row>
    <row r="20" spans="2:14" ht="118.5" customHeight="1" x14ac:dyDescent="0.2">
      <c r="B20" s="248" t="str">
        <f>'AER Summary'!B15:H15</f>
        <v xml:space="preserve">
Provision of Training to ASP's for Network Access 
Provision of Access Permit Recipient training as required for Essential Energy's ASP authorisation purposes.
To provide greater delivery flexibility, out of schedule courses can be requested pending resource availability but additional fees will apply. Where this occurs additional travel expenses are applied in addition to out of schedule course costs.</v>
      </c>
      <c r="C20" s="248"/>
      <c r="D20" s="248"/>
      <c r="E20" s="248"/>
      <c r="F20" s="248"/>
      <c r="G20" s="248"/>
      <c r="H20" s="248"/>
      <c r="I20" s="248"/>
      <c r="J20" s="248"/>
      <c r="K20" s="248"/>
    </row>
    <row r="21" spans="2:14" x14ac:dyDescent="0.2">
      <c r="B21" s="247"/>
      <c r="C21" s="247"/>
      <c r="D21" s="247"/>
      <c r="E21" s="247"/>
      <c r="F21" s="247"/>
      <c r="G21" s="247"/>
      <c r="H21" s="247"/>
      <c r="I21" s="247"/>
      <c r="J21" s="247"/>
      <c r="K21" s="247"/>
    </row>
    <row r="34" spans="2:12" x14ac:dyDescent="0.2">
      <c r="B34" s="1"/>
      <c r="C34" s="1"/>
      <c r="D34" s="1"/>
      <c r="E34" s="1"/>
      <c r="F34" s="1"/>
      <c r="G34" s="1"/>
      <c r="H34" s="1"/>
      <c r="I34" s="1"/>
      <c r="J34" s="1"/>
      <c r="K34" s="1"/>
      <c r="L34" s="1"/>
    </row>
  </sheetData>
  <mergeCells count="8">
    <mergeCell ref="B21:K21"/>
    <mergeCell ref="B20:K20"/>
    <mergeCell ref="D3:K3"/>
    <mergeCell ref="B19:K19"/>
    <mergeCell ref="B5:K5"/>
    <mergeCell ref="B9:K9"/>
    <mergeCell ref="B6:K6"/>
    <mergeCell ref="B10:K16"/>
  </mergeCells>
  <pageMargins left="0.39370078740157483" right="0.39370078740157483" top="0.39370078740157483" bottom="0.39370078740157483" header="0.19685039370078741" footer="0.19685039370078741"/>
  <pageSetup paperSize="9" scale="8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2:I29"/>
  <sheetViews>
    <sheetView showGridLines="0" workbookViewId="0">
      <selection activeCell="B3" sqref="B3:I9"/>
    </sheetView>
  </sheetViews>
  <sheetFormatPr defaultColWidth="9.140625" defaultRowHeight="12.75" x14ac:dyDescent="0.2"/>
  <cols>
    <col min="1" max="1" width="3.5703125" style="38" customWidth="1"/>
    <col min="2" max="2" width="58.7109375" style="38" customWidth="1"/>
    <col min="3" max="3" width="64.140625" style="38" customWidth="1"/>
    <col min="4" max="4" width="12.85546875" style="38" customWidth="1"/>
    <col min="5" max="8" width="11.28515625" style="38" customWidth="1"/>
    <col min="9" max="9" width="12.7109375" style="38" customWidth="1"/>
    <col min="10" max="16384" width="9.140625" style="38"/>
  </cols>
  <sheetData>
    <row r="2" spans="1:9" x14ac:dyDescent="0.2">
      <c r="B2" s="35" t="s">
        <v>72</v>
      </c>
      <c r="C2" s="22"/>
      <c r="D2" s="22"/>
      <c r="E2" s="22"/>
      <c r="F2" s="22"/>
      <c r="G2" s="22"/>
      <c r="H2" s="22"/>
      <c r="I2" s="22"/>
    </row>
    <row r="3" spans="1:9" x14ac:dyDescent="0.2">
      <c r="B3" s="13" t="s">
        <v>20</v>
      </c>
      <c r="C3" s="13" t="s">
        <v>3</v>
      </c>
      <c r="D3" s="48" t="s">
        <v>58</v>
      </c>
      <c r="E3" s="48" t="s">
        <v>57</v>
      </c>
      <c r="F3" s="48" t="s">
        <v>56</v>
      </c>
      <c r="G3" s="48" t="s">
        <v>80</v>
      </c>
      <c r="H3" s="48" t="s">
        <v>81</v>
      </c>
      <c r="I3" s="214" t="s">
        <v>1</v>
      </c>
    </row>
    <row r="4" spans="1:9" x14ac:dyDescent="0.2">
      <c r="B4" s="3" t="s">
        <v>21</v>
      </c>
      <c r="C4" s="3" t="s">
        <v>69</v>
      </c>
      <c r="D4" s="215" t="s">
        <v>76</v>
      </c>
      <c r="E4" s="216">
        <v>5803.81</v>
      </c>
      <c r="F4" s="217" t="s">
        <v>76</v>
      </c>
      <c r="G4" s="218">
        <v>0</v>
      </c>
      <c r="H4" s="217">
        <f>G4*102.5%</f>
        <v>0</v>
      </c>
      <c r="I4" s="211">
        <f>SUM(D4:H4)</f>
        <v>5803.81</v>
      </c>
    </row>
    <row r="5" spans="1:9" x14ac:dyDescent="0.2">
      <c r="B5" s="3" t="s">
        <v>23</v>
      </c>
      <c r="C5" s="3"/>
      <c r="D5" s="216"/>
      <c r="E5" s="216"/>
      <c r="F5" s="217"/>
      <c r="G5" s="217"/>
      <c r="H5" s="217">
        <f t="shared" ref="H5:H8" si="0">G5*102.5%</f>
        <v>0</v>
      </c>
      <c r="I5" s="211">
        <f t="shared" ref="I5:I8" si="1">SUM(D5:H5)</f>
        <v>0</v>
      </c>
    </row>
    <row r="6" spans="1:9" x14ac:dyDescent="0.2">
      <c r="B6" s="3" t="s">
        <v>24</v>
      </c>
      <c r="C6" s="3"/>
      <c r="D6" s="216"/>
      <c r="E6" s="216">
        <v>1296.3</v>
      </c>
      <c r="F6" s="217"/>
      <c r="G6" s="217"/>
      <c r="H6" s="217">
        <f t="shared" si="0"/>
        <v>0</v>
      </c>
      <c r="I6" s="211">
        <f t="shared" si="1"/>
        <v>1296.3</v>
      </c>
    </row>
    <row r="7" spans="1:9" x14ac:dyDescent="0.2">
      <c r="B7" s="3" t="s">
        <v>25</v>
      </c>
      <c r="C7" s="3"/>
      <c r="D7" s="216"/>
      <c r="E7" s="216"/>
      <c r="F7" s="217"/>
      <c r="G7" s="217"/>
      <c r="H7" s="217">
        <f t="shared" si="0"/>
        <v>0</v>
      </c>
      <c r="I7" s="211">
        <f t="shared" si="1"/>
        <v>0</v>
      </c>
    </row>
    <row r="8" spans="1:9" x14ac:dyDescent="0.2">
      <c r="B8" s="3" t="s">
        <v>22</v>
      </c>
      <c r="C8" s="3"/>
      <c r="D8" s="215"/>
      <c r="E8" s="215">
        <v>7346.06</v>
      </c>
      <c r="F8" s="218"/>
      <c r="G8" s="218"/>
      <c r="H8" s="217">
        <f t="shared" si="0"/>
        <v>0</v>
      </c>
      <c r="I8" s="211">
        <f t="shared" si="1"/>
        <v>7346.06</v>
      </c>
    </row>
    <row r="9" spans="1:9" x14ac:dyDescent="0.2">
      <c r="B9" s="13" t="s">
        <v>1</v>
      </c>
      <c r="C9" s="219"/>
      <c r="D9" s="220">
        <f>SUM(D4:D8)</f>
        <v>0</v>
      </c>
      <c r="E9" s="220">
        <f t="shared" ref="E9:H9" si="2">SUM(E4:E8)</f>
        <v>14446.170000000002</v>
      </c>
      <c r="F9" s="220">
        <f t="shared" si="2"/>
        <v>0</v>
      </c>
      <c r="G9" s="220">
        <f t="shared" si="2"/>
        <v>0</v>
      </c>
      <c r="H9" s="220">
        <f t="shared" si="2"/>
        <v>0</v>
      </c>
      <c r="I9" s="212">
        <f t="shared" ref="I9" si="3">SUM(I4:I8)</f>
        <v>14446.170000000002</v>
      </c>
    </row>
    <row r="10" spans="1:9" x14ac:dyDescent="0.2">
      <c r="B10" s="40"/>
      <c r="C10" s="41"/>
      <c r="D10" s="42"/>
      <c r="E10" s="42"/>
      <c r="F10" s="42"/>
      <c r="G10" s="42"/>
      <c r="H10" s="42"/>
      <c r="I10" s="42"/>
    </row>
    <row r="11" spans="1:9" x14ac:dyDescent="0.2">
      <c r="B11" s="43" t="s">
        <v>10</v>
      </c>
      <c r="C11" s="18"/>
      <c r="D11" s="18"/>
      <c r="E11" s="18"/>
      <c r="F11" s="18"/>
      <c r="G11" s="18"/>
      <c r="H11" s="18"/>
      <c r="I11" s="18"/>
    </row>
    <row r="12" spans="1:9" x14ac:dyDescent="0.2">
      <c r="B12" s="213" t="s">
        <v>4</v>
      </c>
      <c r="C12" s="213" t="s">
        <v>9</v>
      </c>
      <c r="D12" s="48" t="s">
        <v>58</v>
      </c>
      <c r="E12" s="48" t="s">
        <v>57</v>
      </c>
      <c r="F12" s="48" t="s">
        <v>56</v>
      </c>
      <c r="G12" s="48" t="s">
        <v>80</v>
      </c>
      <c r="H12" s="48" t="s">
        <v>81</v>
      </c>
      <c r="I12" s="214" t="s">
        <v>1</v>
      </c>
    </row>
    <row r="13" spans="1:9" x14ac:dyDescent="0.2">
      <c r="B13" s="3" t="s">
        <v>19</v>
      </c>
      <c r="C13" s="3" t="s">
        <v>98</v>
      </c>
      <c r="D13" s="108" t="s">
        <v>77</v>
      </c>
      <c r="E13" s="108">
        <v>0</v>
      </c>
      <c r="F13" s="109">
        <v>140</v>
      </c>
      <c r="G13" s="109">
        <v>140</v>
      </c>
      <c r="H13" s="109">
        <v>140</v>
      </c>
      <c r="I13" s="207">
        <f>SUM(D13:H13)</f>
        <v>420</v>
      </c>
    </row>
    <row r="14" spans="1:9" x14ac:dyDescent="0.2">
      <c r="B14" s="3"/>
      <c r="C14" s="208"/>
      <c r="D14" s="6"/>
      <c r="E14" s="6"/>
      <c r="F14" s="6"/>
      <c r="G14" s="6"/>
      <c r="H14" s="6"/>
      <c r="I14" s="207">
        <f>SUM(D14:H14)</f>
        <v>0</v>
      </c>
    </row>
    <row r="15" spans="1:9" x14ac:dyDescent="0.2">
      <c r="A15" s="44"/>
      <c r="B15" s="209" t="s">
        <v>54</v>
      </c>
      <c r="C15" s="13"/>
      <c r="D15" s="210">
        <f t="shared" ref="D15:I15" si="4">SUM(D13:D14)</f>
        <v>0</v>
      </c>
      <c r="E15" s="210">
        <f t="shared" si="4"/>
        <v>0</v>
      </c>
      <c r="F15" s="210">
        <f t="shared" si="4"/>
        <v>140</v>
      </c>
      <c r="G15" s="210">
        <f t="shared" ref="G15:H15" si="5">SUM(G13:G14)</f>
        <v>140</v>
      </c>
      <c r="H15" s="210">
        <f t="shared" si="5"/>
        <v>140</v>
      </c>
      <c r="I15" s="210">
        <f t="shared" si="4"/>
        <v>420</v>
      </c>
    </row>
    <row r="17" spans="1:9" x14ac:dyDescent="0.2">
      <c r="A17" s="44"/>
      <c r="B17" s="8" t="s">
        <v>6</v>
      </c>
      <c r="C17" s="1"/>
      <c r="D17" s="7"/>
      <c r="E17" s="7"/>
      <c r="F17" s="7"/>
      <c r="G17" s="7"/>
      <c r="H17" s="7"/>
      <c r="I17" s="7"/>
    </row>
    <row r="18" spans="1:9" x14ac:dyDescent="0.2">
      <c r="B18" s="62" t="s">
        <v>99</v>
      </c>
      <c r="C18" s="60"/>
      <c r="D18" s="60"/>
      <c r="E18" s="60"/>
      <c r="F18" s="60"/>
      <c r="G18" s="60"/>
      <c r="H18" s="60"/>
      <c r="I18" s="60"/>
    </row>
    <row r="19" spans="1:9" x14ac:dyDescent="0.2">
      <c r="B19" s="61" t="s">
        <v>88</v>
      </c>
      <c r="C19" s="62"/>
      <c r="D19" s="62"/>
      <c r="E19" s="62"/>
      <c r="F19" s="62"/>
      <c r="G19" s="62"/>
      <c r="H19" s="62"/>
      <c r="I19" s="62"/>
    </row>
    <row r="20" spans="1:9" x14ac:dyDescent="0.2">
      <c r="B20" s="61" t="s">
        <v>89</v>
      </c>
      <c r="C20" s="62"/>
      <c r="D20" s="62"/>
      <c r="E20" s="62"/>
      <c r="F20" s="62"/>
      <c r="G20" s="62"/>
      <c r="H20" s="62"/>
      <c r="I20" s="62"/>
    </row>
    <row r="21" spans="1:9" x14ac:dyDescent="0.2">
      <c r="B21" s="61" t="s">
        <v>90</v>
      </c>
      <c r="C21" s="62"/>
      <c r="D21" s="62"/>
      <c r="E21" s="62"/>
      <c r="F21" s="62"/>
      <c r="G21" s="62"/>
      <c r="H21" s="62"/>
      <c r="I21" s="62"/>
    </row>
    <row r="22" spans="1:9" x14ac:dyDescent="0.2">
      <c r="B22" s="61" t="s">
        <v>91</v>
      </c>
      <c r="C22" s="62"/>
      <c r="D22" s="62"/>
      <c r="E22" s="62"/>
      <c r="F22" s="62"/>
      <c r="G22" s="62"/>
      <c r="H22" s="62"/>
      <c r="I22" s="62"/>
    </row>
    <row r="23" spans="1:9" x14ac:dyDescent="0.2">
      <c r="B23" s="56" t="s">
        <v>92</v>
      </c>
      <c r="C23" s="62"/>
      <c r="D23" s="62"/>
      <c r="E23" s="62"/>
      <c r="F23" s="62"/>
      <c r="G23" s="62"/>
      <c r="H23" s="62"/>
      <c r="I23" s="62"/>
    </row>
    <row r="24" spans="1:9" x14ac:dyDescent="0.2">
      <c r="B24" s="1"/>
      <c r="C24" s="1"/>
      <c r="D24" s="7"/>
      <c r="E24" s="7"/>
      <c r="F24" s="7"/>
      <c r="G24" s="7"/>
      <c r="H24" s="7"/>
      <c r="I24" s="7"/>
    </row>
    <row r="25" spans="1:9" x14ac:dyDescent="0.2">
      <c r="B25" s="43" t="s">
        <v>50</v>
      </c>
      <c r="C25" s="18"/>
      <c r="D25" s="18"/>
      <c r="E25" s="18"/>
      <c r="F25" s="18"/>
      <c r="G25" s="18"/>
      <c r="H25" s="18"/>
      <c r="I25" s="18"/>
    </row>
    <row r="26" spans="1:9" x14ac:dyDescent="0.2">
      <c r="B26" s="45" t="s">
        <v>11</v>
      </c>
      <c r="C26" s="10"/>
      <c r="D26" s="10"/>
      <c r="E26" s="10"/>
      <c r="F26" s="10"/>
      <c r="G26" s="10"/>
      <c r="H26" s="10"/>
      <c r="I26" s="10"/>
    </row>
    <row r="27" spans="1:9" x14ac:dyDescent="0.2">
      <c r="B27" s="255" t="s">
        <v>162</v>
      </c>
      <c r="C27" s="256"/>
      <c r="D27" s="256"/>
      <c r="E27" s="256"/>
      <c r="F27" s="256"/>
      <c r="G27" s="256"/>
      <c r="H27" s="256"/>
      <c r="I27" s="256"/>
    </row>
    <row r="28" spans="1:9" x14ac:dyDescent="0.2">
      <c r="B28" s="257"/>
      <c r="C28" s="258"/>
      <c r="D28" s="258"/>
      <c r="E28" s="258"/>
      <c r="F28" s="258"/>
      <c r="G28" s="258"/>
      <c r="H28" s="258"/>
      <c r="I28" s="258"/>
    </row>
    <row r="29" spans="1:9" x14ac:dyDescent="0.2">
      <c r="B29" s="46"/>
      <c r="C29" s="12"/>
      <c r="D29" s="12"/>
      <c r="E29" s="12"/>
      <c r="F29" s="12"/>
      <c r="G29" s="12"/>
      <c r="H29" s="12"/>
      <c r="I29" s="12"/>
    </row>
  </sheetData>
  <mergeCells count="1">
    <mergeCell ref="B27:I28"/>
  </mergeCell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2:I31"/>
  <sheetViews>
    <sheetView showGridLines="0" workbookViewId="0">
      <selection activeCell="B5" sqref="B5:I10"/>
    </sheetView>
  </sheetViews>
  <sheetFormatPr defaultColWidth="9.140625" defaultRowHeight="12.75" x14ac:dyDescent="0.2"/>
  <cols>
    <col min="1" max="1" width="3.140625" style="38" customWidth="1"/>
    <col min="2" max="2" width="68.7109375" style="38" customWidth="1"/>
    <col min="3" max="3" width="65.140625" style="38" customWidth="1"/>
    <col min="4" max="4" width="12.85546875" style="38" customWidth="1"/>
    <col min="5" max="8" width="11.28515625" style="38" customWidth="1"/>
    <col min="9" max="9" width="12.7109375" style="38" customWidth="1"/>
    <col min="10" max="16384" width="9.140625" style="38"/>
  </cols>
  <sheetData>
    <row r="2" spans="2:9" x14ac:dyDescent="0.2">
      <c r="B2" s="17" t="s">
        <v>8</v>
      </c>
      <c r="C2" s="18"/>
      <c r="D2" s="18"/>
      <c r="E2" s="18"/>
      <c r="F2" s="18"/>
      <c r="G2" s="18"/>
      <c r="H2" s="18"/>
      <c r="I2" s="18"/>
    </row>
    <row r="3" spans="2:9" x14ac:dyDescent="0.2">
      <c r="B3" s="1"/>
      <c r="C3" s="1"/>
      <c r="D3" s="1"/>
      <c r="E3" s="1"/>
      <c r="F3" s="1"/>
      <c r="G3" s="1"/>
      <c r="H3" s="1"/>
      <c r="I3" s="1"/>
    </row>
    <row r="4" spans="2:9" x14ac:dyDescent="0.2">
      <c r="B4" s="17" t="s">
        <v>2</v>
      </c>
      <c r="C4" s="18"/>
      <c r="D4" s="18"/>
      <c r="E4" s="18"/>
      <c r="F4" s="18"/>
      <c r="G4" s="18"/>
      <c r="H4" s="18"/>
      <c r="I4" s="18"/>
    </row>
    <row r="5" spans="2:9" x14ac:dyDescent="0.2">
      <c r="B5" s="204" t="s">
        <v>73</v>
      </c>
      <c r="C5" s="204" t="s">
        <v>9</v>
      </c>
      <c r="D5" s="205" t="s">
        <v>58</v>
      </c>
      <c r="E5" s="205" t="s">
        <v>57</v>
      </c>
      <c r="F5" s="205" t="s">
        <v>56</v>
      </c>
      <c r="G5" s="205" t="s">
        <v>80</v>
      </c>
      <c r="H5" s="205" t="s">
        <v>81</v>
      </c>
      <c r="I5" s="206" t="s">
        <v>1</v>
      </c>
    </row>
    <row r="6" spans="2:9" ht="15" customHeight="1" x14ac:dyDescent="0.2">
      <c r="B6" s="52" t="s">
        <v>87</v>
      </c>
      <c r="C6" s="21" t="s">
        <v>85</v>
      </c>
      <c r="D6" s="20">
        <v>0</v>
      </c>
      <c r="E6" s="20">
        <v>0</v>
      </c>
      <c r="F6" s="20">
        <v>57443.57</v>
      </c>
      <c r="G6" s="20">
        <v>2292.88</v>
      </c>
      <c r="H6" s="20">
        <f>G6*102.5%</f>
        <v>2350.2019999999998</v>
      </c>
      <c r="I6" s="211">
        <f>SUM(D6:H6)</f>
        <v>62086.651999999995</v>
      </c>
    </row>
    <row r="7" spans="2:9" ht="15" customHeight="1" x14ac:dyDescent="0.2">
      <c r="B7" s="3"/>
      <c r="C7" s="19"/>
      <c r="D7" s="20"/>
      <c r="E7" s="20"/>
      <c r="F7" s="20"/>
      <c r="G7" s="20"/>
      <c r="H7" s="20"/>
      <c r="I7" s="211">
        <f t="shared" ref="I7:I9" si="0">SUM(D7:H7)</f>
        <v>0</v>
      </c>
    </row>
    <row r="8" spans="2:9" x14ac:dyDescent="0.2">
      <c r="B8" s="3"/>
      <c r="C8" s="19"/>
      <c r="D8" s="20"/>
      <c r="E8" s="20"/>
      <c r="F8" s="20"/>
      <c r="G8" s="20"/>
      <c r="H8" s="20"/>
      <c r="I8" s="211">
        <f t="shared" si="0"/>
        <v>0</v>
      </c>
    </row>
    <row r="9" spans="2:9" x14ac:dyDescent="0.2">
      <c r="B9" s="3"/>
      <c r="C9" s="19"/>
      <c r="D9" s="20"/>
      <c r="E9" s="20"/>
      <c r="F9" s="20"/>
      <c r="G9" s="20"/>
      <c r="H9" s="20"/>
      <c r="I9" s="211">
        <f t="shared" si="0"/>
        <v>0</v>
      </c>
    </row>
    <row r="10" spans="2:9" x14ac:dyDescent="0.2">
      <c r="B10" s="13" t="s">
        <v>1</v>
      </c>
      <c r="C10" s="13"/>
      <c r="D10" s="212">
        <f t="shared" ref="D10:I10" si="1">SUM(D6:D9)</f>
        <v>0</v>
      </c>
      <c r="E10" s="212">
        <f t="shared" si="1"/>
        <v>0</v>
      </c>
      <c r="F10" s="212">
        <f t="shared" si="1"/>
        <v>57443.57</v>
      </c>
      <c r="G10" s="212">
        <f t="shared" si="1"/>
        <v>2292.88</v>
      </c>
      <c r="H10" s="212">
        <f t="shared" si="1"/>
        <v>2350.2019999999998</v>
      </c>
      <c r="I10" s="212">
        <f t="shared" si="1"/>
        <v>62086.651999999995</v>
      </c>
    </row>
    <row r="11" spans="2:9" x14ac:dyDescent="0.2">
      <c r="B11" s="1"/>
      <c r="C11" s="1"/>
      <c r="D11" s="1"/>
      <c r="E11" s="1"/>
      <c r="F11" s="1"/>
      <c r="G11" s="1"/>
      <c r="H11" s="1"/>
      <c r="I11" s="1"/>
    </row>
    <row r="12" spans="2:9" x14ac:dyDescent="0.2">
      <c r="B12" s="17" t="s">
        <v>10</v>
      </c>
      <c r="C12" s="18"/>
      <c r="D12" s="18"/>
      <c r="E12" s="18"/>
      <c r="F12" s="18"/>
      <c r="G12" s="18"/>
      <c r="H12" s="18"/>
      <c r="I12" s="18"/>
    </row>
    <row r="13" spans="2:9" x14ac:dyDescent="0.2">
      <c r="B13" s="204" t="s">
        <v>4</v>
      </c>
      <c r="C13" s="204" t="s">
        <v>9</v>
      </c>
      <c r="D13" s="205" t="s">
        <v>58</v>
      </c>
      <c r="E13" s="205" t="s">
        <v>57</v>
      </c>
      <c r="F13" s="205" t="s">
        <v>56</v>
      </c>
      <c r="G13" s="205" t="s">
        <v>80</v>
      </c>
      <c r="H13" s="205" t="s">
        <v>81</v>
      </c>
      <c r="I13" s="206" t="s">
        <v>1</v>
      </c>
    </row>
    <row r="14" spans="2:9" x14ac:dyDescent="0.2">
      <c r="B14" s="3" t="s">
        <v>19</v>
      </c>
      <c r="C14" s="3" t="s">
        <v>98</v>
      </c>
      <c r="D14" s="110" t="s">
        <v>77</v>
      </c>
      <c r="E14" s="110" t="s">
        <v>77</v>
      </c>
      <c r="F14" s="50">
        <v>140</v>
      </c>
      <c r="G14" s="50">
        <v>80</v>
      </c>
      <c r="H14" s="50">
        <v>80</v>
      </c>
      <c r="I14" s="207">
        <f>SUM(D14:H14)</f>
        <v>300</v>
      </c>
    </row>
    <row r="15" spans="2:9" x14ac:dyDescent="0.2">
      <c r="B15" s="3"/>
      <c r="C15" s="208"/>
      <c r="D15" s="6"/>
      <c r="E15" s="6"/>
      <c r="F15" s="6"/>
      <c r="G15" s="6"/>
      <c r="H15" s="6"/>
      <c r="I15" s="207">
        <f t="shared" ref="I15:I16" si="2">SUM(D15:H15)</f>
        <v>0</v>
      </c>
    </row>
    <row r="16" spans="2:9" x14ac:dyDescent="0.2">
      <c r="B16" s="3"/>
      <c r="C16" s="3"/>
      <c r="D16" s="6"/>
      <c r="E16" s="6"/>
      <c r="F16" s="6"/>
      <c r="G16" s="6"/>
      <c r="H16" s="6"/>
      <c r="I16" s="207">
        <f t="shared" si="2"/>
        <v>0</v>
      </c>
    </row>
    <row r="17" spans="2:9" x14ac:dyDescent="0.2">
      <c r="B17" s="209" t="s">
        <v>17</v>
      </c>
      <c r="C17" s="13"/>
      <c r="D17" s="210">
        <f t="shared" ref="D17:H17" si="3">SUM(D14:D16)</f>
        <v>0</v>
      </c>
      <c r="E17" s="210">
        <f t="shared" si="3"/>
        <v>0</v>
      </c>
      <c r="F17" s="210">
        <f t="shared" si="3"/>
        <v>140</v>
      </c>
      <c r="G17" s="210">
        <f t="shared" si="3"/>
        <v>80</v>
      </c>
      <c r="H17" s="210">
        <f t="shared" si="3"/>
        <v>80</v>
      </c>
      <c r="I17" s="210">
        <f>SUM(I14:I16)</f>
        <v>300</v>
      </c>
    </row>
    <row r="18" spans="2:9" x14ac:dyDescent="0.2">
      <c r="B18" s="1"/>
      <c r="C18" s="1"/>
      <c r="D18" s="7"/>
      <c r="E18" s="7"/>
      <c r="F18" s="7"/>
      <c r="G18" s="7"/>
      <c r="H18" s="7"/>
      <c r="I18" s="7"/>
    </row>
    <row r="19" spans="2:9" x14ac:dyDescent="0.2">
      <c r="B19" s="8" t="s">
        <v>6</v>
      </c>
      <c r="C19" s="1"/>
      <c r="D19" s="7"/>
      <c r="E19" s="7"/>
      <c r="F19" s="7"/>
      <c r="G19" s="7"/>
      <c r="H19" s="7"/>
      <c r="I19" s="7"/>
    </row>
    <row r="20" spans="2:9" x14ac:dyDescent="0.2">
      <c r="B20" s="62" t="s">
        <v>100</v>
      </c>
      <c r="C20" s="60"/>
      <c r="D20" s="60"/>
      <c r="E20" s="60"/>
      <c r="F20" s="60"/>
      <c r="G20" s="60"/>
      <c r="H20" s="60"/>
      <c r="I20" s="60"/>
    </row>
    <row r="21" spans="2:9" x14ac:dyDescent="0.2">
      <c r="B21" s="62" t="s">
        <v>93</v>
      </c>
      <c r="C21" s="62"/>
      <c r="D21" s="62"/>
      <c r="E21" s="62"/>
      <c r="F21" s="62"/>
      <c r="G21" s="62"/>
      <c r="H21" s="62"/>
      <c r="I21" s="62"/>
    </row>
    <row r="22" spans="2:9" x14ac:dyDescent="0.2">
      <c r="B22" s="62" t="s">
        <v>94</v>
      </c>
      <c r="C22" s="62"/>
      <c r="D22" s="62"/>
      <c r="E22" s="62"/>
      <c r="F22" s="62"/>
      <c r="G22" s="62"/>
      <c r="H22" s="62"/>
      <c r="I22" s="62"/>
    </row>
    <row r="23" spans="2:9" x14ac:dyDescent="0.2">
      <c r="B23" s="62" t="s">
        <v>95</v>
      </c>
      <c r="C23" s="62"/>
      <c r="D23" s="62"/>
      <c r="E23" s="62"/>
      <c r="F23" s="62"/>
      <c r="G23" s="62"/>
      <c r="H23" s="62"/>
      <c r="I23" s="62"/>
    </row>
    <row r="24" spans="2:9" x14ac:dyDescent="0.2">
      <c r="B24" s="62" t="s">
        <v>96</v>
      </c>
      <c r="C24" s="62"/>
      <c r="D24" s="62"/>
      <c r="E24" s="62"/>
      <c r="F24" s="62"/>
      <c r="G24" s="62"/>
      <c r="H24" s="62"/>
      <c r="I24" s="62"/>
    </row>
    <row r="25" spans="2:9" x14ac:dyDescent="0.2">
      <c r="B25" s="62" t="s">
        <v>97</v>
      </c>
      <c r="C25" s="62"/>
      <c r="D25" s="62"/>
      <c r="E25" s="62"/>
      <c r="F25" s="62"/>
      <c r="G25" s="62"/>
      <c r="H25" s="62"/>
      <c r="I25" s="62"/>
    </row>
    <row r="26" spans="2:9" x14ac:dyDescent="0.2">
      <c r="B26" s="1"/>
      <c r="C26" s="1"/>
      <c r="D26" s="7"/>
      <c r="E26" s="7"/>
      <c r="F26" s="7"/>
      <c r="G26" s="7"/>
      <c r="H26" s="7"/>
      <c r="I26" s="7"/>
    </row>
    <row r="27" spans="2:9" x14ac:dyDescent="0.2">
      <c r="B27" s="17" t="s">
        <v>2</v>
      </c>
      <c r="C27" s="18"/>
      <c r="D27" s="18"/>
      <c r="E27" s="18"/>
      <c r="F27" s="18"/>
      <c r="G27" s="18"/>
      <c r="H27" s="18"/>
      <c r="I27" s="18"/>
    </row>
    <row r="28" spans="2:9" x14ac:dyDescent="0.2">
      <c r="B28" s="9" t="s">
        <v>11</v>
      </c>
      <c r="C28" s="10"/>
      <c r="D28" s="10"/>
      <c r="E28" s="10"/>
      <c r="F28" s="10"/>
      <c r="G28" s="10"/>
      <c r="H28" s="10"/>
      <c r="I28" s="10"/>
    </row>
    <row r="29" spans="2:9" x14ac:dyDescent="0.2">
      <c r="B29" s="259" t="s">
        <v>163</v>
      </c>
      <c r="C29" s="256"/>
      <c r="D29" s="256"/>
      <c r="E29" s="256"/>
      <c r="F29" s="256"/>
      <c r="G29" s="256"/>
      <c r="H29" s="256"/>
      <c r="I29" s="256"/>
    </row>
    <row r="30" spans="2:9" x14ac:dyDescent="0.2">
      <c r="B30" s="258"/>
      <c r="C30" s="258"/>
      <c r="D30" s="258"/>
      <c r="E30" s="258"/>
      <c r="F30" s="258"/>
      <c r="G30" s="258"/>
      <c r="H30" s="258"/>
      <c r="I30" s="258"/>
    </row>
    <row r="31" spans="2:9" x14ac:dyDescent="0.2">
      <c r="B31" s="11"/>
      <c r="C31" s="12"/>
      <c r="D31" s="12"/>
      <c r="E31" s="12"/>
      <c r="F31" s="12"/>
      <c r="G31" s="12"/>
      <c r="H31" s="12"/>
      <c r="I31" s="12"/>
    </row>
  </sheetData>
  <mergeCells count="1">
    <mergeCell ref="B29:I30"/>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2:Q29"/>
  <sheetViews>
    <sheetView showGridLines="0" zoomScale="90" zoomScaleNormal="90" workbookViewId="0">
      <selection activeCell="H19" sqref="H19"/>
    </sheetView>
  </sheetViews>
  <sheetFormatPr defaultColWidth="9.140625" defaultRowHeight="12.75" x14ac:dyDescent="0.2"/>
  <cols>
    <col min="1" max="1" width="2.28515625" style="1" customWidth="1"/>
    <col min="2" max="2" width="84.5703125" style="1" customWidth="1"/>
    <col min="3" max="3" width="15.42578125" style="1" bestFit="1" customWidth="1"/>
    <col min="4" max="16" width="9.140625" style="1"/>
    <col min="17" max="17" width="21.85546875" style="1" customWidth="1"/>
    <col min="18" max="18" width="3.28515625" style="1" customWidth="1"/>
    <col min="19" max="19" width="53.7109375" style="1" customWidth="1"/>
    <col min="20" max="20" width="15.7109375" style="1" customWidth="1"/>
    <col min="21" max="25" width="9.140625" style="1"/>
    <col min="26" max="26" width="4" style="1" customWidth="1"/>
    <col min="27" max="27" width="53.7109375" style="1" customWidth="1"/>
    <col min="28" max="28" width="15.7109375" style="1" customWidth="1"/>
    <col min="29" max="33" width="9.140625" style="1"/>
    <col min="34" max="34" width="9.140625" style="1" customWidth="1"/>
    <col min="35" max="35" width="53.7109375" style="1" customWidth="1"/>
    <col min="36" max="36" width="15.7109375" style="1" customWidth="1"/>
    <col min="37" max="16384" width="9.140625" style="1"/>
  </cols>
  <sheetData>
    <row r="2" spans="1:17" x14ac:dyDescent="0.2">
      <c r="B2" s="135" t="s">
        <v>49</v>
      </c>
      <c r="C2" s="136"/>
      <c r="D2" s="136"/>
      <c r="E2" s="136"/>
      <c r="F2" s="136"/>
      <c r="G2" s="136"/>
      <c r="H2" s="263" t="s">
        <v>116</v>
      </c>
      <c r="I2" s="263"/>
      <c r="J2" s="263"/>
      <c r="K2" s="263"/>
      <c r="L2" s="263"/>
      <c r="M2" s="263"/>
      <c r="N2" s="263"/>
      <c r="O2" s="263"/>
      <c r="P2" s="263"/>
      <c r="Q2" s="263"/>
    </row>
    <row r="3" spans="1:17" ht="15.75" x14ac:dyDescent="0.25">
      <c r="B3" s="47" t="s">
        <v>144</v>
      </c>
      <c r="C3" s="33"/>
      <c r="D3" s="33"/>
      <c r="E3" s="33"/>
      <c r="F3" s="33"/>
      <c r="G3" s="111"/>
      <c r="H3" s="264" t="s">
        <v>117</v>
      </c>
      <c r="I3" s="264"/>
      <c r="J3" s="264"/>
      <c r="K3" s="264"/>
      <c r="L3" s="264"/>
      <c r="M3" s="264"/>
      <c r="N3" s="264"/>
      <c r="O3" s="264"/>
      <c r="P3" s="264"/>
      <c r="Q3" s="264"/>
    </row>
    <row r="4" spans="1:17" s="24" customFormat="1" ht="3" customHeight="1" x14ac:dyDescent="0.2">
      <c r="B4" s="27"/>
      <c r="C4" s="27"/>
      <c r="D4" s="27"/>
      <c r="E4" s="27"/>
      <c r="F4" s="27"/>
      <c r="G4" s="27"/>
      <c r="H4" s="27"/>
      <c r="I4" s="27"/>
      <c r="J4" s="27"/>
      <c r="K4" s="27"/>
      <c r="L4" s="27"/>
      <c r="M4" s="27"/>
      <c r="N4" s="27"/>
      <c r="O4" s="27"/>
      <c r="P4" s="27"/>
      <c r="Q4" s="27"/>
    </row>
    <row r="5" spans="1:17" ht="76.5" x14ac:dyDescent="0.2">
      <c r="B5" s="28" t="s">
        <v>18</v>
      </c>
      <c r="C5" s="28" t="s">
        <v>31</v>
      </c>
      <c r="D5" s="137" t="s">
        <v>63</v>
      </c>
      <c r="E5" s="137" t="s">
        <v>33</v>
      </c>
      <c r="F5" s="137" t="s">
        <v>32</v>
      </c>
      <c r="G5" s="144" t="s">
        <v>105</v>
      </c>
      <c r="H5" s="144" t="s">
        <v>106</v>
      </c>
      <c r="I5" s="144" t="s">
        <v>107</v>
      </c>
      <c r="J5" s="144" t="s">
        <v>108</v>
      </c>
      <c r="K5" s="137" t="s">
        <v>109</v>
      </c>
      <c r="L5" s="137" t="s">
        <v>110</v>
      </c>
      <c r="M5" s="144" t="s">
        <v>111</v>
      </c>
      <c r="N5" s="144" t="s">
        <v>112</v>
      </c>
      <c r="O5" s="144" t="s">
        <v>113</v>
      </c>
      <c r="P5" s="144" t="s">
        <v>114</v>
      </c>
      <c r="Q5" s="144" t="s">
        <v>115</v>
      </c>
    </row>
    <row r="6" spans="1:17" x14ac:dyDescent="0.2">
      <c r="B6" s="142" t="s">
        <v>64</v>
      </c>
      <c r="C6" s="143"/>
      <c r="D6" s="143"/>
      <c r="E6" s="143"/>
      <c r="F6" s="143"/>
      <c r="G6" s="143"/>
      <c r="H6" s="143"/>
      <c r="I6" s="143"/>
      <c r="J6" s="143"/>
      <c r="K6" s="143"/>
      <c r="L6" s="143"/>
      <c r="M6" s="143"/>
      <c r="N6" s="143"/>
      <c r="O6" s="143"/>
      <c r="P6" s="143"/>
      <c r="Q6" s="143"/>
    </row>
    <row r="7" spans="1:17" x14ac:dyDescent="0.2">
      <c r="B7" s="138" t="s">
        <v>84</v>
      </c>
      <c r="C7" s="139" t="s">
        <v>82</v>
      </c>
      <c r="D7" s="140">
        <v>0.2</v>
      </c>
      <c r="E7" s="140">
        <v>1</v>
      </c>
      <c r="F7" s="141">
        <f>D7*E7</f>
        <v>0.2</v>
      </c>
      <c r="G7" s="145">
        <v>0</v>
      </c>
      <c r="H7" s="146">
        <f>IF(G7=0,VLOOKUP(C:C,[1]Inputs!$B$20:$H$25,7,FALSE)*F7,VLOOKUP(C:C,[1]Inputs!$B$20:$I$25,8,FALSE)*F7)</f>
        <v>14.748296603544</v>
      </c>
      <c r="I7" s="147">
        <f>VLOOKUP(C:C,[1]Inputs!$C$54:$G$59,5,FALSE)*F7</f>
        <v>0</v>
      </c>
      <c r="J7" s="147"/>
      <c r="K7" s="147"/>
      <c r="L7" s="147"/>
      <c r="M7" s="147">
        <f>SUM(H7:J7)</f>
        <v>14.748296603544</v>
      </c>
      <c r="N7" s="147">
        <f>[1]Inputs!$M$43*M7</f>
        <v>6.8716238621333989</v>
      </c>
      <c r="O7" s="147">
        <f>[1]Inputs!$M$48*M7</f>
        <v>2.3652961939000647</v>
      </c>
      <c r="P7" s="146">
        <f>[1]Inputs!$H$13*SUM(M7:O7)</f>
        <v>1.5211424405504028</v>
      </c>
      <c r="Q7" s="147">
        <f t="shared" ref="Q7:Q8" si="0">SUM(M7:P7)</f>
        <v>25.506359100127867</v>
      </c>
    </row>
    <row r="8" spans="1:17" x14ac:dyDescent="0.2">
      <c r="B8" s="57" t="s">
        <v>83</v>
      </c>
      <c r="C8" s="58" t="s">
        <v>65</v>
      </c>
      <c r="D8" s="59">
        <v>1.2</v>
      </c>
      <c r="E8" s="59">
        <v>1</v>
      </c>
      <c r="F8" s="51">
        <f t="shared" ref="F8" si="1">D8*E8</f>
        <v>1.2</v>
      </c>
      <c r="G8" s="148">
        <v>0</v>
      </c>
      <c r="H8" s="146">
        <f>IF(G8=0,VLOOKUP(C:C,[1]Inputs!$B$20:$H$25,7,FALSE)*F8,VLOOKUP(C:C,[1]Inputs!$B$20:$I$25,8,FALSE)*F8)</f>
        <v>123.91271714417398</v>
      </c>
      <c r="I8" s="146">
        <f>VLOOKUP(C:C,[1]Inputs!$C$54:$G$59,5,FALSE)*F8</f>
        <v>23.678923546015579</v>
      </c>
      <c r="J8" s="146"/>
      <c r="K8" s="146"/>
      <c r="L8" s="146"/>
      <c r="M8" s="146">
        <f t="shared" ref="M8" si="2">SUM(H8:J8)</f>
        <v>147.59164069018956</v>
      </c>
      <c r="N8" s="146">
        <f>[1]Inputs!$M$43*M8</f>
        <v>68.766873034979213</v>
      </c>
      <c r="O8" s="146">
        <f>[1]Inputs!$M$48*M8</f>
        <v>23.670390917693059</v>
      </c>
      <c r="P8" s="146">
        <f>[1]Inputs!$H$13*SUM(M8:O8)</f>
        <v>15.2226331324503</v>
      </c>
      <c r="Q8" s="146">
        <f t="shared" si="0"/>
        <v>255.25153777531216</v>
      </c>
    </row>
    <row r="9" spans="1:17" x14ac:dyDescent="0.2">
      <c r="B9" s="260" t="s">
        <v>1</v>
      </c>
      <c r="C9" s="261"/>
      <c r="D9" s="261"/>
      <c r="E9" s="262"/>
      <c r="F9" s="149">
        <f>SUM(F7:F8)</f>
        <v>1.4</v>
      </c>
      <c r="G9" s="149">
        <f t="shared" ref="G9:Q9" si="3">SUM(G7:G8)</f>
        <v>0</v>
      </c>
      <c r="H9" s="149">
        <f t="shared" si="3"/>
        <v>138.66101374771799</v>
      </c>
      <c r="I9" s="149">
        <f t="shared" si="3"/>
        <v>23.678923546015579</v>
      </c>
      <c r="J9" s="149">
        <f t="shared" si="3"/>
        <v>0</v>
      </c>
      <c r="K9" s="149">
        <f t="shared" si="3"/>
        <v>0</v>
      </c>
      <c r="L9" s="149">
        <f t="shared" si="3"/>
        <v>0</v>
      </c>
      <c r="M9" s="149">
        <f t="shared" si="3"/>
        <v>162.33993729373356</v>
      </c>
      <c r="N9" s="149">
        <f t="shared" si="3"/>
        <v>75.638496897112617</v>
      </c>
      <c r="O9" s="149">
        <f t="shared" si="3"/>
        <v>26.035687111593123</v>
      </c>
      <c r="P9" s="149">
        <f t="shared" si="3"/>
        <v>16.743775573000704</v>
      </c>
      <c r="Q9" s="149">
        <f t="shared" si="3"/>
        <v>280.75789687544</v>
      </c>
    </row>
    <row r="10" spans="1:17" x14ac:dyDescent="0.2">
      <c r="A10" s="39"/>
      <c r="B10" s="29"/>
      <c r="C10" s="29"/>
      <c r="D10" s="30"/>
      <c r="E10" s="29"/>
      <c r="F10" s="30"/>
      <c r="G10" s="30"/>
      <c r="H10" s="30"/>
      <c r="I10" s="30"/>
      <c r="J10" s="30"/>
      <c r="K10" s="30"/>
      <c r="L10" s="30"/>
      <c r="M10" s="30"/>
      <c r="N10" s="30"/>
      <c r="O10" s="30"/>
      <c r="P10" s="31"/>
      <c r="Q10" s="32"/>
    </row>
    <row r="11" spans="1:17" x14ac:dyDescent="0.2">
      <c r="B11" s="128" t="s">
        <v>156</v>
      </c>
      <c r="C11" s="129"/>
      <c r="D11" s="53"/>
      <c r="E11" s="54"/>
    </row>
    <row r="12" spans="1:17" x14ac:dyDescent="0.2">
      <c r="B12" s="130" t="s">
        <v>78</v>
      </c>
      <c r="C12" s="131"/>
      <c r="D12" s="25"/>
      <c r="E12" s="54"/>
    </row>
    <row r="13" spans="1:17" x14ac:dyDescent="0.2">
      <c r="B13" s="130"/>
      <c r="C13" s="132"/>
      <c r="D13" s="25"/>
      <c r="E13" s="25"/>
    </row>
    <row r="14" spans="1:17" x14ac:dyDescent="0.2">
      <c r="B14" s="133" t="s">
        <v>79</v>
      </c>
      <c r="C14" s="134"/>
      <c r="D14" s="25"/>
      <c r="E14" s="25"/>
    </row>
    <row r="15" spans="1:17" x14ac:dyDescent="0.2">
      <c r="D15" s="25"/>
      <c r="E15" s="25"/>
    </row>
    <row r="16" spans="1:17" x14ac:dyDescent="0.2">
      <c r="B16" s="27"/>
      <c r="C16" s="27"/>
      <c r="D16" s="27"/>
      <c r="E16" s="27"/>
      <c r="F16" s="27"/>
      <c r="G16" s="27"/>
      <c r="H16" s="27"/>
      <c r="I16" s="27"/>
      <c r="J16" s="27"/>
      <c r="K16" s="27"/>
      <c r="L16" s="27"/>
      <c r="M16" s="27"/>
      <c r="N16" s="27"/>
      <c r="O16" s="27"/>
      <c r="P16" s="27"/>
      <c r="Q16" s="27"/>
    </row>
    <row r="17" spans="2:17" ht="76.5" x14ac:dyDescent="0.2">
      <c r="B17" s="28" t="s">
        <v>18</v>
      </c>
      <c r="C17" s="28" t="s">
        <v>31</v>
      </c>
      <c r="D17" s="137" t="s">
        <v>63</v>
      </c>
      <c r="E17" s="137" t="s">
        <v>33</v>
      </c>
      <c r="F17" s="137" t="s">
        <v>32</v>
      </c>
      <c r="G17" s="144" t="s">
        <v>105</v>
      </c>
      <c r="H17" s="144" t="s">
        <v>106</v>
      </c>
      <c r="I17" s="144" t="s">
        <v>107</v>
      </c>
      <c r="J17" s="144" t="s">
        <v>108</v>
      </c>
      <c r="K17" s="137" t="s">
        <v>109</v>
      </c>
      <c r="L17" s="137" t="s">
        <v>110</v>
      </c>
      <c r="M17" s="144" t="s">
        <v>111</v>
      </c>
      <c r="N17" s="144" t="s">
        <v>112</v>
      </c>
      <c r="O17" s="144" t="s">
        <v>113</v>
      </c>
      <c r="P17" s="144" t="s">
        <v>114</v>
      </c>
      <c r="Q17" s="144" t="s">
        <v>115</v>
      </c>
    </row>
    <row r="18" spans="2:17" x14ac:dyDescent="0.2">
      <c r="B18" s="142" t="s">
        <v>159</v>
      </c>
      <c r="C18" s="143"/>
      <c r="D18" s="143"/>
      <c r="E18" s="143"/>
      <c r="F18" s="143"/>
      <c r="G18" s="143"/>
      <c r="H18" s="143"/>
      <c r="I18" s="143"/>
      <c r="J18" s="143"/>
      <c r="K18" s="143"/>
      <c r="L18" s="143"/>
      <c r="M18" s="143"/>
      <c r="N18" s="143"/>
      <c r="O18" s="143"/>
      <c r="P18" s="143"/>
      <c r="Q18" s="143"/>
    </row>
    <row r="19" spans="2:17" x14ac:dyDescent="0.2">
      <c r="B19" s="138" t="s">
        <v>84</v>
      </c>
      <c r="C19" s="139" t="s">
        <v>82</v>
      </c>
      <c r="D19" s="140">
        <v>3</v>
      </c>
      <c r="E19" s="140">
        <v>1</v>
      </c>
      <c r="F19" s="141">
        <f>D19*E19</f>
        <v>3</v>
      </c>
      <c r="G19" s="145">
        <v>0</v>
      </c>
      <c r="H19" s="146">
        <f>IF(G19=0,VLOOKUP(C:C,[1]Inputs!$B$20:$H$25,7,FALSE)*F19,VLOOKUP(C:C,[1]Inputs!$B$20:$I$25,8,FALSE)*F19)</f>
        <v>221.22444905316001</v>
      </c>
      <c r="I19" s="147">
        <f>VLOOKUP(C:C,[1]Inputs!$C$54:$G$59,5,FALSE)*F19</f>
        <v>0</v>
      </c>
      <c r="J19" s="147"/>
      <c r="K19" s="147"/>
      <c r="L19" s="147"/>
      <c r="M19" s="147">
        <f>SUM(H19:J19)</f>
        <v>221.22444905316001</v>
      </c>
      <c r="N19" s="147">
        <f>[1]Inputs!$M$43*M19</f>
        <v>103.07435793200099</v>
      </c>
      <c r="O19" s="147">
        <f>[1]Inputs!$M$48*M19</f>
        <v>35.479442908500971</v>
      </c>
      <c r="P19" s="146">
        <f>[1]Inputs!$H$13*SUM(M19:O19)</f>
        <v>22.817136608256046</v>
      </c>
      <c r="Q19" s="147">
        <f t="shared" ref="Q19:Q20" si="4">SUM(M19:P19)</f>
        <v>382.59538650191803</v>
      </c>
    </row>
    <row r="20" spans="2:17" x14ac:dyDescent="0.2">
      <c r="B20" s="57" t="s">
        <v>83</v>
      </c>
      <c r="C20" s="58" t="s">
        <v>65</v>
      </c>
      <c r="D20" s="59">
        <v>10</v>
      </c>
      <c r="E20" s="59">
        <v>1</v>
      </c>
      <c r="F20" s="51">
        <f t="shared" ref="F20" si="5">D20*E20</f>
        <v>10</v>
      </c>
      <c r="G20" s="148">
        <v>0</v>
      </c>
      <c r="H20" s="146">
        <f>IF(G20=0,VLOOKUP(C:C,[1]Inputs!$B$20:$H$25,7,FALSE)*F20,VLOOKUP(C:C,[1]Inputs!$B$20:$I$25,8,FALSE)*F20)</f>
        <v>1032.6059762014499</v>
      </c>
      <c r="I20" s="146">
        <f>VLOOKUP(C:C,[1]Inputs!$C$54:$G$59,5,FALSE)*F20</f>
        <v>197.32436288346318</v>
      </c>
      <c r="J20" s="146"/>
      <c r="K20" s="146"/>
      <c r="L20" s="146"/>
      <c r="M20" s="146">
        <f t="shared" ref="M20" si="6">SUM(H20:J20)</f>
        <v>1229.9303390849132</v>
      </c>
      <c r="N20" s="146">
        <f>[1]Inputs!$M$43*M20</f>
        <v>573.0572752914934</v>
      </c>
      <c r="O20" s="146">
        <f>[1]Inputs!$M$48*M20</f>
        <v>197.25325764744215</v>
      </c>
      <c r="P20" s="146">
        <f>[1]Inputs!$H$13*SUM(M20:O20)</f>
        <v>126.85527610375249</v>
      </c>
      <c r="Q20" s="146">
        <f t="shared" si="4"/>
        <v>2127.0961481276013</v>
      </c>
    </row>
    <row r="21" spans="2:17" x14ac:dyDescent="0.2">
      <c r="B21" s="190" t="s">
        <v>147</v>
      </c>
      <c r="C21" s="58"/>
      <c r="D21" s="59"/>
      <c r="E21" s="59"/>
      <c r="F21" s="51"/>
      <c r="G21" s="148"/>
      <c r="H21" s="146"/>
      <c r="I21" s="146"/>
      <c r="J21" s="146"/>
      <c r="K21" s="146"/>
      <c r="L21" s="146"/>
      <c r="M21" s="146"/>
      <c r="N21" s="146"/>
      <c r="O21" s="146"/>
      <c r="P21" s="146"/>
      <c r="Q21" s="146"/>
    </row>
    <row r="22" spans="2:17" x14ac:dyDescent="0.2">
      <c r="B22" s="186" t="s">
        <v>146</v>
      </c>
      <c r="C22" s="187" t="s">
        <v>65</v>
      </c>
      <c r="D22" s="188">
        <v>1</v>
      </c>
      <c r="E22" s="188">
        <v>1</v>
      </c>
      <c r="F22" s="189">
        <f t="shared" ref="F22" si="7">D22*E22</f>
        <v>1</v>
      </c>
      <c r="G22" s="148">
        <v>0</v>
      </c>
      <c r="H22" s="146">
        <f>IF(G22=0,VLOOKUP(C:C,[1]Inputs!$B$20:$H$25,7,FALSE)*F22,VLOOKUP(C:C,[1]Inputs!$B$20:$I$25,8,FALSE)*F22)</f>
        <v>103.26059762014499</v>
      </c>
      <c r="I22" s="146">
        <f>VLOOKUP(C:C,[1]Inputs!$C$54:$G$59,5,FALSE)*F22</f>
        <v>19.732436288346317</v>
      </c>
      <c r="J22" s="146"/>
      <c r="K22" s="146"/>
      <c r="L22" s="146"/>
      <c r="M22" s="146">
        <f t="shared" ref="M22" si="8">SUM(H22:J22)</f>
        <v>122.99303390849131</v>
      </c>
      <c r="N22" s="146">
        <f>[1]Inputs!$M$43*M22</f>
        <v>57.305727529149344</v>
      </c>
      <c r="O22" s="146">
        <f>[1]Inputs!$M$48*M22</f>
        <v>19.725325764744216</v>
      </c>
      <c r="P22" s="146">
        <f>[1]Inputs!$H$13*SUM(M22:O22)</f>
        <v>12.685527610375249</v>
      </c>
      <c r="Q22" s="146">
        <f t="shared" ref="Q22" si="9">SUM(M22:P22)</f>
        <v>212.70961481276012</v>
      </c>
    </row>
    <row r="23" spans="2:17" ht="38.25" x14ac:dyDescent="0.2">
      <c r="B23" s="195" t="s">
        <v>152</v>
      </c>
      <c r="C23" s="195"/>
      <c r="D23" s="196"/>
      <c r="E23" s="196"/>
      <c r="F23" s="197"/>
      <c r="G23" s="198"/>
      <c r="H23" s="199"/>
      <c r="I23" s="199"/>
      <c r="J23" s="199"/>
      <c r="K23" s="199"/>
      <c r="L23" s="199"/>
      <c r="M23" s="199"/>
      <c r="N23" s="193">
        <f>[1]Inputs!$M$43</f>
        <v>0.46592661151676018</v>
      </c>
      <c r="O23" s="193"/>
      <c r="P23" s="193">
        <f>[1]Inputs!$H$13</f>
        <v>6.3420000000000004E-2</v>
      </c>
      <c r="Q23" s="194" t="str">
        <f>_xlfn.CONCAT("[Invoice + ",TEXT([1]Inputs!$M$43,"0.00%")," Overheads] + ",TEXT(P23,"0.00%")," Margin")</f>
        <v>[Invoice + 46.59% Overheads] + 6.34% Margin</v>
      </c>
    </row>
    <row r="24" spans="2:17" x14ac:dyDescent="0.2">
      <c r="B24" s="260" t="s">
        <v>1</v>
      </c>
      <c r="C24" s="261"/>
      <c r="D24" s="261"/>
      <c r="E24" s="262"/>
      <c r="F24" s="149">
        <f>SUM(F19:F20)</f>
        <v>13</v>
      </c>
      <c r="G24" s="149">
        <f t="shared" ref="G24:Q24" si="10">SUM(G19:G20)</f>
        <v>0</v>
      </c>
      <c r="H24" s="149">
        <f t="shared" si="10"/>
        <v>1253.83042525461</v>
      </c>
      <c r="I24" s="149">
        <f t="shared" si="10"/>
        <v>197.32436288346318</v>
      </c>
      <c r="J24" s="149">
        <f t="shared" si="10"/>
        <v>0</v>
      </c>
      <c r="K24" s="149">
        <f t="shared" si="10"/>
        <v>0</v>
      </c>
      <c r="L24" s="149">
        <f t="shared" si="10"/>
        <v>0</v>
      </c>
      <c r="M24" s="149">
        <f t="shared" si="10"/>
        <v>1451.1547881380732</v>
      </c>
      <c r="N24" s="149">
        <f t="shared" si="10"/>
        <v>676.13163322349442</v>
      </c>
      <c r="O24" s="149">
        <f t="shared" si="10"/>
        <v>232.73270055594313</v>
      </c>
      <c r="P24" s="149">
        <f t="shared" si="10"/>
        <v>149.67241271200854</v>
      </c>
      <c r="Q24" s="149">
        <f t="shared" si="10"/>
        <v>2509.6915346295191</v>
      </c>
    </row>
    <row r="25" spans="2:17" x14ac:dyDescent="0.2">
      <c r="B25" s="29"/>
      <c r="C25" s="29"/>
      <c r="D25" s="30"/>
      <c r="E25" s="29"/>
      <c r="F25" s="30"/>
      <c r="G25" s="30"/>
      <c r="H25" s="30"/>
      <c r="I25" s="30"/>
      <c r="J25" s="30"/>
      <c r="K25" s="30"/>
      <c r="L25" s="30"/>
      <c r="M25" s="30"/>
      <c r="N25" s="30"/>
      <c r="O25" s="30"/>
      <c r="P25" s="31"/>
      <c r="Q25" s="32"/>
    </row>
    <row r="26" spans="2:17" ht="25.5" x14ac:dyDescent="0.2">
      <c r="B26" s="203" t="s">
        <v>157</v>
      </c>
      <c r="C26" s="129"/>
      <c r="D26" s="53"/>
      <c r="E26" s="54"/>
    </row>
    <row r="27" spans="2:17" x14ac:dyDescent="0.2">
      <c r="B27" s="130" t="s">
        <v>145</v>
      </c>
      <c r="C27" s="131"/>
      <c r="D27" s="25"/>
      <c r="E27" s="54"/>
    </row>
    <row r="28" spans="2:17" x14ac:dyDescent="0.2">
      <c r="B28" s="130"/>
      <c r="C28" s="132"/>
      <c r="D28" s="25"/>
      <c r="E28" s="25"/>
    </row>
    <row r="29" spans="2:17" x14ac:dyDescent="0.2">
      <c r="B29" s="133"/>
      <c r="C29" s="134"/>
      <c r="D29" s="25"/>
      <c r="E29" s="25"/>
    </row>
  </sheetData>
  <mergeCells count="4">
    <mergeCell ref="B24:E24"/>
    <mergeCell ref="B9:E9"/>
    <mergeCell ref="H2:Q2"/>
    <mergeCell ref="H3:Q3"/>
  </mergeCells>
  <pageMargins left="0.7" right="0.7" top="0.75" bottom="0.75" header="0.3" footer="0.3"/>
  <pageSetup paperSize="9" orientation="portrait" verticalDpi="0" r:id="rId1"/>
  <ignoredErrors>
    <ignoredError sqref="G24" formulaRange="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A8FD7C-6D05-4A45-9303-BFD3F540A7B7}">
  <dimension ref="B1:O28"/>
  <sheetViews>
    <sheetView workbookViewId="0">
      <selection activeCell="B33" sqref="B33"/>
    </sheetView>
  </sheetViews>
  <sheetFormatPr defaultRowHeight="15" x14ac:dyDescent="0.25"/>
  <cols>
    <col min="1" max="1" width="4.42578125" customWidth="1"/>
    <col min="2" max="2" width="81" bestFit="1" customWidth="1"/>
    <col min="3" max="3" width="13.28515625" customWidth="1"/>
    <col min="4" max="8" width="12.7109375" bestFit="1" customWidth="1"/>
    <col min="10" max="15" width="10" bestFit="1" customWidth="1"/>
  </cols>
  <sheetData>
    <row r="1" spans="2:15" x14ac:dyDescent="0.25">
      <c r="B1" t="s">
        <v>123</v>
      </c>
      <c r="D1" s="161">
        <f>[1]Inputs!H16</f>
        <v>1</v>
      </c>
      <c r="E1" s="161">
        <f>[1]Inputs!I16</f>
        <v>1</v>
      </c>
      <c r="F1" s="161">
        <f>[1]Inputs!J16</f>
        <v>1.0109999999999999</v>
      </c>
      <c r="G1" s="161">
        <f>[1]Inputs!K16</f>
        <v>1.0231319999999999</v>
      </c>
      <c r="H1" s="161">
        <f>[1]Inputs!L16</f>
        <v>1.0337725727999998</v>
      </c>
      <c r="K1" s="162">
        <f>D1</f>
        <v>1</v>
      </c>
      <c r="L1" s="162">
        <f t="shared" ref="L1:O5" si="0">E1</f>
        <v>1</v>
      </c>
      <c r="M1" s="162">
        <f t="shared" si="0"/>
        <v>1.0109999999999999</v>
      </c>
      <c r="N1" s="162">
        <f t="shared" si="0"/>
        <v>1.0231319999999999</v>
      </c>
      <c r="O1" s="162">
        <f t="shared" si="0"/>
        <v>1.0337725727999998</v>
      </c>
    </row>
    <row r="2" spans="2:15" x14ac:dyDescent="0.25">
      <c r="B2" t="s">
        <v>124</v>
      </c>
      <c r="D2" s="161">
        <f>[1]Inputs!H61</f>
        <v>0.04</v>
      </c>
      <c r="E2" s="161">
        <f>[1]Inputs!I61</f>
        <v>0.04</v>
      </c>
      <c r="F2" s="161">
        <f>[1]Inputs!J61</f>
        <v>0.04</v>
      </c>
      <c r="G2" s="161">
        <f>[1]Inputs!K61</f>
        <v>0.04</v>
      </c>
      <c r="H2" s="161">
        <f>[1]Inputs!L61</f>
        <v>0.04</v>
      </c>
      <c r="K2" s="162"/>
      <c r="L2" s="162"/>
      <c r="M2" s="162"/>
      <c r="N2" s="162"/>
      <c r="O2" s="162"/>
    </row>
    <row r="3" spans="2:15" x14ac:dyDescent="0.25">
      <c r="B3" t="s">
        <v>125</v>
      </c>
      <c r="D3" s="162">
        <f>[1]Inputs!$M$43</f>
        <v>0.46592661151676018</v>
      </c>
      <c r="E3" s="162">
        <f>[1]Inputs!$M$43</f>
        <v>0.46592661151676018</v>
      </c>
      <c r="F3" s="162">
        <f>[1]Inputs!$M$43</f>
        <v>0.46592661151676018</v>
      </c>
      <c r="G3" s="162">
        <f>[1]Inputs!$M$43</f>
        <v>0.46592661151676018</v>
      </c>
      <c r="H3" s="162">
        <f>[1]Inputs!$M$43</f>
        <v>0.46592661151676018</v>
      </c>
      <c r="K3" s="162">
        <f t="shared" ref="K3:K5" si="1">D3</f>
        <v>0.46592661151676018</v>
      </c>
      <c r="L3" s="162">
        <f t="shared" si="0"/>
        <v>0.46592661151676018</v>
      </c>
      <c r="M3" s="162">
        <f t="shared" si="0"/>
        <v>0.46592661151676018</v>
      </c>
      <c r="N3" s="162">
        <f t="shared" si="0"/>
        <v>0.46592661151676018</v>
      </c>
      <c r="O3" s="162">
        <f t="shared" si="0"/>
        <v>0.46592661151676018</v>
      </c>
    </row>
    <row r="4" spans="2:15" x14ac:dyDescent="0.25">
      <c r="B4" t="s">
        <v>126</v>
      </c>
      <c r="D4" s="162">
        <f>[1]Inputs!$M$48</f>
        <v>0.16037758511933414</v>
      </c>
      <c r="E4" s="162">
        <f>[1]Inputs!$M$48</f>
        <v>0.16037758511933414</v>
      </c>
      <c r="F4" s="162">
        <f>[1]Inputs!$M$48</f>
        <v>0.16037758511933414</v>
      </c>
      <c r="G4" s="162">
        <f>[1]Inputs!$M$48</f>
        <v>0.16037758511933414</v>
      </c>
      <c r="H4" s="162">
        <f>[1]Inputs!$M$48</f>
        <v>0.16037758511933414</v>
      </c>
      <c r="K4" s="162">
        <f t="shared" si="1"/>
        <v>0.16037758511933414</v>
      </c>
      <c r="L4" s="162">
        <f t="shared" si="0"/>
        <v>0.16037758511933414</v>
      </c>
      <c r="M4" s="162">
        <f t="shared" si="0"/>
        <v>0.16037758511933414</v>
      </c>
      <c r="N4" s="162">
        <f t="shared" si="0"/>
        <v>0.16037758511933414</v>
      </c>
      <c r="O4" s="162">
        <f t="shared" si="0"/>
        <v>0.16037758511933414</v>
      </c>
    </row>
    <row r="5" spans="2:15" x14ac:dyDescent="0.25">
      <c r="B5" t="s">
        <v>127</v>
      </c>
      <c r="D5" s="162">
        <f>[1]Inputs!$H$13</f>
        <v>6.3420000000000004E-2</v>
      </c>
      <c r="E5" s="162">
        <f>[1]Inputs!$H$13</f>
        <v>6.3420000000000004E-2</v>
      </c>
      <c r="F5" s="162">
        <f>[1]Inputs!$H$13</f>
        <v>6.3420000000000004E-2</v>
      </c>
      <c r="G5" s="162">
        <f>[1]Inputs!$H$13</f>
        <v>6.3420000000000004E-2</v>
      </c>
      <c r="H5" s="162">
        <f>[1]Inputs!$H$13</f>
        <v>6.3420000000000004E-2</v>
      </c>
      <c r="K5" s="162">
        <f t="shared" si="1"/>
        <v>6.3420000000000004E-2</v>
      </c>
      <c r="L5" s="162">
        <f t="shared" si="0"/>
        <v>6.3420000000000004E-2</v>
      </c>
      <c r="M5" s="162">
        <f t="shared" si="0"/>
        <v>6.3420000000000004E-2</v>
      </c>
      <c r="N5" s="162">
        <f t="shared" si="0"/>
        <v>6.3420000000000004E-2</v>
      </c>
      <c r="O5" s="162">
        <f t="shared" si="0"/>
        <v>6.3420000000000004E-2</v>
      </c>
    </row>
    <row r="6" spans="2:15" s="163" customFormat="1" ht="15.75" x14ac:dyDescent="0.25">
      <c r="D6" s="265" t="s">
        <v>128</v>
      </c>
      <c r="E6" s="265"/>
      <c r="F6" s="265"/>
      <c r="G6" s="265"/>
      <c r="H6" s="265"/>
      <c r="J6" s="266" t="s">
        <v>129</v>
      </c>
      <c r="K6" s="266"/>
      <c r="L6" s="266"/>
      <c r="M6" s="266"/>
      <c r="N6" s="266"/>
      <c r="O6" s="266"/>
    </row>
    <row r="7" spans="2:15" x14ac:dyDescent="0.25">
      <c r="B7" s="164" t="s">
        <v>142</v>
      </c>
      <c r="C7" s="165"/>
      <c r="D7" s="165" t="s">
        <v>130</v>
      </c>
      <c r="E7" s="165" t="s">
        <v>131</v>
      </c>
      <c r="F7" s="165" t="s">
        <v>132</v>
      </c>
      <c r="G7" s="165" t="s">
        <v>133</v>
      </c>
      <c r="H7" s="165" t="s">
        <v>134</v>
      </c>
    </row>
    <row r="8" spans="2:15" x14ac:dyDescent="0.25">
      <c r="B8" s="166" t="s">
        <v>106</v>
      </c>
      <c r="C8" s="167"/>
      <c r="D8" s="168">
        <f>(D19*D$27)</f>
        <v>13866.101374771799</v>
      </c>
      <c r="E8" s="168">
        <f t="shared" ref="E8:H8" si="2">(E19*E$27)</f>
        <v>13866.101374771799</v>
      </c>
      <c r="F8" s="168">
        <f t="shared" si="2"/>
        <v>14018.628489894287</v>
      </c>
      <c r="G8" s="168">
        <f t="shared" si="2"/>
        <v>14342.907404122519</v>
      </c>
      <c r="H8" s="168">
        <f t="shared" si="2"/>
        <v>14827.304288591904</v>
      </c>
    </row>
    <row r="9" spans="2:15" x14ac:dyDescent="0.25">
      <c r="B9" s="166" t="s">
        <v>107</v>
      </c>
      <c r="C9" s="167"/>
      <c r="D9" s="168">
        <f t="shared" ref="D9:H15" si="3">(D20*D$27)</f>
        <v>2367.8923546015581</v>
      </c>
      <c r="E9" s="168">
        <f t="shared" si="3"/>
        <v>2367.8923546015581</v>
      </c>
      <c r="F9" s="168">
        <f t="shared" si="3"/>
        <v>2367.8923546015581</v>
      </c>
      <c r="G9" s="168">
        <f t="shared" si="3"/>
        <v>2367.8923546015581</v>
      </c>
      <c r="H9" s="168">
        <f t="shared" si="3"/>
        <v>2367.8923546015581</v>
      </c>
    </row>
    <row r="10" spans="2:15" x14ac:dyDescent="0.25">
      <c r="B10" s="166" t="s">
        <v>108</v>
      </c>
      <c r="C10" s="167"/>
      <c r="D10" s="168">
        <f t="shared" si="3"/>
        <v>0</v>
      </c>
      <c r="E10" s="168">
        <f t="shared" si="3"/>
        <v>0</v>
      </c>
      <c r="F10" s="168">
        <f t="shared" si="3"/>
        <v>0</v>
      </c>
      <c r="G10" s="168">
        <f t="shared" si="3"/>
        <v>0</v>
      </c>
      <c r="H10" s="168">
        <f t="shared" si="3"/>
        <v>0</v>
      </c>
    </row>
    <row r="11" spans="2:15" x14ac:dyDescent="0.25">
      <c r="B11" s="169" t="s">
        <v>135</v>
      </c>
      <c r="C11" s="169"/>
      <c r="D11" s="170">
        <f t="shared" si="3"/>
        <v>16233.993729373356</v>
      </c>
      <c r="E11" s="170">
        <f t="shared" si="3"/>
        <v>16233.993729373356</v>
      </c>
      <c r="F11" s="170">
        <f t="shared" si="3"/>
        <v>16386.520844495844</v>
      </c>
      <c r="G11" s="170">
        <f t="shared" si="3"/>
        <v>16710.799758724075</v>
      </c>
      <c r="H11" s="170">
        <f t="shared" si="3"/>
        <v>17195.19664319346</v>
      </c>
    </row>
    <row r="12" spans="2:15" x14ac:dyDescent="0.25">
      <c r="B12" s="167" t="s">
        <v>112</v>
      </c>
      <c r="C12" s="167"/>
      <c r="D12" s="168">
        <f t="shared" si="3"/>
        <v>7563.84968971126</v>
      </c>
      <c r="E12" s="168">
        <f t="shared" si="3"/>
        <v>7563.84968971126</v>
      </c>
      <c r="F12" s="168">
        <f t="shared" si="3"/>
        <v>7634.9161316247073</v>
      </c>
      <c r="G12" s="168">
        <f t="shared" si="3"/>
        <v>7786.0063073174015</v>
      </c>
      <c r="H12" s="168">
        <f t="shared" si="3"/>
        <v>8011.6997063274976</v>
      </c>
    </row>
    <row r="13" spans="2:15" x14ac:dyDescent="0.25">
      <c r="B13" s="167" t="s">
        <v>113</v>
      </c>
      <c r="C13" s="167"/>
      <c r="D13" s="168">
        <f t="shared" si="3"/>
        <v>2603.568711159312</v>
      </c>
      <c r="E13" s="168">
        <f t="shared" si="3"/>
        <v>2603.568711159312</v>
      </c>
      <c r="F13" s="168">
        <f t="shared" si="3"/>
        <v>2628.0306415478753</v>
      </c>
      <c r="G13" s="168">
        <f t="shared" si="3"/>
        <v>2680.0377107169188</v>
      </c>
      <c r="H13" s="168">
        <f t="shared" si="3"/>
        <v>2757.7241132874478</v>
      </c>
    </row>
    <row r="14" spans="2:15" x14ac:dyDescent="0.25">
      <c r="B14" s="167" t="s">
        <v>122</v>
      </c>
      <c r="C14" s="167"/>
      <c r="D14" s="168">
        <f t="shared" si="3"/>
        <v>1674.3775573000701</v>
      </c>
      <c r="E14" s="168">
        <f t="shared" si="3"/>
        <v>1674.3775573000701</v>
      </c>
      <c r="F14" s="168">
        <f t="shared" si="3"/>
        <v>1690.1092363125319</v>
      </c>
      <c r="G14" s="168">
        <f t="shared" si="3"/>
        <v>1723.5554323220179</v>
      </c>
      <c r="H14" s="168">
        <f t="shared" si="3"/>
        <v>1773.5162297513093</v>
      </c>
    </row>
    <row r="15" spans="2:15" s="172" customFormat="1" x14ac:dyDescent="0.25">
      <c r="B15" s="171" t="s">
        <v>136</v>
      </c>
      <c r="C15" s="167"/>
      <c r="D15" s="170">
        <f t="shared" si="3"/>
        <v>28075.789687543995</v>
      </c>
      <c r="E15" s="170">
        <f t="shared" si="3"/>
        <v>28075.789687543995</v>
      </c>
      <c r="F15" s="170">
        <f t="shared" si="3"/>
        <v>28339.576853980958</v>
      </c>
      <c r="G15" s="170">
        <f t="shared" si="3"/>
        <v>28900.399209080417</v>
      </c>
      <c r="H15" s="170">
        <f t="shared" si="3"/>
        <v>29738.136692559714</v>
      </c>
    </row>
    <row r="16" spans="2:15" s="151" customFormat="1" x14ac:dyDescent="0.25">
      <c r="B16" s="173" t="s">
        <v>137</v>
      </c>
      <c r="C16" s="169"/>
      <c r="D16" s="170">
        <f>D28-D15</f>
        <v>0</v>
      </c>
      <c r="E16" s="170">
        <f t="shared" ref="E16:H16" si="4">E28-E15</f>
        <v>0</v>
      </c>
      <c r="F16" s="170">
        <f t="shared" si="4"/>
        <v>0</v>
      </c>
      <c r="G16" s="170">
        <f t="shared" si="4"/>
        <v>0</v>
      </c>
      <c r="H16" s="170">
        <f t="shared" si="4"/>
        <v>0</v>
      </c>
    </row>
    <row r="17" spans="2:15" s="151" customFormat="1" x14ac:dyDescent="0.25">
      <c r="C17" s="174"/>
    </row>
    <row r="18" spans="2:15" x14ac:dyDescent="0.25">
      <c r="B18" s="175" t="s">
        <v>143</v>
      </c>
      <c r="C18" s="156"/>
      <c r="D18" s="267" t="s">
        <v>138</v>
      </c>
      <c r="E18" s="268"/>
      <c r="F18" s="268"/>
      <c r="G18" s="268"/>
      <c r="H18" s="268"/>
      <c r="J18" s="156"/>
      <c r="K18" s="267" t="s">
        <v>138</v>
      </c>
      <c r="L18" s="268"/>
      <c r="M18" s="268"/>
      <c r="N18" s="268"/>
      <c r="O18" s="268"/>
    </row>
    <row r="19" spans="2:15" x14ac:dyDescent="0.25">
      <c r="B19" s="176" t="s">
        <v>106</v>
      </c>
      <c r="C19" s="177">
        <f>'Proposed price'!H9</f>
        <v>138.66101374771799</v>
      </c>
      <c r="D19" s="178">
        <f>C19*D$1</f>
        <v>138.66101374771799</v>
      </c>
      <c r="E19" s="178">
        <f>D19*E1</f>
        <v>138.66101374771799</v>
      </c>
      <c r="F19" s="178">
        <f>E19*F1</f>
        <v>140.18628489894286</v>
      </c>
      <c r="G19" s="178">
        <f>F19*G1</f>
        <v>143.42907404122519</v>
      </c>
      <c r="H19" s="178">
        <f>G19*H1</f>
        <v>148.27304288591904</v>
      </c>
      <c r="J19" s="177"/>
      <c r="K19" s="178">
        <f>J19*K$1</f>
        <v>0</v>
      </c>
      <c r="L19" s="178">
        <f>K19*L1</f>
        <v>0</v>
      </c>
      <c r="M19" s="178">
        <f>L19*M1</f>
        <v>0</v>
      </c>
      <c r="N19" s="178">
        <f>M19*N1</f>
        <v>0</v>
      </c>
      <c r="O19" s="178">
        <f>N19*O1</f>
        <v>0</v>
      </c>
    </row>
    <row r="20" spans="2:15" x14ac:dyDescent="0.25">
      <c r="B20" s="176" t="s">
        <v>107</v>
      </c>
      <c r="C20" s="177">
        <f>'Proposed price'!I9</f>
        <v>23.678923546015579</v>
      </c>
      <c r="D20" s="178">
        <f>C20</f>
        <v>23.678923546015579</v>
      </c>
      <c r="E20" s="178">
        <f t="shared" ref="E20:H21" si="5">D20</f>
        <v>23.678923546015579</v>
      </c>
      <c r="F20" s="178">
        <f t="shared" si="5"/>
        <v>23.678923546015579</v>
      </c>
      <c r="G20" s="178">
        <f t="shared" si="5"/>
        <v>23.678923546015579</v>
      </c>
      <c r="H20" s="178">
        <f t="shared" si="5"/>
        <v>23.678923546015579</v>
      </c>
      <c r="J20" s="177"/>
      <c r="K20" s="178">
        <f>J20</f>
        <v>0</v>
      </c>
      <c r="L20" s="178">
        <f t="shared" ref="L20:O21" si="6">K20</f>
        <v>0</v>
      </c>
      <c r="M20" s="178">
        <f t="shared" si="6"/>
        <v>0</v>
      </c>
      <c r="N20" s="178">
        <f t="shared" si="6"/>
        <v>0</v>
      </c>
      <c r="O20" s="178">
        <f t="shared" si="6"/>
        <v>0</v>
      </c>
    </row>
    <row r="21" spans="2:15" x14ac:dyDescent="0.25">
      <c r="B21" s="176" t="s">
        <v>108</v>
      </c>
      <c r="C21" s="177">
        <f>'Proposed price'!J9</f>
        <v>0</v>
      </c>
      <c r="D21" s="178">
        <f>C21</f>
        <v>0</v>
      </c>
      <c r="E21" s="178">
        <f t="shared" si="5"/>
        <v>0</v>
      </c>
      <c r="F21" s="178">
        <f t="shared" si="5"/>
        <v>0</v>
      </c>
      <c r="G21" s="178">
        <f t="shared" si="5"/>
        <v>0</v>
      </c>
      <c r="H21" s="178">
        <f t="shared" si="5"/>
        <v>0</v>
      </c>
      <c r="J21" s="177"/>
      <c r="K21" s="178">
        <f>J21</f>
        <v>0</v>
      </c>
      <c r="L21" s="178">
        <f t="shared" si="6"/>
        <v>0</v>
      </c>
      <c r="M21" s="178">
        <f t="shared" si="6"/>
        <v>0</v>
      </c>
      <c r="N21" s="178">
        <f t="shared" si="6"/>
        <v>0</v>
      </c>
      <c r="O21" s="178">
        <f t="shared" si="6"/>
        <v>0</v>
      </c>
    </row>
    <row r="22" spans="2:15" s="151" customFormat="1" x14ac:dyDescent="0.25">
      <c r="B22" s="179" t="s">
        <v>135</v>
      </c>
      <c r="C22" s="221">
        <f>'Proposed price'!M9</f>
        <v>162.33993729373356</v>
      </c>
      <c r="D22" s="169">
        <f>SUM(D19:D21)</f>
        <v>162.33993729373356</v>
      </c>
      <c r="E22" s="169">
        <f t="shared" ref="E22:H22" si="7">SUM(E19:E21)</f>
        <v>162.33993729373356</v>
      </c>
      <c r="F22" s="169">
        <f t="shared" si="7"/>
        <v>163.86520844495843</v>
      </c>
      <c r="G22" s="169">
        <f t="shared" si="7"/>
        <v>167.10799758724076</v>
      </c>
      <c r="H22" s="169">
        <f t="shared" si="7"/>
        <v>171.95196643193461</v>
      </c>
      <c r="J22" s="180"/>
      <c r="K22" s="167">
        <f>SUM(K19:K21)</f>
        <v>0</v>
      </c>
      <c r="L22" s="167">
        <f t="shared" ref="L22:O22" si="8">SUM(L19:L21)</f>
        <v>0</v>
      </c>
      <c r="M22" s="167">
        <f t="shared" si="8"/>
        <v>0</v>
      </c>
      <c r="N22" s="167">
        <f t="shared" si="8"/>
        <v>0</v>
      </c>
      <c r="O22" s="167">
        <f t="shared" si="8"/>
        <v>0</v>
      </c>
    </row>
    <row r="23" spans="2:15" x14ac:dyDescent="0.25">
      <c r="B23" s="176" t="s">
        <v>112</v>
      </c>
      <c r="C23" s="177">
        <f>'Proposed price'!N9</f>
        <v>75.638496897112617</v>
      </c>
      <c r="D23" s="178">
        <f>D22*D$3</f>
        <v>75.638496897112603</v>
      </c>
      <c r="E23" s="178">
        <f t="shared" ref="E23:H23" si="9">E22*E$3</f>
        <v>75.638496897112603</v>
      </c>
      <c r="F23" s="178">
        <f t="shared" si="9"/>
        <v>76.349161316247077</v>
      </c>
      <c r="G23" s="178">
        <f t="shared" si="9"/>
        <v>77.860063073174018</v>
      </c>
      <c r="H23" s="178">
        <f t="shared" si="9"/>
        <v>80.116997063274979</v>
      </c>
      <c r="J23" s="177"/>
      <c r="K23" s="178">
        <f>K22*K$3</f>
        <v>0</v>
      </c>
      <c r="L23" s="178">
        <f t="shared" ref="L23:O23" si="10">L22*L$3</f>
        <v>0</v>
      </c>
      <c r="M23" s="178">
        <f t="shared" si="10"/>
        <v>0</v>
      </c>
      <c r="N23" s="178">
        <f t="shared" si="10"/>
        <v>0</v>
      </c>
      <c r="O23" s="178">
        <f t="shared" si="10"/>
        <v>0</v>
      </c>
    </row>
    <row r="24" spans="2:15" x14ac:dyDescent="0.25">
      <c r="B24" s="176" t="s">
        <v>113</v>
      </c>
      <c r="C24" s="177">
        <f>'Proposed price'!O9</f>
        <v>26.035687111593123</v>
      </c>
      <c r="D24" s="178">
        <f>D22*D$4</f>
        <v>26.03568711159312</v>
      </c>
      <c r="E24" s="178">
        <f t="shared" ref="E24:H24" si="11">E22*E$4</f>
        <v>26.03568711159312</v>
      </c>
      <c r="F24" s="178">
        <f t="shared" si="11"/>
        <v>26.280306415478751</v>
      </c>
      <c r="G24" s="178">
        <f t="shared" si="11"/>
        <v>26.80037710716919</v>
      </c>
      <c r="H24" s="178">
        <f t="shared" si="11"/>
        <v>27.57724113287448</v>
      </c>
      <c r="J24" s="177"/>
      <c r="K24" s="178">
        <f>K22*K$4</f>
        <v>0</v>
      </c>
      <c r="L24" s="178">
        <f t="shared" ref="L24:O24" si="12">L22*L$4</f>
        <v>0</v>
      </c>
      <c r="M24" s="178">
        <f t="shared" si="12"/>
        <v>0</v>
      </c>
      <c r="N24" s="178">
        <f t="shared" si="12"/>
        <v>0</v>
      </c>
      <c r="O24" s="178">
        <f t="shared" si="12"/>
        <v>0</v>
      </c>
    </row>
    <row r="25" spans="2:15" x14ac:dyDescent="0.25">
      <c r="B25" s="176" t="s">
        <v>114</v>
      </c>
      <c r="C25" s="177">
        <f>'Proposed price'!P9</f>
        <v>16.743775573000704</v>
      </c>
      <c r="D25" s="178">
        <f>SUM(D22:D24)*D$5</f>
        <v>16.743775573000701</v>
      </c>
      <c r="E25" s="178">
        <f t="shared" ref="E25:H25" si="13">SUM(E22:E24)*E$5</f>
        <v>16.743775573000701</v>
      </c>
      <c r="F25" s="178">
        <f t="shared" si="13"/>
        <v>16.901092363125318</v>
      </c>
      <c r="G25" s="178">
        <f t="shared" si="13"/>
        <v>17.235554323220178</v>
      </c>
      <c r="H25" s="178">
        <f t="shared" si="13"/>
        <v>17.735162297513092</v>
      </c>
      <c r="J25" s="177"/>
      <c r="K25" s="178">
        <f>SUM(K22:K24)*K$5</f>
        <v>0</v>
      </c>
      <c r="L25" s="178">
        <f t="shared" ref="L25:O25" si="14">SUM(L22:L24)*L$5</f>
        <v>0</v>
      </c>
      <c r="M25" s="178">
        <f t="shared" si="14"/>
        <v>0</v>
      </c>
      <c r="N25" s="178">
        <f t="shared" si="14"/>
        <v>0</v>
      </c>
      <c r="O25" s="178">
        <f t="shared" si="14"/>
        <v>0</v>
      </c>
    </row>
    <row r="26" spans="2:15" s="151" customFormat="1" x14ac:dyDescent="0.25">
      <c r="B26" s="181" t="s">
        <v>139</v>
      </c>
      <c r="C26" s="182">
        <f>'Proposed price'!Q9</f>
        <v>280.75789687544</v>
      </c>
      <c r="D26" s="183">
        <f>SUM(D22:D25)</f>
        <v>280.75789687543994</v>
      </c>
      <c r="E26" s="183">
        <f t="shared" ref="E26:H26" si="15">SUM(E22:E25)</f>
        <v>280.75789687543994</v>
      </c>
      <c r="F26" s="183">
        <f t="shared" si="15"/>
        <v>283.39576853980958</v>
      </c>
      <c r="G26" s="183">
        <f t="shared" si="15"/>
        <v>289.00399209080416</v>
      </c>
      <c r="H26" s="183">
        <f t="shared" si="15"/>
        <v>297.38136692559715</v>
      </c>
      <c r="J26" s="182"/>
      <c r="K26" s="183">
        <f>SUM(K22:K25)</f>
        <v>0</v>
      </c>
      <c r="L26" s="183">
        <f t="shared" ref="L26:O26" si="16">SUM(L22:L25)</f>
        <v>0</v>
      </c>
      <c r="M26" s="183">
        <f t="shared" si="16"/>
        <v>0</v>
      </c>
      <c r="N26" s="183">
        <f t="shared" si="16"/>
        <v>0</v>
      </c>
      <c r="O26" s="183">
        <f t="shared" si="16"/>
        <v>0</v>
      </c>
    </row>
    <row r="27" spans="2:15" x14ac:dyDescent="0.25">
      <c r="B27" s="184" t="s">
        <v>140</v>
      </c>
      <c r="C27" s="178"/>
      <c r="D27" s="185">
        <f>'Forecast Revenue - Costs'!D10</f>
        <v>100</v>
      </c>
      <c r="E27" s="185">
        <f>'Forecast Revenue - Costs'!E10</f>
        <v>100</v>
      </c>
      <c r="F27" s="185">
        <f>'Forecast Revenue - Costs'!F10</f>
        <v>100</v>
      </c>
      <c r="G27" s="185">
        <f>'Forecast Revenue - Costs'!G10</f>
        <v>100</v>
      </c>
      <c r="H27" s="185">
        <f>'Forecast Revenue - Costs'!H10</f>
        <v>100</v>
      </c>
      <c r="J27" s="178"/>
      <c r="K27" s="185"/>
      <c r="L27" s="185"/>
      <c r="M27" s="185"/>
      <c r="N27" s="185"/>
      <c r="O27" s="185"/>
    </row>
    <row r="28" spans="2:15" s="151" customFormat="1" x14ac:dyDescent="0.25">
      <c r="B28" s="171" t="s">
        <v>141</v>
      </c>
      <c r="C28" s="169"/>
      <c r="D28" s="170">
        <f>D26*D27</f>
        <v>28075.789687543995</v>
      </c>
      <c r="E28" s="170">
        <f t="shared" ref="E28:H28" si="17">E26*E27</f>
        <v>28075.789687543995</v>
      </c>
      <c r="F28" s="170">
        <f t="shared" si="17"/>
        <v>28339.576853980958</v>
      </c>
      <c r="G28" s="170">
        <f t="shared" si="17"/>
        <v>28900.399209080417</v>
      </c>
      <c r="H28" s="170">
        <f t="shared" si="17"/>
        <v>29738.136692559714</v>
      </c>
      <c r="J28" s="169"/>
      <c r="K28" s="170"/>
      <c r="L28" s="170"/>
      <c r="M28" s="170"/>
      <c r="N28" s="170"/>
      <c r="O28" s="170"/>
    </row>
  </sheetData>
  <mergeCells count="4">
    <mergeCell ref="D6:H6"/>
    <mergeCell ref="J6:O6"/>
    <mergeCell ref="D18:H18"/>
    <mergeCell ref="K18:O18"/>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2:I32"/>
  <sheetViews>
    <sheetView showGridLines="0" tabSelected="1" workbookViewId="0">
      <selection activeCell="B23" sqref="B23"/>
    </sheetView>
  </sheetViews>
  <sheetFormatPr defaultColWidth="9.140625" defaultRowHeight="15" x14ac:dyDescent="0.25"/>
  <cols>
    <col min="1" max="1" width="3.28515625" style="114" customWidth="1"/>
    <col min="2" max="2" width="66.42578125" style="114" customWidth="1"/>
    <col min="3" max="3" width="65.140625" style="114" customWidth="1"/>
    <col min="4" max="4" width="11.85546875" style="114" customWidth="1"/>
    <col min="5" max="8" width="11.28515625" style="114" customWidth="1"/>
    <col min="9" max="9" width="12.7109375" style="114" customWidth="1"/>
    <col min="10" max="16384" width="9.140625" style="114"/>
  </cols>
  <sheetData>
    <row r="2" spans="2:9" x14ac:dyDescent="0.25">
      <c r="B2" s="112" t="s">
        <v>51</v>
      </c>
      <c r="C2" s="113"/>
      <c r="D2" s="113"/>
      <c r="E2" s="113"/>
      <c r="F2" s="113"/>
      <c r="G2" s="113"/>
      <c r="H2" s="113"/>
      <c r="I2" s="113"/>
    </row>
    <row r="3" spans="2:9" x14ac:dyDescent="0.25">
      <c r="B3" s="115"/>
      <c r="C3" s="115"/>
      <c r="D3" s="115"/>
      <c r="E3" s="115"/>
      <c r="F3" s="115"/>
      <c r="G3" s="115"/>
      <c r="H3" s="115"/>
      <c r="I3" s="115"/>
    </row>
    <row r="4" spans="2:9" x14ac:dyDescent="0.25">
      <c r="B4" s="222" t="s">
        <v>73</v>
      </c>
      <c r="C4" s="222" t="s">
        <v>3</v>
      </c>
      <c r="D4" s="223" t="s">
        <v>59</v>
      </c>
      <c r="E4" s="223" t="s">
        <v>60</v>
      </c>
      <c r="F4" s="223" t="s">
        <v>61</v>
      </c>
      <c r="G4" s="223" t="s">
        <v>74</v>
      </c>
      <c r="H4" s="223" t="s">
        <v>62</v>
      </c>
      <c r="I4" s="224" t="s">
        <v>1</v>
      </c>
    </row>
    <row r="5" spans="2:9" x14ac:dyDescent="0.25">
      <c r="B5" s="116" t="s">
        <v>75</v>
      </c>
      <c r="C5" s="117" t="str">
        <f>'AER Summary'!$C$3</f>
        <v>Provision of Training to ASP's for Network Access</v>
      </c>
      <c r="D5" s="118">
        <f>'Forecasts by year'!D28</f>
        <v>28075.789687543995</v>
      </c>
      <c r="E5" s="118">
        <f>'Forecasts by year'!E28</f>
        <v>28075.789687543995</v>
      </c>
      <c r="F5" s="118">
        <f>'Forecasts by year'!F28</f>
        <v>28339.576853980958</v>
      </c>
      <c r="G5" s="118">
        <f>'Forecasts by year'!G28</f>
        <v>28900.399209080417</v>
      </c>
      <c r="H5" s="118">
        <f>'Forecasts by year'!H28</f>
        <v>29738.136692559714</v>
      </c>
      <c r="I5" s="226">
        <f>SUM(D5:H5)</f>
        <v>143129.6921307091</v>
      </c>
    </row>
    <row r="6" spans="2:9" x14ac:dyDescent="0.25">
      <c r="B6" s="227" t="s">
        <v>1</v>
      </c>
      <c r="C6" s="227"/>
      <c r="D6" s="228">
        <f>SUM(D5:D5)</f>
        <v>28075.789687543995</v>
      </c>
      <c r="E6" s="228">
        <f>SUM(E5:E5)</f>
        <v>28075.789687543995</v>
      </c>
      <c r="F6" s="228">
        <f>SUM(F5:F5)</f>
        <v>28339.576853980958</v>
      </c>
      <c r="G6" s="228">
        <f>SUM(G5:G5)</f>
        <v>28900.399209080417</v>
      </c>
      <c r="H6" s="228">
        <f>SUM(H5:H5)</f>
        <v>29738.136692559714</v>
      </c>
      <c r="I6" s="228">
        <f>SUM(I5:I5)</f>
        <v>143129.6921307091</v>
      </c>
    </row>
    <row r="7" spans="2:9" x14ac:dyDescent="0.25">
      <c r="B7" s="115"/>
      <c r="C7" s="115"/>
      <c r="D7" s="115"/>
      <c r="E7" s="115"/>
      <c r="F7" s="115"/>
      <c r="G7" s="115"/>
      <c r="H7" s="115"/>
      <c r="I7" s="115"/>
    </row>
    <row r="8" spans="2:9" x14ac:dyDescent="0.25">
      <c r="B8" s="112" t="s">
        <v>27</v>
      </c>
      <c r="C8" s="113"/>
      <c r="D8" s="113"/>
      <c r="E8" s="113"/>
      <c r="F8" s="113"/>
      <c r="G8" s="113"/>
      <c r="H8" s="113"/>
      <c r="I8" s="113"/>
    </row>
    <row r="9" spans="2:9" x14ac:dyDescent="0.25">
      <c r="B9" s="222" t="s">
        <v>73</v>
      </c>
      <c r="C9" s="222" t="s">
        <v>3</v>
      </c>
      <c r="D9" s="223" t="s">
        <v>59</v>
      </c>
      <c r="E9" s="223" t="s">
        <v>60</v>
      </c>
      <c r="F9" s="223" t="s">
        <v>61</v>
      </c>
      <c r="G9" s="223" t="s">
        <v>74</v>
      </c>
      <c r="H9" s="223" t="s">
        <v>62</v>
      </c>
      <c r="I9" s="224" t="s">
        <v>1</v>
      </c>
    </row>
    <row r="10" spans="2:9" x14ac:dyDescent="0.25">
      <c r="B10" s="116" t="s">
        <v>75</v>
      </c>
      <c r="C10" s="117" t="str">
        <f>C5</f>
        <v>Provision of Training to ASP's for Network Access</v>
      </c>
      <c r="D10" s="119">
        <v>100</v>
      </c>
      <c r="E10" s="119">
        <v>100</v>
      </c>
      <c r="F10" s="119">
        <v>100</v>
      </c>
      <c r="G10" s="119">
        <v>100</v>
      </c>
      <c r="H10" s="119">
        <v>100</v>
      </c>
      <c r="I10" s="225">
        <f>SUM(D10:H10)</f>
        <v>500</v>
      </c>
    </row>
    <row r="11" spans="2:9" x14ac:dyDescent="0.25">
      <c r="B11" s="227" t="s">
        <v>17</v>
      </c>
      <c r="C11" s="227"/>
      <c r="D11" s="229">
        <f>SUM(D10:D10)</f>
        <v>100</v>
      </c>
      <c r="E11" s="229">
        <f>SUM(E10:E10)</f>
        <v>100</v>
      </c>
      <c r="F11" s="229">
        <f>SUM(F10:F10)</f>
        <v>100</v>
      </c>
      <c r="G11" s="229">
        <f>SUM(G10:G10)</f>
        <v>100</v>
      </c>
      <c r="H11" s="229">
        <f>SUM(H10:H10)</f>
        <v>100</v>
      </c>
      <c r="I11" s="229">
        <f>SUM(I10:I10)</f>
        <v>500</v>
      </c>
    </row>
    <row r="12" spans="2:9" x14ac:dyDescent="0.25">
      <c r="B12" s="115"/>
      <c r="C12" s="115"/>
      <c r="D12" s="120"/>
      <c r="E12" s="120"/>
      <c r="F12" s="120"/>
      <c r="G12" s="120"/>
      <c r="H12" s="120"/>
      <c r="I12" s="120"/>
    </row>
    <row r="13" spans="2:9" x14ac:dyDescent="0.25">
      <c r="B13" s="121" t="s">
        <v>6</v>
      </c>
      <c r="C13" s="115"/>
      <c r="D13" s="120"/>
      <c r="E13" s="120"/>
      <c r="F13" s="120"/>
      <c r="G13" s="120"/>
      <c r="H13" s="120"/>
      <c r="I13" s="120"/>
    </row>
    <row r="14" spans="2:9" x14ac:dyDescent="0.25">
      <c r="B14" s="269"/>
      <c r="C14" s="269"/>
      <c r="D14" s="269"/>
      <c r="E14" s="269"/>
      <c r="F14" s="269"/>
      <c r="G14" s="269"/>
      <c r="H14" s="269"/>
      <c r="I14" s="269"/>
    </row>
    <row r="15" spans="2:9" x14ac:dyDescent="0.25">
      <c r="B15" s="270"/>
      <c r="C15" s="270"/>
      <c r="D15" s="270"/>
      <c r="E15" s="270"/>
      <c r="F15" s="270"/>
      <c r="G15" s="270"/>
      <c r="H15" s="270"/>
      <c r="I15" s="270"/>
    </row>
    <row r="16" spans="2:9" x14ac:dyDescent="0.25">
      <c r="B16" s="115"/>
      <c r="C16" s="115"/>
      <c r="D16" s="120"/>
      <c r="E16" s="120"/>
      <c r="F16" s="120"/>
      <c r="G16" s="120"/>
      <c r="H16" s="120"/>
      <c r="I16" s="120"/>
    </row>
    <row r="17" spans="2:9" x14ac:dyDescent="0.25">
      <c r="B17" s="112" t="s">
        <v>28</v>
      </c>
      <c r="C17" s="113"/>
      <c r="D17" s="113"/>
      <c r="E17" s="113"/>
      <c r="F17" s="113"/>
      <c r="G17" s="113"/>
      <c r="H17" s="113"/>
      <c r="I17" s="113"/>
    </row>
    <row r="18" spans="2:9" x14ac:dyDescent="0.25">
      <c r="B18" s="122" t="s">
        <v>26</v>
      </c>
      <c r="C18" s="123"/>
      <c r="D18" s="123"/>
      <c r="E18" s="123"/>
      <c r="F18" s="123"/>
      <c r="G18" s="123"/>
      <c r="H18" s="123"/>
      <c r="I18" s="123"/>
    </row>
    <row r="19" spans="2:9" x14ac:dyDescent="0.25">
      <c r="B19" s="274" t="s">
        <v>164</v>
      </c>
      <c r="C19" s="271"/>
      <c r="D19" s="271"/>
      <c r="E19" s="271"/>
      <c r="F19" s="271"/>
      <c r="G19" s="271"/>
      <c r="H19" s="271"/>
      <c r="I19" s="271"/>
    </row>
    <row r="20" spans="2:9" x14ac:dyDescent="0.25">
      <c r="B20" s="272"/>
      <c r="C20" s="272"/>
      <c r="D20" s="272"/>
      <c r="E20" s="272"/>
      <c r="F20" s="272"/>
      <c r="G20" s="272"/>
      <c r="H20" s="272"/>
      <c r="I20" s="272"/>
    </row>
    <row r="21" spans="2:9" x14ac:dyDescent="0.25">
      <c r="B21" s="124"/>
      <c r="C21" s="125"/>
      <c r="D21" s="125"/>
      <c r="E21" s="125"/>
      <c r="F21" s="125"/>
      <c r="G21" s="125"/>
      <c r="H21" s="125"/>
      <c r="I21" s="125"/>
    </row>
    <row r="22" spans="2:9" x14ac:dyDescent="0.25">
      <c r="B22" s="115"/>
      <c r="C22" s="115"/>
      <c r="D22" s="115"/>
      <c r="E22" s="115"/>
      <c r="F22" s="115"/>
      <c r="G22" s="115"/>
      <c r="H22" s="115"/>
      <c r="I22" s="115"/>
    </row>
    <row r="23" spans="2:9" customFormat="1" x14ac:dyDescent="0.25">
      <c r="B23" s="150" t="s">
        <v>48</v>
      </c>
      <c r="C23" s="22"/>
      <c r="D23" s="273" t="s">
        <v>118</v>
      </c>
      <c r="E23" s="273"/>
      <c r="F23" s="273"/>
      <c r="G23" s="273"/>
      <c r="H23" s="273"/>
      <c r="I23" s="22"/>
    </row>
    <row r="24" spans="2:9" customFormat="1" ht="15.75" customHeight="1" x14ac:dyDescent="0.25">
      <c r="B24" s="2" t="s">
        <v>20</v>
      </c>
      <c r="C24" s="13" t="s">
        <v>3</v>
      </c>
      <c r="D24" s="49" t="s">
        <v>59</v>
      </c>
      <c r="E24" s="49" t="s">
        <v>60</v>
      </c>
      <c r="F24" s="49" t="s">
        <v>61</v>
      </c>
      <c r="G24" s="49" t="s">
        <v>74</v>
      </c>
      <c r="H24" s="55" t="s">
        <v>62</v>
      </c>
      <c r="I24" s="14" t="s">
        <v>1</v>
      </c>
    </row>
    <row r="25" spans="2:9" s="151" customFormat="1" x14ac:dyDescent="0.25">
      <c r="B25" s="152" t="s">
        <v>119</v>
      </c>
      <c r="C25" s="153"/>
      <c r="D25" s="154">
        <f>'Forecasts by year'!D8</f>
        <v>13866.101374771799</v>
      </c>
      <c r="E25" s="154">
        <f>'Forecasts by year'!E8</f>
        <v>13866.101374771799</v>
      </c>
      <c r="F25" s="154">
        <f>'Forecasts by year'!F8</f>
        <v>14018.628489894287</v>
      </c>
      <c r="G25" s="154">
        <f>'Forecasts by year'!G8</f>
        <v>14342.907404122519</v>
      </c>
      <c r="H25" s="154">
        <f>'Forecasts by year'!H8</f>
        <v>14827.304288591904</v>
      </c>
      <c r="I25" s="155">
        <f t="shared" ref="I25:I27" si="0">SUM(D25:H25)</f>
        <v>70921.042932152312</v>
      </c>
    </row>
    <row r="26" spans="2:9" s="151" customFormat="1" x14ac:dyDescent="0.25">
      <c r="B26" s="152" t="s">
        <v>120</v>
      </c>
      <c r="C26" s="156"/>
      <c r="D26" s="154">
        <f>'Forecasts by year'!D9</f>
        <v>2367.8923546015581</v>
      </c>
      <c r="E26" s="154">
        <f>'Forecasts by year'!E9</f>
        <v>2367.8923546015581</v>
      </c>
      <c r="F26" s="154">
        <f>'Forecasts by year'!F9</f>
        <v>2367.8923546015581</v>
      </c>
      <c r="G26" s="154">
        <f>'Forecasts by year'!G9</f>
        <v>2367.8923546015581</v>
      </c>
      <c r="H26" s="154">
        <f>'Forecasts by year'!H9</f>
        <v>2367.8923546015581</v>
      </c>
      <c r="I26" s="155">
        <f t="shared" si="0"/>
        <v>11839.46177300779</v>
      </c>
    </row>
    <row r="27" spans="2:9" s="151" customFormat="1" x14ac:dyDescent="0.25">
      <c r="B27" s="152" t="s">
        <v>108</v>
      </c>
      <c r="C27" s="156"/>
      <c r="D27" s="154">
        <f>'Forecasts by year'!D10</f>
        <v>0</v>
      </c>
      <c r="E27" s="154">
        <f>'Forecasts by year'!E10</f>
        <v>0</v>
      </c>
      <c r="F27" s="154">
        <f>'Forecasts by year'!F10</f>
        <v>0</v>
      </c>
      <c r="G27" s="154">
        <f>'Forecasts by year'!G10</f>
        <v>0</v>
      </c>
      <c r="H27" s="154">
        <f>'Forecasts by year'!H10</f>
        <v>0</v>
      </c>
      <c r="I27" s="155">
        <f t="shared" si="0"/>
        <v>0</v>
      </c>
    </row>
    <row r="28" spans="2:9" s="151" customFormat="1" x14ac:dyDescent="0.25">
      <c r="B28" s="157" t="s">
        <v>121</v>
      </c>
      <c r="C28" s="156"/>
      <c r="D28" s="158">
        <f>'Forecasts by year'!D11</f>
        <v>16233.993729373356</v>
      </c>
      <c r="E28" s="158">
        <f>'Forecasts by year'!E11</f>
        <v>16233.993729373356</v>
      </c>
      <c r="F28" s="158">
        <f>'Forecasts by year'!F11</f>
        <v>16386.520844495844</v>
      </c>
      <c r="G28" s="158">
        <f>'Forecasts by year'!G11</f>
        <v>16710.799758724075</v>
      </c>
      <c r="H28" s="158">
        <f>'Forecasts by year'!H11</f>
        <v>17195.19664319346</v>
      </c>
      <c r="I28" s="155">
        <f>SUM(D28:H28)</f>
        <v>82760.5047051601</v>
      </c>
    </row>
    <row r="29" spans="2:9" customFormat="1" x14ac:dyDescent="0.25">
      <c r="B29" s="4" t="s">
        <v>112</v>
      </c>
      <c r="C29" s="5"/>
      <c r="D29" s="154">
        <f>'Forecasts by year'!D12</f>
        <v>7563.84968971126</v>
      </c>
      <c r="E29" s="154">
        <f>'Forecasts by year'!E12</f>
        <v>7563.84968971126</v>
      </c>
      <c r="F29" s="154">
        <f>'Forecasts by year'!F12</f>
        <v>7634.9161316247073</v>
      </c>
      <c r="G29" s="154">
        <f>'Forecasts by year'!G12</f>
        <v>7786.0063073174015</v>
      </c>
      <c r="H29" s="154">
        <f>'Forecasts by year'!H12</f>
        <v>8011.6997063274976</v>
      </c>
      <c r="I29" s="155">
        <f>SUM(D29:H29)</f>
        <v>38560.321524692132</v>
      </c>
    </row>
    <row r="30" spans="2:9" customFormat="1" x14ac:dyDescent="0.25">
      <c r="B30" s="4" t="s">
        <v>113</v>
      </c>
      <c r="C30" s="3"/>
      <c r="D30" s="154">
        <f>'Forecasts by year'!D13</f>
        <v>2603.568711159312</v>
      </c>
      <c r="E30" s="154">
        <f>'Forecasts by year'!E13</f>
        <v>2603.568711159312</v>
      </c>
      <c r="F30" s="154">
        <f>'Forecasts by year'!F13</f>
        <v>2628.0306415478753</v>
      </c>
      <c r="G30" s="154">
        <f>'Forecasts by year'!G13</f>
        <v>2680.0377107169188</v>
      </c>
      <c r="H30" s="154">
        <f>'Forecasts by year'!H13</f>
        <v>2757.7241132874478</v>
      </c>
      <c r="I30" s="155">
        <f>SUM(D30:H30)</f>
        <v>13272.929887870865</v>
      </c>
    </row>
    <row r="31" spans="2:9" customFormat="1" x14ac:dyDescent="0.25">
      <c r="B31" s="4" t="s">
        <v>122</v>
      </c>
      <c r="C31" s="3"/>
      <c r="D31" s="154">
        <f>'Forecasts by year'!D14</f>
        <v>1674.3775573000701</v>
      </c>
      <c r="E31" s="154">
        <f>'Forecasts by year'!E14</f>
        <v>1674.3775573000701</v>
      </c>
      <c r="F31" s="154">
        <f>'Forecasts by year'!F14</f>
        <v>1690.1092363125319</v>
      </c>
      <c r="G31" s="154">
        <f>'Forecasts by year'!G14</f>
        <v>1723.5554323220179</v>
      </c>
      <c r="H31" s="154">
        <f>'Forecasts by year'!H14</f>
        <v>1773.5162297513093</v>
      </c>
      <c r="I31" s="155">
        <f>SUM(D31:H31)</f>
        <v>8535.9360129859997</v>
      </c>
    </row>
    <row r="32" spans="2:9" customFormat="1" x14ac:dyDescent="0.25">
      <c r="B32" s="159" t="s">
        <v>1</v>
      </c>
      <c r="C32" s="15"/>
      <c r="D32" s="160">
        <f>SUM(D28:D31)</f>
        <v>28075.789687543998</v>
      </c>
      <c r="E32" s="160">
        <f t="shared" ref="E32:H32" si="1">SUM(E28:E31)</f>
        <v>28075.789687543998</v>
      </c>
      <c r="F32" s="160">
        <f t="shared" si="1"/>
        <v>28339.576853980961</v>
      </c>
      <c r="G32" s="160">
        <f t="shared" si="1"/>
        <v>28900.399209080413</v>
      </c>
      <c r="H32" s="160">
        <f t="shared" si="1"/>
        <v>29738.136692559714</v>
      </c>
      <c r="I32" s="16">
        <f>SUM(I28:I31)</f>
        <v>143129.6921307091</v>
      </c>
    </row>
  </sheetData>
  <mergeCells count="3">
    <mergeCell ref="B14:I15"/>
    <mergeCell ref="B19:I20"/>
    <mergeCell ref="D23:H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AER Summary</vt:lpstr>
      <vt:lpstr>Service Description</vt:lpstr>
      <vt:lpstr>Operating Costs</vt:lpstr>
      <vt:lpstr>Historical Revenue</vt:lpstr>
      <vt:lpstr>Proposed price</vt:lpstr>
      <vt:lpstr>Forecasts by year</vt:lpstr>
      <vt:lpstr>Forecast Revenue - Costs</vt:lpstr>
    </vt:vector>
  </TitlesOfParts>
  <Company>Ausgrid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Timothy Peters</cp:lastModifiedBy>
  <cp:lastPrinted>2017-08-29T06:11:46Z</cp:lastPrinted>
  <dcterms:created xsi:type="dcterms:W3CDTF">2013-06-17T01:25:32Z</dcterms:created>
  <dcterms:modified xsi:type="dcterms:W3CDTF">2018-04-17T22:08:56Z</dcterms:modified>
</cp:coreProperties>
</file>