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5_Customer Requested Lighting Services\"/>
    </mc:Choice>
  </mc:AlternateContent>
  <xr:revisionPtr revIDLastSave="0" documentId="13_ncr:1_{60E8F84C-0F6E-42D7-9D5E-84E7EA35906A}"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build-up"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B20" i="9" l="1"/>
  <c r="B10" i="9" l="1"/>
  <c r="N9" i="11" l="1"/>
  <c r="C23" i="17"/>
  <c r="D23" i="17" s="1"/>
  <c r="E23" i="17" s="1"/>
  <c r="F23" i="17" s="1"/>
  <c r="G23" i="17" s="1"/>
  <c r="H23" i="17" s="1"/>
  <c r="M10" i="11" l="1"/>
  <c r="E29" i="17" l="1"/>
  <c r="E11" i="17" s="1"/>
  <c r="E29" i="16" s="1"/>
  <c r="F29" i="17"/>
  <c r="F11" i="17" s="1"/>
  <c r="F29" i="16" s="1"/>
  <c r="G29" i="17"/>
  <c r="G11" i="17" s="1"/>
  <c r="G29" i="16" s="1"/>
  <c r="H29" i="17"/>
  <c r="H11" i="17" s="1"/>
  <c r="H29" i="16" s="1"/>
  <c r="D29" i="17"/>
  <c r="D11" i="17" s="1"/>
  <c r="D29" i="16" s="1"/>
  <c r="B11" i="16"/>
  <c r="I29" i="16" l="1"/>
  <c r="H5" i="17"/>
  <c r="G5" i="17"/>
  <c r="F5" i="17"/>
  <c r="E5" i="17"/>
  <c r="D5" i="17"/>
  <c r="H2" i="17"/>
  <c r="G2" i="17"/>
  <c r="F2" i="17"/>
  <c r="E2" i="17"/>
  <c r="D2" i="17"/>
  <c r="H1" i="17"/>
  <c r="G1" i="17"/>
  <c r="F1" i="17"/>
  <c r="E1" i="17"/>
  <c r="D1" i="17"/>
  <c r="Q9" i="11"/>
  <c r="K7" i="11"/>
  <c r="L7" i="11" s="1"/>
  <c r="N7" i="11" l="1"/>
  <c r="L10" i="11"/>
  <c r="C22" i="17" s="1"/>
  <c r="D22" i="17" s="1"/>
  <c r="F8" i="11"/>
  <c r="K10" i="11"/>
  <c r="E22" i="17" l="1"/>
  <c r="D10" i="17"/>
  <c r="D28" i="16" s="1"/>
  <c r="J10" i="11"/>
  <c r="F22" i="17" l="1"/>
  <c r="E10" i="17"/>
  <c r="E28" i="16" s="1"/>
  <c r="G22" i="17" l="1"/>
  <c r="F10" i="17"/>
  <c r="F28" i="16" s="1"/>
  <c r="L5" i="17"/>
  <c r="O1" i="17"/>
  <c r="N1" i="17"/>
  <c r="M1" i="17"/>
  <c r="K1" i="17"/>
  <c r="H22" i="17" l="1"/>
  <c r="H10" i="17" s="1"/>
  <c r="H28" i="16" s="1"/>
  <c r="G10" i="17"/>
  <c r="G28" i="16" s="1"/>
  <c r="L1" i="17"/>
  <c r="M5" i="17"/>
  <c r="N5" i="17"/>
  <c r="K5" i="17"/>
  <c r="O5" i="17"/>
  <c r="G15" i="15" l="1"/>
  <c r="H15" i="15"/>
  <c r="I13" i="15"/>
  <c r="G9" i="15"/>
  <c r="H9" i="15"/>
  <c r="I5" i="15"/>
  <c r="I6" i="15"/>
  <c r="I7" i="15"/>
  <c r="I8" i="15"/>
  <c r="I4" i="15"/>
  <c r="I15" i="13"/>
  <c r="I16" i="13"/>
  <c r="I14" i="13"/>
  <c r="G17" i="13"/>
  <c r="H17" i="13"/>
  <c r="I7" i="13"/>
  <c r="I8" i="13"/>
  <c r="I9" i="13"/>
  <c r="I6" i="13"/>
  <c r="G10" i="13"/>
  <c r="H10" i="13"/>
  <c r="G12" i="16" l="1"/>
  <c r="F57" i="8" s="1"/>
  <c r="I11" i="16"/>
  <c r="H12" i="16" l="1"/>
  <c r="G57" i="8" s="1"/>
  <c r="F15" i="15" l="1"/>
  <c r="E15" i="15"/>
  <c r="D15" i="15"/>
  <c r="I14" i="15"/>
  <c r="I15" i="15" l="1"/>
  <c r="E9" i="15"/>
  <c r="D9" i="15"/>
  <c r="F12" i="16"/>
  <c r="E57" i="8" s="1"/>
  <c r="E12" i="16"/>
  <c r="D57" i="8" s="1"/>
  <c r="D12" i="16"/>
  <c r="C57" i="8" s="1"/>
  <c r="I12" i="16"/>
  <c r="F17" i="13"/>
  <c r="E17" i="13"/>
  <c r="D17" i="13"/>
  <c r="F10" i="13"/>
  <c r="E10" i="13"/>
  <c r="D10" i="13"/>
  <c r="I10" i="13" l="1"/>
  <c r="I17" i="13"/>
  <c r="F9" i="15"/>
  <c r="I9" i="15" l="1"/>
  <c r="D3" i="9" l="1"/>
  <c r="H57" i="8" l="1"/>
  <c r="O30" i="17" l="1"/>
  <c r="N30" i="17"/>
  <c r="K30" i="17" l="1"/>
  <c r="M30" i="17"/>
  <c r="L30" i="17"/>
  <c r="H8" i="11" l="1"/>
  <c r="H10" i="11" s="1"/>
  <c r="C20" i="17" s="1"/>
  <c r="D20" i="17" s="1"/>
  <c r="D8" i="17" s="1"/>
  <c r="D26" i="16" s="1"/>
  <c r="E20" i="17" l="1"/>
  <c r="E8" i="17" s="1"/>
  <c r="E26" i="16" s="1"/>
  <c r="F20" i="17" l="1"/>
  <c r="F8" i="17" s="1"/>
  <c r="F26" i="16" s="1"/>
  <c r="G20" i="17" l="1"/>
  <c r="G8" i="17" s="1"/>
  <c r="G26" i="16" s="1"/>
  <c r="H20" i="17" l="1"/>
  <c r="H8" i="17" s="1"/>
  <c r="H26" i="16" s="1"/>
  <c r="I8" i="11" l="1"/>
  <c r="I10" i="11" l="1"/>
  <c r="C21" i="17" s="1"/>
  <c r="D21" i="17" s="1"/>
  <c r="D9" i="17" s="1"/>
  <c r="D27" i="16" s="1"/>
  <c r="N8" i="11"/>
  <c r="N10" i="11" l="1"/>
  <c r="C24" i="17" s="1"/>
  <c r="E21" i="17"/>
  <c r="E9" i="17" s="1"/>
  <c r="E27" i="16" s="1"/>
  <c r="D24" i="17"/>
  <c r="D12" i="17" s="1"/>
  <c r="D30" i="16" s="1"/>
  <c r="F21" i="17" l="1"/>
  <c r="F9" i="17" s="1"/>
  <c r="F27" i="16" s="1"/>
  <c r="E24" i="17"/>
  <c r="E12" i="17" s="1"/>
  <c r="E30" i="16" s="1"/>
  <c r="G21" i="17" l="1"/>
  <c r="G9" i="17" s="1"/>
  <c r="G27" i="16" s="1"/>
  <c r="F24" i="17"/>
  <c r="F12" i="17" s="1"/>
  <c r="F30" i="16" s="1"/>
  <c r="H21" i="17" l="1"/>
  <c r="H9" i="17" s="1"/>
  <c r="H27" i="16" s="1"/>
  <c r="I27" i="16" s="1"/>
  <c r="G24" i="17"/>
  <c r="G12" i="17" s="1"/>
  <c r="G30" i="16" s="1"/>
  <c r="I26" i="16" l="1"/>
  <c r="H24" i="17"/>
  <c r="H12" i="17" s="1"/>
  <c r="H30" i="16" s="1"/>
  <c r="I28" i="16" l="1"/>
  <c r="E4" i="17" l="1"/>
  <c r="H4" i="17"/>
  <c r="D4" i="17"/>
  <c r="G4" i="17"/>
  <c r="F4" i="17"/>
  <c r="P7" i="11"/>
  <c r="P8" i="11"/>
  <c r="P10" i="11" l="1"/>
  <c r="C26" i="17" s="1"/>
  <c r="N4" i="17"/>
  <c r="G26" i="17"/>
  <c r="G14" i="17" s="1"/>
  <c r="G32" i="16" s="1"/>
  <c r="K4" i="17"/>
  <c r="D26" i="17"/>
  <c r="D14" i="17" s="1"/>
  <c r="D32" i="16" s="1"/>
  <c r="O4" i="17"/>
  <c r="H26" i="17"/>
  <c r="H14" i="17" s="1"/>
  <c r="H32" i="16" s="1"/>
  <c r="M4" i="17"/>
  <c r="F26" i="17"/>
  <c r="F14" i="17" s="1"/>
  <c r="F32" i="16" s="1"/>
  <c r="L4" i="17"/>
  <c r="E26" i="17"/>
  <c r="E14" i="17" s="1"/>
  <c r="E32" i="16" s="1"/>
  <c r="F3" i="17" l="1"/>
  <c r="H3" i="17"/>
  <c r="G3" i="17"/>
  <c r="E3" i="17"/>
  <c r="D3" i="17"/>
  <c r="O9" i="11"/>
  <c r="R9" i="11" s="1"/>
  <c r="O7" i="11"/>
  <c r="O8" i="11"/>
  <c r="O10" i="11" l="1"/>
  <c r="C25" i="17" s="1"/>
  <c r="Q8" i="11"/>
  <c r="R8" i="11" s="1"/>
  <c r="L3" i="17"/>
  <c r="E25" i="17"/>
  <c r="E13" i="17" s="1"/>
  <c r="E31" i="16" s="1"/>
  <c r="Q7" i="11"/>
  <c r="N3" i="17"/>
  <c r="G25" i="17"/>
  <c r="G13" i="17" s="1"/>
  <c r="G31" i="16" s="1"/>
  <c r="O3" i="17"/>
  <c r="H25" i="17"/>
  <c r="H13" i="17" s="1"/>
  <c r="H31" i="16" s="1"/>
  <c r="K3" i="17"/>
  <c r="D25" i="17"/>
  <c r="D13" i="17" s="1"/>
  <c r="D31" i="16" s="1"/>
  <c r="M3" i="17"/>
  <c r="F25" i="17"/>
  <c r="F13" i="17" s="1"/>
  <c r="F31" i="16" s="1"/>
  <c r="I31" i="16" l="1"/>
  <c r="Q10" i="11"/>
  <c r="C27" i="17" s="1"/>
  <c r="G27" i="17"/>
  <c r="G15" i="17" s="1"/>
  <c r="G33" i="16" s="1"/>
  <c r="D27" i="17"/>
  <c r="D15" i="17" s="1"/>
  <c r="D33" i="16" s="1"/>
  <c r="R7" i="11"/>
  <c r="R10" i="11" s="1"/>
  <c r="E27" i="17"/>
  <c r="E15" i="17" s="1"/>
  <c r="E33" i="16" s="1"/>
  <c r="H27" i="17"/>
  <c r="H15" i="17" s="1"/>
  <c r="H33" i="16" s="1"/>
  <c r="F27" i="17"/>
  <c r="F15" i="17" s="1"/>
  <c r="F33" i="16" s="1"/>
  <c r="D28" i="17" l="1"/>
  <c r="D16" i="17" s="1"/>
  <c r="E28" i="17"/>
  <c r="E16" i="17" s="1"/>
  <c r="C28" i="17"/>
  <c r="D7" i="8"/>
  <c r="D30" i="17"/>
  <c r="D5" i="16" s="1"/>
  <c r="G28" i="17"/>
  <c r="G16" i="17" s="1"/>
  <c r="F28" i="17"/>
  <c r="F16" i="17" s="1"/>
  <c r="D43" i="8"/>
  <c r="F43" i="8"/>
  <c r="G43" i="8"/>
  <c r="E43" i="8"/>
  <c r="H28" i="17"/>
  <c r="H16" i="17" s="1"/>
  <c r="I32" i="16"/>
  <c r="E30" i="17" l="1"/>
  <c r="E5" i="16" s="1"/>
  <c r="I33" i="16"/>
  <c r="E41" i="8"/>
  <c r="E45" i="8" s="1"/>
  <c r="F34" i="16"/>
  <c r="C41" i="8"/>
  <c r="I30" i="16"/>
  <c r="I34" i="16" s="1"/>
  <c r="D34" i="16"/>
  <c r="D41" i="8"/>
  <c r="D45" i="8" s="1"/>
  <c r="E34" i="16"/>
  <c r="D17" i="17"/>
  <c r="E6" i="16"/>
  <c r="E17" i="17"/>
  <c r="H30" i="17"/>
  <c r="C43" i="8"/>
  <c r="H43" i="8" s="1"/>
  <c r="F41" i="8"/>
  <c r="F45" i="8" s="1"/>
  <c r="G34" i="16"/>
  <c r="F30" i="17"/>
  <c r="G30" i="17"/>
  <c r="G41" i="8"/>
  <c r="G45" i="8" s="1"/>
  <c r="H34" i="16"/>
  <c r="F17" i="17" l="1"/>
  <c r="F5" i="16"/>
  <c r="F6" i="16" s="1"/>
  <c r="H17" i="17"/>
  <c r="H5" i="16"/>
  <c r="H6" i="16" s="1"/>
  <c r="G17" i="17"/>
  <c r="G5" i="16"/>
  <c r="G6" i="16" s="1"/>
  <c r="D6" i="16"/>
  <c r="C45" i="8"/>
  <c r="H41" i="8"/>
  <c r="H45" i="8" s="1"/>
  <c r="I5" i="16" l="1"/>
  <c r="I6" i="16" s="1"/>
</calcChain>
</file>

<file path=xl/sharedStrings.xml><?xml version="1.0" encoding="utf-8"?>
<sst xmlns="http://schemas.openxmlformats.org/spreadsheetml/2006/main" count="221" uniqueCount="136">
  <si>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</si>
  <si>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</si>
  <si>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</si>
  <si>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</si>
  <si>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</si>
  <si>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</si>
  <si>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</si>
  <si>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</si>
  <si>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</si>
  <si>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</si>
  <si>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</si>
  <si>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</si>
  <si>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</si>
  <si>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</si>
  <si>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</si>
  <si>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</si>
  <si>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</si>
  <si>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</si>
  <si>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</si>
  <si>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</si>
  <si>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</si>
  <si>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</si>
  <si>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</si>
  <si>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</si>
  <si>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</si>
  <si>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</si>
  <si>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</si>
  <si>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</si>
  <si>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</si>
  <si>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</si>
  <si>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</si>
  <si>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2019-2024 Pricing Methodology for Service (Summary)</t>
  </si>
  <si>
    <t>Projected Costs for FY2019-24 Regulatory Period</t>
  </si>
  <si>
    <t>FY2020</t>
  </si>
  <si>
    <t>FY2021</t>
  </si>
  <si>
    <t>FY2022</t>
  </si>
  <si>
    <t>FY2024</t>
  </si>
  <si>
    <t>FY2023</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</si>
  <si>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</si>
  <si>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</si>
  <si>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</si>
  <si>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</si>
  <si>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</si>
  <si>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</si>
  <si>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</si>
  <si>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</si>
  <si>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</si>
  <si>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</si>
  <si>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</si>
  <si>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</si>
  <si>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</si>
  <si>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</si>
  <si>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</si>
  <si>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</si>
  <si>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</si>
  <si>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</si>
  <si>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</si>
  <si>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</si>
  <si>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Bottom Up Estimation</t>
  </si>
  <si>
    <t>New Service</t>
  </si>
  <si>
    <t xml:space="preserve">Existing Service Description (2014 - 19) </t>
  </si>
  <si>
    <t>Projected Volumes for FY2019-24 Regulatory Period</t>
  </si>
  <si>
    <t>Operating Costs (on IO's, work orders, cost objects, cost centres)</t>
  </si>
  <si>
    <t>Project Code</t>
  </si>
  <si>
    <t>FY22/23</t>
  </si>
  <si>
    <t>Field Officer</t>
  </si>
  <si>
    <t xml:space="preserve">Operating Costs - </t>
  </si>
  <si>
    <t>FY17/18</t>
  </si>
  <si>
    <t>FY18/19</t>
  </si>
  <si>
    <t>No historical revenue available.</t>
  </si>
  <si>
    <t>Proposed Fee ($2018/19 - Excl GST)</t>
  </si>
  <si>
    <t>Total Direct Costs $2018/19</t>
  </si>
  <si>
    <t>Total Indirect Costs $2018/19</t>
  </si>
  <si>
    <t>TOTAL COSTS $2018/19</t>
  </si>
  <si>
    <t>Real 2018-19 (including labour escalation)</t>
  </si>
  <si>
    <t>Labour</t>
  </si>
  <si>
    <t>Fleet</t>
  </si>
  <si>
    <t>Materials</t>
  </si>
  <si>
    <t>Total costs before OHDs, non-system and margin</t>
  </si>
  <si>
    <t>Overheads</t>
  </si>
  <si>
    <t>Non-system charge</t>
  </si>
  <si>
    <t>Profit margin</t>
  </si>
  <si>
    <t>Labour escalation</t>
  </si>
  <si>
    <t>Contractor rate increase</t>
  </si>
  <si>
    <t>Overhead rate</t>
  </si>
  <si>
    <t>Average non-system charge</t>
  </si>
  <si>
    <t>WACC rate</t>
  </si>
  <si>
    <t>ORDINARY LABOUR TIME</t>
  </si>
  <si>
    <t>2019-20</t>
  </si>
  <si>
    <t>2020-21</t>
  </si>
  <si>
    <t>2021-22</t>
  </si>
  <si>
    <t>2022-23</t>
  </si>
  <si>
    <t>2023-24</t>
  </si>
  <si>
    <t>Total before OHDs, non-system &amp; margin</t>
  </si>
  <si>
    <t>Fully Loaded Costs</t>
  </si>
  <si>
    <t>Forecast revenue (check)</t>
  </si>
  <si>
    <t>Real 2018-19 including escalation</t>
  </si>
  <si>
    <t>Profit margin (WACC FY20) per service</t>
  </si>
  <si>
    <t>Fully Loaded Cost per service</t>
  </si>
  <si>
    <t>Forecast volumes</t>
  </si>
  <si>
    <t>Forecast revenue</t>
  </si>
  <si>
    <t>Service previously  Unclassifed Service</t>
  </si>
  <si>
    <t xml:space="preserve">Current Fee ($2017/2018 - Excl GST) - </t>
  </si>
  <si>
    <t>Real $2018-19</t>
  </si>
  <si>
    <t>Per service</t>
  </si>
  <si>
    <t>Class of Labour</t>
  </si>
  <si>
    <t>Time on Task (hours)</t>
  </si>
  <si>
    <t>Number of staff</t>
  </si>
  <si>
    <t>Total Time (Hours)</t>
  </si>
  <si>
    <t>Overtime loading?
0 = No
1 = Yes</t>
  </si>
  <si>
    <t>Direct Labour Rate (incl on-costs)</t>
  </si>
  <si>
    <t>Fleet rate</t>
  </si>
  <si>
    <t>Material Purchace Price</t>
  </si>
  <si>
    <t>Material Price Oncost %</t>
  </si>
  <si>
    <t>Total Material Cost</t>
  </si>
  <si>
    <t>Direct cost per service</t>
  </si>
  <si>
    <t>FY2019 Fully Loaded Cost</t>
  </si>
  <si>
    <t>R4</t>
  </si>
  <si>
    <t>Luminere glare sheild Installation</t>
  </si>
  <si>
    <t>Warning Marker Installation - Construction Markers (Fee / Hrly Rate service)</t>
  </si>
  <si>
    <t>Fixed Fee</t>
  </si>
  <si>
    <t xml:space="preserve"> -  </t>
  </si>
  <si>
    <t>Per Streetlight</t>
  </si>
  <si>
    <t>OVERTIME  LABOUR TIME</t>
  </si>
  <si>
    <t>Traffic Control (average cost per light across S/L services)</t>
  </si>
  <si>
    <t>Contractor Costs (T/C)</t>
  </si>
  <si>
    <t xml:space="preserve">
Provision of Luminaire Glare Shield (customer requested) (NEW)</t>
  </si>
  <si>
    <r>
      <t xml:space="preserve">
</t>
    </r>
    <r>
      <rPr>
        <b/>
        <sz val="10"/>
        <color theme="1"/>
        <rFont val="Arial"/>
        <family val="2"/>
      </rPr>
      <t xml:space="preserve">Provision of Luminaire Glare Shield (customer requested)
</t>
    </r>
    <r>
      <rPr>
        <sz val="10"/>
        <color theme="1"/>
        <rFont val="Arial"/>
        <family val="2"/>
      </rPr>
      <t>Supply and installation of streetlight luminaire glare shield at customer's request.</t>
    </r>
  </si>
  <si>
    <t>New Service - Provision of Luminaire Glare Shield (customer requested)</t>
  </si>
  <si>
    <t>15.2 Provision of Luminaire Glare Shield</t>
  </si>
  <si>
    <t>Provision of Luminaire  Glare Shield</t>
  </si>
  <si>
    <t>Contractor Costs</t>
  </si>
  <si>
    <t>Luminaire glare shield</t>
  </si>
  <si>
    <t>Installation of luminaire glare sheild</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</si>
  <si>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</si>
  <si>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Estimates have been provided on the work effort that will be required to complete each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</si>
</sst>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6"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1"/>
      <color theme="1"/>
      <name val="Calibri"/>
      <family val="2"/>
      <scheme val="minor"/>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
      <b/>
      <sz val="8"/>
      <color theme="1"/>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5"/>
        <bgColor indexed="64"/>
      </patternFill>
    </fill>
    <fill>
      <patternFill patternType="solid">
        <fgColor theme="1" tint="0.499984740745262"/>
        <bgColor indexed="64"/>
      </patternFill>
    </fill>
    <fill>
      <patternFill patternType="solid">
        <fgColor theme="1" tint="4.9989318521683403E-2"/>
        <bgColor indexed="64"/>
      </patternFill>
    </fill>
    <fill>
      <patternFill patternType="solid">
        <fgColor rgb="FF002060"/>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50">
    <xf numFmtId="0" fontId="0" fillId="0" borderId="0" xfId="0"/>
    <xf numFmtId="0" fontId="2" fillId="0" borderId="0" xfId="0" applyFont="1"/>
    <xf numFmtId="0" fontId="7" fillId="5" borderId="3" xfId="0" applyFont="1" applyFill="1" applyBorder="1"/>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0" xfId="0"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8" borderId="9" xfId="0" applyFont="1" applyFill="1" applyBorder="1" applyAlignment="1">
      <alignment horizontal="center" vertical="center"/>
    </xf>
    <xf numFmtId="169"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left" vertical="center"/>
    </xf>
    <xf numFmtId="1" fontId="2" fillId="0" borderId="0" xfId="0" applyNumberFormat="1" applyFont="1"/>
    <xf numFmtId="2" fontId="2" fillId="0" borderId="0" xfId="0" applyNumberFormat="1" applyFont="1"/>
    <xf numFmtId="2" fontId="7" fillId="11" borderId="4" xfId="0" applyNumberFormat="1" applyFont="1" applyFill="1" applyBorder="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0" fontId="9" fillId="4" borderId="4" xfId="0" applyFont="1" applyFill="1" applyBorder="1" applyAlignment="1">
      <alignment horizontal="left"/>
    </xf>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7" fillId="5" borderId="8" xfId="0" applyFont="1" applyFill="1" applyBorder="1" applyAlignment="1">
      <alignment horizontal="center"/>
    </xf>
    <xf numFmtId="0" fontId="14" fillId="8" borderId="11" xfId="0" applyFont="1" applyFill="1" applyBorder="1"/>
    <xf numFmtId="0" fontId="15" fillId="8" borderId="0" xfId="0" applyFont="1" applyFill="1"/>
    <xf numFmtId="0" fontId="16" fillId="0" borderId="0" xfId="0" applyFont="1"/>
    <xf numFmtId="0" fontId="16" fillId="0" borderId="0" xfId="0" applyFont="1" applyFill="1"/>
    <xf numFmtId="0" fontId="17" fillId="9" borderId="4" xfId="0" applyFont="1" applyFill="1" applyBorder="1"/>
    <xf numFmtId="0" fontId="16" fillId="6" borderId="0" xfId="0" applyFont="1" applyFill="1"/>
    <xf numFmtId="0" fontId="17" fillId="9" borderId="10" xfId="0" applyFont="1" applyFill="1" applyBorder="1"/>
    <xf numFmtId="0" fontId="16" fillId="2" borderId="4" xfId="0" applyFont="1" applyFill="1" applyBorder="1" applyAlignment="1"/>
    <xf numFmtId="0" fontId="16" fillId="7" borderId="0" xfId="0" applyFont="1" applyFill="1" applyBorder="1" applyAlignment="1"/>
    <xf numFmtId="0" fontId="19" fillId="7" borderId="0" xfId="0" applyFont="1" applyFill="1" applyBorder="1" applyAlignment="1">
      <alignment horizontal="center" vertical="center" wrapText="1"/>
    </xf>
    <xf numFmtId="0" fontId="19" fillId="2" borderId="4" xfId="0" applyFont="1" applyFill="1" applyBorder="1" applyAlignment="1">
      <alignment vertical="center"/>
    </xf>
    <xf numFmtId="0" fontId="19" fillId="7" borderId="0" xfId="0" applyFont="1" applyFill="1" applyBorder="1" applyAlignment="1">
      <alignment horizontal="center" vertical="center"/>
    </xf>
    <xf numFmtId="0" fontId="20" fillId="7" borderId="0" xfId="0" applyFont="1" applyFill="1" applyBorder="1" applyAlignment="1">
      <alignment horizontal="center" vertical="center"/>
    </xf>
    <xf numFmtId="0" fontId="16" fillId="7" borderId="4" xfId="0" applyFont="1" applyFill="1" applyBorder="1" applyAlignment="1">
      <alignment vertical="center"/>
    </xf>
    <xf numFmtId="169" fontId="16" fillId="3" borderId="4" xfId="0" applyNumberFormat="1" applyFont="1" applyFill="1" applyBorder="1" applyAlignment="1">
      <alignment horizontal="center"/>
    </xf>
    <xf numFmtId="0" fontId="17" fillId="9" borderId="4" xfId="0" applyFont="1" applyFill="1" applyBorder="1" applyAlignment="1">
      <alignment horizontal="left" vertical="center"/>
    </xf>
    <xf numFmtId="0" fontId="18" fillId="7" borderId="0" xfId="0" applyFont="1" applyFill="1" applyBorder="1" applyAlignment="1">
      <alignment horizontal="left"/>
    </xf>
    <xf numFmtId="0" fontId="14" fillId="8" borderId="5" xfId="0" applyFont="1" applyFill="1" applyBorder="1"/>
    <xf numFmtId="0" fontId="15" fillId="8" borderId="2" xfId="0" applyFont="1" applyFill="1" applyBorder="1"/>
    <xf numFmtId="0" fontId="15" fillId="8" borderId="3" xfId="0" applyFont="1" applyFill="1" applyBorder="1"/>
    <xf numFmtId="0" fontId="16" fillId="7" borderId="0" xfId="0" applyFont="1" applyFill="1" applyBorder="1" applyAlignment="1">
      <alignment horizontal="left" vertical="top" wrapText="1"/>
    </xf>
    <xf numFmtId="0" fontId="14" fillId="8" borderId="0" xfId="0" applyFont="1" applyFill="1"/>
    <xf numFmtId="0" fontId="16" fillId="7" borderId="0" xfId="0" applyFont="1" applyFill="1" applyBorder="1" applyAlignment="1">
      <alignment horizontal="left" wrapText="1"/>
    </xf>
    <xf numFmtId="0" fontId="16" fillId="7" borderId="0" xfId="0" applyFont="1" applyFill="1" applyBorder="1" applyAlignment="1">
      <alignment horizontal="left"/>
    </xf>
    <xf numFmtId="0" fontId="16" fillId="0" borderId="0" xfId="0" applyFont="1" applyAlignment="1">
      <alignment horizontal="left"/>
    </xf>
    <xf numFmtId="0" fontId="16" fillId="0" borderId="0" xfId="0" applyFont="1" applyFill="1" applyBorder="1" applyAlignment="1">
      <alignment horizontal="left"/>
    </xf>
    <xf numFmtId="0" fontId="17" fillId="2" borderId="3" xfId="0" applyFont="1" applyFill="1" applyBorder="1"/>
    <xf numFmtId="0" fontId="16" fillId="7" borderId="0" xfId="0" applyFont="1" applyFill="1" applyAlignment="1">
      <alignment horizontal="left"/>
    </xf>
    <xf numFmtId="0" fontId="17" fillId="2" borderId="1" xfId="0" applyFont="1" applyFill="1" applyBorder="1"/>
    <xf numFmtId="0" fontId="17" fillId="9" borderId="6" xfId="0" applyFont="1" applyFill="1" applyBorder="1" applyAlignment="1">
      <alignment horizontal="left"/>
    </xf>
    <xf numFmtId="0" fontId="17" fillId="9" borderId="7" xfId="0" applyFont="1" applyFill="1" applyBorder="1" applyAlignment="1">
      <alignment horizontal="right"/>
    </xf>
    <xf numFmtId="0" fontId="17" fillId="9" borderId="8" xfId="0" applyFont="1" applyFill="1" applyBorder="1" applyAlignment="1">
      <alignment horizontal="right"/>
    </xf>
    <xf numFmtId="167" fontId="21" fillId="0" borderId="0" xfId="2" applyNumberFormat="1" applyFont="1"/>
    <xf numFmtId="167" fontId="17" fillId="2" borderId="7" xfId="2" applyNumberFormat="1" applyFont="1" applyFill="1" applyBorder="1"/>
    <xf numFmtId="10" fontId="16" fillId="0" borderId="0" xfId="1" applyNumberFormat="1" applyFont="1"/>
    <xf numFmtId="10" fontId="16" fillId="0" borderId="0" xfId="0" applyNumberFormat="1" applyFont="1"/>
    <xf numFmtId="170" fontId="16" fillId="0" borderId="0" xfId="1" applyNumberFormat="1" applyFont="1"/>
    <xf numFmtId="0" fontId="14" fillId="8" borderId="6" xfId="0" applyFont="1" applyFill="1" applyBorder="1" applyAlignment="1">
      <alignment horizontal="left"/>
    </xf>
    <xf numFmtId="0" fontId="18" fillId="0" borderId="0" xfId="0" applyFont="1"/>
    <xf numFmtId="0" fontId="17" fillId="2" borderId="6" xfId="0" applyFont="1" applyFill="1" applyBorder="1" applyAlignment="1">
      <alignment horizontal="left"/>
    </xf>
    <xf numFmtId="0" fontId="17" fillId="2" borderId="7" xfId="0" applyFont="1" applyFill="1" applyBorder="1" applyAlignment="1">
      <alignment horizontal="right"/>
    </xf>
    <xf numFmtId="0" fontId="17" fillId="2" borderId="8" xfId="0" applyFont="1" applyFill="1" applyBorder="1" applyAlignment="1">
      <alignment horizontal="right"/>
    </xf>
    <xf numFmtId="168" fontId="21" fillId="0" borderId="0" xfId="3" applyNumberFormat="1" applyFont="1" applyAlignment="1"/>
    <xf numFmtId="171" fontId="17" fillId="2" borderId="7" xfId="2" applyNumberFormat="1" applyFont="1" applyFill="1" applyBorder="1" applyAlignment="1"/>
    <xf numFmtId="168" fontId="22" fillId="0" borderId="0" xfId="3" applyNumberFormat="1" applyFont="1" applyAlignment="1">
      <alignment horizontal="right"/>
    </xf>
    <xf numFmtId="168" fontId="22" fillId="0" borderId="0" xfId="3" applyNumberFormat="1" applyFont="1" applyAlignment="1">
      <alignment horizontal="center" vertical="center"/>
    </xf>
    <xf numFmtId="0" fontId="7" fillId="2" borderId="6" xfId="0" applyFont="1" applyFill="1" applyBorder="1"/>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13"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0" fontId="5" fillId="8" borderId="8" xfId="0" applyFont="1" applyFill="1" applyBorder="1" applyAlignment="1"/>
    <xf numFmtId="0" fontId="5" fillId="8" borderId="0" xfId="0" applyFont="1" applyFill="1" applyBorder="1" applyAlignment="1"/>
    <xf numFmtId="10" fontId="0" fillId="0" borderId="0" xfId="1" applyNumberFormat="1" applyFont="1"/>
    <xf numFmtId="10" fontId="0" fillId="0" borderId="0" xfId="0" applyNumberFormat="1"/>
    <xf numFmtId="0" fontId="23" fillId="0" borderId="0" xfId="0" applyFont="1"/>
    <xf numFmtId="166" fontId="5" fillId="13" borderId="4" xfId="3" applyFont="1" applyFill="1" applyBorder="1" applyAlignment="1">
      <alignment horizontal="left"/>
    </xf>
    <xf numFmtId="166" fontId="5" fillId="13"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24" fillId="4" borderId="5" xfId="0" applyFont="1" applyFill="1" applyBorder="1"/>
    <xf numFmtId="0" fontId="2" fillId="4" borderId="4" xfId="0" applyFont="1" applyFill="1" applyBorder="1" applyAlignment="1">
      <alignment horizontal="left"/>
    </xf>
    <xf numFmtId="166" fontId="25"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25" fillId="5" borderId="4" xfId="3" applyFont="1" applyFill="1" applyBorder="1"/>
    <xf numFmtId="0" fontId="6" fillId="4" borderId="4" xfId="0" applyFont="1" applyFill="1" applyBorder="1" applyAlignment="1">
      <alignment horizontal="left"/>
    </xf>
    <xf numFmtId="166" fontId="26"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27" fillId="2" borderId="4" xfId="0" applyFont="1" applyFill="1" applyBorder="1" applyAlignment="1">
      <alignment horizontal="center" vertical="center"/>
    </xf>
    <xf numFmtId="169" fontId="2" fillId="7" borderId="4" xfId="0" applyNumberFormat="1" applyFont="1" applyFill="1" applyBorder="1" applyAlignment="1">
      <alignment horizontal="left"/>
    </xf>
    <xf numFmtId="0" fontId="28" fillId="8" borderId="0" xfId="0" applyFont="1" applyFill="1"/>
    <xf numFmtId="0" fontId="29" fillId="8" borderId="0" xfId="0" applyFont="1" applyFill="1"/>
    <xf numFmtId="0" fontId="30" fillId="0" borderId="0" xfId="0" applyFont="1"/>
    <xf numFmtId="0" fontId="31" fillId="0" borderId="0" xfId="0" applyFont="1"/>
    <xf numFmtId="0" fontId="33" fillId="10" borderId="4" xfId="0" applyFont="1" applyFill="1" applyBorder="1" applyAlignment="1">
      <alignment horizontal="left"/>
    </xf>
    <xf numFmtId="0" fontId="31" fillId="10" borderId="4" xfId="0" applyFont="1" applyFill="1" applyBorder="1" applyAlignment="1">
      <alignment wrapText="1"/>
    </xf>
    <xf numFmtId="167" fontId="31" fillId="10" borderId="4" xfId="2" applyNumberFormat="1" applyFont="1" applyFill="1" applyBorder="1"/>
    <xf numFmtId="167" fontId="34" fillId="11" borderId="5" xfId="2" applyNumberFormat="1" applyFont="1" applyFill="1" applyBorder="1"/>
    <xf numFmtId="0" fontId="31" fillId="4" borderId="3" xfId="0" applyFont="1" applyFill="1" applyBorder="1"/>
    <xf numFmtId="0" fontId="31" fillId="10" borderId="4" xfId="0" applyFont="1" applyFill="1" applyBorder="1"/>
    <xf numFmtId="0" fontId="32" fillId="5" borderId="8" xfId="0" applyFont="1" applyFill="1" applyBorder="1"/>
    <xf numFmtId="0" fontId="32" fillId="5" borderId="0" xfId="0" applyFont="1" applyFill="1" applyBorder="1"/>
    <xf numFmtId="167" fontId="32" fillId="5" borderId="8" xfId="2" applyNumberFormat="1" applyFont="1" applyFill="1" applyBorder="1"/>
    <xf numFmtId="0" fontId="32" fillId="11" borderId="7" xfId="0" applyFont="1" applyFill="1" applyBorder="1" applyAlignment="1">
      <alignment horizontal="left"/>
    </xf>
    <xf numFmtId="0" fontId="32" fillId="11" borderId="11" xfId="0" applyFont="1" applyFill="1" applyBorder="1" applyAlignment="1">
      <alignment horizontal="left"/>
    </xf>
    <xf numFmtId="0" fontId="32" fillId="11" borderId="7" xfId="0" applyFont="1" applyFill="1" applyBorder="1" applyAlignment="1">
      <alignment horizontal="center"/>
    </xf>
    <xf numFmtId="0" fontId="32" fillId="11" borderId="8" xfId="0" applyFont="1" applyFill="1" applyBorder="1" applyAlignment="1">
      <alignment horizontal="center"/>
    </xf>
    <xf numFmtId="0" fontId="32" fillId="11" borderId="8" xfId="0" applyFont="1" applyFill="1" applyBorder="1" applyAlignment="1">
      <alignment horizontal="right"/>
    </xf>
    <xf numFmtId="0" fontId="31" fillId="4" borderId="5" xfId="0" applyFont="1" applyFill="1" applyBorder="1"/>
    <xf numFmtId="3" fontId="31" fillId="10" borderId="4" xfId="0" applyNumberFormat="1" applyFont="1" applyFill="1" applyBorder="1"/>
    <xf numFmtId="3" fontId="34" fillId="11" borderId="10" xfId="0" applyNumberFormat="1" applyFont="1" applyFill="1" applyBorder="1"/>
    <xf numFmtId="0" fontId="31" fillId="4" borderId="5" xfId="0" quotePrefix="1" applyFont="1" applyFill="1" applyBorder="1"/>
    <xf numFmtId="3" fontId="31" fillId="4" borderId="4" xfId="0" applyNumberFormat="1" applyFont="1" applyFill="1" applyBorder="1"/>
    <xf numFmtId="3" fontId="34" fillId="11" borderId="5" xfId="0" applyNumberFormat="1" applyFont="1" applyFill="1" applyBorder="1"/>
    <xf numFmtId="0" fontId="32" fillId="11" borderId="8" xfId="0" applyFont="1" applyFill="1" applyBorder="1"/>
    <xf numFmtId="3" fontId="32" fillId="5" borderId="8" xfId="0" applyNumberFormat="1" applyFont="1" applyFill="1" applyBorder="1"/>
    <xf numFmtId="0" fontId="34" fillId="0" borderId="0" xfId="0" applyFont="1"/>
    <xf numFmtId="0" fontId="32" fillId="5" borderId="6" xfId="0" applyFont="1" applyFill="1" applyBorder="1" applyAlignment="1">
      <alignment horizontal="left"/>
    </xf>
    <xf numFmtId="0" fontId="32" fillId="5" borderId="12" xfId="0" applyFont="1" applyFill="1" applyBorder="1"/>
    <xf numFmtId="0" fontId="35" fillId="5" borderId="12" xfId="0" applyFont="1" applyFill="1" applyBorder="1"/>
    <xf numFmtId="0" fontId="31" fillId="4" borderId="0" xfId="0" quotePrefix="1" applyFont="1" applyFill="1" applyBorder="1" applyAlignment="1">
      <alignment vertical="top"/>
    </xf>
    <xf numFmtId="0" fontId="31" fillId="4" borderId="0" xfId="0" applyFont="1" applyFill="1" applyBorder="1" applyAlignment="1">
      <alignment vertical="top"/>
    </xf>
    <xf numFmtId="0" fontId="16" fillId="7" borderId="0" xfId="0" applyFont="1" applyFill="1" applyBorder="1" applyAlignment="1">
      <alignment horizontal="center" vertical="center"/>
    </xf>
    <xf numFmtId="0" fontId="7" fillId="9" borderId="4" xfId="0" applyFont="1" applyFill="1" applyBorder="1" applyAlignment="1">
      <alignment vertical="center" wrapText="1"/>
    </xf>
    <xf numFmtId="0" fontId="5" fillId="8" borderId="9" xfId="0" applyFont="1" applyFill="1" applyBorder="1" applyAlignment="1">
      <alignment horizontal="center" vertical="center" wrapText="1"/>
    </xf>
    <xf numFmtId="2" fontId="5" fillId="8" borderId="9" xfId="0" applyNumberFormat="1" applyFont="1" applyFill="1" applyBorder="1" applyAlignment="1">
      <alignment horizontal="center" vertical="center" wrapText="1"/>
    </xf>
    <xf numFmtId="0" fontId="4" fillId="10" borderId="4" xfId="0" applyFont="1" applyFill="1" applyBorder="1" applyAlignment="1">
      <alignment horizontal="center"/>
    </xf>
    <xf numFmtId="2" fontId="4" fillId="10" borderId="4" xfId="0" applyNumberFormat="1" applyFont="1" applyFill="1" applyBorder="1" applyAlignment="1">
      <alignment horizontal="center"/>
    </xf>
    <xf numFmtId="169" fontId="5" fillId="8" borderId="9" xfId="0" applyNumberFormat="1" applyFont="1" applyFill="1" applyBorder="1" applyAlignment="1">
      <alignment horizontal="center" vertical="center" wrapText="1"/>
    </xf>
    <xf numFmtId="169" fontId="7" fillId="9" borderId="5" xfId="0" applyNumberFormat="1" applyFont="1" applyFill="1" applyBorder="1" applyAlignment="1"/>
    <xf numFmtId="169" fontId="7" fillId="9" borderId="2" xfId="0" applyNumberFormat="1" applyFont="1" applyFill="1" applyBorder="1" applyAlignment="1"/>
    <xf numFmtId="169" fontId="7" fillId="9" borderId="3" xfId="0" applyNumberFormat="1" applyFont="1" applyFill="1" applyBorder="1" applyAlignment="1">
      <alignment horizontal="left"/>
    </xf>
    <xf numFmtId="0" fontId="7" fillId="9" borderId="9" xfId="0" applyFont="1" applyFill="1" applyBorder="1" applyAlignment="1">
      <alignment horizontal="left" vertical="center"/>
    </xf>
    <xf numFmtId="10" fontId="4" fillId="10" borderId="4" xfId="1" applyNumberFormat="1" applyFont="1" applyFill="1" applyBorder="1" applyAlignment="1">
      <alignment horizontal="center" vertical="center"/>
    </xf>
    <xf numFmtId="2" fontId="7" fillId="11" borderId="4" xfId="0" applyNumberFormat="1" applyFont="1" applyFill="1" applyBorder="1"/>
    <xf numFmtId="169" fontId="2" fillId="7" borderId="4" xfId="0" applyNumberFormat="1" applyFont="1" applyFill="1" applyBorder="1" applyAlignment="1">
      <alignment horizontal="center"/>
    </xf>
    <xf numFmtId="2" fontId="4" fillId="10" borderId="4" xfId="0" applyNumberFormat="1" applyFont="1" applyFill="1" applyBorder="1" applyAlignment="1">
      <alignment horizontal="center" vertical="center"/>
    </xf>
    <xf numFmtId="0" fontId="4" fillId="10" borderId="4" xfId="0" applyFont="1" applyFill="1" applyBorder="1" applyAlignment="1">
      <alignment horizontal="center" vertical="center"/>
    </xf>
    <xf numFmtId="10" fontId="4" fillId="10" borderId="4" xfId="0" applyNumberFormat="1" applyFont="1" applyFill="1" applyBorder="1" applyAlignment="1">
      <alignment horizontal="center"/>
    </xf>
    <xf numFmtId="4" fontId="4" fillId="10" borderId="4" xfId="0" applyNumberFormat="1" applyFont="1" applyFill="1" applyBorder="1" applyAlignment="1">
      <alignment horizontal="center"/>
    </xf>
    <xf numFmtId="4" fontId="7" fillId="10" borderId="4" xfId="0" applyNumberFormat="1" applyFont="1" applyFill="1" applyBorder="1" applyAlignment="1">
      <alignment horizontal="center"/>
    </xf>
    <xf numFmtId="2" fontId="7" fillId="10" borderId="4" xfId="1" applyNumberFormat="1" applyFont="1" applyFill="1" applyBorder="1" applyAlignment="1">
      <alignment horizontal="center" vertical="center" wrapText="1"/>
    </xf>
    <xf numFmtId="0" fontId="16" fillId="7" borderId="1" xfId="0" applyFont="1" applyFill="1" applyBorder="1" applyAlignment="1">
      <alignment horizontal="left" wrapText="1"/>
    </xf>
    <xf numFmtId="0" fontId="16" fillId="7" borderId="0" xfId="0" applyFont="1" applyFill="1" applyBorder="1" applyAlignment="1">
      <alignment horizontal="left" wrapText="1"/>
    </xf>
    <xf numFmtId="0" fontId="9" fillId="7" borderId="0" xfId="0" applyFont="1" applyFill="1" applyBorder="1" applyAlignment="1">
      <alignment horizontal="left" wrapText="1"/>
    </xf>
    <xf numFmtId="0" fontId="16" fillId="7" borderId="0" xfId="0" quotePrefix="1" applyFont="1" applyFill="1" applyBorder="1" applyAlignment="1">
      <alignment horizontal="left" vertical="top" wrapText="1"/>
    </xf>
    <xf numFmtId="0" fontId="6" fillId="7" borderId="10" xfId="0" applyNumberFormat="1" applyFont="1" applyFill="1" applyBorder="1" applyAlignment="1">
      <alignment horizontal="left" wrapText="1"/>
    </xf>
    <xf numFmtId="0" fontId="18" fillId="7" borderId="1" xfId="0" applyNumberFormat="1" applyFont="1" applyFill="1" applyBorder="1" applyAlignment="1">
      <alignment horizontal="left" wrapText="1"/>
    </xf>
    <xf numFmtId="0" fontId="2"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169" fontId="21" fillId="7" borderId="4" xfId="0" applyNumberFormat="1" applyFont="1" applyFill="1" applyBorder="1" applyAlignment="1">
      <alignment horizontal="left"/>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9"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5" fillId="14" borderId="0" xfId="0" applyFont="1" applyFill="1" applyBorder="1" applyAlignment="1">
      <alignment horizontal="center"/>
    </xf>
    <xf numFmtId="2" fontId="5" fillId="15" borderId="0" xfId="0" applyNumberFormat="1" applyFont="1" applyFill="1" applyAlignment="1">
      <alignment horizontal="center"/>
    </xf>
    <xf numFmtId="0" fontId="33" fillId="4" borderId="1" xfId="0" applyFont="1" applyFill="1" applyBorder="1" applyAlignment="1">
      <alignment horizontal="left" vertical="top" wrapText="1"/>
    </xf>
    <xf numFmtId="0" fontId="33" fillId="4" borderId="0" xfId="0" applyFont="1" applyFill="1" applyBorder="1" applyAlignment="1">
      <alignment horizontal="left" vertical="top" wrapText="1"/>
    </xf>
    <xf numFmtId="0" fontId="31" fillId="4" borderId="1" xfId="0" quotePrefix="1" applyFont="1" applyFill="1" applyBorder="1" applyAlignment="1">
      <alignment horizontal="left" vertical="top" wrapText="1"/>
    </xf>
    <xf numFmtId="0" fontId="31" fillId="4" borderId="0" xfId="0" quotePrefix="1" applyFont="1" applyFill="1" applyBorder="1" applyAlignment="1">
      <alignment horizontal="left" vertical="top" wrapText="1"/>
    </xf>
    <xf numFmtId="10" fontId="23" fillId="12" borderId="12" xfId="0" applyNumberFormat="1" applyFont="1" applyFill="1" applyBorder="1" applyAlignment="1">
      <alignment horizontal="center"/>
    </xf>
    <xf numFmtId="10" fontId="23" fillId="12"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166" fontId="26" fillId="5" borderId="4" xfId="3" applyFont="1" applyFill="1" applyBorder="1"/>
    <xf numFmtId="0" fontId="7" fillId="5" borderId="4" xfId="0" applyFont="1" applyFill="1" applyBorder="1" applyAlignment="1">
      <alignment horizontal="left"/>
    </xf>
    <xf numFmtId="0" fontId="7" fillId="5" borderId="4" xfId="0" applyFont="1" applyFill="1" applyBorder="1" applyAlignment="1">
      <alignment horizontal="right"/>
    </xf>
    <xf numFmtId="3" fontId="6" fillId="10" borderId="4" xfId="0" applyNumberFormat="1" applyFont="1" applyFill="1" applyBorder="1"/>
    <xf numFmtId="3" fontId="7" fillId="5" borderId="4" xfId="0" applyNumberFormat="1" applyFont="1" applyFill="1" applyBorder="1"/>
    <xf numFmtId="167" fontId="6" fillId="10" borderId="4" xfId="2" applyNumberFormat="1" applyFont="1" applyFill="1" applyBorder="1"/>
    <xf numFmtId="167" fontId="7" fillId="5" borderId="4" xfId="2" applyNumberFormat="1"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row>
        <row r="21">
          <cell r="B21" t="str">
            <v>R1b</v>
          </cell>
          <cell r="C21" t="str">
            <v>AO23</v>
          </cell>
          <cell r="D21">
            <v>40</v>
          </cell>
          <cell r="E21">
            <v>62.63</v>
          </cell>
          <cell r="F21">
            <v>63.882600000000004</v>
          </cell>
          <cell r="G21">
            <v>64.505455350000005</v>
          </cell>
          <cell r="H21">
            <v>100.75107071116501</v>
          </cell>
        </row>
        <row r="22">
          <cell r="B22" t="str">
            <v>R2a</v>
          </cell>
          <cell r="C22" t="str">
            <v>TO16</v>
          </cell>
          <cell r="D22">
            <v>40</v>
          </cell>
          <cell r="E22">
            <v>64.19</v>
          </cell>
          <cell r="F22">
            <v>65.473799999999997</v>
          </cell>
          <cell r="G22">
            <v>66.11216954999999</v>
          </cell>
          <cell r="H22">
            <v>103.26059762014499</v>
          </cell>
        </row>
        <row r="23">
          <cell r="B23" t="str">
            <v>R2b</v>
          </cell>
          <cell r="C23" t="str">
            <v>TO16</v>
          </cell>
          <cell r="D23">
            <v>40</v>
          </cell>
          <cell r="E23">
            <v>64.19</v>
          </cell>
          <cell r="F23">
            <v>65.473799999999997</v>
          </cell>
          <cell r="G23">
            <v>66.11216954999999</v>
          </cell>
          <cell r="H23">
            <v>103.26059762014499</v>
          </cell>
        </row>
        <row r="24">
          <cell r="B24" t="str">
            <v>R3</v>
          </cell>
          <cell r="C24" t="str">
            <v>EAMS8</v>
          </cell>
          <cell r="D24">
            <v>44</v>
          </cell>
          <cell r="E24">
            <v>73.73</v>
          </cell>
          <cell r="F24">
            <v>75.204599999999999</v>
          </cell>
          <cell r="G24">
            <v>75.937844849999991</v>
          </cell>
          <cell r="H24">
            <v>118.60731987121498</v>
          </cell>
        </row>
        <row r="25">
          <cell r="B25" t="str">
            <v>R4</v>
          </cell>
          <cell r="C25" t="str">
            <v>TO8</v>
          </cell>
          <cell r="D25">
            <v>32</v>
          </cell>
          <cell r="E25">
            <v>49.63</v>
          </cell>
          <cell r="F25">
            <v>50.622600000000006</v>
          </cell>
          <cell r="G25">
            <v>51.116170350000004</v>
          </cell>
          <cell r="H25">
            <v>79.838346469665012</v>
          </cell>
        </row>
        <row r="38">
          <cell r="G38">
            <v>0.1031</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zoomScale="90" zoomScaleNormal="90" workbookViewId="0">
      <selection activeCell="H57" sqref="H57"/>
    </sheetView>
  </sheetViews>
  <sheetFormatPr defaultRowHeight="12.75" x14ac:dyDescent="0.2"/>
  <cols>
    <col min="1" max="1" width="2.42578125" style="68" customWidth="1"/>
    <col min="2" max="2" width="41.85546875" style="68" customWidth="1"/>
    <col min="3" max="3" width="24.85546875" style="68" customWidth="1"/>
    <col min="4" max="4" width="25.85546875" style="68" bestFit="1" customWidth="1"/>
    <col min="5" max="5" width="13.85546875" style="68" customWidth="1"/>
    <col min="6" max="6" width="14" style="68" customWidth="1"/>
    <col min="7" max="7" width="12.85546875" style="68" customWidth="1"/>
    <col min="8" max="8" width="13.28515625" style="68" customWidth="1"/>
    <col min="9" max="9" width="11.5703125" style="68" customWidth="1"/>
    <col min="10" max="16384" width="9.140625" style="68"/>
  </cols>
  <sheetData>
    <row r="2" spans="2:19" x14ac:dyDescent="0.2">
      <c r="B2" s="66" t="s">
        <v>7</v>
      </c>
      <c r="C2" s="67"/>
      <c r="D2" s="67"/>
      <c r="E2" s="67"/>
      <c r="F2" s="67"/>
      <c r="G2" s="67"/>
      <c r="H2" s="67"/>
      <c r="O2" s="69"/>
      <c r="P2" s="69"/>
      <c r="Q2" s="69"/>
      <c r="R2" s="69"/>
      <c r="S2" s="69"/>
    </row>
    <row r="3" spans="2:19" ht="75.75" customHeight="1" x14ac:dyDescent="0.2">
      <c r="B3" s="70" t="s">
        <v>50</v>
      </c>
      <c r="C3" s="208" t="s">
        <v>126</v>
      </c>
      <c r="D3" s="209"/>
      <c r="E3" s="209"/>
      <c r="F3" s="209"/>
      <c r="G3" s="209"/>
      <c r="H3" s="209"/>
      <c r="M3" s="71"/>
      <c r="N3" s="71"/>
      <c r="O3" s="69"/>
      <c r="P3" s="69"/>
      <c r="Q3" s="69"/>
      <c r="R3" s="69"/>
      <c r="S3" s="69"/>
    </row>
    <row r="4" spans="2:19" ht="55.5" customHeight="1" x14ac:dyDescent="0.2">
      <c r="B4" s="72"/>
      <c r="C4" s="73"/>
      <c r="D4" s="73"/>
      <c r="E4" s="74"/>
      <c r="F4" s="75"/>
      <c r="G4" s="75"/>
      <c r="H4" s="75"/>
      <c r="M4" s="71"/>
      <c r="N4" s="71"/>
      <c r="O4" s="69"/>
      <c r="P4" s="69"/>
      <c r="Q4" s="69"/>
      <c r="R4" s="69"/>
      <c r="S4" s="69"/>
    </row>
    <row r="5" spans="2:19" x14ac:dyDescent="0.2">
      <c r="B5" s="70" t="s">
        <v>13</v>
      </c>
      <c r="C5" s="76"/>
      <c r="D5" s="150" t="s">
        <v>120</v>
      </c>
      <c r="E5" s="77"/>
      <c r="F5" s="78"/>
      <c r="G5" s="78"/>
      <c r="H5" s="78"/>
      <c r="M5" s="71"/>
      <c r="N5" s="71"/>
      <c r="O5" s="69"/>
      <c r="P5" s="69"/>
      <c r="Q5" s="69"/>
      <c r="R5" s="69"/>
      <c r="S5" s="69"/>
    </row>
    <row r="6" spans="2:19" ht="15" customHeight="1" x14ac:dyDescent="0.2">
      <c r="B6" s="185" t="s">
        <v>102</v>
      </c>
      <c r="C6" s="79"/>
      <c r="D6" s="197" t="s">
        <v>121</v>
      </c>
      <c r="E6" s="77"/>
      <c r="F6" s="78"/>
      <c r="G6" s="78"/>
      <c r="H6" s="78"/>
      <c r="M6" s="71"/>
      <c r="N6" s="71"/>
      <c r="O6" s="69"/>
      <c r="P6" s="69"/>
      <c r="Q6" s="69"/>
      <c r="R6" s="69"/>
      <c r="S6" s="69"/>
    </row>
    <row r="7" spans="2:19" x14ac:dyDescent="0.2">
      <c r="B7" s="194" t="s">
        <v>70</v>
      </c>
      <c r="C7" s="151" t="s">
        <v>122</v>
      </c>
      <c r="D7" s="80">
        <f>'Proposed price build-up'!R10</f>
        <v>557.56673735608763</v>
      </c>
      <c r="E7" s="184"/>
      <c r="F7" s="184"/>
      <c r="G7" s="184"/>
      <c r="H7" s="184"/>
      <c r="O7" s="69"/>
      <c r="P7" s="69"/>
      <c r="Q7" s="69"/>
      <c r="R7" s="69"/>
      <c r="S7" s="69"/>
    </row>
    <row r="8" spans="2:19" x14ac:dyDescent="0.2">
      <c r="B8" s="81" t="s">
        <v>43</v>
      </c>
      <c r="C8" s="212" t="s">
        <v>58</v>
      </c>
      <c r="D8" s="212"/>
      <c r="E8" s="82"/>
      <c r="F8" s="82"/>
      <c r="G8" s="82"/>
      <c r="H8" s="82"/>
      <c r="O8" s="69"/>
      <c r="P8" s="69"/>
      <c r="Q8" s="69"/>
      <c r="R8" s="69"/>
      <c r="S8" s="69"/>
    </row>
    <row r="9" spans="2:19" x14ac:dyDescent="0.2">
      <c r="B9" s="83" t="s">
        <v>5</v>
      </c>
      <c r="C9" s="84"/>
      <c r="D9" s="84"/>
      <c r="E9" s="84"/>
      <c r="F9" s="84"/>
      <c r="G9" s="84"/>
      <c r="H9" s="85"/>
      <c r="O9" s="69"/>
      <c r="P9" s="69"/>
      <c r="Q9" s="69"/>
      <c r="R9" s="69"/>
      <c r="S9" s="69"/>
    </row>
    <row r="10" spans="2:19" ht="89.25" customHeight="1" x14ac:dyDescent="0.2">
      <c r="B10" s="210" t="s">
        <v>127</v>
      </c>
      <c r="C10" s="210"/>
      <c r="D10" s="210"/>
      <c r="E10" s="210"/>
      <c r="F10" s="210"/>
      <c r="G10" s="210"/>
      <c r="H10" s="210"/>
      <c r="O10" s="69"/>
      <c r="P10" s="69"/>
      <c r="Q10" s="69"/>
      <c r="R10" s="69"/>
      <c r="S10" s="69"/>
    </row>
    <row r="11" spans="2:19" x14ac:dyDescent="0.2">
      <c r="B11" s="86"/>
      <c r="C11" s="86"/>
      <c r="D11" s="86"/>
      <c r="E11" s="86"/>
      <c r="F11" s="86"/>
      <c r="G11" s="86"/>
      <c r="H11" s="86"/>
      <c r="O11" s="69"/>
      <c r="P11" s="69"/>
      <c r="Q11" s="69"/>
      <c r="R11" s="69"/>
      <c r="S11" s="69"/>
    </row>
    <row r="12" spans="2:19" x14ac:dyDescent="0.2">
      <c r="O12" s="69"/>
      <c r="P12" s="69"/>
      <c r="Q12" s="69"/>
      <c r="R12" s="69"/>
      <c r="S12" s="69"/>
    </row>
    <row r="13" spans="2:19" x14ac:dyDescent="0.2">
      <c r="B13" s="87" t="s">
        <v>31</v>
      </c>
      <c r="C13" s="67"/>
      <c r="D13" s="67"/>
      <c r="E13" s="67"/>
      <c r="F13" s="67"/>
      <c r="G13" s="67"/>
      <c r="H13" s="67"/>
      <c r="O13" s="69"/>
      <c r="P13" s="69"/>
      <c r="Q13" s="69"/>
      <c r="R13" s="69"/>
      <c r="S13" s="69"/>
    </row>
    <row r="14" spans="2:19" x14ac:dyDescent="0.2">
      <c r="B14" s="205"/>
      <c r="C14" s="205"/>
      <c r="D14" s="205"/>
      <c r="E14" s="205"/>
      <c r="F14" s="205"/>
      <c r="G14" s="205"/>
      <c r="H14" s="205"/>
    </row>
    <row r="15" spans="2:19" ht="126.75" customHeight="1" x14ac:dyDescent="0.2">
      <c r="B15" s="211" t="s">
        <v>134</v>
      </c>
      <c r="C15" s="211"/>
      <c r="D15" s="211"/>
      <c r="E15" s="211"/>
      <c r="F15" s="211"/>
      <c r="G15" s="211"/>
      <c r="H15" s="211"/>
      <c r="I15" s="69"/>
    </row>
    <row r="16" spans="2:19" x14ac:dyDescent="0.2">
      <c r="B16" s="89"/>
      <c r="C16" s="89"/>
      <c r="D16" s="89"/>
      <c r="E16" s="89"/>
      <c r="F16" s="89"/>
      <c r="G16" s="89"/>
      <c r="H16" s="89"/>
    </row>
    <row r="17" spans="2:9" x14ac:dyDescent="0.2">
      <c r="B17" s="90"/>
      <c r="C17" s="90"/>
      <c r="D17" s="90"/>
      <c r="E17" s="90"/>
      <c r="F17" s="90"/>
      <c r="G17" s="90"/>
      <c r="H17" s="90"/>
    </row>
    <row r="18" spans="2:9" x14ac:dyDescent="0.2">
      <c r="B18" s="87" t="s">
        <v>38</v>
      </c>
      <c r="C18" s="67"/>
      <c r="D18" s="67"/>
      <c r="E18" s="67"/>
      <c r="F18" s="67"/>
      <c r="G18" s="67"/>
      <c r="H18" s="67"/>
    </row>
    <row r="19" spans="2:9" x14ac:dyDescent="0.2">
      <c r="B19" s="206" t="s">
        <v>101</v>
      </c>
      <c r="C19" s="206"/>
      <c r="D19" s="206"/>
      <c r="E19" s="206"/>
      <c r="F19" s="206"/>
      <c r="G19" s="206"/>
      <c r="H19" s="206"/>
    </row>
    <row r="20" spans="2:9" x14ac:dyDescent="0.2">
      <c r="B20" s="207"/>
      <c r="C20" s="207"/>
      <c r="D20" s="207"/>
      <c r="E20" s="207"/>
      <c r="F20" s="207"/>
      <c r="G20" s="207"/>
      <c r="H20" s="207"/>
    </row>
    <row r="21" spans="2:9" x14ac:dyDescent="0.2">
      <c r="B21" s="207"/>
      <c r="C21" s="207"/>
      <c r="D21" s="207"/>
      <c r="E21" s="207"/>
      <c r="F21" s="207"/>
      <c r="G21" s="207"/>
      <c r="H21" s="207"/>
    </row>
    <row r="22" spans="2:9" x14ac:dyDescent="0.2">
      <c r="B22" s="207"/>
      <c r="C22" s="207"/>
      <c r="D22" s="207"/>
      <c r="E22" s="207"/>
      <c r="F22" s="207"/>
      <c r="G22" s="207"/>
      <c r="H22" s="207"/>
    </row>
    <row r="23" spans="2:9" x14ac:dyDescent="0.2">
      <c r="B23" s="88"/>
      <c r="C23" s="88"/>
      <c r="D23" s="88"/>
      <c r="E23" s="88"/>
      <c r="F23" s="88"/>
      <c r="G23" s="88"/>
      <c r="H23" s="88"/>
    </row>
    <row r="24" spans="2:9" x14ac:dyDescent="0.2">
      <c r="B24" s="205"/>
      <c r="C24" s="205"/>
      <c r="D24" s="205"/>
      <c r="E24" s="205"/>
      <c r="F24" s="205"/>
      <c r="G24" s="205"/>
      <c r="H24" s="205"/>
    </row>
    <row r="25" spans="2:9" x14ac:dyDescent="0.2">
      <c r="B25" s="89"/>
      <c r="C25" s="89"/>
      <c r="D25" s="89"/>
      <c r="E25" s="89"/>
      <c r="F25" s="89"/>
      <c r="G25" s="89"/>
      <c r="H25" s="89"/>
    </row>
    <row r="26" spans="2:9" x14ac:dyDescent="0.2">
      <c r="B26" s="89"/>
      <c r="C26" s="89"/>
      <c r="D26" s="89"/>
      <c r="E26" s="89"/>
      <c r="F26" s="89"/>
      <c r="G26" s="89"/>
      <c r="H26" s="89"/>
    </row>
    <row r="27" spans="2:9" x14ac:dyDescent="0.2">
      <c r="B27" s="89"/>
      <c r="C27" s="89"/>
      <c r="D27" s="89"/>
      <c r="E27" s="89"/>
      <c r="F27" s="89"/>
      <c r="G27" s="89"/>
      <c r="H27" s="89"/>
    </row>
    <row r="28" spans="2:9" x14ac:dyDescent="0.2">
      <c r="B28" s="89"/>
      <c r="C28" s="89"/>
      <c r="D28" s="89"/>
      <c r="E28" s="89"/>
      <c r="F28" s="89"/>
      <c r="G28" s="89"/>
      <c r="H28" s="89"/>
    </row>
    <row r="29" spans="2:9" x14ac:dyDescent="0.2">
      <c r="B29" s="91"/>
      <c r="C29" s="91"/>
      <c r="D29" s="91"/>
      <c r="E29" s="91"/>
      <c r="F29" s="91"/>
      <c r="G29" s="91"/>
      <c r="H29" s="91"/>
      <c r="I29" s="69"/>
    </row>
    <row r="30" spans="2:9" x14ac:dyDescent="0.2">
      <c r="B30" s="87" t="s">
        <v>6</v>
      </c>
    </row>
    <row r="31" spans="2:9" x14ac:dyDescent="0.2">
      <c r="B31" s="92" t="s">
        <v>14</v>
      </c>
      <c r="C31" s="93" t="s">
        <v>29</v>
      </c>
      <c r="D31" s="93"/>
      <c r="E31" s="93"/>
      <c r="F31" s="93"/>
      <c r="G31" s="93"/>
      <c r="H31" s="93"/>
    </row>
    <row r="32" spans="2:9" x14ac:dyDescent="0.2">
      <c r="B32" s="94" t="s">
        <v>41</v>
      </c>
      <c r="C32" s="93" t="s">
        <v>46</v>
      </c>
      <c r="D32" s="93"/>
      <c r="E32" s="93"/>
      <c r="F32" s="93"/>
      <c r="G32" s="93"/>
      <c r="H32" s="93"/>
    </row>
    <row r="33" spans="2:8" x14ac:dyDescent="0.2">
      <c r="B33" s="94" t="s">
        <v>42</v>
      </c>
      <c r="C33" s="93" t="s">
        <v>47</v>
      </c>
      <c r="D33" s="93"/>
      <c r="E33" s="93"/>
      <c r="F33" s="93"/>
      <c r="G33" s="93"/>
      <c r="H33" s="93"/>
    </row>
    <row r="34" spans="2:8" x14ac:dyDescent="0.2">
      <c r="B34" s="94" t="s">
        <v>15</v>
      </c>
      <c r="C34" s="93" t="s">
        <v>30</v>
      </c>
      <c r="D34" s="93"/>
      <c r="E34" s="93"/>
      <c r="F34" s="93"/>
      <c r="G34" s="93"/>
      <c r="H34" s="93"/>
    </row>
    <row r="37" spans="2:8" x14ac:dyDescent="0.2">
      <c r="B37" s="87" t="s">
        <v>32</v>
      </c>
      <c r="C37" s="67"/>
      <c r="D37" s="67"/>
      <c r="E37" s="67"/>
      <c r="F37" s="67"/>
      <c r="G37" s="67"/>
      <c r="H37" s="67"/>
    </row>
    <row r="39" spans="2:8" x14ac:dyDescent="0.2">
      <c r="B39" s="95"/>
      <c r="C39" s="96" t="s">
        <v>33</v>
      </c>
      <c r="D39" s="96" t="s">
        <v>34</v>
      </c>
      <c r="E39" s="96" t="s">
        <v>35</v>
      </c>
      <c r="F39" s="96" t="s">
        <v>37</v>
      </c>
      <c r="G39" s="96" t="s">
        <v>36</v>
      </c>
      <c r="H39" s="97" t="s">
        <v>1</v>
      </c>
    </row>
    <row r="40" spans="2:8" x14ac:dyDescent="0.2">
      <c r="C40" s="98"/>
      <c r="D40" s="98"/>
      <c r="E40" s="98"/>
      <c r="F40" s="98"/>
      <c r="G40" s="98"/>
      <c r="H40" s="98"/>
    </row>
    <row r="41" spans="2:8" x14ac:dyDescent="0.2">
      <c r="B41" s="112" t="s">
        <v>71</v>
      </c>
      <c r="C41" s="99">
        <f>'Forecast Revenue - Costs'!D30</f>
        <v>11716.202620640906</v>
      </c>
      <c r="D41" s="99">
        <f>'Forecast Revenue - Costs'!E30</f>
        <v>11716.202620640906</v>
      </c>
      <c r="E41" s="99">
        <f>'Forecast Revenue - Costs'!F30</f>
        <v>11786.460365534213</v>
      </c>
      <c r="F41" s="99">
        <f>'Forecast Revenue - Costs'!G30</f>
        <v>11935.831218131987</v>
      </c>
      <c r="G41" s="99">
        <f>'Forecast Revenue - Costs'!H30</f>
        <v>12158.956350399985</v>
      </c>
      <c r="H41" s="99">
        <f>SUM(C41:G41)</f>
        <v>59313.653175347994</v>
      </c>
    </row>
    <row r="42" spans="2:8" x14ac:dyDescent="0.2">
      <c r="C42" s="100"/>
      <c r="D42" s="101"/>
      <c r="E42" s="100"/>
      <c r="F42" s="100"/>
      <c r="G42" s="100"/>
    </row>
    <row r="43" spans="2:8" x14ac:dyDescent="0.2">
      <c r="B43" s="112" t="s">
        <v>72</v>
      </c>
      <c r="C43" s="99">
        <f>SUM('Forecast Revenue - Costs'!D31:D33)</f>
        <v>8546.3184938392405</v>
      </c>
      <c r="D43" s="99">
        <f>SUM('Forecast Revenue - Costs'!E31:E33)</f>
        <v>8546.3184938392405</v>
      </c>
      <c r="E43" s="99">
        <f>SUM('Forecast Revenue - Costs'!F31:F33)</f>
        <v>8597.5676130256288</v>
      </c>
      <c r="F43" s="99">
        <f>SUM('Forecast Revenue - Costs'!G31:G33)</f>
        <v>8706.5253462887849</v>
      </c>
      <c r="G43" s="99">
        <f>SUM('Forecast Revenue - Costs'!H31:H33)</f>
        <v>8869.2827264814823</v>
      </c>
      <c r="H43" s="99">
        <f>SUM(C43:G43)</f>
        <v>43266.012673474383</v>
      </c>
    </row>
    <row r="44" spans="2:8" x14ac:dyDescent="0.2">
      <c r="C44" s="100"/>
      <c r="D44" s="101"/>
      <c r="E44" s="100"/>
      <c r="F44" s="100"/>
      <c r="G44" s="100"/>
    </row>
    <row r="45" spans="2:8" x14ac:dyDescent="0.2">
      <c r="B45" s="112" t="s">
        <v>73</v>
      </c>
      <c r="C45" s="99">
        <f t="shared" ref="C45:H45" si="0">+C41+C43</f>
        <v>20262.521114480147</v>
      </c>
      <c r="D45" s="99">
        <f t="shared" si="0"/>
        <v>20262.521114480147</v>
      </c>
      <c r="E45" s="99">
        <f t="shared" si="0"/>
        <v>20384.02797855984</v>
      </c>
      <c r="F45" s="99">
        <f t="shared" si="0"/>
        <v>20642.35656442077</v>
      </c>
      <c r="G45" s="99">
        <f t="shared" si="0"/>
        <v>21028.239076881466</v>
      </c>
      <c r="H45" s="99">
        <f t="shared" si="0"/>
        <v>102579.66584882238</v>
      </c>
    </row>
    <row r="46" spans="2:8" x14ac:dyDescent="0.2">
      <c r="C46" s="102"/>
      <c r="D46" s="102"/>
      <c r="E46" s="102"/>
      <c r="F46" s="102"/>
      <c r="G46" s="102"/>
    </row>
    <row r="47" spans="2:8" x14ac:dyDescent="0.2">
      <c r="B47" s="103" t="s">
        <v>6</v>
      </c>
    </row>
    <row r="48" spans="2:8" ht="14.25" customHeight="1" x14ac:dyDescent="0.2">
      <c r="B48" s="204"/>
      <c r="C48" s="204"/>
      <c r="D48" s="204"/>
      <c r="E48" s="204"/>
      <c r="F48" s="204"/>
      <c r="G48" s="204"/>
      <c r="H48" s="204"/>
    </row>
    <row r="49" spans="2:9" x14ac:dyDescent="0.2">
      <c r="B49" s="205"/>
      <c r="C49" s="205"/>
      <c r="D49" s="205"/>
      <c r="E49" s="205"/>
      <c r="F49" s="205"/>
      <c r="G49" s="205"/>
      <c r="H49" s="205"/>
      <c r="I49" s="69"/>
    </row>
    <row r="50" spans="2:9" ht="27.75" customHeight="1" x14ac:dyDescent="0.2">
      <c r="B50" s="205"/>
      <c r="C50" s="205"/>
      <c r="D50" s="205"/>
      <c r="E50" s="205"/>
      <c r="F50" s="205"/>
      <c r="G50" s="205"/>
      <c r="H50" s="205"/>
    </row>
    <row r="53" spans="2:9" x14ac:dyDescent="0.2">
      <c r="B53" s="87" t="s">
        <v>61</v>
      </c>
      <c r="C53" s="67"/>
      <c r="D53" s="67"/>
      <c r="E53" s="67"/>
      <c r="F53" s="67"/>
      <c r="G53" s="67"/>
      <c r="H53" s="67"/>
    </row>
    <row r="54" spans="2:9" x14ac:dyDescent="0.2">
      <c r="B54" s="104"/>
    </row>
    <row r="55" spans="2:9" x14ac:dyDescent="0.2">
      <c r="B55" s="105"/>
      <c r="C55" s="106" t="s">
        <v>33</v>
      </c>
      <c r="D55" s="106" t="s">
        <v>34</v>
      </c>
      <c r="E55" s="106" t="s">
        <v>35</v>
      </c>
      <c r="F55" s="106" t="s">
        <v>37</v>
      </c>
      <c r="G55" s="106" t="s">
        <v>36</v>
      </c>
      <c r="H55" s="107" t="s">
        <v>1</v>
      </c>
    </row>
    <row r="56" spans="2:9" x14ac:dyDescent="0.2">
      <c r="C56" s="108"/>
      <c r="D56" s="108"/>
      <c r="E56" s="108"/>
      <c r="F56" s="108"/>
      <c r="G56" s="108"/>
      <c r="H56" s="108"/>
    </row>
    <row r="57" spans="2:9" x14ac:dyDescent="0.2">
      <c r="B57" s="105" t="s">
        <v>12</v>
      </c>
      <c r="C57" s="109">
        <f>'Forecast Revenue - Costs'!D$12</f>
        <v>40</v>
      </c>
      <c r="D57" s="109">
        <f>'Forecast Revenue - Costs'!E$12</f>
        <v>40</v>
      </c>
      <c r="E57" s="109">
        <f>'Forecast Revenue - Costs'!F$12</f>
        <v>40</v>
      </c>
      <c r="F57" s="109">
        <f>'Forecast Revenue - Costs'!G$12</f>
        <v>40</v>
      </c>
      <c r="G57" s="109">
        <f>'Forecast Revenue - Costs'!H$12</f>
        <v>40</v>
      </c>
      <c r="H57" s="109">
        <f>SUM(C57:G57)</f>
        <v>200</v>
      </c>
    </row>
    <row r="58" spans="2:9" x14ac:dyDescent="0.2">
      <c r="C58" s="110"/>
      <c r="D58" s="110"/>
      <c r="E58" s="110"/>
      <c r="F58" s="110"/>
      <c r="G58" s="110"/>
      <c r="H58" s="111"/>
    </row>
  </sheetData>
  <mergeCells count="11">
    <mergeCell ref="C3:H3"/>
    <mergeCell ref="B14:H14"/>
    <mergeCell ref="B10:H10"/>
    <mergeCell ref="B15:H15"/>
    <mergeCell ref="C8:D8"/>
    <mergeCell ref="B48:H50"/>
    <mergeCell ref="B19:H19"/>
    <mergeCell ref="B20:H20"/>
    <mergeCell ref="B21:H21"/>
    <mergeCell ref="B22:H22"/>
    <mergeCell ref="B24:H2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C28" sqref="C28"/>
    </sheetView>
  </sheetViews>
  <sheetFormatPr defaultRowHeight="12.75" x14ac:dyDescent="0.2"/>
  <cols>
    <col min="1" max="1" width="2.28515625" style="1" customWidth="1"/>
    <col min="2" max="2" width="2.42578125" style="38" customWidth="1"/>
    <col min="3" max="3" width="10.140625" style="38" customWidth="1"/>
    <col min="4" max="9" width="13.140625" style="38" customWidth="1"/>
    <col min="10" max="11" width="9.140625" style="38"/>
    <col min="12" max="12" width="5.28515625" style="38" customWidth="1"/>
    <col min="13" max="13" width="2.42578125" style="1" customWidth="1"/>
    <col min="14" max="16384" width="9.140625" style="1"/>
  </cols>
  <sheetData>
    <row r="1" spans="2:14" ht="9" customHeight="1" x14ac:dyDescent="0.2"/>
    <row r="2" spans="2:14" ht="18" customHeight="1" x14ac:dyDescent="0.2">
      <c r="B2" s="35" t="s">
        <v>16</v>
      </c>
      <c r="C2" s="35"/>
      <c r="D2" s="35"/>
      <c r="E2" s="35"/>
      <c r="F2" s="35"/>
      <c r="G2" s="35"/>
      <c r="H2" s="35"/>
      <c r="I2" s="35"/>
      <c r="J2" s="35"/>
      <c r="K2" s="35"/>
    </row>
    <row r="3" spans="2:14" x14ac:dyDescent="0.2">
      <c r="B3" s="32" t="s">
        <v>0</v>
      </c>
      <c r="C3" s="36"/>
      <c r="D3" s="215" t="str">
        <f>'AER Summary'!C3</f>
        <v xml:space="preserve">
Provision of Luminaire Glare Shield (customer requested) (NEW)</v>
      </c>
      <c r="E3" s="216"/>
      <c r="F3" s="216"/>
      <c r="G3" s="216"/>
      <c r="H3" s="216"/>
      <c r="I3" s="216"/>
      <c r="J3" s="216"/>
      <c r="K3" s="216"/>
      <c r="N3" s="30"/>
    </row>
    <row r="4" spans="2:14" x14ac:dyDescent="0.2">
      <c r="N4" s="30"/>
    </row>
    <row r="5" spans="2:14" x14ac:dyDescent="0.2">
      <c r="B5" s="217" t="s">
        <v>60</v>
      </c>
      <c r="C5" s="217"/>
      <c r="D5" s="217"/>
      <c r="E5" s="217"/>
      <c r="F5" s="217"/>
      <c r="G5" s="217"/>
      <c r="H5" s="217"/>
      <c r="I5" s="217"/>
      <c r="J5" s="217"/>
      <c r="K5" s="217"/>
      <c r="N5" s="30"/>
    </row>
    <row r="6" spans="2:14" ht="22.5" customHeight="1" x14ac:dyDescent="0.2">
      <c r="B6" s="218" t="s">
        <v>59</v>
      </c>
      <c r="C6" s="219"/>
      <c r="D6" s="219"/>
      <c r="E6" s="219"/>
      <c r="F6" s="219"/>
      <c r="G6" s="219"/>
      <c r="H6" s="219"/>
      <c r="I6" s="219"/>
      <c r="J6" s="219"/>
      <c r="K6" s="219"/>
      <c r="N6" s="30"/>
    </row>
    <row r="9" spans="2:14" x14ac:dyDescent="0.2">
      <c r="B9" s="217" t="s">
        <v>39</v>
      </c>
      <c r="C9" s="217"/>
      <c r="D9" s="217"/>
      <c r="E9" s="217"/>
      <c r="F9" s="217"/>
      <c r="G9" s="217"/>
      <c r="H9" s="217"/>
      <c r="I9" s="217"/>
      <c r="J9" s="217"/>
      <c r="K9" s="217"/>
    </row>
    <row r="10" spans="2:14" ht="15" customHeight="1" x14ac:dyDescent="0.2">
      <c r="B10" s="214" t="str">
        <f>'AER Summary'!B10:H10</f>
        <v xml:space="preserve">
Provision of Luminaire Glare Shield (customer requested)
Supply and installation of streetlight luminaire glare shield at customer's request.</v>
      </c>
      <c r="C10" s="214"/>
      <c r="D10" s="214"/>
      <c r="E10" s="214"/>
      <c r="F10" s="214"/>
      <c r="G10" s="214"/>
      <c r="H10" s="214"/>
      <c r="I10" s="214"/>
      <c r="J10" s="214"/>
      <c r="K10" s="214"/>
    </row>
    <row r="11" spans="2:14" ht="24.75" customHeight="1" x14ac:dyDescent="0.2">
      <c r="B11" s="220"/>
      <c r="C11" s="220"/>
      <c r="D11" s="220"/>
      <c r="E11" s="220"/>
      <c r="F11" s="220"/>
      <c r="G11" s="220"/>
      <c r="H11" s="220"/>
      <c r="I11" s="220"/>
      <c r="J11" s="220"/>
      <c r="K11" s="220"/>
      <c r="L11" s="40"/>
      <c r="M11" s="31"/>
      <c r="N11" s="31"/>
    </row>
    <row r="12" spans="2:14" x14ac:dyDescent="0.2">
      <c r="B12" s="220"/>
      <c r="C12" s="220"/>
      <c r="D12" s="220"/>
      <c r="E12" s="220"/>
      <c r="F12" s="220"/>
      <c r="G12" s="220"/>
      <c r="H12" s="220"/>
      <c r="I12" s="220"/>
      <c r="J12" s="220"/>
      <c r="K12" s="220"/>
      <c r="L12" s="40"/>
      <c r="M12" s="31"/>
      <c r="N12" s="31"/>
    </row>
    <row r="13" spans="2:14" x14ac:dyDescent="0.2">
      <c r="B13" s="220"/>
      <c r="C13" s="220"/>
      <c r="D13" s="220"/>
      <c r="E13" s="220"/>
      <c r="F13" s="220"/>
      <c r="G13" s="220"/>
      <c r="H13" s="220"/>
      <c r="I13" s="220"/>
      <c r="J13" s="220"/>
      <c r="K13" s="220"/>
      <c r="L13" s="40"/>
      <c r="M13" s="31"/>
      <c r="N13" s="31"/>
    </row>
    <row r="14" spans="2:14" ht="12.75" customHeight="1" x14ac:dyDescent="0.2">
      <c r="B14" s="220"/>
      <c r="C14" s="220"/>
      <c r="D14" s="220"/>
      <c r="E14" s="220"/>
      <c r="F14" s="220"/>
      <c r="G14" s="220"/>
      <c r="H14" s="220"/>
      <c r="I14" s="220"/>
      <c r="J14" s="220"/>
      <c r="K14" s="220"/>
      <c r="L14" s="40"/>
      <c r="M14" s="31"/>
      <c r="N14" s="31"/>
    </row>
    <row r="15" spans="2:14" x14ac:dyDescent="0.2">
      <c r="B15" s="220"/>
      <c r="C15" s="220"/>
      <c r="D15" s="220"/>
      <c r="E15" s="220"/>
      <c r="F15" s="220"/>
      <c r="G15" s="220"/>
      <c r="H15" s="220"/>
      <c r="I15" s="220"/>
      <c r="J15" s="220"/>
      <c r="K15" s="220"/>
      <c r="L15" s="40"/>
      <c r="M15" s="31"/>
      <c r="N15" s="31"/>
    </row>
    <row r="16" spans="2:14" x14ac:dyDescent="0.2">
      <c r="B16" s="220"/>
      <c r="C16" s="220"/>
      <c r="D16" s="220"/>
      <c r="E16" s="220"/>
      <c r="F16" s="220"/>
      <c r="G16" s="220"/>
      <c r="H16" s="220"/>
      <c r="I16" s="220"/>
      <c r="J16" s="220"/>
      <c r="K16" s="220"/>
      <c r="L16" s="40"/>
      <c r="M16" s="31"/>
      <c r="N16" s="31"/>
    </row>
    <row r="17" spans="2:14" x14ac:dyDescent="0.2">
      <c r="L17" s="40"/>
      <c r="M17" s="31"/>
      <c r="N17" s="31"/>
    </row>
    <row r="18" spans="2:14" x14ac:dyDescent="0.2">
      <c r="L18" s="40"/>
      <c r="M18" s="31"/>
      <c r="N18" s="31"/>
    </row>
    <row r="19" spans="2:14" x14ac:dyDescent="0.2">
      <c r="B19" s="217" t="s">
        <v>40</v>
      </c>
      <c r="C19" s="217"/>
      <c r="D19" s="217"/>
      <c r="E19" s="217"/>
      <c r="F19" s="217"/>
      <c r="G19" s="217"/>
      <c r="H19" s="217"/>
      <c r="I19" s="217"/>
      <c r="J19" s="217"/>
      <c r="K19" s="217"/>
      <c r="L19" s="40"/>
      <c r="M19" s="31"/>
      <c r="N19" s="31"/>
    </row>
    <row r="20" spans="2:14" ht="60.75" customHeight="1" x14ac:dyDescent="0.2">
      <c r="B20" s="214" t="str">
        <f>'AER Summary'!B10:H10</f>
        <v xml:space="preserve">
Provision of Luminaire Glare Shield (customer requested)
Supply and installation of streetlight luminaire glare shield at customer's request.</v>
      </c>
      <c r="C20" s="214"/>
      <c r="D20" s="214"/>
      <c r="E20" s="214"/>
      <c r="F20" s="214"/>
      <c r="G20" s="214"/>
      <c r="H20" s="214"/>
      <c r="I20" s="214"/>
      <c r="J20" s="214"/>
      <c r="K20" s="214"/>
    </row>
    <row r="21" spans="2:14" x14ac:dyDescent="0.2">
      <c r="B21" s="213"/>
      <c r="C21" s="213"/>
      <c r="D21" s="213"/>
      <c r="E21" s="213"/>
      <c r="F21" s="213"/>
      <c r="G21" s="213"/>
      <c r="H21" s="213"/>
      <c r="I21" s="213"/>
      <c r="J21" s="213"/>
      <c r="K21" s="213"/>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38" sqref="B38"/>
    </sheetView>
  </sheetViews>
  <sheetFormatPr defaultRowHeight="12.75" x14ac:dyDescent="0.2"/>
  <cols>
    <col min="1" max="1" width="3.5703125" style="41" customWidth="1"/>
    <col min="2" max="2" width="58.7109375" style="41" customWidth="1"/>
    <col min="3" max="3" width="65.140625" style="41" customWidth="1"/>
    <col min="4" max="4" width="12.85546875" style="41" customWidth="1"/>
    <col min="5" max="8" width="11.28515625" style="41" customWidth="1"/>
    <col min="9" max="9" width="12.7109375" style="41" customWidth="1"/>
    <col min="10" max="16384" width="9.140625" style="41"/>
  </cols>
  <sheetData>
    <row r="2" spans="1:9" x14ac:dyDescent="0.2">
      <c r="B2" s="37" t="s">
        <v>62</v>
      </c>
      <c r="C2" s="28"/>
      <c r="D2" s="28"/>
      <c r="E2" s="28"/>
      <c r="F2" s="28"/>
      <c r="G2" s="28"/>
      <c r="H2" s="28"/>
      <c r="I2" s="28"/>
    </row>
    <row r="3" spans="1:9" x14ac:dyDescent="0.2">
      <c r="B3" s="18" t="s">
        <v>20</v>
      </c>
      <c r="C3" s="18" t="s">
        <v>3</v>
      </c>
      <c r="D3" s="54" t="s">
        <v>53</v>
      </c>
      <c r="E3" s="54" t="s">
        <v>52</v>
      </c>
      <c r="F3" s="54" t="s">
        <v>51</v>
      </c>
      <c r="G3" s="64" t="s">
        <v>67</v>
      </c>
      <c r="H3" s="64" t="s">
        <v>68</v>
      </c>
      <c r="I3" s="19" t="s">
        <v>1</v>
      </c>
    </row>
    <row r="4" spans="1:9" x14ac:dyDescent="0.2">
      <c r="B4" s="4" t="s">
        <v>21</v>
      </c>
      <c r="C4" s="4" t="s">
        <v>65</v>
      </c>
      <c r="D4" s="60"/>
      <c r="E4" s="60"/>
      <c r="F4" s="60"/>
      <c r="G4" s="60"/>
      <c r="H4" s="60"/>
      <c r="I4" s="113">
        <f>SUM(D4:H4)</f>
        <v>0</v>
      </c>
    </row>
    <row r="5" spans="1:9" x14ac:dyDescent="0.2">
      <c r="B5" s="4" t="s">
        <v>23</v>
      </c>
      <c r="C5" s="8"/>
      <c r="D5" s="60"/>
      <c r="E5" s="60"/>
      <c r="F5" s="60"/>
      <c r="G5" s="60"/>
      <c r="H5" s="60"/>
      <c r="I5" s="113">
        <f t="shared" ref="I5:I8" si="0">SUM(D5:H5)</f>
        <v>0</v>
      </c>
    </row>
    <row r="6" spans="1:9" x14ac:dyDescent="0.2">
      <c r="B6" s="4" t="s">
        <v>24</v>
      </c>
      <c r="C6" s="4"/>
      <c r="D6" s="60">
        <v>0</v>
      </c>
      <c r="E6" s="60">
        <v>0</v>
      </c>
      <c r="F6" s="60">
        <v>0</v>
      </c>
      <c r="G6" s="60">
        <v>0</v>
      </c>
      <c r="H6" s="60">
        <v>0</v>
      </c>
      <c r="I6" s="113">
        <f t="shared" si="0"/>
        <v>0</v>
      </c>
    </row>
    <row r="7" spans="1:9" x14ac:dyDescent="0.2">
      <c r="B7" s="4" t="s">
        <v>25</v>
      </c>
      <c r="C7" s="4"/>
      <c r="D7" s="60"/>
      <c r="E7" s="60"/>
      <c r="F7" s="60"/>
      <c r="G7" s="60"/>
      <c r="H7" s="60"/>
      <c r="I7" s="113">
        <f t="shared" si="0"/>
        <v>0</v>
      </c>
    </row>
    <row r="8" spans="1:9" x14ac:dyDescent="0.2">
      <c r="B8" s="4" t="s">
        <v>22</v>
      </c>
      <c r="C8" s="4"/>
      <c r="D8" s="60"/>
      <c r="E8" s="60"/>
      <c r="F8" s="60"/>
      <c r="G8" s="60"/>
      <c r="H8" s="60"/>
      <c r="I8" s="113">
        <f t="shared" si="0"/>
        <v>0</v>
      </c>
    </row>
    <row r="9" spans="1:9" x14ac:dyDescent="0.2">
      <c r="B9" s="46" t="s">
        <v>1</v>
      </c>
      <c r="C9" s="21"/>
      <c r="D9" s="22">
        <f t="shared" ref="D9:I9" si="1">SUM(D4:D8)</f>
        <v>0</v>
      </c>
      <c r="E9" s="22">
        <f t="shared" si="1"/>
        <v>0</v>
      </c>
      <c r="F9" s="22">
        <f t="shared" si="1"/>
        <v>0</v>
      </c>
      <c r="G9" s="22">
        <f t="shared" ref="G9:H9" si="2">SUM(G4:G8)</f>
        <v>0</v>
      </c>
      <c r="H9" s="22">
        <f t="shared" si="2"/>
        <v>0</v>
      </c>
      <c r="I9" s="23">
        <f t="shared" si="1"/>
        <v>0</v>
      </c>
    </row>
    <row r="10" spans="1:9" x14ac:dyDescent="0.2">
      <c r="B10" s="42"/>
      <c r="C10" s="43"/>
      <c r="D10" s="44"/>
      <c r="E10" s="44"/>
      <c r="F10" s="44"/>
      <c r="G10" s="44"/>
      <c r="H10" s="44"/>
      <c r="I10" s="44"/>
    </row>
    <row r="11" spans="1:9" x14ac:dyDescent="0.2">
      <c r="B11" s="45" t="s">
        <v>10</v>
      </c>
      <c r="C11" s="25"/>
      <c r="D11" s="25"/>
      <c r="E11" s="25"/>
      <c r="F11" s="25"/>
      <c r="G11" s="25"/>
      <c r="H11" s="25"/>
      <c r="I11" s="25"/>
    </row>
    <row r="12" spans="1:9" x14ac:dyDescent="0.2">
      <c r="B12" s="47" t="s">
        <v>4</v>
      </c>
      <c r="C12" s="7" t="s">
        <v>9</v>
      </c>
      <c r="D12" s="55" t="s">
        <v>53</v>
      </c>
      <c r="E12" s="55" t="s">
        <v>52</v>
      </c>
      <c r="F12" s="55" t="s">
        <v>51</v>
      </c>
      <c r="G12" s="65" t="s">
        <v>67</v>
      </c>
      <c r="H12" s="65" t="s">
        <v>68</v>
      </c>
      <c r="I12" s="3" t="s">
        <v>1</v>
      </c>
    </row>
    <row r="13" spans="1:9" x14ac:dyDescent="0.2">
      <c r="B13" s="4" t="s">
        <v>19</v>
      </c>
      <c r="C13" s="8"/>
      <c r="D13" s="61"/>
      <c r="E13" s="61"/>
      <c r="F13" s="61"/>
      <c r="G13" s="61"/>
      <c r="H13" s="61"/>
      <c r="I13" s="114">
        <f>SUM(D13:H13)</f>
        <v>0</v>
      </c>
    </row>
    <row r="14" spans="1:9" x14ac:dyDescent="0.2">
      <c r="B14" s="8"/>
      <c r="C14" s="10"/>
      <c r="D14" s="9"/>
      <c r="E14" s="9"/>
      <c r="F14" s="9"/>
      <c r="G14" s="9"/>
      <c r="H14" s="9"/>
      <c r="I14" s="115">
        <f>SUM(D14:F14)</f>
        <v>0</v>
      </c>
    </row>
    <row r="15" spans="1:9" x14ac:dyDescent="0.2">
      <c r="A15" s="48"/>
      <c r="B15" s="49" t="s">
        <v>48</v>
      </c>
      <c r="C15" s="6"/>
      <c r="D15" s="11">
        <f t="shared" ref="D15:I15" si="3">SUM(D13:D14)</f>
        <v>0</v>
      </c>
      <c r="E15" s="11">
        <f t="shared" si="3"/>
        <v>0</v>
      </c>
      <c r="F15" s="11">
        <f t="shared" si="3"/>
        <v>0</v>
      </c>
      <c r="G15" s="11">
        <f t="shared" ref="G15:H15" si="4">SUM(G13:G14)</f>
        <v>0</v>
      </c>
      <c r="H15" s="11">
        <f t="shared" si="4"/>
        <v>0</v>
      </c>
      <c r="I15" s="11">
        <f t="shared" si="3"/>
        <v>0</v>
      </c>
    </row>
    <row r="17" spans="1:9" x14ac:dyDescent="0.2">
      <c r="A17" s="48"/>
      <c r="B17" s="13" t="s">
        <v>6</v>
      </c>
      <c r="C17" s="1"/>
      <c r="D17" s="12"/>
      <c r="E17" s="12"/>
      <c r="F17" s="12"/>
      <c r="G17" s="12"/>
      <c r="H17" s="12"/>
      <c r="I17" s="12"/>
    </row>
    <row r="18" spans="1:9" x14ac:dyDescent="0.2">
      <c r="B18" s="221" t="s">
        <v>59</v>
      </c>
      <c r="C18" s="222"/>
      <c r="D18" s="222"/>
      <c r="E18" s="222"/>
      <c r="F18" s="222"/>
      <c r="G18" s="222"/>
      <c r="H18" s="222"/>
      <c r="I18" s="222"/>
    </row>
    <row r="19" spans="1:9" x14ac:dyDescent="0.2">
      <c r="B19" s="223"/>
      <c r="C19" s="224"/>
      <c r="D19" s="224"/>
      <c r="E19" s="224"/>
      <c r="F19" s="224"/>
      <c r="G19" s="224"/>
      <c r="H19" s="224"/>
      <c r="I19" s="224"/>
    </row>
    <row r="20" spans="1:9" x14ac:dyDescent="0.2">
      <c r="B20" s="50"/>
      <c r="C20" s="29"/>
      <c r="D20" s="29"/>
      <c r="E20" s="29"/>
      <c r="F20" s="29"/>
      <c r="G20" s="63"/>
      <c r="H20" s="63"/>
      <c r="I20" s="29"/>
    </row>
    <row r="21" spans="1:9" x14ac:dyDescent="0.2">
      <c r="B21" s="1"/>
      <c r="C21" s="1"/>
      <c r="D21" s="12"/>
      <c r="E21" s="12"/>
      <c r="F21" s="12"/>
      <c r="G21" s="12"/>
      <c r="H21" s="12"/>
      <c r="I21" s="12"/>
    </row>
    <row r="22" spans="1:9" x14ac:dyDescent="0.2">
      <c r="B22" s="45" t="s">
        <v>66</v>
      </c>
      <c r="C22" s="25"/>
      <c r="D22" s="25"/>
      <c r="E22" s="25"/>
      <c r="F22" s="25"/>
      <c r="G22" s="25"/>
      <c r="H22" s="25"/>
      <c r="I22" s="25"/>
    </row>
    <row r="23" spans="1:9" x14ac:dyDescent="0.2">
      <c r="B23" s="51" t="s">
        <v>11</v>
      </c>
      <c r="C23" s="15"/>
      <c r="D23" s="15"/>
      <c r="E23" s="15"/>
      <c r="F23" s="15"/>
      <c r="G23" s="15"/>
      <c r="H23" s="15"/>
      <c r="I23" s="15"/>
    </row>
    <row r="24" spans="1:9" x14ac:dyDescent="0.2">
      <c r="B24" s="225"/>
      <c r="C24" s="226"/>
      <c r="D24" s="226"/>
      <c r="E24" s="226"/>
      <c r="F24" s="226"/>
      <c r="G24" s="226"/>
      <c r="H24" s="226"/>
      <c r="I24" s="226"/>
    </row>
    <row r="25" spans="1:9" x14ac:dyDescent="0.2">
      <c r="B25" s="227"/>
      <c r="C25" s="228"/>
      <c r="D25" s="228"/>
      <c r="E25" s="228"/>
      <c r="F25" s="228"/>
      <c r="G25" s="228"/>
      <c r="H25" s="228"/>
      <c r="I25" s="228"/>
    </row>
    <row r="26" spans="1:9" x14ac:dyDescent="0.2">
      <c r="B26" s="52"/>
      <c r="C26" s="17"/>
      <c r="D26" s="17"/>
      <c r="E26" s="17"/>
      <c r="F26" s="17"/>
      <c r="G26" s="17"/>
      <c r="H26" s="17"/>
      <c r="I26" s="17"/>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G17" sqref="G17"/>
    </sheetView>
  </sheetViews>
  <sheetFormatPr defaultRowHeight="12.75" x14ac:dyDescent="0.2"/>
  <cols>
    <col min="1" max="1" width="3.140625" style="154" customWidth="1"/>
    <col min="2" max="2" width="61.42578125" style="154" customWidth="1"/>
    <col min="3" max="3" width="45.140625" style="154" customWidth="1"/>
    <col min="4" max="4" width="12.85546875" style="154" customWidth="1"/>
    <col min="5" max="8" width="11.28515625" style="154" customWidth="1"/>
    <col min="9" max="9" width="12.7109375" style="154" customWidth="1"/>
    <col min="10" max="16384" width="9.140625" style="154"/>
  </cols>
  <sheetData>
    <row r="2" spans="2:9" x14ac:dyDescent="0.2">
      <c r="B2" s="152" t="s">
        <v>8</v>
      </c>
      <c r="C2" s="153"/>
      <c r="D2" s="153"/>
      <c r="E2" s="153"/>
      <c r="F2" s="153"/>
      <c r="G2" s="153"/>
      <c r="H2" s="153"/>
      <c r="I2" s="153"/>
    </row>
    <row r="3" spans="2:9" x14ac:dyDescent="0.2">
      <c r="B3" s="155"/>
      <c r="C3" s="155"/>
      <c r="D3" s="155"/>
      <c r="E3" s="155"/>
      <c r="F3" s="155"/>
      <c r="G3" s="155"/>
      <c r="H3" s="155"/>
      <c r="I3" s="155"/>
    </row>
    <row r="4" spans="2:9" x14ac:dyDescent="0.2">
      <c r="B4" s="152" t="s">
        <v>2</v>
      </c>
      <c r="C4" s="153"/>
      <c r="D4" s="153"/>
      <c r="E4" s="153"/>
      <c r="F4" s="153"/>
      <c r="G4" s="153"/>
      <c r="H4" s="153"/>
      <c r="I4" s="153"/>
    </row>
    <row r="5" spans="2:9" x14ac:dyDescent="0.2">
      <c r="B5" s="165" t="s">
        <v>63</v>
      </c>
      <c r="C5" s="165" t="s">
        <v>9</v>
      </c>
      <c r="D5" s="167" t="s">
        <v>53</v>
      </c>
      <c r="E5" s="167" t="s">
        <v>52</v>
      </c>
      <c r="F5" s="167" t="s">
        <v>51</v>
      </c>
      <c r="G5" s="168" t="s">
        <v>67</v>
      </c>
      <c r="H5" s="168" t="s">
        <v>68</v>
      </c>
      <c r="I5" s="169" t="s">
        <v>1</v>
      </c>
    </row>
    <row r="6" spans="2:9" ht="12.75" customHeight="1" x14ac:dyDescent="0.2">
      <c r="B6" s="156" t="s">
        <v>59</v>
      </c>
      <c r="C6" s="157"/>
      <c r="D6" s="158"/>
      <c r="E6" s="158"/>
      <c r="F6" s="158"/>
      <c r="G6" s="158"/>
      <c r="H6" s="158"/>
      <c r="I6" s="159">
        <f>SUM(D6:H6)</f>
        <v>0</v>
      </c>
    </row>
    <row r="7" spans="2:9" x14ac:dyDescent="0.2">
      <c r="B7" s="160"/>
      <c r="C7" s="161"/>
      <c r="D7" s="158"/>
      <c r="E7" s="158"/>
      <c r="F7" s="158"/>
      <c r="G7" s="158"/>
      <c r="H7" s="158"/>
      <c r="I7" s="159">
        <f t="shared" ref="I7:I9" si="0">SUM(D7:H7)</f>
        <v>0</v>
      </c>
    </row>
    <row r="8" spans="2:9" x14ac:dyDescent="0.2">
      <c r="B8" s="160"/>
      <c r="C8" s="161"/>
      <c r="D8" s="158"/>
      <c r="E8" s="158"/>
      <c r="F8" s="158"/>
      <c r="G8" s="158"/>
      <c r="H8" s="158"/>
      <c r="I8" s="159">
        <f t="shared" si="0"/>
        <v>0</v>
      </c>
    </row>
    <row r="9" spans="2:9" x14ac:dyDescent="0.2">
      <c r="B9" s="160"/>
      <c r="C9" s="161"/>
      <c r="D9" s="158"/>
      <c r="E9" s="158"/>
      <c r="F9" s="158"/>
      <c r="G9" s="158"/>
      <c r="H9" s="158"/>
      <c r="I9" s="159">
        <f t="shared" si="0"/>
        <v>0</v>
      </c>
    </row>
    <row r="10" spans="2:9" x14ac:dyDescent="0.2">
      <c r="B10" s="162" t="s">
        <v>1</v>
      </c>
      <c r="C10" s="163"/>
      <c r="D10" s="164">
        <f t="shared" ref="D10:I10" si="1">SUM(D6:D9)</f>
        <v>0</v>
      </c>
      <c r="E10" s="164">
        <f t="shared" si="1"/>
        <v>0</v>
      </c>
      <c r="F10" s="164">
        <f t="shared" si="1"/>
        <v>0</v>
      </c>
      <c r="G10" s="164">
        <f t="shared" ref="G10:H10" si="2">SUM(G6:G9)</f>
        <v>0</v>
      </c>
      <c r="H10" s="164">
        <f t="shared" si="2"/>
        <v>0</v>
      </c>
      <c r="I10" s="164">
        <f t="shared" si="1"/>
        <v>0</v>
      </c>
    </row>
    <row r="11" spans="2:9" x14ac:dyDescent="0.2">
      <c r="B11" s="155"/>
      <c r="C11" s="155"/>
      <c r="D11" s="155"/>
      <c r="E11" s="155"/>
      <c r="F11" s="155"/>
      <c r="G11" s="155"/>
      <c r="H11" s="155"/>
      <c r="I11" s="155"/>
    </row>
    <row r="12" spans="2:9" x14ac:dyDescent="0.2">
      <c r="B12" s="152" t="s">
        <v>10</v>
      </c>
      <c r="C12" s="153"/>
      <c r="D12" s="153"/>
      <c r="E12" s="153"/>
      <c r="F12" s="153"/>
      <c r="G12" s="153"/>
      <c r="H12" s="153"/>
      <c r="I12" s="153"/>
    </row>
    <row r="13" spans="2:9" x14ac:dyDescent="0.2">
      <c r="B13" s="165" t="s">
        <v>4</v>
      </c>
      <c r="C13" s="166" t="s">
        <v>9</v>
      </c>
      <c r="D13" s="167" t="s">
        <v>53</v>
      </c>
      <c r="E13" s="167" t="s">
        <v>52</v>
      </c>
      <c r="F13" s="167" t="s">
        <v>51</v>
      </c>
      <c r="G13" s="168" t="s">
        <v>67</v>
      </c>
      <c r="H13" s="168" t="s">
        <v>68</v>
      </c>
      <c r="I13" s="169" t="s">
        <v>1</v>
      </c>
    </row>
    <row r="14" spans="2:9" x14ac:dyDescent="0.2">
      <c r="B14" s="170" t="s">
        <v>19</v>
      </c>
      <c r="C14" s="170"/>
      <c r="D14" s="171"/>
      <c r="E14" s="171"/>
      <c r="F14" s="171"/>
      <c r="G14" s="171"/>
      <c r="H14" s="171"/>
      <c r="I14" s="172">
        <f>SUM(D14:H14)</f>
        <v>0</v>
      </c>
    </row>
    <row r="15" spans="2:9" x14ac:dyDescent="0.2">
      <c r="B15" s="170"/>
      <c r="C15" s="173"/>
      <c r="D15" s="174"/>
      <c r="E15" s="174"/>
      <c r="F15" s="174"/>
      <c r="G15" s="174"/>
      <c r="H15" s="174"/>
      <c r="I15" s="172">
        <f t="shared" ref="I15:I16" si="3">SUM(D15:H15)</f>
        <v>0</v>
      </c>
    </row>
    <row r="16" spans="2:9" x14ac:dyDescent="0.2">
      <c r="B16" s="170"/>
      <c r="C16" s="170"/>
      <c r="D16" s="174"/>
      <c r="E16" s="174"/>
      <c r="F16" s="174"/>
      <c r="G16" s="174"/>
      <c r="H16" s="174"/>
      <c r="I16" s="175">
        <f t="shared" si="3"/>
        <v>0</v>
      </c>
    </row>
    <row r="17" spans="2:9" x14ac:dyDescent="0.2">
      <c r="B17" s="176" t="s">
        <v>17</v>
      </c>
      <c r="C17" s="163"/>
      <c r="D17" s="177">
        <f t="shared" ref="D17:F17" si="4">SUM(D14:D16)</f>
        <v>0</v>
      </c>
      <c r="E17" s="177">
        <f t="shared" si="4"/>
        <v>0</v>
      </c>
      <c r="F17" s="177">
        <f t="shared" si="4"/>
        <v>0</v>
      </c>
      <c r="G17" s="177">
        <f t="shared" ref="G17:H17" si="5">SUM(G14:G16)</f>
        <v>0</v>
      </c>
      <c r="H17" s="177">
        <f t="shared" si="5"/>
        <v>0</v>
      </c>
      <c r="I17" s="177">
        <f>SUM(I14:I16)</f>
        <v>0</v>
      </c>
    </row>
    <row r="18" spans="2:9" x14ac:dyDescent="0.2">
      <c r="B18" s="155"/>
      <c r="C18" s="155"/>
      <c r="D18" s="178"/>
      <c r="E18" s="178"/>
      <c r="F18" s="178"/>
      <c r="G18" s="178"/>
      <c r="H18" s="178"/>
      <c r="I18" s="178"/>
    </row>
    <row r="19" spans="2:9" x14ac:dyDescent="0.2">
      <c r="B19" s="179" t="s">
        <v>6</v>
      </c>
      <c r="C19" s="155"/>
      <c r="D19" s="178"/>
      <c r="E19" s="178"/>
      <c r="F19" s="178"/>
      <c r="G19" s="178"/>
      <c r="H19" s="178"/>
      <c r="I19" s="178"/>
    </row>
    <row r="20" spans="2:9" x14ac:dyDescent="0.2">
      <c r="B20" s="231" t="s">
        <v>69</v>
      </c>
      <c r="C20" s="231"/>
      <c r="D20" s="231"/>
      <c r="E20" s="231"/>
      <c r="F20" s="231"/>
      <c r="G20" s="231"/>
      <c r="H20" s="231"/>
      <c r="I20" s="231"/>
    </row>
    <row r="21" spans="2:9" x14ac:dyDescent="0.2">
      <c r="B21" s="232"/>
      <c r="C21" s="232"/>
      <c r="D21" s="232"/>
      <c r="E21" s="232"/>
      <c r="F21" s="232"/>
      <c r="G21" s="232"/>
      <c r="H21" s="232"/>
      <c r="I21" s="232"/>
    </row>
    <row r="22" spans="2:9" x14ac:dyDescent="0.2">
      <c r="B22" s="155"/>
      <c r="C22" s="155"/>
      <c r="D22" s="178"/>
      <c r="E22" s="178"/>
      <c r="F22" s="178"/>
      <c r="G22" s="178"/>
      <c r="H22" s="178"/>
      <c r="I22" s="178"/>
    </row>
    <row r="23" spans="2:9" x14ac:dyDescent="0.2">
      <c r="B23" s="152" t="s">
        <v>2</v>
      </c>
      <c r="C23" s="153"/>
      <c r="D23" s="153"/>
      <c r="E23" s="153"/>
      <c r="F23" s="153"/>
      <c r="G23" s="153"/>
      <c r="H23" s="153"/>
      <c r="I23" s="153"/>
    </row>
    <row r="24" spans="2:9" x14ac:dyDescent="0.2">
      <c r="B24" s="180" t="s">
        <v>11</v>
      </c>
      <c r="C24" s="181"/>
      <c r="D24" s="181"/>
      <c r="E24" s="181"/>
      <c r="F24" s="181"/>
      <c r="G24" s="181"/>
      <c r="H24" s="181"/>
      <c r="I24" s="181"/>
    </row>
    <row r="25" spans="2:9" x14ac:dyDescent="0.2">
      <c r="B25" s="233"/>
      <c r="C25" s="233"/>
      <c r="D25" s="233"/>
      <c r="E25" s="233"/>
      <c r="F25" s="233"/>
      <c r="G25" s="233"/>
      <c r="H25" s="233"/>
      <c r="I25" s="233"/>
    </row>
    <row r="26" spans="2:9" x14ac:dyDescent="0.2">
      <c r="B26" s="234"/>
      <c r="C26" s="234"/>
      <c r="D26" s="234"/>
      <c r="E26" s="234"/>
      <c r="F26" s="234"/>
      <c r="G26" s="234"/>
      <c r="H26" s="234"/>
      <c r="I26" s="234"/>
    </row>
    <row r="27" spans="2:9" x14ac:dyDescent="0.2">
      <c r="B27" s="182"/>
      <c r="C27" s="183"/>
      <c r="D27" s="183"/>
      <c r="E27" s="183"/>
      <c r="F27" s="183"/>
      <c r="G27" s="183"/>
      <c r="H27" s="183"/>
      <c r="I27" s="183"/>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R10"/>
  <sheetViews>
    <sheetView showGridLines="0" workbookViewId="0">
      <selection activeCell="B17" sqref="B17"/>
    </sheetView>
  </sheetViews>
  <sheetFormatPr defaultRowHeight="12.75" x14ac:dyDescent="0.2"/>
  <cols>
    <col min="1" max="1" width="2.28515625" style="1" customWidth="1"/>
    <col min="2" max="2" width="55.5703125" style="1" customWidth="1"/>
    <col min="3" max="3" width="9.28515625" style="57" customWidth="1"/>
    <col min="4" max="4" width="9.140625" style="58"/>
    <col min="5" max="5" width="9.140625" style="1"/>
    <col min="6" max="7" width="9.140625" style="34"/>
    <col min="8" max="9" width="11.42578125" style="1" customWidth="1"/>
    <col min="10" max="10" width="10" style="1" customWidth="1"/>
    <col min="11" max="12" width="9.140625" style="1"/>
    <col min="13" max="13" width="10.7109375" style="1" customWidth="1"/>
    <col min="14" max="14" width="9.140625" style="1"/>
    <col min="15" max="15" width="10.7109375" style="1" customWidth="1"/>
    <col min="16" max="16" width="9.140625" style="1"/>
    <col min="17" max="17" width="9.140625" style="1" customWidth="1"/>
    <col min="18" max="18" width="10.5703125" style="1" customWidth="1"/>
    <col min="19" max="19" width="10.28515625" style="1" customWidth="1"/>
    <col min="20" max="16384" width="9.140625" style="1"/>
  </cols>
  <sheetData>
    <row r="2" spans="2:18" x14ac:dyDescent="0.2">
      <c r="B2" s="123" t="s">
        <v>49</v>
      </c>
      <c r="C2" s="124"/>
      <c r="D2" s="124"/>
      <c r="E2" s="124"/>
      <c r="F2" s="124"/>
      <c r="G2" s="124"/>
      <c r="H2" s="229" t="s">
        <v>103</v>
      </c>
      <c r="I2" s="229"/>
      <c r="J2" s="229"/>
      <c r="K2" s="229"/>
      <c r="L2" s="229"/>
      <c r="M2" s="229"/>
      <c r="N2" s="229"/>
      <c r="O2" s="229"/>
      <c r="P2" s="229"/>
      <c r="Q2" s="229"/>
      <c r="R2" s="229"/>
    </row>
    <row r="3" spans="2:18" ht="15.75" x14ac:dyDescent="0.25">
      <c r="B3" s="53" t="s">
        <v>118</v>
      </c>
      <c r="C3" s="39"/>
      <c r="D3" s="39"/>
      <c r="E3" s="39"/>
      <c r="F3" s="39"/>
      <c r="G3" s="39"/>
      <c r="H3" s="230" t="s">
        <v>104</v>
      </c>
      <c r="I3" s="230"/>
      <c r="J3" s="230"/>
      <c r="K3" s="230"/>
      <c r="L3" s="230"/>
      <c r="M3" s="230"/>
      <c r="N3" s="230"/>
      <c r="O3" s="230"/>
      <c r="P3" s="230"/>
      <c r="Q3" s="230"/>
      <c r="R3" s="230"/>
    </row>
    <row r="4" spans="2:18" ht="6.75" customHeight="1" x14ac:dyDescent="0.2"/>
    <row r="5" spans="2:18" ht="100.5" customHeight="1" x14ac:dyDescent="0.2">
      <c r="B5" s="33" t="s">
        <v>18</v>
      </c>
      <c r="C5" s="186" t="s">
        <v>105</v>
      </c>
      <c r="D5" s="186" t="s">
        <v>106</v>
      </c>
      <c r="E5" s="186" t="s">
        <v>107</v>
      </c>
      <c r="F5" s="186" t="s">
        <v>108</v>
      </c>
      <c r="G5" s="186" t="s">
        <v>109</v>
      </c>
      <c r="H5" s="186" t="s">
        <v>110</v>
      </c>
      <c r="I5" s="186" t="s">
        <v>111</v>
      </c>
      <c r="J5" s="186" t="s">
        <v>112</v>
      </c>
      <c r="K5" s="186" t="s">
        <v>113</v>
      </c>
      <c r="L5" s="186" t="s">
        <v>114</v>
      </c>
      <c r="M5" s="186" t="s">
        <v>125</v>
      </c>
      <c r="N5" s="187" t="s">
        <v>115</v>
      </c>
      <c r="O5" s="187" t="s">
        <v>79</v>
      </c>
      <c r="P5" s="187" t="s">
        <v>80</v>
      </c>
      <c r="Q5" s="187" t="s">
        <v>97</v>
      </c>
      <c r="R5" s="190" t="s">
        <v>116</v>
      </c>
    </row>
    <row r="6" spans="2:18" x14ac:dyDescent="0.2">
      <c r="B6" s="191" t="s">
        <v>119</v>
      </c>
      <c r="C6" s="192"/>
      <c r="D6" s="192"/>
      <c r="E6" s="192"/>
      <c r="F6" s="192"/>
      <c r="G6" s="192"/>
      <c r="H6" s="192"/>
      <c r="I6" s="192"/>
      <c r="J6" s="192"/>
      <c r="K6" s="192"/>
      <c r="L6" s="192"/>
      <c r="M6" s="192"/>
      <c r="N6" s="192"/>
      <c r="O6" s="192"/>
      <c r="P6" s="192"/>
      <c r="Q6" s="192"/>
      <c r="R6" s="193"/>
    </row>
    <row r="7" spans="2:18" x14ac:dyDescent="0.2">
      <c r="B7" s="56" t="s">
        <v>132</v>
      </c>
      <c r="C7" s="188"/>
      <c r="D7" s="188"/>
      <c r="E7" s="188"/>
      <c r="F7" s="188"/>
      <c r="G7" s="188"/>
      <c r="H7" s="189"/>
      <c r="I7" s="189"/>
      <c r="J7" s="189">
        <v>85</v>
      </c>
      <c r="K7" s="200">
        <f>[1]Inputs!$G$38</f>
        <v>0.1031</v>
      </c>
      <c r="L7" s="189">
        <f>(J7*K7)+J7</f>
        <v>93.763499999999993</v>
      </c>
      <c r="M7" s="189"/>
      <c r="N7" s="201">
        <f>L7+I7+H7</f>
        <v>93.763499999999993</v>
      </c>
      <c r="O7" s="201">
        <f>[1]Inputs!$M$43*N7</f>
        <v>43.686909838951742</v>
      </c>
      <c r="P7" s="201">
        <f>[1]Inputs!$M$48*N7</f>
        <v>15.037563702336685</v>
      </c>
      <c r="Q7" s="201">
        <f>[1]Inputs!$H$13*SUM(N7:P7)</f>
        <v>9.6707872819885132</v>
      </c>
      <c r="R7" s="202">
        <f>SUM(N7:Q7)</f>
        <v>162.15876082327694</v>
      </c>
    </row>
    <row r="8" spans="2:18" x14ac:dyDescent="0.2">
      <c r="B8" s="56" t="s">
        <v>133</v>
      </c>
      <c r="C8" s="188" t="s">
        <v>117</v>
      </c>
      <c r="D8" s="188">
        <v>1</v>
      </c>
      <c r="E8" s="188">
        <v>2</v>
      </c>
      <c r="F8" s="188">
        <f>E8*D8</f>
        <v>2</v>
      </c>
      <c r="G8" s="188">
        <v>0</v>
      </c>
      <c r="H8" s="189">
        <f>VLOOKUP(C:C,[1]Inputs!$B$20:$H$25,7,FALSE)*F8</f>
        <v>159.67669293933002</v>
      </c>
      <c r="I8" s="189">
        <f>VLOOKUP(C:C,[1]Inputs!$C$54:$G$59,5,FALSE)*F8</f>
        <v>39.464872576692635</v>
      </c>
      <c r="J8" s="189"/>
      <c r="K8" s="189"/>
      <c r="L8" s="189"/>
      <c r="M8" s="189"/>
      <c r="N8" s="201">
        <f>L8+I8+H8</f>
        <v>199.14156551602267</v>
      </c>
      <c r="O8" s="201">
        <f>[1]Inputs!$M$43*N8</f>
        <v>92.785354833023334</v>
      </c>
      <c r="P8" s="201">
        <f>[1]Inputs!$M$48*N8</f>
        <v>31.937843374343384</v>
      </c>
      <c r="Q8" s="201">
        <f>[1]Inputs!$H$13*SUM(N8:P8)</f>
        <v>20.539503315337356</v>
      </c>
      <c r="R8" s="202">
        <f>SUM(N8:Q8)</f>
        <v>344.40426703872674</v>
      </c>
    </row>
    <row r="9" spans="2:18" ht="14.25" customHeight="1" x14ac:dyDescent="0.2">
      <c r="B9" s="56" t="s">
        <v>124</v>
      </c>
      <c r="C9" s="199"/>
      <c r="D9" s="199"/>
      <c r="E9" s="199"/>
      <c r="F9" s="199"/>
      <c r="G9" s="199"/>
      <c r="H9" s="198"/>
      <c r="I9" s="198"/>
      <c r="J9" s="198"/>
      <c r="K9" s="198"/>
      <c r="L9" s="198"/>
      <c r="M9" s="198">
        <v>33.35</v>
      </c>
      <c r="N9" s="198">
        <f>M9</f>
        <v>33.35</v>
      </c>
      <c r="O9" s="195">
        <f>[1]Inputs!$M$43</f>
        <v>0.46592661151676018</v>
      </c>
      <c r="P9" s="198"/>
      <c r="Q9" s="195">
        <f>[1]Inputs!$H$13</f>
        <v>6.3420000000000004E-2</v>
      </c>
      <c r="R9" s="203">
        <f>M9+(M9*O9)+(M9*Q9)</f>
        <v>51.003709494083957</v>
      </c>
    </row>
    <row r="10" spans="2:18" x14ac:dyDescent="0.2">
      <c r="B10" s="196" t="s">
        <v>1</v>
      </c>
      <c r="C10" s="196"/>
      <c r="D10" s="196"/>
      <c r="E10" s="196"/>
      <c r="F10" s="196"/>
      <c r="G10" s="196"/>
      <c r="H10" s="59">
        <f t="shared" ref="H10:K10" si="0">SUM(H8:H9)</f>
        <v>159.67669293933002</v>
      </c>
      <c r="I10" s="59">
        <f t="shared" si="0"/>
        <v>39.464872576692635</v>
      </c>
      <c r="J10" s="59">
        <f t="shared" si="0"/>
        <v>0</v>
      </c>
      <c r="K10" s="59">
        <f t="shared" si="0"/>
        <v>0</v>
      </c>
      <c r="L10" s="59">
        <f>SUM(L7:L9)</f>
        <v>93.763499999999993</v>
      </c>
      <c r="M10" s="59">
        <f>SUM(M7:M9)</f>
        <v>33.35</v>
      </c>
      <c r="N10" s="59">
        <f>SUM(N7:N9)</f>
        <v>326.25506551602268</v>
      </c>
      <c r="O10" s="59">
        <f t="shared" ref="O10:R10" si="1">SUM(O7:O9)</f>
        <v>136.93819128349182</v>
      </c>
      <c r="P10" s="59">
        <f t="shared" si="1"/>
        <v>46.975407076680071</v>
      </c>
      <c r="Q10" s="59">
        <f t="shared" si="1"/>
        <v>30.27371059732587</v>
      </c>
      <c r="R10" s="59">
        <f t="shared" si="1"/>
        <v>557.56673735608763</v>
      </c>
    </row>
  </sheetData>
  <mergeCells count="2">
    <mergeCell ref="H2:R2"/>
    <mergeCell ref="H3:R3"/>
  </mergeCells>
  <pageMargins left="0.7" right="0.7" top="0.75" bottom="0.75" header="0.3" footer="0.3"/>
  <pageSetup paperSize="9" orientation="portrait" verticalDpi="0" r:id="rId1"/>
  <ignoredErrors>
    <ignoredError sqref="J10"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58961-A9DA-4E87-91A6-DF36922A83C0}">
  <dimension ref="B1:O30"/>
  <sheetViews>
    <sheetView workbookViewId="0">
      <selection activeCell="C32" sqref="C32"/>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82</v>
      </c>
      <c r="D1" s="125">
        <f>[1]Inputs!H16</f>
        <v>1</v>
      </c>
      <c r="E1" s="125">
        <f>[1]Inputs!I16</f>
        <v>1</v>
      </c>
      <c r="F1" s="125">
        <f>[1]Inputs!J16</f>
        <v>1.0109999999999999</v>
      </c>
      <c r="G1" s="125">
        <f>[1]Inputs!K16</f>
        <v>1.0231319999999999</v>
      </c>
      <c r="H1" s="125">
        <f>[1]Inputs!L16</f>
        <v>1.0337725727999998</v>
      </c>
      <c r="K1" s="126">
        <f>D1</f>
        <v>1</v>
      </c>
      <c r="L1" s="126">
        <f t="shared" ref="L1:O5" si="0">E1</f>
        <v>1</v>
      </c>
      <c r="M1" s="126">
        <f t="shared" si="0"/>
        <v>1.0109999999999999</v>
      </c>
      <c r="N1" s="126">
        <f t="shared" si="0"/>
        <v>1.0231319999999999</v>
      </c>
      <c r="O1" s="126">
        <f t="shared" si="0"/>
        <v>1.0337725727999998</v>
      </c>
    </row>
    <row r="2" spans="2:15" x14ac:dyDescent="0.25">
      <c r="B2" t="s">
        <v>83</v>
      </c>
      <c r="D2" s="125">
        <f>[1]Inputs!H61</f>
        <v>0.04</v>
      </c>
      <c r="E2" s="125">
        <f>[1]Inputs!I61</f>
        <v>0.04</v>
      </c>
      <c r="F2" s="125">
        <f>[1]Inputs!J61</f>
        <v>0.04</v>
      </c>
      <c r="G2" s="125">
        <f>[1]Inputs!K61</f>
        <v>0.04</v>
      </c>
      <c r="H2" s="125">
        <f>[1]Inputs!L61</f>
        <v>0.04</v>
      </c>
      <c r="K2" s="126"/>
      <c r="L2" s="126"/>
      <c r="M2" s="126"/>
      <c r="N2" s="126"/>
      <c r="O2" s="126"/>
    </row>
    <row r="3" spans="2:15" x14ac:dyDescent="0.25">
      <c r="B3" t="s">
        <v>84</v>
      </c>
      <c r="D3" s="126">
        <f>[1]Inputs!$M$43</f>
        <v>0.46592661151676018</v>
      </c>
      <c r="E3" s="126">
        <f>[1]Inputs!$M$43</f>
        <v>0.46592661151676018</v>
      </c>
      <c r="F3" s="126">
        <f>[1]Inputs!$M$43</f>
        <v>0.46592661151676018</v>
      </c>
      <c r="G3" s="126">
        <f>[1]Inputs!$M$43</f>
        <v>0.46592661151676018</v>
      </c>
      <c r="H3" s="126">
        <f>[1]Inputs!$M$43</f>
        <v>0.46592661151676018</v>
      </c>
      <c r="K3" s="126">
        <f t="shared" ref="K3:K5" si="1">D3</f>
        <v>0.46592661151676018</v>
      </c>
      <c r="L3" s="126">
        <f t="shared" si="0"/>
        <v>0.46592661151676018</v>
      </c>
      <c r="M3" s="126">
        <f t="shared" si="0"/>
        <v>0.46592661151676018</v>
      </c>
      <c r="N3" s="126">
        <f t="shared" si="0"/>
        <v>0.46592661151676018</v>
      </c>
      <c r="O3" s="126">
        <f t="shared" si="0"/>
        <v>0.46592661151676018</v>
      </c>
    </row>
    <row r="4" spans="2:15" x14ac:dyDescent="0.25">
      <c r="B4" t="s">
        <v>85</v>
      </c>
      <c r="D4" s="126">
        <f>[1]Inputs!$M$48</f>
        <v>0.16037758511933414</v>
      </c>
      <c r="E4" s="126">
        <f>[1]Inputs!$M$48</f>
        <v>0.16037758511933414</v>
      </c>
      <c r="F4" s="126">
        <f>[1]Inputs!$M$48</f>
        <v>0.16037758511933414</v>
      </c>
      <c r="G4" s="126">
        <f>[1]Inputs!$M$48</f>
        <v>0.16037758511933414</v>
      </c>
      <c r="H4" s="126">
        <f>[1]Inputs!$M$48</f>
        <v>0.16037758511933414</v>
      </c>
      <c r="K4" s="126">
        <f t="shared" si="1"/>
        <v>0.16037758511933414</v>
      </c>
      <c r="L4" s="126">
        <f t="shared" si="0"/>
        <v>0.16037758511933414</v>
      </c>
      <c r="M4" s="126">
        <f t="shared" si="0"/>
        <v>0.16037758511933414</v>
      </c>
      <c r="N4" s="126">
        <f t="shared" si="0"/>
        <v>0.16037758511933414</v>
      </c>
      <c r="O4" s="126">
        <f t="shared" si="0"/>
        <v>0.16037758511933414</v>
      </c>
    </row>
    <row r="5" spans="2:15" x14ac:dyDescent="0.25">
      <c r="B5" t="s">
        <v>86</v>
      </c>
      <c r="D5" s="126">
        <f>[1]Inputs!$H$13</f>
        <v>6.3420000000000004E-2</v>
      </c>
      <c r="E5" s="126">
        <f>[1]Inputs!$H$13</f>
        <v>6.3420000000000004E-2</v>
      </c>
      <c r="F5" s="126">
        <f>[1]Inputs!$H$13</f>
        <v>6.3420000000000004E-2</v>
      </c>
      <c r="G5" s="126">
        <f>[1]Inputs!$H$13</f>
        <v>6.3420000000000004E-2</v>
      </c>
      <c r="H5" s="126">
        <f>[1]Inputs!$H$13</f>
        <v>6.3420000000000004E-2</v>
      </c>
      <c r="K5" s="126">
        <f t="shared" si="1"/>
        <v>6.3420000000000004E-2</v>
      </c>
      <c r="L5" s="126">
        <f t="shared" si="0"/>
        <v>6.3420000000000004E-2</v>
      </c>
      <c r="M5" s="126">
        <f t="shared" si="0"/>
        <v>6.3420000000000004E-2</v>
      </c>
      <c r="N5" s="126">
        <f t="shared" si="0"/>
        <v>6.3420000000000004E-2</v>
      </c>
      <c r="O5" s="126">
        <f t="shared" si="0"/>
        <v>6.3420000000000004E-2</v>
      </c>
    </row>
    <row r="6" spans="2:15" s="127" customFormat="1" ht="15.75" x14ac:dyDescent="0.25">
      <c r="D6" s="235" t="s">
        <v>87</v>
      </c>
      <c r="E6" s="235"/>
      <c r="F6" s="235"/>
      <c r="G6" s="235"/>
      <c r="H6" s="235"/>
      <c r="J6" s="236" t="s">
        <v>123</v>
      </c>
      <c r="K6" s="236"/>
      <c r="L6" s="236"/>
      <c r="M6" s="236"/>
      <c r="N6" s="236"/>
      <c r="O6" s="236"/>
    </row>
    <row r="7" spans="2:15" x14ac:dyDescent="0.25">
      <c r="B7" s="128" t="s">
        <v>129</v>
      </c>
      <c r="C7" s="129"/>
      <c r="D7" s="129" t="s">
        <v>88</v>
      </c>
      <c r="E7" s="129" t="s">
        <v>89</v>
      </c>
      <c r="F7" s="129" t="s">
        <v>90</v>
      </c>
      <c r="G7" s="129" t="s">
        <v>91</v>
      </c>
      <c r="H7" s="129" t="s">
        <v>92</v>
      </c>
      <c r="J7" s="129"/>
      <c r="K7" s="129" t="s">
        <v>88</v>
      </c>
      <c r="L7" s="129" t="s">
        <v>89</v>
      </c>
      <c r="M7" s="129" t="s">
        <v>90</v>
      </c>
      <c r="N7" s="129" t="s">
        <v>91</v>
      </c>
      <c r="O7" s="129" t="s">
        <v>92</v>
      </c>
    </row>
    <row r="8" spans="2:15" x14ac:dyDescent="0.25">
      <c r="B8" s="130" t="s">
        <v>110</v>
      </c>
      <c r="C8" s="131"/>
      <c r="D8" s="132">
        <f>(D20*D$29)</f>
        <v>6387.0677175732008</v>
      </c>
      <c r="E8" s="132">
        <f t="shared" ref="E8:H8" si="2">(E20*E$29)</f>
        <v>6387.0677175732008</v>
      </c>
      <c r="F8" s="132">
        <f t="shared" si="2"/>
        <v>6457.325462466506</v>
      </c>
      <c r="G8" s="132">
        <f t="shared" si="2"/>
        <v>6606.6963150642814</v>
      </c>
      <c r="H8" s="132">
        <f t="shared" si="2"/>
        <v>6829.8214473322796</v>
      </c>
      <c r="J8" s="131"/>
      <c r="K8" s="132"/>
      <c r="L8" s="132"/>
      <c r="M8" s="132"/>
      <c r="N8" s="132"/>
      <c r="O8" s="132"/>
    </row>
    <row r="9" spans="2:15" x14ac:dyDescent="0.25">
      <c r="B9" s="130" t="s">
        <v>111</v>
      </c>
      <c r="C9" s="131"/>
      <c r="D9" s="132">
        <f t="shared" ref="D9:H9" si="3">(D21*D$29)</f>
        <v>1578.5949030677054</v>
      </c>
      <c r="E9" s="132">
        <f t="shared" si="3"/>
        <v>1578.5949030677054</v>
      </c>
      <c r="F9" s="132">
        <f t="shared" si="3"/>
        <v>1578.5949030677054</v>
      </c>
      <c r="G9" s="132">
        <f t="shared" si="3"/>
        <v>1578.5949030677054</v>
      </c>
      <c r="H9" s="132">
        <f t="shared" si="3"/>
        <v>1578.5949030677054</v>
      </c>
      <c r="J9" s="131"/>
      <c r="K9" s="132"/>
      <c r="L9" s="132"/>
      <c r="M9" s="132"/>
      <c r="N9" s="132"/>
      <c r="O9" s="132"/>
    </row>
    <row r="10" spans="2:15" x14ac:dyDescent="0.25">
      <c r="B10" s="130" t="s">
        <v>77</v>
      </c>
      <c r="C10" s="131"/>
      <c r="D10" s="132">
        <f t="shared" ref="D10:H10" si="4">(D22*D$29)</f>
        <v>3750.54</v>
      </c>
      <c r="E10" s="132">
        <f t="shared" si="4"/>
        <v>3750.54</v>
      </c>
      <c r="F10" s="132">
        <f t="shared" si="4"/>
        <v>3750.54</v>
      </c>
      <c r="G10" s="132">
        <f t="shared" si="4"/>
        <v>3750.54</v>
      </c>
      <c r="H10" s="132">
        <f t="shared" si="4"/>
        <v>3750.54</v>
      </c>
      <c r="J10" s="131"/>
      <c r="K10" s="132"/>
      <c r="L10" s="132"/>
      <c r="M10" s="132"/>
      <c r="N10" s="132"/>
      <c r="O10" s="132"/>
    </row>
    <row r="11" spans="2:15" x14ac:dyDescent="0.25">
      <c r="B11" s="130" t="s">
        <v>131</v>
      </c>
      <c r="C11" s="131"/>
      <c r="D11" s="132">
        <f t="shared" ref="D11:H11" si="5">(D23*D$29)</f>
        <v>1334</v>
      </c>
      <c r="E11" s="132">
        <f t="shared" si="5"/>
        <v>1334</v>
      </c>
      <c r="F11" s="132">
        <f t="shared" si="5"/>
        <v>1334</v>
      </c>
      <c r="G11" s="132">
        <f t="shared" si="5"/>
        <v>1334</v>
      </c>
      <c r="H11" s="132">
        <f t="shared" si="5"/>
        <v>1334</v>
      </c>
      <c r="J11" s="131"/>
      <c r="K11" s="132"/>
      <c r="L11" s="132"/>
      <c r="M11" s="132"/>
      <c r="N11" s="132"/>
      <c r="O11" s="132"/>
    </row>
    <row r="12" spans="2:15" x14ac:dyDescent="0.25">
      <c r="B12" s="133" t="s">
        <v>93</v>
      </c>
      <c r="C12" s="133"/>
      <c r="D12" s="134">
        <f t="shared" ref="D12:H12" si="6">(D24*D$29)</f>
        <v>11716.202620640906</v>
      </c>
      <c r="E12" s="134">
        <f t="shared" si="6"/>
        <v>11716.202620640906</v>
      </c>
      <c r="F12" s="134">
        <f t="shared" si="6"/>
        <v>11786.460365534213</v>
      </c>
      <c r="G12" s="134">
        <f t="shared" si="6"/>
        <v>11935.831218131987</v>
      </c>
      <c r="H12" s="134">
        <f t="shared" si="6"/>
        <v>12158.956350399985</v>
      </c>
      <c r="J12" s="133"/>
      <c r="K12" s="134"/>
      <c r="L12" s="134"/>
      <c r="M12" s="134"/>
      <c r="N12" s="134"/>
      <c r="O12" s="134"/>
    </row>
    <row r="13" spans="2:15" x14ac:dyDescent="0.25">
      <c r="B13" s="131" t="s">
        <v>79</v>
      </c>
      <c r="C13" s="131"/>
      <c r="D13" s="132">
        <f t="shared" ref="D13:H13" si="7">(D25*D$29)</f>
        <v>5458.8905868790025</v>
      </c>
      <c r="E13" s="132">
        <f t="shared" si="7"/>
        <v>5458.8905868790025</v>
      </c>
      <c r="F13" s="132">
        <f t="shared" si="7"/>
        <v>5491.6255398899502</v>
      </c>
      <c r="G13" s="132">
        <f t="shared" si="7"/>
        <v>5561.2213951002004</v>
      </c>
      <c r="H13" s="132">
        <f t="shared" si="7"/>
        <v>5665.1813319220582</v>
      </c>
      <c r="J13" s="131"/>
      <c r="K13" s="132"/>
      <c r="L13" s="132"/>
      <c r="M13" s="132"/>
      <c r="N13" s="132"/>
      <c r="O13" s="132"/>
    </row>
    <row r="14" spans="2:15" x14ac:dyDescent="0.25">
      <c r="B14" s="131" t="s">
        <v>80</v>
      </c>
      <c r="C14" s="131"/>
      <c r="D14" s="132">
        <f t="shared" ref="D14:H14" si="8">(D26*D$29)</f>
        <v>1879.0162830672029</v>
      </c>
      <c r="E14" s="132">
        <f t="shared" si="8"/>
        <v>1879.0162830672029</v>
      </c>
      <c r="F14" s="132">
        <f t="shared" si="8"/>
        <v>1890.2840505291215</v>
      </c>
      <c r="G14" s="132">
        <f t="shared" si="8"/>
        <v>1914.2397871559683</v>
      </c>
      <c r="H14" s="132">
        <f t="shared" si="8"/>
        <v>1950.0240570485421</v>
      </c>
      <c r="J14" s="131"/>
      <c r="K14" s="132"/>
      <c r="L14" s="132"/>
      <c r="M14" s="132"/>
      <c r="N14" s="132"/>
      <c r="O14" s="132"/>
    </row>
    <row r="15" spans="2:15" s="136" customFormat="1" x14ac:dyDescent="0.25">
      <c r="B15" s="131" t="s">
        <v>81</v>
      </c>
      <c r="C15" s="131"/>
      <c r="D15" s="132">
        <f t="shared" ref="D15:H15" si="9">(D27*D$29)</f>
        <v>1208.4116238930346</v>
      </c>
      <c r="E15" s="132">
        <f t="shared" si="9"/>
        <v>1208.4116238930346</v>
      </c>
      <c r="F15" s="132">
        <f t="shared" si="9"/>
        <v>1215.6580226065576</v>
      </c>
      <c r="G15" s="132">
        <f t="shared" si="9"/>
        <v>1231.0641640326166</v>
      </c>
      <c r="H15" s="132">
        <f t="shared" si="9"/>
        <v>1254.0773375108827</v>
      </c>
      <c r="I15"/>
      <c r="J15" s="131"/>
      <c r="K15" s="132"/>
      <c r="L15" s="132"/>
      <c r="M15" s="132"/>
      <c r="N15" s="132"/>
      <c r="O15" s="132"/>
    </row>
    <row r="16" spans="2:15" s="119" customFormat="1" x14ac:dyDescent="0.25">
      <c r="B16" s="135" t="s">
        <v>94</v>
      </c>
      <c r="C16" s="131"/>
      <c r="D16" s="134">
        <f t="shared" ref="D16:H16" si="10">(D28*D$29)</f>
        <v>20262.521114480147</v>
      </c>
      <c r="E16" s="134">
        <f t="shared" si="10"/>
        <v>20262.521114480147</v>
      </c>
      <c r="F16" s="134">
        <f t="shared" si="10"/>
        <v>20384.027978559843</v>
      </c>
      <c r="G16" s="134">
        <f t="shared" si="10"/>
        <v>20642.35656442077</v>
      </c>
      <c r="H16" s="134">
        <f t="shared" si="10"/>
        <v>21028.239076881469</v>
      </c>
      <c r="I16" s="136"/>
      <c r="J16" s="131"/>
      <c r="K16" s="134"/>
      <c r="L16" s="134"/>
      <c r="M16" s="134"/>
      <c r="N16" s="134"/>
      <c r="O16" s="134"/>
    </row>
    <row r="17" spans="2:15" s="119" customFormat="1" x14ac:dyDescent="0.25">
      <c r="B17" s="137" t="s">
        <v>95</v>
      </c>
      <c r="C17" s="133"/>
      <c r="D17" s="134">
        <f>D30+D41-D16</f>
        <v>0</v>
      </c>
      <c r="E17" s="134">
        <f>E30+E41-E16</f>
        <v>0</v>
      </c>
      <c r="F17" s="134">
        <f>F30+F41-F16</f>
        <v>0</v>
      </c>
      <c r="G17" s="134">
        <f>G30+G41-G16</f>
        <v>0</v>
      </c>
      <c r="H17" s="134">
        <f>H30+H41-H16</f>
        <v>0</v>
      </c>
      <c r="J17" s="133"/>
      <c r="K17" s="134"/>
      <c r="L17" s="134"/>
      <c r="M17" s="134"/>
      <c r="N17" s="134"/>
      <c r="O17" s="134"/>
    </row>
    <row r="18" spans="2:15" s="119" customFormat="1" x14ac:dyDescent="0.25">
      <c r="C18" s="138"/>
    </row>
    <row r="19" spans="2:15" x14ac:dyDescent="0.25">
      <c r="B19" s="139" t="s">
        <v>130</v>
      </c>
      <c r="C19" s="120"/>
      <c r="D19" s="237" t="s">
        <v>96</v>
      </c>
      <c r="E19" s="238"/>
      <c r="F19" s="238"/>
      <c r="G19" s="238"/>
      <c r="H19" s="238"/>
      <c r="J19" s="120"/>
      <c r="K19" s="237"/>
      <c r="L19" s="238"/>
      <c r="M19" s="238"/>
      <c r="N19" s="238"/>
      <c r="O19" s="238"/>
    </row>
    <row r="20" spans="2:15" x14ac:dyDescent="0.25">
      <c r="B20" s="140" t="s">
        <v>110</v>
      </c>
      <c r="C20" s="141">
        <f>'Proposed price build-up'!H10</f>
        <v>159.67669293933002</v>
      </c>
      <c r="D20" s="142">
        <f>C20*D$1</f>
        <v>159.67669293933002</v>
      </c>
      <c r="E20" s="142">
        <f>D20*E1</f>
        <v>159.67669293933002</v>
      </c>
      <c r="F20" s="142">
        <f>E20*F1</f>
        <v>161.43313656166265</v>
      </c>
      <c r="G20" s="142">
        <f>F20*G1</f>
        <v>165.16740787660703</v>
      </c>
      <c r="H20" s="142">
        <f>G20*H1</f>
        <v>170.745536183307</v>
      </c>
      <c r="J20" s="141"/>
      <c r="K20" s="142"/>
      <c r="L20" s="142"/>
      <c r="M20" s="142"/>
      <c r="N20" s="142"/>
      <c r="O20" s="142"/>
    </row>
    <row r="21" spans="2:15" x14ac:dyDescent="0.25">
      <c r="B21" s="140" t="s">
        <v>111</v>
      </c>
      <c r="C21" s="141">
        <f>'Proposed price build-up'!I10</f>
        <v>39.464872576692635</v>
      </c>
      <c r="D21" s="142">
        <f>C21</f>
        <v>39.464872576692635</v>
      </c>
      <c r="E21" s="142">
        <f t="shared" ref="E21:H23" si="11">D21</f>
        <v>39.464872576692635</v>
      </c>
      <c r="F21" s="142">
        <f t="shared" si="11"/>
        <v>39.464872576692635</v>
      </c>
      <c r="G21" s="142">
        <f t="shared" si="11"/>
        <v>39.464872576692635</v>
      </c>
      <c r="H21" s="142">
        <f t="shared" si="11"/>
        <v>39.464872576692635</v>
      </c>
      <c r="J21" s="141"/>
      <c r="K21" s="142"/>
      <c r="L21" s="142"/>
      <c r="M21" s="142"/>
      <c r="N21" s="142"/>
      <c r="O21" s="142"/>
    </row>
    <row r="22" spans="2:15" x14ac:dyDescent="0.25">
      <c r="B22" s="140" t="s">
        <v>77</v>
      </c>
      <c r="C22" s="141">
        <f>'Proposed price build-up'!L10</f>
        <v>93.763499999999993</v>
      </c>
      <c r="D22" s="142">
        <f>C22</f>
        <v>93.763499999999993</v>
      </c>
      <c r="E22" s="142">
        <f t="shared" si="11"/>
        <v>93.763499999999993</v>
      </c>
      <c r="F22" s="142">
        <f t="shared" si="11"/>
        <v>93.763499999999993</v>
      </c>
      <c r="G22" s="142">
        <f t="shared" si="11"/>
        <v>93.763499999999993</v>
      </c>
      <c r="H22" s="142">
        <f t="shared" si="11"/>
        <v>93.763499999999993</v>
      </c>
      <c r="J22" s="141"/>
      <c r="K22" s="142"/>
      <c r="L22" s="142"/>
      <c r="M22" s="142"/>
      <c r="N22" s="142"/>
      <c r="O22" s="142"/>
    </row>
    <row r="23" spans="2:15" x14ac:dyDescent="0.25">
      <c r="B23" s="140" t="s">
        <v>131</v>
      </c>
      <c r="C23" s="141">
        <f>'Proposed price build-up'!M10</f>
        <v>33.35</v>
      </c>
      <c r="D23" s="142">
        <f>C23</f>
        <v>33.35</v>
      </c>
      <c r="E23" s="142">
        <f t="shared" si="11"/>
        <v>33.35</v>
      </c>
      <c r="F23" s="142">
        <f t="shared" si="11"/>
        <v>33.35</v>
      </c>
      <c r="G23" s="142">
        <f t="shared" si="11"/>
        <v>33.35</v>
      </c>
      <c r="H23" s="142">
        <f t="shared" si="11"/>
        <v>33.35</v>
      </c>
      <c r="J23" s="141"/>
      <c r="K23" s="142"/>
      <c r="L23" s="142"/>
      <c r="M23" s="142"/>
      <c r="N23" s="142"/>
      <c r="O23" s="142"/>
    </row>
    <row r="24" spans="2:15" x14ac:dyDescent="0.25">
      <c r="B24" s="143" t="s">
        <v>93</v>
      </c>
      <c r="C24" s="242">
        <f>'Proposed price build-up'!N10</f>
        <v>326.25506551602268</v>
      </c>
      <c r="D24" s="133">
        <f>SUM(D20:D22)</f>
        <v>292.90506551602266</v>
      </c>
      <c r="E24" s="133">
        <f t="shared" ref="E24:H24" si="12">SUM(E20:E22)</f>
        <v>292.90506551602266</v>
      </c>
      <c r="F24" s="133">
        <f t="shared" si="12"/>
        <v>294.66150913835531</v>
      </c>
      <c r="G24" s="133">
        <f t="shared" si="12"/>
        <v>298.39578045329966</v>
      </c>
      <c r="H24" s="133">
        <f t="shared" si="12"/>
        <v>303.97390875999963</v>
      </c>
      <c r="I24" s="119"/>
      <c r="J24" s="144"/>
      <c r="K24" s="131"/>
      <c r="L24" s="131"/>
      <c r="M24" s="131"/>
      <c r="N24" s="131"/>
      <c r="O24" s="131"/>
    </row>
    <row r="25" spans="2:15" s="119" customFormat="1" x14ac:dyDescent="0.25">
      <c r="B25" s="140" t="s">
        <v>79</v>
      </c>
      <c r="C25" s="141">
        <f>'Proposed price build-up'!O10</f>
        <v>136.93819128349182</v>
      </c>
      <c r="D25" s="142">
        <f>D24*D$3</f>
        <v>136.47226467197507</v>
      </c>
      <c r="E25" s="142">
        <f t="shared" ref="E25:H25" si="13">E24*E$3</f>
        <v>136.47226467197507</v>
      </c>
      <c r="F25" s="142">
        <f t="shared" si="13"/>
        <v>137.29063849724875</v>
      </c>
      <c r="G25" s="142">
        <f t="shared" si="13"/>
        <v>139.030534877505</v>
      </c>
      <c r="H25" s="142">
        <f t="shared" si="13"/>
        <v>141.62953329805146</v>
      </c>
      <c r="I25"/>
      <c r="J25" s="141"/>
      <c r="K25" s="142"/>
      <c r="L25" s="142"/>
      <c r="M25" s="142"/>
      <c r="N25" s="142"/>
      <c r="O25" s="142"/>
    </row>
    <row r="26" spans="2:15" x14ac:dyDescent="0.25">
      <c r="B26" s="140" t="s">
        <v>80</v>
      </c>
      <c r="C26" s="141">
        <f>'Proposed price build-up'!P10</f>
        <v>46.975407076680071</v>
      </c>
      <c r="D26" s="142">
        <f>D24*D$4</f>
        <v>46.975407076680071</v>
      </c>
      <c r="E26" s="142">
        <f t="shared" ref="E26:H26" si="14">E24*E$4</f>
        <v>46.975407076680071</v>
      </c>
      <c r="F26" s="142">
        <f t="shared" si="14"/>
        <v>47.257101263228037</v>
      </c>
      <c r="G26" s="142">
        <f t="shared" si="14"/>
        <v>47.855994678899208</v>
      </c>
      <c r="H26" s="142">
        <f t="shared" si="14"/>
        <v>48.750601426213549</v>
      </c>
      <c r="J26" s="141"/>
      <c r="K26" s="142"/>
      <c r="L26" s="142"/>
      <c r="M26" s="142"/>
      <c r="N26" s="142"/>
      <c r="O26" s="142"/>
    </row>
    <row r="27" spans="2:15" x14ac:dyDescent="0.25">
      <c r="B27" s="140" t="s">
        <v>97</v>
      </c>
      <c r="C27" s="141">
        <f>'Proposed price build-up'!Q10</f>
        <v>30.27371059732587</v>
      </c>
      <c r="D27" s="142">
        <f>SUM(D24:D26)*D$5</f>
        <v>30.210290597325866</v>
      </c>
      <c r="E27" s="142">
        <f t="shared" ref="E27:H27" si="15">SUM(E24:E26)*E$5</f>
        <v>30.210290597325866</v>
      </c>
      <c r="F27" s="142">
        <f t="shared" si="15"/>
        <v>30.391450565163936</v>
      </c>
      <c r="G27" s="142">
        <f t="shared" si="15"/>
        <v>30.776604100815419</v>
      </c>
      <c r="H27" s="142">
        <f t="shared" si="15"/>
        <v>31.351933437772065</v>
      </c>
      <c r="J27" s="141"/>
      <c r="K27" s="142"/>
      <c r="L27" s="142"/>
      <c r="M27" s="142"/>
      <c r="N27" s="142"/>
      <c r="O27" s="142"/>
    </row>
    <row r="28" spans="2:15" x14ac:dyDescent="0.25">
      <c r="B28" s="145" t="s">
        <v>98</v>
      </c>
      <c r="C28" s="146">
        <f>'Proposed price build-up'!R10</f>
        <v>557.56673735608763</v>
      </c>
      <c r="D28" s="147">
        <f>SUM(D24:D27)</f>
        <v>506.56302786200365</v>
      </c>
      <c r="E28" s="147">
        <f t="shared" ref="E28:H28" si="16">SUM(E24:E27)</f>
        <v>506.56302786200365</v>
      </c>
      <c r="F28" s="147">
        <f t="shared" si="16"/>
        <v>509.60069946399608</v>
      </c>
      <c r="G28" s="147">
        <f t="shared" si="16"/>
        <v>516.05891411051925</v>
      </c>
      <c r="H28" s="147">
        <f t="shared" si="16"/>
        <v>525.70597692203671</v>
      </c>
      <c r="I28" s="119"/>
      <c r="J28" s="146"/>
      <c r="K28" s="147"/>
      <c r="L28" s="147"/>
      <c r="M28" s="147"/>
      <c r="N28" s="147"/>
      <c r="O28" s="147"/>
    </row>
    <row r="29" spans="2:15" s="119" customFormat="1" x14ac:dyDescent="0.25">
      <c r="B29" s="148" t="s">
        <v>99</v>
      </c>
      <c r="C29" s="142"/>
      <c r="D29" s="149">
        <f>'Forecast Revenue - Costs'!$D$11</f>
        <v>40</v>
      </c>
      <c r="E29" s="149">
        <f>'Forecast Revenue - Costs'!$D$11</f>
        <v>40</v>
      </c>
      <c r="F29" s="149">
        <f>'Forecast Revenue - Costs'!$D$11</f>
        <v>40</v>
      </c>
      <c r="G29" s="149">
        <f>'Forecast Revenue - Costs'!$D$11</f>
        <v>40</v>
      </c>
      <c r="H29" s="149">
        <f>'Forecast Revenue - Costs'!$D$11</f>
        <v>40</v>
      </c>
      <c r="I29"/>
      <c r="J29" s="142"/>
      <c r="K29" s="149"/>
      <c r="L29" s="149"/>
      <c r="M29" s="149"/>
      <c r="N29" s="149"/>
      <c r="O29" s="149"/>
    </row>
    <row r="30" spans="2:15" x14ac:dyDescent="0.25">
      <c r="B30" s="135" t="s">
        <v>100</v>
      </c>
      <c r="C30" s="133"/>
      <c r="D30" s="134">
        <f>D28*D29</f>
        <v>20262.521114480147</v>
      </c>
      <c r="E30" s="134">
        <f t="shared" ref="E30:H30" si="17">E28*E29</f>
        <v>20262.521114480147</v>
      </c>
      <c r="F30" s="134">
        <f t="shared" si="17"/>
        <v>20384.027978559843</v>
      </c>
      <c r="G30" s="134">
        <f t="shared" si="17"/>
        <v>20642.35656442077</v>
      </c>
      <c r="H30" s="134">
        <f t="shared" si="17"/>
        <v>21028.239076881469</v>
      </c>
      <c r="I30" s="119"/>
      <c r="J30" s="133"/>
      <c r="K30" s="134">
        <f>K29*K28</f>
        <v>0</v>
      </c>
      <c r="L30" s="134">
        <f t="shared" ref="L30:O30" si="18">L29*L28</f>
        <v>0</v>
      </c>
      <c r="M30" s="134">
        <f t="shared" si="18"/>
        <v>0</v>
      </c>
      <c r="N30" s="134">
        <f t="shared" si="18"/>
        <v>0</v>
      </c>
      <c r="O30" s="134">
        <f t="shared" si="18"/>
        <v>0</v>
      </c>
    </row>
  </sheetData>
  <mergeCells count="4">
    <mergeCell ref="D6:H6"/>
    <mergeCell ref="J6:O6"/>
    <mergeCell ref="D19:H19"/>
    <mergeCell ref="K19:O19"/>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workbookViewId="0">
      <selection activeCell="B42" sqref="B42"/>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4" t="s">
        <v>45</v>
      </c>
      <c r="C2" s="25"/>
      <c r="D2" s="25"/>
      <c r="E2" s="25"/>
      <c r="F2" s="25"/>
      <c r="G2" s="25"/>
      <c r="H2" s="25"/>
      <c r="I2" s="25"/>
    </row>
    <row r="3" spans="2:9" x14ac:dyDescent="0.25">
      <c r="B3" s="1"/>
      <c r="C3" s="1"/>
      <c r="D3" s="1"/>
      <c r="E3" s="1"/>
      <c r="F3" s="1"/>
      <c r="G3" s="1"/>
      <c r="H3" s="1"/>
      <c r="I3" s="1"/>
    </row>
    <row r="4" spans="2:9" x14ac:dyDescent="0.25">
      <c r="B4" s="243" t="s">
        <v>63</v>
      </c>
      <c r="C4" s="243" t="s">
        <v>3</v>
      </c>
      <c r="D4" s="54" t="s">
        <v>54</v>
      </c>
      <c r="E4" s="54" t="s">
        <v>55</v>
      </c>
      <c r="F4" s="54" t="s">
        <v>56</v>
      </c>
      <c r="G4" s="54" t="s">
        <v>64</v>
      </c>
      <c r="H4" s="54" t="s">
        <v>57</v>
      </c>
      <c r="I4" s="244" t="s">
        <v>1</v>
      </c>
    </row>
    <row r="5" spans="2:9" x14ac:dyDescent="0.25">
      <c r="B5" s="62" t="s">
        <v>128</v>
      </c>
      <c r="C5" s="4"/>
      <c r="D5" s="26">
        <f>'Forecasts by year'!D$30</f>
        <v>20262.521114480147</v>
      </c>
      <c r="E5" s="26">
        <f>'Forecasts by year'!E$30</f>
        <v>20262.521114480147</v>
      </c>
      <c r="F5" s="26">
        <f>'Forecasts by year'!F$30</f>
        <v>20384.027978559843</v>
      </c>
      <c r="G5" s="26">
        <f>'Forecasts by year'!G$30</f>
        <v>20642.35656442077</v>
      </c>
      <c r="H5" s="26">
        <f>'Forecasts by year'!H$30</f>
        <v>21028.239076881469</v>
      </c>
      <c r="I5" s="247">
        <f>SUM(D5:H5)</f>
        <v>102579.66584882238</v>
      </c>
    </row>
    <row r="6" spans="2:9" x14ac:dyDescent="0.25">
      <c r="B6" s="18" t="s">
        <v>1</v>
      </c>
      <c r="C6" s="18"/>
      <c r="D6" s="248">
        <f>SUM(D5:D5)</f>
        <v>20262.521114480147</v>
      </c>
      <c r="E6" s="248">
        <f>SUM(E5:E5)</f>
        <v>20262.521114480147</v>
      </c>
      <c r="F6" s="248">
        <f>SUM(F5:F5)</f>
        <v>20384.027978559843</v>
      </c>
      <c r="G6" s="248">
        <f>SUM(G5:G5)</f>
        <v>20642.35656442077</v>
      </c>
      <c r="H6" s="248">
        <f>SUM(H5:H5)</f>
        <v>21028.239076881469</v>
      </c>
      <c r="I6" s="248">
        <f>SUM(I5:I5)</f>
        <v>102579.66584882238</v>
      </c>
    </row>
    <row r="7" spans="2:9" x14ac:dyDescent="0.25">
      <c r="B7" s="1"/>
      <c r="C7" s="1"/>
      <c r="D7" s="1"/>
      <c r="E7" s="1"/>
      <c r="F7" s="1"/>
      <c r="G7" s="1"/>
      <c r="H7" s="1"/>
      <c r="I7" s="1"/>
    </row>
    <row r="8" spans="2:9" x14ac:dyDescent="0.25">
      <c r="B8" s="24" t="s">
        <v>27</v>
      </c>
      <c r="C8" s="25"/>
      <c r="D8" s="25"/>
      <c r="E8" s="25"/>
      <c r="F8" s="25"/>
      <c r="G8" s="25"/>
      <c r="H8" s="25"/>
      <c r="I8" s="25"/>
    </row>
    <row r="9" spans="2:9" x14ac:dyDescent="0.25">
      <c r="B9" s="1"/>
      <c r="C9" s="1"/>
      <c r="D9" s="1"/>
      <c r="E9" s="1"/>
      <c r="F9" s="1"/>
      <c r="G9" s="1"/>
      <c r="H9" s="1"/>
      <c r="I9" s="1"/>
    </row>
    <row r="10" spans="2:9" x14ac:dyDescent="0.25">
      <c r="B10" s="243" t="s">
        <v>63</v>
      </c>
      <c r="C10" s="243" t="s">
        <v>3</v>
      </c>
      <c r="D10" s="54" t="s">
        <v>54</v>
      </c>
      <c r="E10" s="54" t="s">
        <v>55</v>
      </c>
      <c r="F10" s="54" t="s">
        <v>56</v>
      </c>
      <c r="G10" s="54" t="s">
        <v>64</v>
      </c>
      <c r="H10" s="54" t="s">
        <v>57</v>
      </c>
      <c r="I10" s="244" t="s">
        <v>1</v>
      </c>
    </row>
    <row r="11" spans="2:9" x14ac:dyDescent="0.25">
      <c r="B11" s="62" t="str">
        <f>B5</f>
        <v>New Service - Provision of Luminaire Glare Shield (customer requested)</v>
      </c>
      <c r="C11" s="4"/>
      <c r="D11" s="61">
        <v>40</v>
      </c>
      <c r="E11" s="61">
        <v>40</v>
      </c>
      <c r="F11" s="61">
        <v>40</v>
      </c>
      <c r="G11" s="61">
        <v>40</v>
      </c>
      <c r="H11" s="61">
        <v>40</v>
      </c>
      <c r="I11" s="245">
        <f>SUM(D11:H11)</f>
        <v>200</v>
      </c>
    </row>
    <row r="12" spans="2:9" x14ac:dyDescent="0.25">
      <c r="B12" s="18" t="s">
        <v>17</v>
      </c>
      <c r="C12" s="18"/>
      <c r="D12" s="246">
        <f>SUM(D11:D11)</f>
        <v>40</v>
      </c>
      <c r="E12" s="246">
        <f>SUM(E11:E11)</f>
        <v>40</v>
      </c>
      <c r="F12" s="246">
        <f>SUM(F11:F11)</f>
        <v>40</v>
      </c>
      <c r="G12" s="246">
        <f>SUM(G11:G11)</f>
        <v>40</v>
      </c>
      <c r="H12" s="246">
        <f>SUM(H11:H11)</f>
        <v>40</v>
      </c>
      <c r="I12" s="246">
        <f>SUM(I11:I11)</f>
        <v>200</v>
      </c>
    </row>
    <row r="13" spans="2:9" x14ac:dyDescent="0.25">
      <c r="B13" s="1"/>
      <c r="C13" s="1"/>
      <c r="D13" s="12"/>
      <c r="E13" s="12"/>
      <c r="F13" s="12"/>
      <c r="G13" s="12"/>
      <c r="H13" s="12"/>
      <c r="I13" s="12"/>
    </row>
    <row r="14" spans="2:9" x14ac:dyDescent="0.25">
      <c r="B14" s="13" t="s">
        <v>6</v>
      </c>
      <c r="C14" s="1"/>
      <c r="D14" s="12"/>
      <c r="E14" s="12"/>
      <c r="F14" s="12"/>
      <c r="G14" s="12"/>
      <c r="H14" s="12"/>
      <c r="I14" s="12"/>
    </row>
    <row r="15" spans="2:9" x14ac:dyDescent="0.25">
      <c r="B15" s="239"/>
      <c r="C15" s="239"/>
      <c r="D15" s="239"/>
      <c r="E15" s="239"/>
      <c r="F15" s="239"/>
      <c r="G15" s="239"/>
      <c r="H15" s="239"/>
      <c r="I15" s="239"/>
    </row>
    <row r="16" spans="2:9" x14ac:dyDescent="0.25">
      <c r="B16" s="240"/>
      <c r="C16" s="240"/>
      <c r="D16" s="240"/>
      <c r="E16" s="240"/>
      <c r="F16" s="240"/>
      <c r="G16" s="240"/>
      <c r="H16" s="240"/>
      <c r="I16" s="240"/>
    </row>
    <row r="17" spans="2:9" x14ac:dyDescent="0.25">
      <c r="B17" s="1"/>
      <c r="C17" s="1"/>
      <c r="D17" s="12"/>
      <c r="E17" s="12"/>
      <c r="F17" s="12"/>
      <c r="G17" s="12"/>
      <c r="H17" s="12"/>
      <c r="I17" s="12"/>
    </row>
    <row r="18" spans="2:9" x14ac:dyDescent="0.25">
      <c r="B18" s="24" t="s">
        <v>28</v>
      </c>
      <c r="C18" s="25"/>
      <c r="D18" s="25"/>
      <c r="E18" s="25"/>
      <c r="F18" s="25"/>
      <c r="G18" s="25"/>
      <c r="H18" s="25"/>
      <c r="I18" s="25"/>
    </row>
    <row r="19" spans="2:9" x14ac:dyDescent="0.25">
      <c r="B19" s="14" t="s">
        <v>26</v>
      </c>
      <c r="C19" s="15"/>
      <c r="D19" s="15"/>
      <c r="E19" s="15"/>
      <c r="F19" s="15"/>
      <c r="G19" s="15"/>
      <c r="H19" s="15"/>
      <c r="I19" s="15"/>
    </row>
    <row r="20" spans="2:9" x14ac:dyDescent="0.25">
      <c r="B20" s="249" t="s">
        <v>135</v>
      </c>
      <c r="C20" s="226"/>
      <c r="D20" s="226"/>
      <c r="E20" s="226"/>
      <c r="F20" s="226"/>
      <c r="G20" s="226"/>
      <c r="H20" s="226"/>
      <c r="I20" s="226"/>
    </row>
    <row r="21" spans="2:9" x14ac:dyDescent="0.25">
      <c r="B21" s="228"/>
      <c r="C21" s="228"/>
      <c r="D21" s="228"/>
      <c r="E21" s="228"/>
      <c r="F21" s="228"/>
      <c r="G21" s="228"/>
      <c r="H21" s="228"/>
      <c r="I21" s="228"/>
    </row>
    <row r="22" spans="2:9" x14ac:dyDescent="0.25">
      <c r="B22" s="16"/>
      <c r="C22" s="17"/>
      <c r="D22" s="17"/>
      <c r="E22" s="17"/>
      <c r="F22" s="17"/>
      <c r="G22" s="17"/>
      <c r="H22" s="17"/>
      <c r="I22" s="17"/>
    </row>
    <row r="23" spans="2:9" x14ac:dyDescent="0.25">
      <c r="B23" s="1"/>
      <c r="C23" s="1"/>
      <c r="D23" s="1"/>
      <c r="E23" s="1"/>
      <c r="F23" s="1"/>
      <c r="G23" s="1"/>
      <c r="H23" s="1"/>
      <c r="I23" s="1"/>
    </row>
    <row r="24" spans="2:9" x14ac:dyDescent="0.25">
      <c r="B24" s="27" t="s">
        <v>44</v>
      </c>
      <c r="C24" s="28"/>
      <c r="D24" s="241" t="s">
        <v>74</v>
      </c>
      <c r="E24" s="241"/>
      <c r="F24" s="241"/>
      <c r="G24" s="241"/>
      <c r="H24" s="241"/>
      <c r="I24" s="28"/>
    </row>
    <row r="25" spans="2:9" ht="15.75" customHeight="1" x14ac:dyDescent="0.25">
      <c r="B25" s="2" t="s">
        <v>20</v>
      </c>
      <c r="C25" s="18" t="s">
        <v>3</v>
      </c>
      <c r="D25" s="55" t="s">
        <v>54</v>
      </c>
      <c r="E25" s="55" t="s">
        <v>55</v>
      </c>
      <c r="F25" s="55" t="s">
        <v>56</v>
      </c>
      <c r="G25" s="55" t="s">
        <v>64</v>
      </c>
      <c r="H25" s="65" t="s">
        <v>57</v>
      </c>
      <c r="I25" s="19" t="s">
        <v>1</v>
      </c>
    </row>
    <row r="26" spans="2:9" s="119" customFormat="1" x14ac:dyDescent="0.25">
      <c r="B26" s="116" t="s">
        <v>75</v>
      </c>
      <c r="C26" s="117"/>
      <c r="D26" s="60">
        <f>'Forecasts by year'!D8</f>
        <v>6387.0677175732008</v>
      </c>
      <c r="E26" s="60">
        <f>'Forecasts by year'!E8</f>
        <v>6387.0677175732008</v>
      </c>
      <c r="F26" s="60">
        <f>'Forecasts by year'!F8</f>
        <v>6457.325462466506</v>
      </c>
      <c r="G26" s="60">
        <f>'Forecasts by year'!G8</f>
        <v>6606.6963150642814</v>
      </c>
      <c r="H26" s="60">
        <f>'Forecasts by year'!H8</f>
        <v>6829.8214473322796</v>
      </c>
      <c r="I26" s="118">
        <f t="shared" ref="I26:I29" si="0">SUM(D26:H26)</f>
        <v>32667.97866000947</v>
      </c>
    </row>
    <row r="27" spans="2:9" s="119" customFormat="1" x14ac:dyDescent="0.25">
      <c r="B27" s="116" t="s">
        <v>76</v>
      </c>
      <c r="C27" s="120"/>
      <c r="D27" s="60">
        <f>'Forecasts by year'!D9</f>
        <v>1578.5949030677054</v>
      </c>
      <c r="E27" s="60">
        <f>'Forecasts by year'!E9</f>
        <v>1578.5949030677054</v>
      </c>
      <c r="F27" s="60">
        <f>'Forecasts by year'!F9</f>
        <v>1578.5949030677054</v>
      </c>
      <c r="G27" s="60">
        <f>'Forecasts by year'!G9</f>
        <v>1578.5949030677054</v>
      </c>
      <c r="H27" s="60">
        <f>'Forecasts by year'!H9</f>
        <v>1578.5949030677054</v>
      </c>
      <c r="I27" s="118">
        <f t="shared" si="0"/>
        <v>7892.9745153385275</v>
      </c>
    </row>
    <row r="28" spans="2:9" s="119" customFormat="1" x14ac:dyDescent="0.25">
      <c r="B28" s="116" t="s">
        <v>77</v>
      </c>
      <c r="C28" s="120"/>
      <c r="D28" s="60">
        <f>'Forecasts by year'!D10</f>
        <v>3750.54</v>
      </c>
      <c r="E28" s="60">
        <f>'Forecasts by year'!E10</f>
        <v>3750.54</v>
      </c>
      <c r="F28" s="60">
        <f>'Forecasts by year'!F10</f>
        <v>3750.54</v>
      </c>
      <c r="G28" s="60">
        <f>'Forecasts by year'!G10</f>
        <v>3750.54</v>
      </c>
      <c r="H28" s="60">
        <f>'Forecasts by year'!H10</f>
        <v>3750.54</v>
      </c>
      <c r="I28" s="118">
        <f t="shared" si="0"/>
        <v>18752.7</v>
      </c>
    </row>
    <row r="29" spans="2:9" s="119" customFormat="1" x14ac:dyDescent="0.25">
      <c r="B29" s="116" t="s">
        <v>131</v>
      </c>
      <c r="C29" s="120"/>
      <c r="D29" s="60">
        <f>'Forecasts by year'!D11</f>
        <v>1334</v>
      </c>
      <c r="E29" s="60">
        <f>'Forecasts by year'!E11</f>
        <v>1334</v>
      </c>
      <c r="F29" s="60">
        <f>'Forecasts by year'!F11</f>
        <v>1334</v>
      </c>
      <c r="G29" s="60">
        <f>'Forecasts by year'!G11</f>
        <v>1334</v>
      </c>
      <c r="H29" s="60">
        <f>'Forecasts by year'!H11</f>
        <v>1334</v>
      </c>
      <c r="I29" s="118">
        <f t="shared" si="0"/>
        <v>6670</v>
      </c>
    </row>
    <row r="30" spans="2:9" s="119" customFormat="1" x14ac:dyDescent="0.25">
      <c r="B30" s="121" t="s">
        <v>78</v>
      </c>
      <c r="C30" s="120"/>
      <c r="D30" s="122">
        <f>'Forecasts by year'!D12</f>
        <v>11716.202620640906</v>
      </c>
      <c r="E30" s="122">
        <f>'Forecasts by year'!E12</f>
        <v>11716.202620640906</v>
      </c>
      <c r="F30" s="122">
        <f>'Forecasts by year'!F12</f>
        <v>11786.460365534213</v>
      </c>
      <c r="G30" s="122">
        <f>'Forecasts by year'!G12</f>
        <v>11935.831218131987</v>
      </c>
      <c r="H30" s="122">
        <f>'Forecasts by year'!H12</f>
        <v>12158.956350399985</v>
      </c>
      <c r="I30" s="118">
        <f>SUM(D30:H30)</f>
        <v>59313.653175347994</v>
      </c>
    </row>
    <row r="31" spans="2:9" x14ac:dyDescent="0.25">
      <c r="B31" s="5" t="s">
        <v>79</v>
      </c>
      <c r="C31" s="8"/>
      <c r="D31" s="60">
        <f>'Forecasts by year'!D13</f>
        <v>5458.8905868790025</v>
      </c>
      <c r="E31" s="60">
        <f>'Forecasts by year'!E13</f>
        <v>5458.8905868790025</v>
      </c>
      <c r="F31" s="60">
        <f>'Forecasts by year'!F13</f>
        <v>5491.6255398899502</v>
      </c>
      <c r="G31" s="60">
        <f>'Forecasts by year'!G13</f>
        <v>5561.2213951002004</v>
      </c>
      <c r="H31" s="60">
        <f>'Forecasts by year'!H13</f>
        <v>5665.1813319220582</v>
      </c>
      <c r="I31" s="118">
        <f>SUM(D31:H31)</f>
        <v>27635.809440670215</v>
      </c>
    </row>
    <row r="32" spans="2:9" x14ac:dyDescent="0.25">
      <c r="B32" s="5" t="s">
        <v>80</v>
      </c>
      <c r="C32" s="4"/>
      <c r="D32" s="60">
        <f>'Forecasts by year'!D14</f>
        <v>1879.0162830672029</v>
      </c>
      <c r="E32" s="60">
        <f>'Forecasts by year'!E14</f>
        <v>1879.0162830672029</v>
      </c>
      <c r="F32" s="60">
        <f>'Forecasts by year'!F14</f>
        <v>1890.2840505291215</v>
      </c>
      <c r="G32" s="60">
        <f>'Forecasts by year'!G14</f>
        <v>1914.2397871559683</v>
      </c>
      <c r="H32" s="60">
        <f>'Forecasts by year'!H14</f>
        <v>1950.0240570485421</v>
      </c>
      <c r="I32" s="118">
        <f>SUM(D32:H32)</f>
        <v>9512.5804608680373</v>
      </c>
    </row>
    <row r="33" spans="2:9" x14ac:dyDescent="0.25">
      <c r="B33" s="5" t="s">
        <v>81</v>
      </c>
      <c r="C33" s="4"/>
      <c r="D33" s="60">
        <f>'Forecasts by year'!D15</f>
        <v>1208.4116238930346</v>
      </c>
      <c r="E33" s="60">
        <f>'Forecasts by year'!E15</f>
        <v>1208.4116238930346</v>
      </c>
      <c r="F33" s="60">
        <f>'Forecasts by year'!F15</f>
        <v>1215.6580226065576</v>
      </c>
      <c r="G33" s="60">
        <f>'Forecasts by year'!G15</f>
        <v>1231.0641640326166</v>
      </c>
      <c r="H33" s="60">
        <f>'Forecasts by year'!H15</f>
        <v>1254.0773375108827</v>
      </c>
      <c r="I33" s="118">
        <f>SUM(D33:H33)</f>
        <v>6117.6227719361259</v>
      </c>
    </row>
    <row r="34" spans="2:9" x14ac:dyDescent="0.25">
      <c r="B34" s="20" t="s">
        <v>1</v>
      </c>
      <c r="C34" s="21"/>
      <c r="D34" s="22">
        <f>SUM(D30:D33)</f>
        <v>20262.521114480143</v>
      </c>
      <c r="E34" s="22">
        <f t="shared" ref="E34:H34" si="1">SUM(E30:E33)</f>
        <v>20262.521114480143</v>
      </c>
      <c r="F34" s="22">
        <f t="shared" si="1"/>
        <v>20384.02797855984</v>
      </c>
      <c r="G34" s="22">
        <f t="shared" si="1"/>
        <v>20642.356564420774</v>
      </c>
      <c r="H34" s="22">
        <f t="shared" si="1"/>
        <v>21028.239076881466</v>
      </c>
      <c r="I34" s="23">
        <f>SUM(I30:I33)</f>
        <v>102579.66584882236</v>
      </c>
    </row>
  </sheetData>
  <mergeCells count="3">
    <mergeCell ref="B15:I16"/>
    <mergeCell ref="B20:I21"/>
    <mergeCell ref="D24:H2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 build-up</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2018-04-17T22:21:22Z</dcterms:modified>
</cp:coreProperties>
</file>