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029"/>
  <workbookPr codeName="ThisWorkbook" defaultThemeVersion="124226"/>
  <mc:AlternateContent xmlns:mc="http://schemas.openxmlformats.org/markup-compatibility/2006">
    <mc:Choice Requires="x15">
      <x15ac:absPath xmlns:x15ac="http://schemas.microsoft.com/office/spreadsheetml/2010/11/ac" url="T:\Coy1-Fin\Reg_Affairs\2019 Determination\Models\2. FP - Final Proposal\ANS models - AER Version\Anc Serv - 2019-24\17_Authorisation of ASPs\"/>
    </mc:Choice>
  </mc:AlternateContent>
  <xr:revisionPtr revIDLastSave="0" documentId="13_ncr:1_{C638A905-2BBB-4AAC-983A-DAE627E2A178}" xr6:coauthVersionLast="28" xr6:coauthVersionMax="28" xr10:uidLastSave="{00000000-0000-0000-0000-000000000000}"/>
  <bookViews>
    <workbookView xWindow="120" yWindow="15" windowWidth="19440" windowHeight="12120" tabRatio="570" xr2:uid="{00000000-000D-0000-FFFF-FFFF00000000}"/>
  </bookViews>
  <sheets>
    <sheet name="AER Summary" sheetId="8" r:id="rId1"/>
    <sheet name="Service Description" sheetId="9" r:id="rId2"/>
    <sheet name="Operating Costs" sheetId="15" r:id="rId3"/>
    <sheet name="Historical Revenue" sheetId="13" r:id="rId4"/>
    <sheet name="Bottom Up Estimation" sheetId="11" r:id="rId5"/>
    <sheet name="Forecasts by year" sheetId="17" r:id="rId6"/>
    <sheet name="Forecast Revenue - Costs" sheetId="16" r:id="rId7"/>
  </sheets>
  <externalReferences>
    <externalReference r:id="rId8"/>
  </externalReferences>
  <calcPr calcId="171027"/>
  <fileRecoveryPr autoRecover="0"/>
</workbook>
</file>

<file path=xl/calcChain.xml><?xml version="1.0" encoding="utf-8"?>
<calcChain xmlns="http://schemas.openxmlformats.org/spreadsheetml/2006/main">
  <c r="E9" i="15" l="1"/>
  <c r="F9" i="15"/>
  <c r="G9" i="15"/>
  <c r="B20" i="9"/>
  <c r="G24" i="11" l="1"/>
  <c r="J24" i="11"/>
  <c r="K24" i="11"/>
  <c r="L24" i="11"/>
  <c r="F24" i="11"/>
  <c r="P23" i="11"/>
  <c r="F22" i="11"/>
  <c r="F20" i="11"/>
  <c r="F19" i="11"/>
  <c r="F33" i="11"/>
  <c r="F34" i="11"/>
  <c r="D13" i="8" l="1"/>
  <c r="H5" i="17" l="1"/>
  <c r="G5" i="17"/>
  <c r="F5" i="17"/>
  <c r="E5" i="17"/>
  <c r="D5" i="17"/>
  <c r="H2" i="17"/>
  <c r="G2" i="17"/>
  <c r="F2" i="17"/>
  <c r="E2" i="17"/>
  <c r="D2" i="17"/>
  <c r="H1" i="17"/>
  <c r="G1" i="17"/>
  <c r="F1" i="17"/>
  <c r="E1" i="17"/>
  <c r="D1" i="17"/>
  <c r="E39" i="17" l="1"/>
  <c r="F39" i="17"/>
  <c r="G39" i="17"/>
  <c r="H39" i="17"/>
  <c r="D39" i="17"/>
  <c r="E27" i="17"/>
  <c r="F27" i="17"/>
  <c r="G27" i="17"/>
  <c r="H27" i="17"/>
  <c r="D27" i="17"/>
  <c r="K33" i="17"/>
  <c r="L33" i="17" s="1"/>
  <c r="M33" i="17" s="1"/>
  <c r="N33" i="17" s="1"/>
  <c r="O33" i="17" s="1"/>
  <c r="K32" i="17"/>
  <c r="L32" i="17" s="1"/>
  <c r="M32" i="17" s="1"/>
  <c r="N32" i="17" s="1"/>
  <c r="O32" i="17" s="1"/>
  <c r="K21" i="17"/>
  <c r="L21" i="17" s="1"/>
  <c r="M21" i="17" s="1"/>
  <c r="N21" i="17" s="1"/>
  <c r="O21" i="17" s="1"/>
  <c r="K20" i="17"/>
  <c r="L20" i="17" s="1"/>
  <c r="M20" i="17" s="1"/>
  <c r="N20" i="17" s="1"/>
  <c r="O20" i="17" s="1"/>
  <c r="N5" i="17"/>
  <c r="M5" i="17"/>
  <c r="O1" i="17"/>
  <c r="N1" i="17"/>
  <c r="M1" i="17"/>
  <c r="L1" i="17"/>
  <c r="K1" i="17"/>
  <c r="G36" i="11"/>
  <c r="J36" i="11"/>
  <c r="C33" i="17" s="1"/>
  <c r="D33" i="17" s="1"/>
  <c r="E33" i="17" s="1"/>
  <c r="F33" i="17" s="1"/>
  <c r="G33" i="17" s="1"/>
  <c r="H33" i="17" s="1"/>
  <c r="K36" i="11"/>
  <c r="L36" i="11"/>
  <c r="G10" i="11"/>
  <c r="J10" i="11"/>
  <c r="C21" i="17" s="1"/>
  <c r="D21" i="17" s="1"/>
  <c r="E21" i="17" s="1"/>
  <c r="K10" i="11"/>
  <c r="L10" i="11"/>
  <c r="E10" i="17" l="1"/>
  <c r="E31" i="16" s="1"/>
  <c r="D10" i="17"/>
  <c r="D31" i="16" s="1"/>
  <c r="K19" i="17"/>
  <c r="K22" i="17" s="1"/>
  <c r="K31" i="17"/>
  <c r="K5" i="17"/>
  <c r="O5" i="17"/>
  <c r="F21" i="17"/>
  <c r="F10" i="17" s="1"/>
  <c r="F31" i="16" s="1"/>
  <c r="L5" i="17"/>
  <c r="G17" i="13"/>
  <c r="H17" i="13"/>
  <c r="H14" i="15"/>
  <c r="H15" i="15"/>
  <c r="I15" i="15" s="1"/>
  <c r="H16" i="15"/>
  <c r="I16" i="15" s="1"/>
  <c r="H17" i="15"/>
  <c r="I17" i="15" s="1"/>
  <c r="H13" i="15"/>
  <c r="I13" i="15" s="1"/>
  <c r="I8" i="13"/>
  <c r="I9" i="13"/>
  <c r="I15" i="13"/>
  <c r="I16" i="13"/>
  <c r="I14" i="13"/>
  <c r="G10" i="13"/>
  <c r="H7" i="13"/>
  <c r="I7" i="13" s="1"/>
  <c r="H6" i="13"/>
  <c r="I6" i="13" s="1"/>
  <c r="H5" i="15"/>
  <c r="H6" i="15"/>
  <c r="I6" i="15" s="1"/>
  <c r="H7" i="15"/>
  <c r="I7" i="15" s="1"/>
  <c r="H8" i="15"/>
  <c r="I8" i="15" s="1"/>
  <c r="H4" i="15"/>
  <c r="G24" i="15"/>
  <c r="H24" i="15"/>
  <c r="I14" i="15"/>
  <c r="G18" i="15"/>
  <c r="I5" i="15"/>
  <c r="I4" i="15"/>
  <c r="H10" i="13" l="1"/>
  <c r="H9" i="15"/>
  <c r="L19" i="17"/>
  <c r="M19" i="17" s="1"/>
  <c r="G21" i="17"/>
  <c r="G10" i="17" s="1"/>
  <c r="G31" i="16" s="1"/>
  <c r="L31" i="17"/>
  <c r="K34" i="17"/>
  <c r="H18" i="15"/>
  <c r="F18" i="15"/>
  <c r="E18" i="15"/>
  <c r="D18" i="15"/>
  <c r="D23" i="15"/>
  <c r="D22" i="15"/>
  <c r="I22" i="15" s="1"/>
  <c r="E23" i="15"/>
  <c r="E22" i="15"/>
  <c r="I23" i="15" l="1"/>
  <c r="L22" i="17"/>
  <c r="N19" i="17"/>
  <c r="M22" i="17"/>
  <c r="M31" i="17"/>
  <c r="L34" i="17"/>
  <c r="H21" i="17"/>
  <c r="H10" i="17" s="1"/>
  <c r="H31" i="16" s="1"/>
  <c r="I31" i="16" s="1"/>
  <c r="I18" i="15"/>
  <c r="M34" i="17" l="1"/>
  <c r="N31" i="17"/>
  <c r="O19" i="17"/>
  <c r="O22" i="17" s="1"/>
  <c r="N22" i="17"/>
  <c r="I13" i="16"/>
  <c r="I12" i="16"/>
  <c r="G14" i="16"/>
  <c r="F64" i="8" s="1"/>
  <c r="O31" i="17" l="1"/>
  <c r="O34" i="17" s="1"/>
  <c r="N34" i="17"/>
  <c r="F8" i="11"/>
  <c r="F9" i="11"/>
  <c r="F7" i="11"/>
  <c r="F36" i="11" l="1"/>
  <c r="F10" i="11"/>
  <c r="H14" i="16" l="1"/>
  <c r="G64" i="8" s="1"/>
  <c r="D9" i="15" l="1"/>
  <c r="F14" i="16"/>
  <c r="E64" i="8" s="1"/>
  <c r="E14" i="16"/>
  <c r="D64" i="8" s="1"/>
  <c r="D14" i="16"/>
  <c r="C64" i="8" s="1"/>
  <c r="I14" i="16"/>
  <c r="B12" i="16"/>
  <c r="F17" i="13"/>
  <c r="F24" i="15" s="1"/>
  <c r="E17" i="13"/>
  <c r="E24" i="15" s="1"/>
  <c r="D17" i="13"/>
  <c r="F10" i="13"/>
  <c r="E10" i="13"/>
  <c r="D10" i="13"/>
  <c r="D24" i="15" l="1"/>
  <c r="I24" i="15"/>
  <c r="I10" i="13"/>
  <c r="I17" i="13"/>
  <c r="I9" i="15" l="1"/>
  <c r="D3" i="9" l="1"/>
  <c r="H64" i="8" l="1"/>
  <c r="H34" i="11" l="1"/>
  <c r="H33" i="11"/>
  <c r="H19" i="11"/>
  <c r="H7" i="11"/>
  <c r="H9" i="11"/>
  <c r="H20" i="11"/>
  <c r="H22" i="11"/>
  <c r="H8" i="11"/>
  <c r="H36" i="11" l="1"/>
  <c r="C31" i="17" s="1"/>
  <c r="D31" i="17" s="1"/>
  <c r="E31" i="17" s="1"/>
  <c r="H10" i="11"/>
  <c r="C19" i="17" s="1"/>
  <c r="D19" i="17" s="1"/>
  <c r="H24" i="11"/>
  <c r="F31" i="17" l="1"/>
  <c r="E34" i="17"/>
  <c r="D8" i="17"/>
  <c r="D29" i="16" s="1"/>
  <c r="E19" i="17"/>
  <c r="E8" i="17" l="1"/>
  <c r="E29" i="16" s="1"/>
  <c r="F19" i="17"/>
  <c r="F34" i="17"/>
  <c r="G31" i="17"/>
  <c r="G19" i="17" l="1"/>
  <c r="F8" i="17"/>
  <c r="F29" i="16" s="1"/>
  <c r="H31" i="17"/>
  <c r="H34" i="17" s="1"/>
  <c r="G34" i="17"/>
  <c r="G8" i="17" l="1"/>
  <c r="G29" i="16" s="1"/>
  <c r="H19" i="17"/>
  <c r="H8" i="17" l="1"/>
  <c r="H29" i="16" s="1"/>
  <c r="I29" i="16" s="1"/>
  <c r="I19" i="11" l="1"/>
  <c r="I34" i="11"/>
  <c r="M34" i="11" s="1"/>
  <c r="I33" i="11"/>
  <c r="I9" i="11"/>
  <c r="M9" i="11" s="1"/>
  <c r="I7" i="11"/>
  <c r="M7" i="11" l="1"/>
  <c r="M19" i="11"/>
  <c r="I20" i="11"/>
  <c r="M20" i="11" s="1"/>
  <c r="I22" i="11"/>
  <c r="M22" i="11" s="1"/>
  <c r="I8" i="11"/>
  <c r="M8" i="11" s="1"/>
  <c r="M33" i="11"/>
  <c r="I36" i="11"/>
  <c r="C32" i="17" s="1"/>
  <c r="D32" i="17" s="1"/>
  <c r="D34" i="17" s="1"/>
  <c r="I24" i="11" l="1"/>
  <c r="M24" i="11"/>
  <c r="M36" i="11"/>
  <c r="C34" i="17" s="1"/>
  <c r="M10" i="11"/>
  <c r="C22" i="17" s="1"/>
  <c r="I10" i="11"/>
  <c r="C20" i="17" s="1"/>
  <c r="D20" i="17" s="1"/>
  <c r="D9" i="17" l="1"/>
  <c r="D30" i="16" s="1"/>
  <c r="E20" i="17"/>
  <c r="D22" i="17"/>
  <c r="F20" i="17" l="1"/>
  <c r="E9" i="17"/>
  <c r="E30" i="16" s="1"/>
  <c r="E22" i="17"/>
  <c r="D11" i="17"/>
  <c r="D32" i="16" s="1"/>
  <c r="E11" i="17" l="1"/>
  <c r="E32" i="16" s="1"/>
  <c r="F9" i="17"/>
  <c r="F30" i="16" s="1"/>
  <c r="G20" i="17"/>
  <c r="F22" i="17"/>
  <c r="C48" i="8"/>
  <c r="F11" i="17" l="1"/>
  <c r="F32" i="16" s="1"/>
  <c r="H20" i="17"/>
  <c r="G9" i="17"/>
  <c r="G30" i="16" s="1"/>
  <c r="G22" i="17"/>
  <c r="D48" i="8"/>
  <c r="G11" i="17" l="1"/>
  <c r="G32" i="16" s="1"/>
  <c r="H9" i="17"/>
  <c r="H30" i="16" s="1"/>
  <c r="I30" i="16" s="1"/>
  <c r="H22" i="17"/>
  <c r="E48" i="8"/>
  <c r="F48" i="8" l="1"/>
  <c r="H11" i="17"/>
  <c r="H32" i="16" s="1"/>
  <c r="G48" i="8" s="1"/>
  <c r="H48" i="8" l="1"/>
  <c r="I32" i="16"/>
  <c r="O33" i="11" l="1"/>
  <c r="O22" i="11"/>
  <c r="O20" i="11"/>
  <c r="O34" i="11"/>
  <c r="O19" i="11"/>
  <c r="O7" i="11"/>
  <c r="O8" i="11"/>
  <c r="E4" i="17"/>
  <c r="O9" i="11"/>
  <c r="D4" i="17"/>
  <c r="G4" i="17"/>
  <c r="F4" i="17"/>
  <c r="H4" i="17"/>
  <c r="M4" i="17" l="1"/>
  <c r="F36" i="17"/>
  <c r="F24" i="17"/>
  <c r="L4" i="17"/>
  <c r="E36" i="17"/>
  <c r="E24" i="17"/>
  <c r="N4" i="17"/>
  <c r="G36" i="17"/>
  <c r="G24" i="17"/>
  <c r="K4" i="17"/>
  <c r="D36" i="17"/>
  <c r="D24" i="17"/>
  <c r="O10" i="11"/>
  <c r="C24" i="17" s="1"/>
  <c r="O4" i="17"/>
  <c r="H36" i="17"/>
  <c r="H24" i="17"/>
  <c r="O24" i="11"/>
  <c r="O36" i="11"/>
  <c r="C36" i="17" s="1"/>
  <c r="H13" i="17" l="1"/>
  <c r="H34" i="16" s="1"/>
  <c r="E13" i="17"/>
  <c r="E34" i="16" s="1"/>
  <c r="G13" i="17"/>
  <c r="G34" i="16" s="1"/>
  <c r="N24" i="17"/>
  <c r="N36" i="17"/>
  <c r="K36" i="17"/>
  <c r="K24" i="17"/>
  <c r="M24" i="17"/>
  <c r="M36" i="17"/>
  <c r="L36" i="17"/>
  <c r="L24" i="17"/>
  <c r="O36" i="17"/>
  <c r="O24" i="17"/>
  <c r="D13" i="17"/>
  <c r="D34" i="16" s="1"/>
  <c r="F13" i="17"/>
  <c r="F34" i="16" s="1"/>
  <c r="I34" i="16" l="1"/>
  <c r="N23" i="11" l="1"/>
  <c r="D12" i="8" s="1"/>
  <c r="D11" i="8" s="1"/>
  <c r="Q23" i="11"/>
  <c r="N22" i="11"/>
  <c r="P22" i="11" s="1"/>
  <c r="Q22" i="11" s="1"/>
  <c r="D10" i="8" s="1"/>
  <c r="N19" i="11"/>
  <c r="N20" i="11"/>
  <c r="P20" i="11" s="1"/>
  <c r="Q20" i="11" s="1"/>
  <c r="N33" i="11"/>
  <c r="H3" i="17"/>
  <c r="F3" i="17"/>
  <c r="D3" i="17"/>
  <c r="N8" i="11"/>
  <c r="G3" i="17"/>
  <c r="E3" i="17"/>
  <c r="N7" i="11"/>
  <c r="N9" i="11"/>
  <c r="N34" i="11"/>
  <c r="L3" i="17" l="1"/>
  <c r="E35" i="17"/>
  <c r="E37" i="17" s="1"/>
  <c r="E38" i="17" s="1"/>
  <c r="E40" i="17" s="1"/>
  <c r="E6" i="16" s="1"/>
  <c r="E23" i="17"/>
  <c r="M3" i="17"/>
  <c r="F35" i="17"/>
  <c r="F37" i="17" s="1"/>
  <c r="F38" i="17" s="1"/>
  <c r="F40" i="17" s="1"/>
  <c r="F6" i="16" s="1"/>
  <c r="F23" i="17"/>
  <c r="N24" i="11"/>
  <c r="P19" i="11"/>
  <c r="P24" i="11" s="1"/>
  <c r="P34" i="11"/>
  <c r="Q34" i="11" s="1"/>
  <c r="N3" i="17"/>
  <c r="G35" i="17"/>
  <c r="G37" i="17" s="1"/>
  <c r="G38" i="17" s="1"/>
  <c r="G40" i="17" s="1"/>
  <c r="G6" i="16" s="1"/>
  <c r="G23" i="17"/>
  <c r="O3" i="17"/>
  <c r="H35" i="17"/>
  <c r="H37" i="17" s="1"/>
  <c r="H38" i="17" s="1"/>
  <c r="H40" i="17" s="1"/>
  <c r="H6" i="16" s="1"/>
  <c r="H23" i="17"/>
  <c r="P9" i="11"/>
  <c r="Q9" i="11" s="1"/>
  <c r="P8" i="11"/>
  <c r="Q8" i="11" s="1"/>
  <c r="N36" i="11"/>
  <c r="C35" i="17" s="1"/>
  <c r="P33" i="11"/>
  <c r="P7" i="11"/>
  <c r="Q7" i="11" s="1"/>
  <c r="N10" i="11"/>
  <c r="C23" i="17" s="1"/>
  <c r="K3" i="17"/>
  <c r="D35" i="17"/>
  <c r="D37" i="17" s="1"/>
  <c r="D38" i="17" s="1"/>
  <c r="D40" i="17" s="1"/>
  <c r="D6" i="16" s="1"/>
  <c r="D23" i="17"/>
  <c r="Q19" i="11" l="1"/>
  <c r="Q24" i="11" s="1"/>
  <c r="D9" i="8" s="1"/>
  <c r="Q10" i="11"/>
  <c r="N23" i="17"/>
  <c r="N25" i="17" s="1"/>
  <c r="N26" i="17" s="1"/>
  <c r="N35" i="17"/>
  <c r="N37" i="17" s="1"/>
  <c r="N38" i="17" s="1"/>
  <c r="L23" i="17"/>
  <c r="L25" i="17" s="1"/>
  <c r="L26" i="17" s="1"/>
  <c r="L35" i="17"/>
  <c r="L37" i="17" s="1"/>
  <c r="L38" i="17" s="1"/>
  <c r="D12" i="17"/>
  <c r="D33" i="16" s="1"/>
  <c r="D25" i="17"/>
  <c r="D14" i="17" s="1"/>
  <c r="D35" i="16" s="1"/>
  <c r="Q33" i="11"/>
  <c r="Q36" i="11" s="1"/>
  <c r="P36" i="11"/>
  <c r="C37" i="17" s="1"/>
  <c r="O35" i="17"/>
  <c r="O37" i="17" s="1"/>
  <c r="O38" i="17" s="1"/>
  <c r="O23" i="17"/>
  <c r="O25" i="17" s="1"/>
  <c r="O26" i="17" s="1"/>
  <c r="M35" i="17"/>
  <c r="M37" i="17" s="1"/>
  <c r="M38" i="17" s="1"/>
  <c r="M23" i="17"/>
  <c r="M25" i="17" s="1"/>
  <c r="M26" i="17" s="1"/>
  <c r="I6" i="16"/>
  <c r="P10" i="11"/>
  <c r="C25" i="17" s="1"/>
  <c r="G12" i="17"/>
  <c r="G33" i="16" s="1"/>
  <c r="G25" i="17"/>
  <c r="G14" i="17" s="1"/>
  <c r="G35" i="16" s="1"/>
  <c r="E12" i="17"/>
  <c r="E33" i="16" s="1"/>
  <c r="E25" i="17"/>
  <c r="E14" i="17" s="1"/>
  <c r="E35" i="16" s="1"/>
  <c r="K35" i="17"/>
  <c r="K37" i="17" s="1"/>
  <c r="K38" i="17" s="1"/>
  <c r="K23" i="17"/>
  <c r="K25" i="17" s="1"/>
  <c r="K26" i="17" s="1"/>
  <c r="H12" i="17"/>
  <c r="H33" i="16" s="1"/>
  <c r="H25" i="17"/>
  <c r="H14" i="17" s="1"/>
  <c r="H35" i="16" s="1"/>
  <c r="F12" i="17"/>
  <c r="F33" i="16" s="1"/>
  <c r="F25" i="17"/>
  <c r="F14" i="17" s="1"/>
  <c r="F35" i="16" s="1"/>
  <c r="G50" i="8" l="1"/>
  <c r="G52" i="8" s="1"/>
  <c r="H26" i="17"/>
  <c r="H28" i="17" s="1"/>
  <c r="E26" i="17"/>
  <c r="E15" i="17" s="1"/>
  <c r="D50" i="8"/>
  <c r="D52" i="8" s="1"/>
  <c r="E36" i="16"/>
  <c r="E50" i="8"/>
  <c r="E52" i="8" s="1"/>
  <c r="F36" i="16"/>
  <c r="C50" i="8"/>
  <c r="I33" i="16"/>
  <c r="D36" i="16"/>
  <c r="H36" i="16"/>
  <c r="F50" i="8"/>
  <c r="F52" i="8" s="1"/>
  <c r="G36" i="16"/>
  <c r="C38" i="17"/>
  <c r="D14" i="8"/>
  <c r="D8" i="8"/>
  <c r="C26" i="17"/>
  <c r="I35" i="16"/>
  <c r="F26" i="17"/>
  <c r="G26" i="17"/>
  <c r="D26" i="17"/>
  <c r="E28" i="17" l="1"/>
  <c r="E5" i="16" s="1"/>
  <c r="E7" i="16" s="1"/>
  <c r="H15" i="17"/>
  <c r="H16" i="17" s="1"/>
  <c r="I36" i="16"/>
  <c r="D28" i="17"/>
  <c r="D5" i="16" s="1"/>
  <c r="D15" i="17"/>
  <c r="F15" i="17"/>
  <c r="F28" i="17"/>
  <c r="H50" i="8"/>
  <c r="H52" i="8" s="1"/>
  <c r="C52" i="8"/>
  <c r="H5" i="16"/>
  <c r="H7" i="16" s="1"/>
  <c r="G15" i="17"/>
  <c r="G28" i="17"/>
  <c r="E16" i="17" l="1"/>
  <c r="D16" i="17"/>
  <c r="F16" i="17"/>
  <c r="F5" i="16"/>
  <c r="F7" i="16" s="1"/>
  <c r="G16" i="17"/>
  <c r="G5" i="16"/>
  <c r="G7" i="16" s="1"/>
  <c r="D7" i="16"/>
  <c r="I5" i="16" l="1"/>
  <c r="I7" i="16" s="1"/>
</calcChain>
</file>

<file path=xl/sharedStrings.xml><?xml version="1.0" encoding="utf-8"?>
<sst xmlns="http://schemas.openxmlformats.org/spreadsheetml/2006/main" count="337" uniqueCount="173">
  <si>
    <t>Service:</t>
  </si>
  <si>
    <t>Total</t>
  </si>
  <si>
    <t>Historical Revenue</t>
  </si>
  <si>
    <t>Description</t>
  </si>
  <si>
    <t>Volumes</t>
  </si>
  <si>
    <t>Detailed Service Description</t>
  </si>
  <si>
    <t>Notes:</t>
  </si>
  <si>
    <t>Alternative Control Service Summary</t>
  </si>
  <si>
    <t>Alternative Control Service - Historical Revenue &amp; Costs Workings</t>
  </si>
  <si>
    <t>Source</t>
  </si>
  <si>
    <t>Historical Completed Volumes</t>
  </si>
  <si>
    <t>Details on how costs were obtained:</t>
  </si>
  <si>
    <t>Projected Volumes</t>
  </si>
  <si>
    <t>Pricing mechanism</t>
  </si>
  <si>
    <t>Historical revenue, costs and volumes</t>
  </si>
  <si>
    <t>Forecast revenue, costs and volumes</t>
  </si>
  <si>
    <t>Alternative Control Service - Service Description</t>
  </si>
  <si>
    <t>Total Projects Charged</t>
  </si>
  <si>
    <t>Task</t>
  </si>
  <si>
    <t>Derived</t>
  </si>
  <si>
    <t>Admin Officer</t>
  </si>
  <si>
    <t>Cost type</t>
  </si>
  <si>
    <t>labour</t>
  </si>
  <si>
    <t>overhead</t>
  </si>
  <si>
    <t>stores</t>
  </si>
  <si>
    <t>fleet</t>
  </si>
  <si>
    <t>other</t>
  </si>
  <si>
    <t>Details on how costs are estimated:</t>
  </si>
  <si>
    <t>Estimated Future Volumes</t>
  </si>
  <si>
    <t>Forecast Costs</t>
  </si>
  <si>
    <t>Details of historic revenue, costs and volumes can be found on the 'Details' sheet.</t>
  </si>
  <si>
    <t>Details of forecast revenue, costs and volumes can be found on the 'Details' sheet.</t>
  </si>
  <si>
    <t>Class of Labour</t>
  </si>
  <si>
    <t>Total Time
(Hours)</t>
  </si>
  <si>
    <t>Number of Staff</t>
  </si>
  <si>
    <t>2019-2024 Pricing Methodology for Service (Summary)</t>
  </si>
  <si>
    <t>Projected Costs for FY2019-24 Regulatory Period</t>
  </si>
  <si>
    <t>FY2020</t>
  </si>
  <si>
    <t>FY2021</t>
  </si>
  <si>
    <t>FY2022</t>
  </si>
  <si>
    <t>FY2024</t>
  </si>
  <si>
    <t>FY2023</t>
  </si>
  <si>
    <t>Current Fee ($2017/2018 - Excl GST)</t>
  </si>
  <si>
    <t>Changes to Service or Pricing since prior Reg period</t>
  </si>
  <si>
    <t>AER Framework and Approach paper 1 July 2019</t>
  </si>
  <si>
    <t>Detailed Service Description (2019-24)</t>
  </si>
  <si>
    <t>Operating costs</t>
  </si>
  <si>
    <t>Bottum Up cost estimation</t>
  </si>
  <si>
    <t>Fee Methodology Structure Selected</t>
  </si>
  <si>
    <t>Forecast Cost Breakup</t>
  </si>
  <si>
    <t xml:space="preserve">Direct Costs - </t>
  </si>
  <si>
    <t>Alternative Control Service - Forecast Revenue &amp; Costs Workings</t>
  </si>
  <si>
    <t>Details of historical operating costs can be found on the "Operating Costs" sheet.</t>
  </si>
  <si>
    <t>Details of bottom up costs can be found on the "Bottom Up Estimation" sheet.</t>
  </si>
  <si>
    <t xml:space="preserve">Total </t>
  </si>
  <si>
    <t>Alternative Control Service - Bottom Up Estimation</t>
  </si>
  <si>
    <t>Network Service:</t>
  </si>
  <si>
    <t>FY16/17</t>
  </si>
  <si>
    <t>FY15/16</t>
  </si>
  <si>
    <t>FY14/15</t>
  </si>
  <si>
    <t>FY19/20</t>
  </si>
  <si>
    <t>FY20/21</t>
  </si>
  <si>
    <t>FY21/22</t>
  </si>
  <si>
    <t>FY23/24</t>
  </si>
  <si>
    <t>Time on Task (Hours)</t>
  </si>
  <si>
    <t>Authorisation of ASP's</t>
  </si>
  <si>
    <t>Authorisation of ASP's - Initial (fixed fee)</t>
  </si>
  <si>
    <t>Authorisation of ASP's - Renewal (fixed fee)</t>
  </si>
  <si>
    <t>Process authorisation application, review applicants skill and training records</t>
  </si>
  <si>
    <t>Issue relevant ASP authorisation</t>
  </si>
  <si>
    <t>Initial</t>
  </si>
  <si>
    <t>Renewal</t>
  </si>
  <si>
    <t>Conduct ASP induction / exam</t>
  </si>
  <si>
    <t>Authorisation of ASP's
Includes annual authorisation of individual employees and sub-contractors of ASPs and additional authorisations at request of ASP and other administrative services performed by the distributor relating to work performed by an ASP.</t>
  </si>
  <si>
    <t xml:space="preserve">Existing Service Description (2014 - 19) </t>
  </si>
  <si>
    <t>Bottom Up Estimation</t>
  </si>
  <si>
    <t>R1a</t>
  </si>
  <si>
    <t>Project Code</t>
  </si>
  <si>
    <t>Authorisation ASP Initial</t>
  </si>
  <si>
    <t>Authorisation ASP Renewal</t>
  </si>
  <si>
    <t>Projected Volumes for FY2019-24 Regulatory Period</t>
  </si>
  <si>
    <t>ACSCW 30200</t>
  </si>
  <si>
    <t>ACSCW 30210</t>
  </si>
  <si>
    <t>FY22/23</t>
  </si>
  <si>
    <t>Operating Costs (on IO's, work orders, cost objects, cost centres)</t>
  </si>
  <si>
    <t xml:space="preserve">Initial </t>
  </si>
  <si>
    <t>Admin / Training Officer</t>
  </si>
  <si>
    <t xml:space="preserve">
The initial issue and annual renewal of authorisation by Essential Energy of individual employees or sub -contractors of an ASP to carry out work on or near Essential Energy’s distribution system.
This may include without limitation:
&gt; confirmation of accreditation status with DTIRIS;
&gt; familiarisation in Essential Energy’s safety rules and access permit requirements;
&gt; induction in the unique aspects of the network;
&gt; verification that the applicant has undertaken the necessary regulatory safety training (resuscitation etc.) within the last 12 months;
&gt; issuing authorisation cards;
&gt; administration support directly related to authorisation.</t>
  </si>
  <si>
    <t>Authorisation Management System - Initial</t>
  </si>
  <si>
    <t>Authorisation Management System - Renewal</t>
  </si>
  <si>
    <t xml:space="preserve"> - </t>
  </si>
  <si>
    <t>R2b</t>
  </si>
  <si>
    <t>Class training and assesment conducted by training assessor (R2b). Class consists of 5 student min for 6 hrs.</t>
  </si>
  <si>
    <t>Class costs / student -  6hrs / 5 students = 1.2hrs (R2b) per student.</t>
  </si>
  <si>
    <t>FY17/18</t>
  </si>
  <si>
    <t>FY18/19</t>
  </si>
  <si>
    <t>FY14/15 operating costs  - N/A</t>
  </si>
  <si>
    <t>FY15/16 operating costs  - Actuals</t>
  </si>
  <si>
    <t>FY16/17 operating costs  - Actuals</t>
  </si>
  <si>
    <t>FY17/18 operating costs  - Pro rata based on YTD Dec17 values</t>
  </si>
  <si>
    <t xml:space="preserve">FY18/19 operating costs  - Estimated </t>
  </si>
  <si>
    <t>FY14/15 revenue  - N/A</t>
  </si>
  <si>
    <t>FY15/16 revenue  - Actuals</t>
  </si>
  <si>
    <t>FY16/17 revenue  - Actuals</t>
  </si>
  <si>
    <t>FY17/18 revenue  - Pro rata based on YTD Dec17 values</t>
  </si>
  <si>
    <t xml:space="preserve">FY18/19 revenue  - Estimated </t>
  </si>
  <si>
    <t>Historical operating costs are not reflective of all time associated with providing these authorisation services, as training and assessor input is not recorded in project reporting.</t>
  </si>
  <si>
    <t>Service description altered.</t>
  </si>
  <si>
    <t>Proposed Fee ($2018/19 - Excl GST)</t>
  </si>
  <si>
    <t>Total Direct Costs $2018/19</t>
  </si>
  <si>
    <t>Total Indirect Costs $2018/19</t>
  </si>
  <si>
    <t>TOTAL COSTS $2018/19</t>
  </si>
  <si>
    <t>Real $2018-19</t>
  </si>
  <si>
    <t>Per service</t>
  </si>
  <si>
    <t>Overtime loading?
0 = No
1 = Yes</t>
  </si>
  <si>
    <t>Direct Labour Rate (incl on-costs)</t>
  </si>
  <si>
    <t>Fleet rate</t>
  </si>
  <si>
    <t>Materials</t>
  </si>
  <si>
    <t>Material Price</t>
  </si>
  <si>
    <t>Material Price Oncost %</t>
  </si>
  <si>
    <t>Direct cost per service</t>
  </si>
  <si>
    <t>Overheads</t>
  </si>
  <si>
    <t>Non-system charge</t>
  </si>
  <si>
    <t>Profit margin (WACC FY20) per service</t>
  </si>
  <si>
    <t>FY2019 Fully Loaded Cost per service</t>
  </si>
  <si>
    <t>Real 2018-19 (including labour escalation)</t>
  </si>
  <si>
    <t>Labour</t>
  </si>
  <si>
    <t>Fleet</t>
  </si>
  <si>
    <t>Total costs before OHDs, non-system and margin</t>
  </si>
  <si>
    <t>Profit margin</t>
  </si>
  <si>
    <t>Labour escalation</t>
  </si>
  <si>
    <t>Contractor rate increase</t>
  </si>
  <si>
    <t>Overhead rate</t>
  </si>
  <si>
    <t>Average non-system charge</t>
  </si>
  <si>
    <t>WACC rate</t>
  </si>
  <si>
    <t>ORDINARY LABOUR TIME</t>
  </si>
  <si>
    <t>OVERTIME</t>
  </si>
  <si>
    <t>2019-20</t>
  </si>
  <si>
    <t>2020-21</t>
  </si>
  <si>
    <t>2021-22</t>
  </si>
  <si>
    <t>2022-23</t>
  </si>
  <si>
    <t>2023-24</t>
  </si>
  <si>
    <t>Total before OHDs, non-system &amp; margin</t>
  </si>
  <si>
    <t>Fully Loaded Costs</t>
  </si>
  <si>
    <t>Forecast revenue (check)</t>
  </si>
  <si>
    <t>Real 2018-19 including escalation</t>
  </si>
  <si>
    <t>Fully Loaded Cost per service</t>
  </si>
  <si>
    <t>Forecast volumes</t>
  </si>
  <si>
    <t>Forecast revenue</t>
  </si>
  <si>
    <t>17.1 Authorisation of ASP's</t>
  </si>
  <si>
    <t>Administration - Issuing authorisation</t>
  </si>
  <si>
    <t>Training - Site attendance, training and assessing</t>
  </si>
  <si>
    <t>Travel and Incidentals (hrly rate + expenses)</t>
  </si>
  <si>
    <t>Travel to dedicated training location (hourly rates apply)</t>
  </si>
  <si>
    <t>Meals and accommodation - [Invoice + overheads] + margin</t>
  </si>
  <si>
    <t>Scheduled Course - Trainer / Assessor time input is estimated as a spread across class attendees</t>
  </si>
  <si>
    <t xml:space="preserve">Dedicated Course - out of schedule
</t>
  </si>
  <si>
    <t>Class training and assesment conducted by training assessor (R2b).</t>
  </si>
  <si>
    <t>Provision of out of schedule training facilitation added.</t>
  </si>
  <si>
    <t>Out of Schedule Training Travel (hrly)</t>
  </si>
  <si>
    <t>Out of Schedule Training (Accomodation and incidentals) (Invoice + Overheads) + Margin</t>
  </si>
  <si>
    <t>Overheads rate</t>
  </si>
  <si>
    <t>Margin</t>
  </si>
  <si>
    <t>Fixed Fee / Hourly Rate</t>
  </si>
  <si>
    <t>Initial - out of schedule training course (fixed fee)</t>
  </si>
  <si>
    <t>Initial -scheduled training course - (fixed fee)</t>
  </si>
  <si>
    <t>Authorisation of ASP's - Initial - Scheduled Course (fixed fee)</t>
  </si>
  <si>
    <t>Authorisation of ASP's - Initial - Out of Schedule Course(fixed fee)</t>
  </si>
  <si>
    <t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relevant employee class an hourly rate ($2018/19) was calculated having regard to the base rate plus statutory on-costs and multiplied by the applicable hours to determine the direct unit cost for each task. The direct unit cost of all tasks relevant to the specific service was then totalled to derive the overall direct unit rate for each service. 
-  The forecast unit rate was applied to the volumes forecast for the 2019 - 2024 regulatory period for this ancillary network service, to calculate an estimate for direct operating expenditure for this ancillary network service. 
-  Overheads were applied to the direct costs based on our Cost Allocation Methodology (CAM).
</t>
  </si>
  <si>
    <r>
      <rPr>
        <b/>
        <sz val="10"/>
        <color theme="1"/>
        <rFont val="Arial"/>
        <family val="2"/>
      </rPr>
      <t xml:space="preserve">
Authorisation of ASPs </t>
    </r>
    <r>
      <rPr>
        <sz val="10"/>
        <color theme="1"/>
        <rFont val="Arial"/>
        <family val="2"/>
      </rPr>
      <t xml:space="preserve">
The initial issue and annual renewal of authorisation by Essential Energy of individual employees or sub - contractors of an ASP to carry out work on or near Essential Energy’s distribution system.
This may include without limitation:
&gt; confirmation of accreditation and registration status with DTIRIS;  
&gt; induction in the unique aspects of the network and associated Essential Energy’s safety rules and access permit requirements; 
&gt; verification that the applicant has undertaken the necessary regulatory safety training (resuscitation etc.) within the last 12 months; 
&gt; issuing authorisation cards; 
&gt; administration support directly related to authorisation.
To provide greater delivery flexibility, out of schedule courses can be requested pending resource availability but additional fees will apply. Where this occurs additional travel expenses are applied in addition to out of schedule course costs.</t>
    </r>
  </si>
  <si>
    <t>Direct costs have been sourced form the ANS P&amp;L Report.</t>
  </si>
  <si>
    <t>Historical revenue referenced from ANS P&amp;L Report.</t>
  </si>
  <si>
    <t>Estimates have been provided on the work effort that will be required to complete each service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</si>
</sst>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6" formatCode="_(&quot;$&quot;* #,##0.00_);_(&quot;$&quot;* \(#,##0.00\);_(&quot;$&quot;* &quot;-&quot;??_);_(@_)"/>
    <numFmt numFmtId="167" formatCode="_(* #,##0.00_);_(* \(#,##0.00\);_(* &quot;-&quot;??_);_(@_)"/>
    <numFmt numFmtId="168" formatCode="_-&quot;$&quot;* #,##0_-;\-&quot;$&quot;* #,##0_-;_-&quot;$&quot;* &quot;-&quot;??_-;_-@_-"/>
    <numFmt numFmtId="169" formatCode="_-* #,##0_-;\-* #,##0_-;_-* &quot;-&quot;??_-;_-@_-"/>
    <numFmt numFmtId="170" formatCode="&quot;$&quot;#,##0.00"/>
    <numFmt numFmtId="171" formatCode="#,##0.00\ ;\(#,##0.00\);\-\ "/>
    <numFmt numFmtId="172" formatCode="#,##0\ ;\(#,##0\);\-\ "/>
    <numFmt numFmtId="174" formatCode="0.0"/>
    <numFmt numFmtId="175" formatCode="_(* #,##0_);_(* \(#,##0\);_(* &quot;-&quot;??_);_(@_)"/>
  </numFmts>
  <fonts count="36"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sz val="10"/>
      <name val="Arial"/>
      <family val="2"/>
    </font>
    <font>
      <b/>
      <sz val="10"/>
      <color theme="0"/>
      <name val="Arial"/>
      <family val="2"/>
    </font>
    <font>
      <b/>
      <sz val="10"/>
      <color theme="1"/>
      <name val="Arial"/>
      <family val="2"/>
    </font>
    <font>
      <b/>
      <sz val="10"/>
      <name val="Arial"/>
      <family val="2"/>
    </font>
    <font>
      <sz val="10"/>
      <color theme="0"/>
      <name val="Arial"/>
      <family val="2"/>
    </font>
    <font>
      <sz val="10"/>
      <color rgb="FFFF0000"/>
      <name val="Arial"/>
      <family val="2"/>
    </font>
    <font>
      <b/>
      <sz val="10"/>
      <color rgb="FFFF0000"/>
      <name val="Arial"/>
      <family val="2"/>
    </font>
    <font>
      <sz val="10"/>
      <color theme="1"/>
      <name val="Calibri"/>
      <family val="2"/>
      <scheme val="minor"/>
    </font>
    <font>
      <b/>
      <sz val="12"/>
      <color theme="0"/>
      <name val="Arial"/>
      <family val="2"/>
    </font>
    <font>
      <b/>
      <sz val="10"/>
      <color theme="0"/>
      <name val="Arial"/>
      <family val="2"/>
    </font>
    <font>
      <sz val="10"/>
      <color theme="0"/>
      <name val="Arial"/>
      <family val="2"/>
    </font>
    <font>
      <sz val="10"/>
      <color theme="1"/>
      <name val="Calibri"/>
      <family val="2"/>
      <scheme val="minor"/>
    </font>
    <font>
      <sz val="10"/>
      <color theme="1"/>
      <name val="Arial"/>
      <family val="2"/>
    </font>
    <font>
      <b/>
      <sz val="10"/>
      <name val="Arial"/>
      <family val="2"/>
    </font>
    <font>
      <b/>
      <sz val="10"/>
      <color theme="1"/>
      <name val="Arial"/>
      <family val="2"/>
    </font>
    <font>
      <sz val="10"/>
      <color rgb="FFFF0000"/>
      <name val="Arial"/>
      <family val="2"/>
    </font>
    <font>
      <sz val="10"/>
      <name val="Arial"/>
      <family val="2"/>
    </font>
    <font>
      <b/>
      <sz val="10"/>
      <color theme="0"/>
      <name val="Arial"/>
      <family val="2"/>
    </font>
    <font>
      <sz val="10"/>
      <color theme="0"/>
      <name val="Arial"/>
      <family val="2"/>
    </font>
    <font>
      <sz val="10"/>
      <color theme="1"/>
      <name val="Arial"/>
      <family val="2"/>
    </font>
    <font>
      <b/>
      <sz val="10"/>
      <name val="Arial"/>
      <family val="2"/>
    </font>
    <font>
      <b/>
      <sz val="10"/>
      <color theme="1"/>
      <name val="Arial"/>
      <family val="2"/>
    </font>
    <font>
      <b/>
      <sz val="7"/>
      <color theme="1"/>
      <name val="Arial"/>
      <family val="2"/>
    </font>
    <font>
      <b/>
      <sz val="7"/>
      <name val="Arial"/>
      <family val="2"/>
    </font>
    <font>
      <sz val="10"/>
      <name val="Arial"/>
      <family val="2"/>
    </font>
    <font>
      <sz val="10"/>
      <color rgb="FF0065A6"/>
      <name val="Arial"/>
      <family val="2"/>
    </font>
    <font>
      <b/>
      <sz val="11"/>
      <color theme="1"/>
      <name val="Calibri"/>
      <family val="2"/>
      <scheme val="minor"/>
    </font>
    <font>
      <b/>
      <sz val="12"/>
      <color theme="1"/>
      <name val="Calibri"/>
      <family val="2"/>
      <scheme val="minor"/>
    </font>
    <font>
      <b/>
      <sz val="11"/>
      <color theme="1"/>
      <name val="Arial"/>
      <family val="2"/>
    </font>
    <font>
      <sz val="10"/>
      <color theme="3"/>
      <name val="Arial"/>
      <family val="2"/>
    </font>
    <font>
      <b/>
      <sz val="10"/>
      <color theme="3"/>
      <name val="Arial"/>
      <family val="2"/>
    </font>
    <font>
      <b/>
      <sz val="8"/>
      <color theme="1"/>
      <name val="Arial"/>
      <family val="2"/>
    </font>
  </fonts>
  <fills count="1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rgb="FFEAEAEA"/>
        <bgColor indexed="64"/>
      </patternFill>
    </fill>
    <fill>
      <patternFill patternType="solid">
        <fgColor rgb="FF5E6A71"/>
        <bgColor indexed="64"/>
      </patternFill>
    </fill>
    <fill>
      <patternFill patternType="solid">
        <fgColor rgb="FFBFBFBF"/>
        <bgColor indexed="64"/>
      </patternFill>
    </fill>
    <fill>
      <patternFill patternType="solid">
        <fgColor rgb="FFD9D9D9"/>
        <bgColor indexed="64"/>
      </patternFill>
    </fill>
    <fill>
      <patternFill patternType="solid">
        <fgColor rgb="FFA6A6A6"/>
        <bgColor indexed="64"/>
      </patternFill>
    </fill>
    <fill>
      <patternFill patternType="solid">
        <fgColor theme="1" tint="4.9989318521683403E-2"/>
        <bgColor indexed="64"/>
      </patternFill>
    </fill>
    <fill>
      <patternFill patternType="solid">
        <fgColor rgb="FF002060"/>
        <bgColor indexed="64"/>
      </patternFill>
    </fill>
    <fill>
      <patternFill patternType="solid">
        <fgColor theme="5"/>
        <bgColor indexed="64"/>
      </patternFill>
    </fill>
    <fill>
      <patternFill patternType="solid">
        <fgColor theme="1" tint="0.499984740745262"/>
        <bgColor indexed="64"/>
      </patternFill>
    </fill>
  </fills>
  <borders count="20">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bottom style="thin">
        <color theme="0"/>
      </bottom>
      <diagonal/>
    </border>
    <border>
      <left/>
      <right/>
      <top/>
      <bottom style="thin">
        <color theme="0"/>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theme="0"/>
      </left>
      <right style="thin">
        <color theme="0"/>
      </right>
      <top/>
      <bottom style="thin">
        <color theme="0"/>
      </bottom>
      <diagonal/>
    </border>
  </borders>
  <cellStyleXfs count="6">
    <xf numFmtId="0" fontId="0" fillId="0" borderId="0"/>
    <xf numFmtId="9" fontId="3" fillId="0" borderId="0" applyFont="0" applyFill="0" applyBorder="0" applyAlignment="0" applyProtection="0"/>
    <xf numFmtId="166" fontId="3" fillId="0" borderId="0" applyFont="0" applyFill="0" applyBorder="0" applyAlignment="0" applyProtection="0"/>
    <xf numFmtId="167" fontId="3" fillId="0" borderId="0" applyFont="0" applyFill="0" applyBorder="0" applyAlignment="0" applyProtection="0"/>
    <xf numFmtId="166" fontId="3" fillId="0" borderId="0" applyFont="0" applyFill="0" applyBorder="0" applyAlignment="0" applyProtection="0"/>
    <xf numFmtId="0" fontId="4" fillId="0" borderId="0"/>
  </cellStyleXfs>
  <cellXfs count="319">
    <xf numFmtId="0" fontId="0" fillId="0" borderId="0" xfId="0"/>
    <xf numFmtId="0" fontId="2" fillId="0" borderId="0" xfId="0" applyFont="1"/>
    <xf numFmtId="0" fontId="7" fillId="5" borderId="3" xfId="0" applyFont="1" applyFill="1" applyBorder="1"/>
    <xf numFmtId="0" fontId="2" fillId="4" borderId="4" xfId="0" applyFont="1" applyFill="1" applyBorder="1"/>
    <xf numFmtId="168" fontId="2" fillId="4" borderId="4" xfId="2" applyNumberFormat="1" applyFont="1" applyFill="1" applyBorder="1"/>
    <xf numFmtId="0" fontId="2" fillId="4" borderId="3" xfId="0" applyFont="1" applyFill="1" applyBorder="1"/>
    <xf numFmtId="0" fontId="2" fillId="4" borderId="5" xfId="0" applyFont="1" applyFill="1" applyBorder="1"/>
    <xf numFmtId="0" fontId="6" fillId="0" borderId="0" xfId="0" applyFont="1"/>
    <xf numFmtId="0" fontId="7" fillId="5" borderId="6" xfId="0" applyFont="1" applyFill="1" applyBorder="1" applyAlignment="1">
      <alignment horizontal="left"/>
    </xf>
    <xf numFmtId="0" fontId="7" fillId="5" borderId="12" xfId="0" applyFont="1" applyFill="1" applyBorder="1"/>
    <xf numFmtId="0" fontId="4" fillId="5" borderId="12" xfId="0" applyFont="1" applyFill="1" applyBorder="1"/>
    <xf numFmtId="0" fontId="2" fillId="4" borderId="0" xfId="0" quotePrefix="1" applyFont="1" applyFill="1" applyBorder="1" applyAlignment="1">
      <alignment vertical="top"/>
    </xf>
    <xf numFmtId="0" fontId="2" fillId="4" borderId="0" xfId="0" applyFont="1" applyFill="1" applyBorder="1" applyAlignment="1">
      <alignment vertical="top"/>
    </xf>
    <xf numFmtId="0" fontId="7" fillId="5" borderId="4" xfId="0" applyFont="1" applyFill="1" applyBorder="1"/>
    <xf numFmtId="0" fontId="7" fillId="5" borderId="5" xfId="0" applyFont="1" applyFill="1" applyBorder="1" applyAlignment="1">
      <alignment horizontal="right"/>
    </xf>
    <xf numFmtId="168" fontId="2" fillId="4" borderId="5" xfId="2" applyNumberFormat="1" applyFont="1" applyFill="1" applyBorder="1" applyAlignment="1">
      <alignment horizontal="center"/>
    </xf>
    <xf numFmtId="0" fontId="7" fillId="5" borderId="1" xfId="0" applyFont="1" applyFill="1" applyBorder="1"/>
    <xf numFmtId="0" fontId="4" fillId="5" borderId="1" xfId="0" applyFont="1" applyFill="1" applyBorder="1"/>
    <xf numFmtId="168" fontId="7" fillId="5" borderId="9" xfId="2" applyNumberFormat="1" applyFont="1" applyFill="1" applyBorder="1"/>
    <xf numFmtId="168" fontId="7" fillId="5" borderId="10" xfId="2" applyNumberFormat="1" applyFont="1" applyFill="1" applyBorder="1"/>
    <xf numFmtId="0" fontId="2" fillId="0" borderId="0" xfId="0" applyFont="1" applyBorder="1"/>
    <xf numFmtId="0" fontId="5" fillId="8" borderId="0" xfId="0" applyFont="1" applyFill="1"/>
    <xf numFmtId="0" fontId="8" fillId="8" borderId="0" xfId="0" applyFont="1" applyFill="1"/>
    <xf numFmtId="0" fontId="2" fillId="10" borderId="4" xfId="0" applyFont="1" applyFill="1" applyBorder="1"/>
    <xf numFmtId="168" fontId="2" fillId="10" borderId="4" xfId="2" applyNumberFormat="1" applyFont="1" applyFill="1" applyBorder="1"/>
    <xf numFmtId="0" fontId="2" fillId="10" borderId="4" xfId="0" applyFont="1" applyFill="1" applyBorder="1" applyAlignment="1">
      <alignment wrapText="1"/>
    </xf>
    <xf numFmtId="0" fontId="5" fillId="8" borderId="12" xfId="0" applyFont="1" applyFill="1" applyBorder="1"/>
    <xf numFmtId="0" fontId="8" fillId="8" borderId="12" xfId="0" applyFont="1" applyFill="1" applyBorder="1"/>
    <xf numFmtId="0" fontId="9" fillId="4" borderId="0" xfId="0" applyFont="1" applyFill="1" applyBorder="1" applyAlignment="1">
      <alignment horizontal="left" vertical="top" wrapText="1"/>
    </xf>
    <xf numFmtId="0" fontId="2" fillId="0" borderId="0" xfId="0" applyFont="1" applyAlignment="1">
      <alignment horizontal="left" indent="15"/>
    </xf>
    <xf numFmtId="0" fontId="2" fillId="0" borderId="0" xfId="0" applyFont="1" applyFill="1"/>
    <xf numFmtId="0" fontId="2" fillId="0" borderId="0" xfId="0" applyFont="1" applyFill="1" applyBorder="1"/>
    <xf numFmtId="0" fontId="7" fillId="9" borderId="0" xfId="0" applyFont="1" applyFill="1" applyBorder="1" applyAlignment="1">
      <alignment horizontal="left"/>
    </xf>
    <xf numFmtId="0" fontId="5" fillId="0" borderId="0" xfId="0" applyFont="1" applyFill="1" applyAlignment="1">
      <alignment horizontal="left"/>
    </xf>
    <xf numFmtId="0" fontId="5" fillId="8" borderId="9" xfId="0" applyFont="1" applyFill="1" applyBorder="1" applyAlignment="1">
      <alignment horizontal="center" vertical="center"/>
    </xf>
    <xf numFmtId="170" fontId="4" fillId="10" borderId="4" xfId="0" applyNumberFormat="1" applyFont="1" applyFill="1" applyBorder="1" applyAlignment="1">
      <alignment horizontal="center"/>
    </xf>
    <xf numFmtId="0" fontId="8" fillId="0" borderId="0" xfId="0" applyFont="1"/>
    <xf numFmtId="0" fontId="8" fillId="0" borderId="0" xfId="0" applyFont="1" applyBorder="1"/>
    <xf numFmtId="0" fontId="8" fillId="0" borderId="2" xfId="0" applyFont="1" applyBorder="1"/>
    <xf numFmtId="170" fontId="8" fillId="0" borderId="1" xfId="0" applyNumberFormat="1" applyFont="1" applyBorder="1" applyAlignment="1">
      <alignment horizontal="center"/>
    </xf>
    <xf numFmtId="0" fontId="2" fillId="0" borderId="2" xfId="0" applyFont="1" applyBorder="1"/>
    <xf numFmtId="170" fontId="2" fillId="0" borderId="0" xfId="0" applyNumberFormat="1" applyFont="1" applyAlignment="1">
      <alignment horizontal="center"/>
    </xf>
    <xf numFmtId="0" fontId="2" fillId="0" borderId="1" xfId="0" applyFont="1" applyBorder="1"/>
    <xf numFmtId="0" fontId="5" fillId="8" borderId="0" xfId="0" applyFont="1" applyFill="1" applyAlignment="1">
      <alignment horizontal="left"/>
    </xf>
    <xf numFmtId="0" fontId="7" fillId="9" borderId="6" xfId="0" applyFont="1" applyFill="1" applyBorder="1" applyAlignment="1">
      <alignment horizontal="left"/>
    </xf>
    <xf numFmtId="0" fontId="5" fillId="8" borderId="11" xfId="0" applyFont="1" applyFill="1" applyBorder="1"/>
    <xf numFmtId="0" fontId="2" fillId="0" borderId="0" xfId="0" applyFont="1" applyAlignment="1">
      <alignment horizontal="left"/>
    </xf>
    <xf numFmtId="0" fontId="5" fillId="8" borderId="0" xfId="0" applyFont="1" applyFill="1" applyAlignment="1">
      <alignment horizontal="center"/>
    </xf>
    <xf numFmtId="0" fontId="2" fillId="0" borderId="0" xfId="0" applyFont="1" applyFill="1" applyAlignment="1">
      <alignment horizontal="left"/>
    </xf>
    <xf numFmtId="0" fontId="11" fillId="0" borderId="0" xfId="0" applyFont="1"/>
    <xf numFmtId="0" fontId="2" fillId="0" borderId="8" xfId="0" applyFont="1" applyBorder="1"/>
    <xf numFmtId="0" fontId="7" fillId="0" borderId="0" xfId="0" applyFont="1" applyFill="1" applyBorder="1"/>
    <xf numFmtId="0" fontId="4" fillId="0" borderId="0" xfId="0" applyFont="1" applyFill="1" applyBorder="1"/>
    <xf numFmtId="168" fontId="7" fillId="0" borderId="0" xfId="2" applyNumberFormat="1" applyFont="1" applyFill="1" applyBorder="1"/>
    <xf numFmtId="3" fontId="7" fillId="0" borderId="0" xfId="0" applyNumberFormat="1" applyFont="1" applyFill="1" applyBorder="1"/>
    <xf numFmtId="0" fontId="5" fillId="8" borderId="8" xfId="0" applyFont="1" applyFill="1" applyBorder="1"/>
    <xf numFmtId="0" fontId="7" fillId="5" borderId="10" xfId="0" applyFont="1" applyFill="1" applyBorder="1"/>
    <xf numFmtId="0" fontId="11" fillId="0" borderId="6" xfId="0" applyFont="1" applyBorder="1"/>
    <xf numFmtId="0" fontId="9" fillId="4" borderId="8" xfId="0" applyFont="1" applyFill="1" applyBorder="1" applyAlignment="1">
      <alignment horizontal="left" vertical="top" wrapText="1"/>
    </xf>
    <xf numFmtId="0" fontId="7" fillId="5" borderId="11" xfId="0" applyFont="1" applyFill="1" applyBorder="1"/>
    <xf numFmtId="0" fontId="2" fillId="4" borderId="8" xfId="0" quotePrefix="1" applyFont="1" applyFill="1" applyBorder="1" applyAlignment="1">
      <alignment vertical="top"/>
    </xf>
    <xf numFmtId="0" fontId="12" fillId="8" borderId="8" xfId="0" applyNumberFormat="1" applyFont="1" applyFill="1" applyBorder="1" applyAlignment="1">
      <alignment horizontal="left"/>
    </xf>
    <xf numFmtId="0" fontId="7" fillId="5" borderId="4" xfId="0" applyFont="1" applyFill="1" applyBorder="1" applyAlignment="1">
      <alignment horizontal="center"/>
    </xf>
    <xf numFmtId="0" fontId="7" fillId="5" borderId="7" xfId="0" applyFont="1" applyFill="1" applyBorder="1" applyAlignment="1">
      <alignment horizontal="center"/>
    </xf>
    <xf numFmtId="0" fontId="4" fillId="10" borderId="4" xfId="0" applyFont="1" applyFill="1" applyBorder="1" applyAlignment="1">
      <alignment horizontal="center"/>
    </xf>
    <xf numFmtId="0" fontId="4" fillId="10" borderId="4" xfId="0" applyFont="1" applyFill="1" applyBorder="1" applyAlignment="1">
      <alignment horizontal="left" vertical="center"/>
    </xf>
    <xf numFmtId="0" fontId="4" fillId="10" borderId="4" xfId="0" applyFont="1" applyFill="1" applyBorder="1" applyAlignment="1">
      <alignment horizontal="left" vertical="center" wrapText="1"/>
    </xf>
    <xf numFmtId="1" fontId="5" fillId="8" borderId="0" xfId="0" applyNumberFormat="1" applyFont="1" applyFill="1" applyAlignment="1">
      <alignment horizontal="left"/>
    </xf>
    <xf numFmtId="1" fontId="5" fillId="0" borderId="0" xfId="0" applyNumberFormat="1" applyFont="1" applyFill="1" applyAlignment="1">
      <alignment horizontal="left"/>
    </xf>
    <xf numFmtId="1" fontId="4" fillId="10" borderId="10" xfId="0" applyNumberFormat="1" applyFont="1" applyFill="1" applyBorder="1" applyAlignment="1">
      <alignment horizontal="center"/>
    </xf>
    <xf numFmtId="1" fontId="4" fillId="10" borderId="1" xfId="0" applyNumberFormat="1" applyFont="1" applyFill="1" applyBorder="1" applyAlignment="1">
      <alignment horizontal="center"/>
    </xf>
    <xf numFmtId="1" fontId="8" fillId="0" borderId="0" xfId="0" applyNumberFormat="1" applyFont="1"/>
    <xf numFmtId="1" fontId="2" fillId="0" borderId="0" xfId="0" applyNumberFormat="1" applyFont="1"/>
    <xf numFmtId="0" fontId="5" fillId="0" borderId="0" xfId="0" applyFont="1" applyFill="1" applyAlignment="1">
      <alignment horizontal="center"/>
    </xf>
    <xf numFmtId="0" fontId="8" fillId="0" borderId="0" xfId="0" applyFont="1" applyAlignment="1">
      <alignment horizontal="center"/>
    </xf>
    <xf numFmtId="0" fontId="2" fillId="0" borderId="0" xfId="0" applyFont="1" applyAlignment="1">
      <alignment horizontal="center"/>
    </xf>
    <xf numFmtId="2" fontId="5" fillId="8" borderId="0" xfId="0" applyNumberFormat="1" applyFont="1" applyFill="1" applyAlignment="1">
      <alignment horizontal="left"/>
    </xf>
    <xf numFmtId="2" fontId="5" fillId="0" borderId="0" xfId="0" applyNumberFormat="1" applyFont="1" applyFill="1" applyAlignment="1">
      <alignment horizontal="left"/>
    </xf>
    <xf numFmtId="2" fontId="4" fillId="10" borderId="9" xfId="0" applyNumberFormat="1" applyFont="1" applyFill="1" applyBorder="1" applyAlignment="1">
      <alignment horizontal="center"/>
    </xf>
    <xf numFmtId="2" fontId="4" fillId="10" borderId="4" xfId="0" applyNumberFormat="1" applyFont="1" applyFill="1" applyBorder="1" applyAlignment="1">
      <alignment horizontal="center"/>
    </xf>
    <xf numFmtId="2" fontId="8" fillId="0" borderId="0" xfId="0" applyNumberFormat="1" applyFont="1" applyBorder="1"/>
    <xf numFmtId="2" fontId="2" fillId="0" borderId="0" xfId="0" applyNumberFormat="1" applyFont="1"/>
    <xf numFmtId="2" fontId="5" fillId="8" borderId="0" xfId="0" applyNumberFormat="1" applyFont="1" applyFill="1" applyAlignment="1">
      <alignment horizontal="center"/>
    </xf>
    <xf numFmtId="2" fontId="5" fillId="0" borderId="0" xfId="0" applyNumberFormat="1" applyFont="1" applyFill="1" applyAlignment="1">
      <alignment horizontal="center"/>
    </xf>
    <xf numFmtId="2" fontId="8" fillId="0" borderId="0" xfId="0" applyNumberFormat="1" applyFont="1" applyBorder="1" applyAlignment="1">
      <alignment horizontal="center"/>
    </xf>
    <xf numFmtId="2" fontId="2" fillId="0" borderId="0" xfId="0" applyNumberFormat="1" applyFont="1" applyAlignment="1">
      <alignment horizontal="center"/>
    </xf>
    <xf numFmtId="2" fontId="7" fillId="11" borderId="4" xfId="0" applyNumberFormat="1" applyFont="1" applyFill="1" applyBorder="1" applyAlignment="1">
      <alignment horizontal="center"/>
    </xf>
    <xf numFmtId="168" fontId="2" fillId="10" borderId="5" xfId="2" applyNumberFormat="1" applyFont="1" applyFill="1" applyBorder="1" applyAlignment="1">
      <alignment horizontal="center"/>
    </xf>
    <xf numFmtId="2" fontId="4" fillId="10" borderId="4" xfId="3" applyNumberFormat="1" applyFont="1" applyFill="1" applyBorder="1" applyAlignment="1">
      <alignment horizontal="center"/>
    </xf>
    <xf numFmtId="0" fontId="2" fillId="10" borderId="4" xfId="0" applyFont="1" applyFill="1" applyBorder="1" applyAlignment="1">
      <alignment horizontal="left"/>
    </xf>
    <xf numFmtId="0" fontId="4" fillId="10" borderId="4" xfId="0" applyFont="1" applyFill="1" applyBorder="1"/>
    <xf numFmtId="3" fontId="2" fillId="10" borderId="4" xfId="0" applyNumberFormat="1" applyFont="1" applyFill="1" applyBorder="1" applyAlignment="1">
      <alignment horizontal="center"/>
    </xf>
    <xf numFmtId="3" fontId="2" fillId="10" borderId="4" xfId="0" applyNumberFormat="1" applyFont="1" applyFill="1" applyBorder="1"/>
    <xf numFmtId="174" fontId="6" fillId="0" borderId="0" xfId="0" applyNumberFormat="1" applyFont="1"/>
    <xf numFmtId="0" fontId="9" fillId="4" borderId="8" xfId="0" applyFont="1" applyFill="1" applyBorder="1" applyAlignment="1">
      <alignment horizontal="left" vertical="top" wrapText="1"/>
    </xf>
    <xf numFmtId="0" fontId="9" fillId="4" borderId="0" xfId="0" applyFont="1" applyFill="1" applyBorder="1" applyAlignment="1">
      <alignment horizontal="left" vertical="top" wrapText="1"/>
    </xf>
    <xf numFmtId="0" fontId="7" fillId="5" borderId="5" xfId="0" applyFont="1" applyFill="1" applyBorder="1" applyAlignment="1">
      <alignment horizontal="center"/>
    </xf>
    <xf numFmtId="0" fontId="9" fillId="4" borderId="1" xfId="0" applyFont="1" applyFill="1" applyBorder="1" applyAlignment="1">
      <alignment vertical="top" wrapText="1"/>
    </xf>
    <xf numFmtId="0" fontId="9" fillId="4" borderId="8" xfId="0" applyFont="1" applyFill="1" applyBorder="1" applyAlignment="1">
      <alignment vertical="top" wrapText="1"/>
    </xf>
    <xf numFmtId="0" fontId="9" fillId="4" borderId="0" xfId="0" applyFont="1" applyFill="1" applyBorder="1" applyAlignment="1">
      <alignment vertical="top" wrapText="1"/>
    </xf>
    <xf numFmtId="0" fontId="13" fillId="8" borderId="0" xfId="0" applyFont="1" applyFill="1"/>
    <xf numFmtId="0" fontId="14" fillId="8" borderId="0" xfId="0" applyFont="1" applyFill="1"/>
    <xf numFmtId="0" fontId="15" fillId="0" borderId="0" xfId="0" applyFont="1"/>
    <xf numFmtId="0" fontId="16" fillId="0" borderId="0" xfId="0" applyFont="1"/>
    <xf numFmtId="0" fontId="17" fillId="11" borderId="8" xfId="0" applyFont="1" applyFill="1" applyBorder="1" applyAlignment="1">
      <alignment horizontal="right"/>
    </xf>
    <xf numFmtId="0" fontId="16" fillId="10" borderId="4" xfId="0" applyFont="1" applyFill="1" applyBorder="1" applyAlignment="1">
      <alignment horizontal="left"/>
    </xf>
    <xf numFmtId="0" fontId="16" fillId="10" borderId="4" xfId="0" applyFont="1" applyFill="1" applyBorder="1" applyAlignment="1">
      <alignment wrapText="1"/>
    </xf>
    <xf numFmtId="168" fontId="16" fillId="10" borderId="4" xfId="2" applyNumberFormat="1" applyFont="1" applyFill="1" applyBorder="1" applyAlignment="1">
      <alignment horizontal="right"/>
    </xf>
    <xf numFmtId="168" fontId="16" fillId="10" borderId="4" xfId="2" applyNumberFormat="1" applyFont="1" applyFill="1" applyBorder="1"/>
    <xf numFmtId="0" fontId="16" fillId="10" borderId="4" xfId="0" applyFont="1" applyFill="1" applyBorder="1"/>
    <xf numFmtId="0" fontId="17" fillId="5" borderId="8" xfId="0" applyFont="1" applyFill="1" applyBorder="1"/>
    <xf numFmtId="0" fontId="17" fillId="5" borderId="0" xfId="0" applyFont="1" applyFill="1" applyBorder="1"/>
    <xf numFmtId="168" fontId="17" fillId="5" borderId="8" xfId="2" applyNumberFormat="1" applyFont="1" applyFill="1" applyBorder="1"/>
    <xf numFmtId="3" fontId="16" fillId="10" borderId="4" xfId="0" applyNumberFormat="1" applyFont="1" applyFill="1" applyBorder="1" applyAlignment="1">
      <alignment horizontal="right"/>
    </xf>
    <xf numFmtId="3" fontId="16" fillId="10" borderId="4" xfId="0" applyNumberFormat="1" applyFont="1" applyFill="1" applyBorder="1"/>
    <xf numFmtId="3" fontId="16" fillId="4" borderId="4" xfId="0" applyNumberFormat="1" applyFont="1" applyFill="1" applyBorder="1"/>
    <xf numFmtId="0" fontId="16" fillId="4" borderId="4" xfId="0" applyFont="1" applyFill="1" applyBorder="1"/>
    <xf numFmtId="0" fontId="18" fillId="0" borderId="0" xfId="0" applyFont="1"/>
    <xf numFmtId="0" fontId="17" fillId="5" borderId="6" xfId="0" applyFont="1" applyFill="1" applyBorder="1" applyAlignment="1">
      <alignment horizontal="left"/>
    </xf>
    <xf numFmtId="0" fontId="19" fillId="4" borderId="1" xfId="0" applyFont="1" applyFill="1" applyBorder="1" applyAlignment="1">
      <alignment vertical="top" wrapText="1"/>
    </xf>
    <xf numFmtId="0" fontId="19" fillId="4" borderId="0" xfId="0" applyFont="1" applyFill="1" applyBorder="1" applyAlignment="1">
      <alignment vertical="top" wrapText="1"/>
    </xf>
    <xf numFmtId="0" fontId="17" fillId="5" borderId="12" xfId="0" applyFont="1" applyFill="1" applyBorder="1"/>
    <xf numFmtId="0" fontId="20" fillId="5" borderId="12" xfId="0" applyFont="1" applyFill="1" applyBorder="1"/>
    <xf numFmtId="0" fontId="16" fillId="4" borderId="0" xfId="0" quotePrefix="1" applyFont="1" applyFill="1" applyBorder="1" applyAlignment="1">
      <alignment vertical="top"/>
    </xf>
    <xf numFmtId="0" fontId="16" fillId="4" borderId="0" xfId="0" applyFont="1" applyFill="1" applyBorder="1" applyAlignment="1">
      <alignment vertical="top"/>
    </xf>
    <xf numFmtId="0" fontId="7" fillId="5" borderId="4" xfId="0" applyFont="1" applyFill="1" applyBorder="1" applyAlignment="1">
      <alignment horizontal="left"/>
    </xf>
    <xf numFmtId="0" fontId="7" fillId="5" borderId="4" xfId="0" applyFont="1" applyFill="1" applyBorder="1" applyAlignment="1">
      <alignment horizontal="right"/>
    </xf>
    <xf numFmtId="0" fontId="7" fillId="11" borderId="4" xfId="0" applyFont="1" applyFill="1" applyBorder="1"/>
    <xf numFmtId="3" fontId="7" fillId="5" borderId="4" xfId="0" applyNumberFormat="1" applyFont="1" applyFill="1" applyBorder="1"/>
    <xf numFmtId="0" fontId="21" fillId="8" borderId="11" xfId="0" applyFont="1" applyFill="1" applyBorder="1"/>
    <xf numFmtId="0" fontId="22" fillId="8" borderId="0" xfId="0" applyFont="1" applyFill="1"/>
    <xf numFmtId="0" fontId="23" fillId="0" borderId="0" xfId="0" applyFont="1"/>
    <xf numFmtId="0" fontId="23" fillId="0" borderId="0" xfId="0" applyFont="1" applyFill="1"/>
    <xf numFmtId="0" fontId="24" fillId="9" borderId="4" xfId="0" applyFont="1" applyFill="1" applyBorder="1"/>
    <xf numFmtId="0" fontId="23" fillId="6" borderId="0" xfId="0" applyFont="1" applyFill="1"/>
    <xf numFmtId="0" fontId="24" fillId="9" borderId="10" xfId="0" applyFont="1" applyFill="1" applyBorder="1"/>
    <xf numFmtId="0" fontId="26" fillId="7" borderId="0" xfId="0" applyFont="1" applyFill="1" applyBorder="1" applyAlignment="1">
      <alignment horizontal="center" vertical="center" wrapText="1"/>
    </xf>
    <xf numFmtId="0" fontId="24" fillId="9" borderId="5" xfId="0" applyFont="1" applyFill="1" applyBorder="1"/>
    <xf numFmtId="0" fontId="27" fillId="2" borderId="5" xfId="0" applyFont="1" applyFill="1" applyBorder="1" applyAlignment="1">
      <alignment vertical="center"/>
    </xf>
    <xf numFmtId="0" fontId="27" fillId="7" borderId="0" xfId="0" applyFont="1" applyFill="1" applyBorder="1" applyAlignment="1">
      <alignment horizontal="center" vertical="center"/>
    </xf>
    <xf numFmtId="170" fontId="23" fillId="7" borderId="4" xfId="0" applyNumberFormat="1" applyFont="1" applyFill="1" applyBorder="1" applyAlignment="1">
      <alignment horizontal="left"/>
    </xf>
    <xf numFmtId="170" fontId="23" fillId="7" borderId="4" xfId="0" applyNumberFormat="1" applyFont="1" applyFill="1" applyBorder="1" applyAlignment="1">
      <alignment horizontal="center"/>
    </xf>
    <xf numFmtId="170" fontId="23" fillId="3" borderId="4" xfId="0" applyNumberFormat="1" applyFont="1" applyFill="1" applyBorder="1" applyAlignment="1">
      <alignment horizontal="center"/>
    </xf>
    <xf numFmtId="0" fontId="24" fillId="9" borderId="8" xfId="0" applyFont="1" applyFill="1" applyBorder="1" applyAlignment="1">
      <alignment horizontal="left" vertical="center"/>
    </xf>
    <xf numFmtId="0" fontId="25" fillId="7" borderId="0" xfId="0" applyFont="1" applyFill="1" applyBorder="1" applyAlignment="1">
      <alignment horizontal="left"/>
    </xf>
    <xf numFmtId="0" fontId="21" fillId="8" borderId="10" xfId="0" applyFont="1" applyFill="1" applyBorder="1"/>
    <xf numFmtId="0" fontId="22" fillId="8" borderId="0" xfId="0" applyFont="1" applyFill="1" applyBorder="1"/>
    <xf numFmtId="0" fontId="22" fillId="8" borderId="2" xfId="0" applyFont="1" applyFill="1" applyBorder="1"/>
    <xf numFmtId="0" fontId="23" fillId="7" borderId="0" xfId="0" applyFont="1" applyFill="1" applyBorder="1" applyAlignment="1">
      <alignment horizontal="left" vertical="top" wrapText="1"/>
    </xf>
    <xf numFmtId="0" fontId="21" fillId="8" borderId="0" xfId="0" applyFont="1" applyFill="1"/>
    <xf numFmtId="0" fontId="23" fillId="7" borderId="0" xfId="0" applyFont="1" applyFill="1" applyBorder="1" applyAlignment="1">
      <alignment horizontal="left"/>
    </xf>
    <xf numFmtId="0" fontId="23" fillId="0" borderId="0" xfId="0" applyFont="1" applyAlignment="1">
      <alignment horizontal="left"/>
    </xf>
    <xf numFmtId="0" fontId="23" fillId="7" borderId="0" xfId="0" applyFont="1" applyFill="1" applyBorder="1" applyAlignment="1">
      <alignment horizontal="left" wrapText="1"/>
    </xf>
    <xf numFmtId="0" fontId="23" fillId="0" borderId="0" xfId="0" applyFont="1" applyFill="1" applyBorder="1" applyAlignment="1">
      <alignment horizontal="left"/>
    </xf>
    <xf numFmtId="0" fontId="24" fillId="2" borderId="3" xfId="0" applyFont="1" applyFill="1" applyBorder="1"/>
    <xf numFmtId="0" fontId="23" fillId="7" borderId="0" xfId="0" applyFont="1" applyFill="1" applyAlignment="1">
      <alignment horizontal="left"/>
    </xf>
    <xf numFmtId="0" fontId="24" fillId="2" borderId="1" xfId="0" applyFont="1" applyFill="1" applyBorder="1"/>
    <xf numFmtId="0" fontId="24" fillId="9" borderId="6" xfId="0" applyFont="1" applyFill="1" applyBorder="1" applyAlignment="1">
      <alignment horizontal="left"/>
    </xf>
    <xf numFmtId="0" fontId="24" fillId="9" borderId="7" xfId="0" applyFont="1" applyFill="1" applyBorder="1" applyAlignment="1">
      <alignment horizontal="right"/>
    </xf>
    <xf numFmtId="0" fontId="24" fillId="9" borderId="8" xfId="0" applyFont="1" applyFill="1" applyBorder="1" applyAlignment="1">
      <alignment horizontal="right"/>
    </xf>
    <xf numFmtId="168" fontId="28" fillId="0" borderId="0" xfId="2" applyNumberFormat="1" applyFont="1"/>
    <xf numFmtId="168" fontId="24" fillId="2" borderId="7" xfId="2" applyNumberFormat="1" applyFont="1" applyFill="1" applyBorder="1"/>
    <xf numFmtId="10" fontId="23" fillId="0" borderId="0" xfId="1" applyNumberFormat="1" applyFont="1"/>
    <xf numFmtId="10" fontId="23" fillId="0" borderId="0" xfId="0" applyNumberFormat="1" applyFont="1"/>
    <xf numFmtId="171" fontId="23" fillId="0" borderId="0" xfId="1" applyNumberFormat="1" applyFont="1"/>
    <xf numFmtId="0" fontId="21" fillId="8" borderId="6" xfId="0" applyFont="1" applyFill="1" applyBorder="1" applyAlignment="1">
      <alignment horizontal="left"/>
    </xf>
    <xf numFmtId="0" fontId="25" fillId="0" borderId="0" xfId="0" applyFont="1"/>
    <xf numFmtId="0" fontId="24" fillId="2" borderId="6" xfId="0" applyFont="1" applyFill="1" applyBorder="1" applyAlignment="1">
      <alignment horizontal="left"/>
    </xf>
    <xf numFmtId="0" fontId="24" fillId="2" borderId="7" xfId="0" applyFont="1" applyFill="1" applyBorder="1" applyAlignment="1">
      <alignment horizontal="right"/>
    </xf>
    <xf numFmtId="0" fontId="24" fillId="2" borderId="8" xfId="0" applyFont="1" applyFill="1" applyBorder="1" applyAlignment="1">
      <alignment horizontal="right"/>
    </xf>
    <xf numFmtId="169" fontId="28" fillId="0" borderId="0" xfId="3" applyNumberFormat="1" applyFont="1" applyAlignment="1"/>
    <xf numFmtId="172" fontId="24" fillId="2" borderId="7" xfId="2" applyNumberFormat="1" applyFont="1" applyFill="1" applyBorder="1" applyAlignment="1"/>
    <xf numFmtId="169" fontId="29" fillId="0" borderId="0" xfId="3" applyNumberFormat="1" applyFont="1" applyAlignment="1">
      <alignment horizontal="right"/>
    </xf>
    <xf numFmtId="169" fontId="29" fillId="0" borderId="0" xfId="3" applyNumberFormat="1" applyFont="1" applyAlignment="1">
      <alignment horizontal="center" vertical="center"/>
    </xf>
    <xf numFmtId="0" fontId="7" fillId="2" borderId="6" xfId="0" applyFont="1" applyFill="1" applyBorder="1"/>
    <xf numFmtId="168" fontId="6" fillId="11" borderId="5" xfId="2" applyNumberFormat="1" applyFont="1" applyFill="1" applyBorder="1"/>
    <xf numFmtId="3" fontId="6" fillId="11" borderId="4" xfId="0" applyNumberFormat="1" applyFont="1" applyFill="1" applyBorder="1"/>
    <xf numFmtId="0" fontId="5" fillId="8" borderId="8" xfId="0" applyFont="1" applyFill="1" applyBorder="1" applyAlignment="1"/>
    <xf numFmtId="0" fontId="5" fillId="8" borderId="0" xfId="0" applyFont="1" applyFill="1" applyBorder="1" applyAlignment="1"/>
    <xf numFmtId="0" fontId="6" fillId="0" borderId="13" xfId="0" applyFont="1" applyFill="1" applyBorder="1"/>
    <xf numFmtId="0" fontId="2" fillId="0" borderId="14" xfId="0" applyFont="1" applyFill="1" applyBorder="1" applyAlignment="1">
      <alignment horizontal="center"/>
    </xf>
    <xf numFmtId="0" fontId="2" fillId="0" borderId="15" xfId="0" applyFont="1" applyFill="1" applyBorder="1"/>
    <xf numFmtId="0" fontId="2" fillId="0" borderId="16" xfId="0" applyFont="1" applyFill="1" applyBorder="1"/>
    <xf numFmtId="0" fontId="2" fillId="0" borderId="16" xfId="0" applyFont="1" applyFill="1" applyBorder="1" applyAlignment="1">
      <alignment horizontal="center"/>
    </xf>
    <xf numFmtId="0" fontId="2" fillId="0" borderId="17" xfId="0" applyFont="1" applyFill="1" applyBorder="1"/>
    <xf numFmtId="0" fontId="2" fillId="0" borderId="18" xfId="0" applyFont="1" applyFill="1" applyBorder="1"/>
    <xf numFmtId="2" fontId="5" fillId="8" borderId="9" xfId="0" applyNumberFormat="1" applyFont="1" applyFill="1" applyBorder="1" applyAlignment="1">
      <alignment horizontal="center" vertical="center" wrapText="1"/>
    </xf>
    <xf numFmtId="1" fontId="5" fillId="8" borderId="9" xfId="0" applyNumberFormat="1" applyFont="1" applyFill="1" applyBorder="1" applyAlignment="1">
      <alignment horizontal="center" vertical="center" wrapText="1"/>
    </xf>
    <xf numFmtId="0" fontId="5" fillId="8" borderId="9" xfId="0" applyFont="1" applyFill="1" applyBorder="1" applyAlignment="1">
      <alignment horizontal="center" vertical="center" wrapText="1"/>
    </xf>
    <xf numFmtId="0" fontId="4" fillId="10" borderId="19" xfId="0" applyFont="1" applyFill="1" applyBorder="1" applyAlignment="1">
      <alignment horizontal="left" vertical="center"/>
    </xf>
    <xf numFmtId="0" fontId="4" fillId="10" borderId="19" xfId="0" applyFont="1" applyFill="1" applyBorder="1" applyAlignment="1">
      <alignment horizontal="center"/>
    </xf>
    <xf numFmtId="2" fontId="4" fillId="10" borderId="19" xfId="0" applyNumberFormat="1" applyFont="1" applyFill="1" applyBorder="1" applyAlignment="1">
      <alignment horizontal="center"/>
    </xf>
    <xf numFmtId="1" fontId="4" fillId="10" borderId="8" xfId="0" applyNumberFormat="1" applyFont="1" applyFill="1" applyBorder="1" applyAlignment="1">
      <alignment horizontal="center"/>
    </xf>
    <xf numFmtId="2" fontId="4" fillId="10" borderId="19" xfId="3" applyNumberFormat="1" applyFont="1" applyFill="1" applyBorder="1" applyAlignment="1">
      <alignment horizontal="center"/>
    </xf>
    <xf numFmtId="2" fontId="4" fillId="10" borderId="6" xfId="0" applyNumberFormat="1" applyFont="1" applyFill="1" applyBorder="1" applyAlignment="1">
      <alignment horizontal="center"/>
    </xf>
    <xf numFmtId="170" fontId="7" fillId="9" borderId="5" xfId="0" applyNumberFormat="1" applyFont="1" applyFill="1" applyBorder="1" applyAlignment="1"/>
    <xf numFmtId="170" fontId="7" fillId="9" borderId="2" xfId="0" applyNumberFormat="1" applyFont="1" applyFill="1" applyBorder="1" applyAlignment="1"/>
    <xf numFmtId="1" fontId="4" fillId="10" borderId="4" xfId="3" applyNumberFormat="1" applyFont="1" applyFill="1" applyBorder="1" applyAlignment="1">
      <alignment horizontal="center"/>
    </xf>
    <xf numFmtId="168" fontId="18" fillId="11" borderId="5" xfId="2" applyNumberFormat="1" applyFont="1" applyFill="1" applyBorder="1"/>
    <xf numFmtId="0" fontId="7" fillId="5" borderId="8" xfId="0" applyFont="1" applyFill="1" applyBorder="1" applyAlignment="1">
      <alignment horizontal="center"/>
    </xf>
    <xf numFmtId="0" fontId="2" fillId="4" borderId="3" xfId="0" applyFont="1" applyFill="1" applyBorder="1" applyAlignment="1">
      <alignment horizontal="left" indent="1"/>
    </xf>
    <xf numFmtId="0" fontId="6" fillId="4" borderId="4" xfId="0" applyFont="1" applyFill="1" applyBorder="1"/>
    <xf numFmtId="168" fontId="6" fillId="5" borderId="5" xfId="2" applyNumberFormat="1" applyFont="1" applyFill="1" applyBorder="1" applyAlignment="1">
      <alignment horizontal="center"/>
    </xf>
    <xf numFmtId="0" fontId="30" fillId="0" borderId="0" xfId="0" applyFont="1"/>
    <xf numFmtId="0" fontId="6" fillId="4" borderId="5" xfId="0" applyFont="1" applyFill="1" applyBorder="1"/>
    <xf numFmtId="0" fontId="6" fillId="4" borderId="3" xfId="0" applyFont="1" applyFill="1" applyBorder="1"/>
    <xf numFmtId="168" fontId="6" fillId="10" borderId="5" xfId="2" applyNumberFormat="1" applyFont="1" applyFill="1" applyBorder="1" applyAlignment="1">
      <alignment horizontal="center"/>
    </xf>
    <xf numFmtId="10" fontId="0" fillId="0" borderId="0" xfId="1" applyNumberFormat="1" applyFont="1"/>
    <xf numFmtId="10" fontId="0" fillId="0" borderId="0" xfId="0" applyNumberFormat="1"/>
    <xf numFmtId="0" fontId="31" fillId="0" borderId="0" xfId="0" applyFont="1"/>
    <xf numFmtId="167" fontId="5" fillId="15" borderId="4" xfId="3" applyFont="1" applyFill="1" applyBorder="1" applyAlignment="1">
      <alignment horizontal="left"/>
    </xf>
    <xf numFmtId="167" fontId="5" fillId="15" borderId="4" xfId="3" applyFont="1" applyFill="1" applyBorder="1" applyAlignment="1">
      <alignment horizontal="center"/>
    </xf>
    <xf numFmtId="167" fontId="2" fillId="5" borderId="4" xfId="3" applyFont="1" applyFill="1" applyBorder="1" applyAlignment="1">
      <alignment horizontal="left" indent="2"/>
    </xf>
    <xf numFmtId="167" fontId="2" fillId="5" borderId="4" xfId="3" applyFont="1" applyFill="1" applyBorder="1"/>
    <xf numFmtId="175" fontId="2" fillId="5" borderId="4" xfId="3" applyNumberFormat="1" applyFont="1" applyFill="1" applyBorder="1"/>
    <xf numFmtId="167" fontId="6" fillId="5" borderId="4" xfId="3" applyFont="1" applyFill="1" applyBorder="1"/>
    <xf numFmtId="175" fontId="6" fillId="5" borderId="4" xfId="3" applyNumberFormat="1" applyFont="1" applyFill="1" applyBorder="1"/>
    <xf numFmtId="0" fontId="6" fillId="5" borderId="5" xfId="0" applyFont="1" applyFill="1" applyBorder="1"/>
    <xf numFmtId="0" fontId="0" fillId="0" borderId="0" xfId="0" applyFont="1"/>
    <xf numFmtId="0" fontId="6" fillId="5" borderId="0" xfId="0" applyFont="1" applyFill="1" applyBorder="1"/>
    <xf numFmtId="0" fontId="7" fillId="0" borderId="8" xfId="0" applyFont="1" applyFill="1" applyBorder="1"/>
    <xf numFmtId="0" fontId="32" fillId="4" borderId="5" xfId="0" applyFont="1" applyFill="1" applyBorder="1"/>
    <xf numFmtId="0" fontId="2" fillId="4" borderId="4" xfId="0" applyFont="1" applyFill="1" applyBorder="1" applyAlignment="1">
      <alignment horizontal="left"/>
    </xf>
    <xf numFmtId="167" fontId="33" fillId="10" borderId="4" xfId="3" applyFont="1" applyFill="1" applyBorder="1"/>
    <xf numFmtId="167" fontId="2" fillId="10" borderId="4" xfId="3" applyFont="1" applyFill="1" applyBorder="1"/>
    <xf numFmtId="167" fontId="6" fillId="5" borderId="4" xfId="3" applyFont="1" applyFill="1" applyBorder="1" applyAlignment="1">
      <alignment horizontal="left"/>
    </xf>
    <xf numFmtId="167" fontId="33" fillId="5" borderId="4" xfId="3" applyFont="1" applyFill="1" applyBorder="1"/>
    <xf numFmtId="0" fontId="6" fillId="4" borderId="4" xfId="0" applyFont="1" applyFill="1" applyBorder="1" applyAlignment="1">
      <alignment horizontal="left"/>
    </xf>
    <xf numFmtId="167" fontId="34" fillId="10" borderId="4" xfId="3" applyFont="1" applyFill="1" applyBorder="1"/>
    <xf numFmtId="167" fontId="6" fillId="10" borderId="4" xfId="3" applyFont="1" applyFill="1" applyBorder="1"/>
    <xf numFmtId="0" fontId="2" fillId="4" borderId="7" xfId="0" applyFont="1" applyFill="1" applyBorder="1" applyAlignment="1">
      <alignment horizontal="left"/>
    </xf>
    <xf numFmtId="175" fontId="2" fillId="10" borderId="4" xfId="3" applyNumberFormat="1" applyFont="1" applyFill="1" applyBorder="1"/>
    <xf numFmtId="170" fontId="23" fillId="7" borderId="3" xfId="0" applyNumberFormat="1" applyFont="1" applyFill="1" applyBorder="1" applyAlignment="1">
      <alignment horizontal="left"/>
    </xf>
    <xf numFmtId="0" fontId="8" fillId="0" borderId="1" xfId="0" applyFont="1" applyBorder="1"/>
    <xf numFmtId="0" fontId="4" fillId="10" borderId="19" xfId="0" applyFont="1" applyFill="1" applyBorder="1"/>
    <xf numFmtId="0" fontId="4" fillId="10" borderId="11" xfId="0" applyFont="1" applyFill="1" applyBorder="1" applyAlignment="1">
      <alignment horizontal="center"/>
    </xf>
    <xf numFmtId="4" fontId="4" fillId="10" borderId="7" xfId="0" applyNumberFormat="1" applyFont="1" applyFill="1" applyBorder="1" applyAlignment="1">
      <alignment horizontal="center"/>
    </xf>
    <xf numFmtId="4" fontId="4" fillId="10" borderId="8" xfId="3" applyNumberFormat="1" applyFont="1" applyFill="1" applyBorder="1" applyAlignment="1">
      <alignment horizontal="center"/>
    </xf>
    <xf numFmtId="1" fontId="4" fillId="10" borderId="8" xfId="3" applyNumberFormat="1" applyFont="1" applyFill="1" applyBorder="1" applyAlignment="1">
      <alignment horizontal="center"/>
    </xf>
    <xf numFmtId="2" fontId="4" fillId="10" borderId="8" xfId="3" applyNumberFormat="1" applyFont="1" applyFill="1" applyBorder="1" applyAlignment="1">
      <alignment horizontal="center"/>
    </xf>
    <xf numFmtId="0" fontId="4" fillId="10" borderId="10" xfId="0" applyFont="1" applyFill="1" applyBorder="1"/>
    <xf numFmtId="0" fontId="4" fillId="10" borderId="10" xfId="0" applyFont="1" applyFill="1" applyBorder="1" applyAlignment="1">
      <alignment horizontal="center"/>
    </xf>
    <xf numFmtId="4" fontId="4" fillId="10" borderId="10" xfId="0" applyNumberFormat="1" applyFont="1" applyFill="1" applyBorder="1" applyAlignment="1">
      <alignment horizontal="center"/>
    </xf>
    <xf numFmtId="4" fontId="4" fillId="10" borderId="10" xfId="3" applyNumberFormat="1" applyFont="1" applyFill="1" applyBorder="1" applyAlignment="1">
      <alignment horizontal="center"/>
    </xf>
    <xf numFmtId="0" fontId="7" fillId="10" borderId="10" xfId="0" applyFont="1" applyFill="1" applyBorder="1"/>
    <xf numFmtId="4" fontId="4" fillId="10" borderId="4" xfId="0" applyNumberFormat="1" applyFont="1" applyFill="1" applyBorder="1" applyAlignment="1">
      <alignment horizontal="center"/>
    </xf>
    <xf numFmtId="4" fontId="4" fillId="10" borderId="4" xfId="3" applyNumberFormat="1" applyFont="1" applyFill="1" applyBorder="1" applyAlignment="1">
      <alignment horizontal="center"/>
    </xf>
    <xf numFmtId="4" fontId="4" fillId="10" borderId="4" xfId="0" applyNumberFormat="1" applyFont="1" applyFill="1" applyBorder="1" applyAlignment="1">
      <alignment horizontal="left" vertical="center"/>
    </xf>
    <xf numFmtId="4" fontId="4" fillId="10" borderId="4" xfId="3" applyNumberFormat="1" applyFont="1" applyFill="1" applyBorder="1" applyAlignment="1">
      <alignment horizontal="left" vertical="center"/>
    </xf>
    <xf numFmtId="1" fontId="4" fillId="10" borderId="4" xfId="3" applyNumberFormat="1" applyFont="1" applyFill="1" applyBorder="1" applyAlignment="1">
      <alignment horizontal="left" vertical="center"/>
    </xf>
    <xf numFmtId="2" fontId="4" fillId="10" borderId="4" xfId="3" applyNumberFormat="1" applyFont="1" applyFill="1" applyBorder="1" applyAlignment="1">
      <alignment horizontal="left" vertical="center"/>
    </xf>
    <xf numFmtId="10" fontId="4" fillId="10" borderId="4" xfId="3" applyNumberFormat="1" applyFont="1" applyFill="1" applyBorder="1" applyAlignment="1">
      <alignment horizontal="center" vertical="center"/>
    </xf>
    <xf numFmtId="10" fontId="4" fillId="10" borderId="4" xfId="1" applyNumberFormat="1" applyFont="1" applyFill="1" applyBorder="1" applyAlignment="1">
      <alignment horizontal="center" vertical="center" wrapText="1"/>
    </xf>
    <xf numFmtId="0" fontId="6" fillId="0" borderId="13" xfId="0" applyFont="1" applyFill="1" applyBorder="1" applyAlignment="1">
      <alignment wrapText="1"/>
    </xf>
    <xf numFmtId="170" fontId="2" fillId="7" borderId="4" xfId="0" applyNumberFormat="1" applyFont="1" applyFill="1" applyBorder="1" applyAlignment="1">
      <alignment horizontal="left"/>
    </xf>
    <xf numFmtId="170" fontId="2" fillId="7" borderId="3" xfId="0" applyNumberFormat="1" applyFont="1" applyFill="1" applyBorder="1" applyAlignment="1">
      <alignment horizontal="left"/>
    </xf>
    <xf numFmtId="170" fontId="23" fillId="7" borderId="3" xfId="0" applyNumberFormat="1" applyFont="1" applyFill="1" applyBorder="1" applyAlignment="1">
      <alignment vertical="center" wrapText="1"/>
    </xf>
    <xf numFmtId="10" fontId="23" fillId="3" borderId="4" xfId="0" applyNumberFormat="1" applyFont="1" applyFill="1" applyBorder="1" applyAlignment="1">
      <alignment horizontal="center"/>
    </xf>
    <xf numFmtId="10" fontId="23" fillId="3" borderId="4" xfId="0" applyNumberFormat="1" applyFont="1" applyFill="1" applyBorder="1" applyAlignment="1">
      <alignment horizontal="center" vertical="center"/>
    </xf>
    <xf numFmtId="0" fontId="35" fillId="2" borderId="4" xfId="0" applyFont="1" applyFill="1" applyBorder="1" applyAlignment="1">
      <alignment horizontal="center" vertical="center"/>
    </xf>
    <xf numFmtId="0" fontId="25" fillId="7" borderId="5" xfId="0" applyNumberFormat="1" applyFont="1" applyFill="1" applyBorder="1" applyAlignment="1">
      <alignment horizontal="left" wrapText="1"/>
    </xf>
    <xf numFmtId="0" fontId="25" fillId="7" borderId="2" xfId="0" applyNumberFormat="1" applyFont="1" applyFill="1" applyBorder="1" applyAlignment="1">
      <alignment horizontal="left" wrapText="1"/>
    </xf>
    <xf numFmtId="0" fontId="25" fillId="7" borderId="1" xfId="0" applyNumberFormat="1" applyFont="1" applyFill="1" applyBorder="1" applyAlignment="1">
      <alignment horizontal="left" wrapText="1"/>
    </xf>
    <xf numFmtId="0" fontId="23" fillId="7" borderId="0" xfId="0" applyFont="1" applyFill="1" applyBorder="1" applyAlignment="1">
      <alignment horizontal="left" wrapText="1"/>
    </xf>
    <xf numFmtId="0" fontId="2" fillId="7" borderId="1" xfId="0" applyFont="1" applyFill="1" applyBorder="1" applyAlignment="1">
      <alignment horizontal="left" vertical="top" wrapText="1"/>
    </xf>
    <xf numFmtId="0" fontId="23" fillId="7" borderId="1" xfId="0" applyFont="1" applyFill="1" applyBorder="1" applyAlignment="1">
      <alignment horizontal="left" vertical="top" wrapText="1"/>
    </xf>
    <xf numFmtId="0" fontId="23" fillId="2" borderId="5" xfId="0" applyFont="1" applyFill="1" applyBorder="1" applyAlignment="1">
      <alignment horizontal="center"/>
    </xf>
    <xf numFmtId="0" fontId="23" fillId="2" borderId="3" xfId="0" applyFont="1" applyFill="1" applyBorder="1" applyAlignment="1">
      <alignment horizontal="center"/>
    </xf>
    <xf numFmtId="0" fontId="2" fillId="7" borderId="0" xfId="0" quotePrefix="1" applyFont="1" applyFill="1" applyBorder="1" applyAlignment="1">
      <alignment horizontal="left" vertical="top" wrapText="1"/>
    </xf>
    <xf numFmtId="0" fontId="23" fillId="7" borderId="0" xfId="0" applyFont="1" applyFill="1" applyBorder="1" applyAlignment="1">
      <alignment horizontal="center" vertical="center"/>
    </xf>
    <xf numFmtId="0" fontId="24" fillId="9" borderId="10" xfId="0" applyFont="1" applyFill="1" applyBorder="1" applyAlignment="1">
      <alignment horizontal="left" vertical="center"/>
    </xf>
    <xf numFmtId="0" fontId="24" fillId="9" borderId="8" xfId="0" applyFont="1" applyFill="1" applyBorder="1" applyAlignment="1">
      <alignment horizontal="left" vertical="center"/>
    </xf>
    <xf numFmtId="0" fontId="7" fillId="9" borderId="9" xfId="0" applyFont="1" applyFill="1" applyBorder="1" applyAlignment="1">
      <alignment horizontal="left" vertical="center"/>
    </xf>
    <xf numFmtId="0" fontId="7" fillId="9" borderId="7" xfId="0" applyFont="1" applyFill="1" applyBorder="1" applyAlignment="1">
      <alignment horizontal="left" vertical="center"/>
    </xf>
    <xf numFmtId="0" fontId="24" fillId="9" borderId="19" xfId="0" applyFont="1" applyFill="1" applyBorder="1" applyAlignment="1">
      <alignment horizontal="left" vertical="center"/>
    </xf>
    <xf numFmtId="170" fontId="28" fillId="7" borderId="4" xfId="0" applyNumberFormat="1" applyFont="1" applyFill="1" applyBorder="1" applyAlignment="1">
      <alignment horizontal="left"/>
    </xf>
    <xf numFmtId="0" fontId="23" fillId="7" borderId="1" xfId="0" applyFont="1" applyFill="1" applyBorder="1" applyAlignment="1">
      <alignment horizontal="left" wrapText="1"/>
    </xf>
    <xf numFmtId="0" fontId="9" fillId="7" borderId="0" xfId="0" quotePrefix="1" applyFont="1" applyFill="1" applyBorder="1" applyAlignment="1">
      <alignment horizontal="left" vertical="top" wrapText="1"/>
    </xf>
    <xf numFmtId="0" fontId="23" fillId="7" borderId="0" xfId="0" quotePrefix="1" applyFont="1" applyFill="1" applyBorder="1" applyAlignment="1">
      <alignment horizontal="left" vertical="top" wrapText="1"/>
    </xf>
    <xf numFmtId="0" fontId="23" fillId="7" borderId="0" xfId="0" applyFont="1" applyFill="1" applyBorder="1" applyAlignment="1">
      <alignment horizontal="left" vertical="top" wrapText="1"/>
    </xf>
    <xf numFmtId="0" fontId="10" fillId="10" borderId="0" xfId="0" applyFont="1" applyFill="1" applyAlignment="1">
      <alignment horizontal="center"/>
    </xf>
    <xf numFmtId="0" fontId="2" fillId="4" borderId="1" xfId="0" applyFont="1" applyFill="1" applyBorder="1" applyAlignment="1">
      <alignment horizontal="left" vertical="top" wrapText="1"/>
    </xf>
    <xf numFmtId="0" fontId="6" fillId="4" borderId="8" xfId="0" applyFont="1" applyFill="1" applyBorder="1" applyAlignment="1">
      <alignment horizontal="left"/>
    </xf>
    <xf numFmtId="0" fontId="6" fillId="4" borderId="0" xfId="0" applyFont="1" applyFill="1" applyBorder="1" applyAlignment="1">
      <alignment horizontal="left"/>
    </xf>
    <xf numFmtId="0" fontId="5" fillId="8" borderId="12" xfId="0" applyFont="1" applyFill="1" applyBorder="1" applyAlignment="1">
      <alignment horizontal="left"/>
    </xf>
    <xf numFmtId="49" fontId="2" fillId="10" borderId="1" xfId="0" applyNumberFormat="1" applyFont="1" applyFill="1" applyBorder="1" applyAlignment="1">
      <alignment horizontal="left" vertical="top" wrapText="1"/>
    </xf>
    <xf numFmtId="0" fontId="2" fillId="10" borderId="1" xfId="0" applyFont="1" applyFill="1" applyBorder="1" applyAlignment="1">
      <alignment horizontal="left" vertical="top" wrapText="1"/>
    </xf>
    <xf numFmtId="0" fontId="2" fillId="4" borderId="0" xfId="0" applyFont="1" applyFill="1" applyBorder="1" applyAlignment="1">
      <alignment horizontal="left" vertical="top" wrapText="1"/>
    </xf>
    <xf numFmtId="0" fontId="2" fillId="4" borderId="1" xfId="0" quotePrefix="1" applyFont="1" applyFill="1" applyBorder="1" applyAlignment="1">
      <alignment horizontal="left" vertical="top" wrapText="1"/>
    </xf>
    <xf numFmtId="0" fontId="2" fillId="4" borderId="8" xfId="0" quotePrefix="1" applyFont="1" applyFill="1" applyBorder="1" applyAlignment="1">
      <alignment horizontal="left" vertical="top" wrapText="1"/>
    </xf>
    <xf numFmtId="0" fontId="2" fillId="4" borderId="0" xfId="0" quotePrefix="1" applyFont="1" applyFill="1" applyBorder="1" applyAlignment="1">
      <alignment horizontal="left" vertical="top" wrapText="1"/>
    </xf>
    <xf numFmtId="0" fontId="9" fillId="4" borderId="10" xfId="0" applyFont="1" applyFill="1" applyBorder="1" applyAlignment="1">
      <alignment horizontal="left" vertical="top" wrapText="1"/>
    </xf>
    <xf numFmtId="0" fontId="9" fillId="4" borderId="1" xfId="0" applyFont="1" applyFill="1" applyBorder="1" applyAlignment="1">
      <alignment horizontal="left" vertical="top" wrapText="1"/>
    </xf>
    <xf numFmtId="0" fontId="5" fillId="12" borderId="0" xfId="0" applyFont="1" applyFill="1" applyBorder="1" applyAlignment="1">
      <alignment horizontal="center"/>
    </xf>
    <xf numFmtId="2" fontId="5" fillId="13" borderId="0" xfId="0" applyNumberFormat="1" applyFont="1" applyFill="1" applyAlignment="1">
      <alignment horizontal="center"/>
    </xf>
    <xf numFmtId="0" fontId="7" fillId="11" borderId="5" xfId="0" applyFont="1" applyFill="1" applyBorder="1" applyAlignment="1">
      <alignment horizontal="left" vertical="center"/>
    </xf>
    <xf numFmtId="0" fontId="7" fillId="11" borderId="2" xfId="0" applyFont="1" applyFill="1" applyBorder="1" applyAlignment="1">
      <alignment horizontal="left" vertical="center"/>
    </xf>
    <xf numFmtId="0" fontId="7" fillId="11" borderId="3" xfId="0" applyFont="1" applyFill="1" applyBorder="1" applyAlignment="1">
      <alignment horizontal="left" vertical="center"/>
    </xf>
    <xf numFmtId="0" fontId="16" fillId="4" borderId="1" xfId="0" quotePrefix="1" applyFont="1" applyFill="1" applyBorder="1" applyAlignment="1">
      <alignment horizontal="left" vertical="top" wrapText="1"/>
    </xf>
    <xf numFmtId="0" fontId="16" fillId="4" borderId="0" xfId="0" quotePrefix="1" applyFont="1" applyFill="1" applyBorder="1" applyAlignment="1">
      <alignment horizontal="left" vertical="top" wrapText="1"/>
    </xf>
    <xf numFmtId="10" fontId="31" fillId="14" borderId="12" xfId="0" applyNumberFormat="1" applyFont="1" applyFill="1" applyBorder="1" applyAlignment="1">
      <alignment horizontal="center"/>
    </xf>
    <xf numFmtId="10" fontId="31" fillId="14" borderId="0" xfId="0" applyNumberFormat="1" applyFont="1" applyFill="1" applyBorder="1" applyAlignment="1">
      <alignment horizontal="center"/>
    </xf>
    <xf numFmtId="0" fontId="6" fillId="4" borderId="5" xfId="0" applyFont="1" applyFill="1" applyBorder="1" applyAlignment="1">
      <alignment horizontal="center"/>
    </xf>
    <xf numFmtId="0" fontId="6" fillId="4" borderId="2" xfId="0" applyFont="1" applyFill="1" applyBorder="1" applyAlignment="1">
      <alignment horizontal="center"/>
    </xf>
    <xf numFmtId="0" fontId="4" fillId="4" borderId="1" xfId="0" applyFont="1" applyFill="1" applyBorder="1" applyAlignment="1">
      <alignment horizontal="left" vertical="top"/>
    </xf>
    <xf numFmtId="0" fontId="4" fillId="4" borderId="0" xfId="0" applyFont="1" applyFill="1" applyBorder="1" applyAlignment="1">
      <alignment horizontal="left" vertical="top"/>
    </xf>
    <xf numFmtId="0" fontId="5" fillId="8" borderId="12" xfId="0" applyFont="1" applyFill="1" applyBorder="1" applyAlignment="1">
      <alignment horizontal="center"/>
    </xf>
    <xf numFmtId="0" fontId="1" fillId="4" borderId="10" xfId="0" quotePrefix="1" applyFont="1" applyFill="1" applyBorder="1" applyAlignment="1">
      <alignment horizontal="left" vertical="top" wrapText="1"/>
    </xf>
    <xf numFmtId="0" fontId="1" fillId="4" borderId="1" xfId="0" quotePrefix="1" applyFont="1" applyFill="1" applyBorder="1" applyAlignment="1">
      <alignment horizontal="left" vertical="top" wrapText="1"/>
    </xf>
    <xf numFmtId="0" fontId="17" fillId="11" borderId="4" xfId="0" applyFont="1" applyFill="1" applyBorder="1" applyAlignment="1">
      <alignment horizontal="left"/>
    </xf>
    <xf numFmtId="0" fontId="17" fillId="11" borderId="4" xfId="0" applyFont="1" applyFill="1" applyBorder="1" applyAlignment="1">
      <alignment horizontal="center"/>
    </xf>
    <xf numFmtId="0" fontId="17" fillId="11" borderId="4" xfId="0" applyFont="1" applyFill="1" applyBorder="1" applyAlignment="1">
      <alignment horizontal="right"/>
    </xf>
    <xf numFmtId="3" fontId="18" fillId="11" borderId="4" xfId="0" applyNumberFormat="1" applyFont="1" applyFill="1" applyBorder="1"/>
    <xf numFmtId="0" fontId="17" fillId="11" borderId="4" xfId="0" applyFont="1" applyFill="1" applyBorder="1"/>
    <xf numFmtId="0" fontId="17" fillId="5" borderId="4" xfId="0" applyFont="1" applyFill="1" applyBorder="1"/>
    <xf numFmtId="3" fontId="17" fillId="5" borderId="4" xfId="0" applyNumberFormat="1" applyFont="1" applyFill="1" applyBorder="1"/>
    <xf numFmtId="167" fontId="34" fillId="5" borderId="4" xfId="3" applyFont="1" applyFill="1" applyBorder="1"/>
    <xf numFmtId="168" fontId="6" fillId="11" borderId="4" xfId="2" applyNumberFormat="1" applyFont="1" applyFill="1" applyBorder="1"/>
    <xf numFmtId="168" fontId="7" fillId="5" borderId="4" xfId="2" applyNumberFormat="1" applyFont="1" applyFill="1" applyBorder="1"/>
  </cellXfs>
  <cellStyles count="6">
    <cellStyle name="Comma" xfId="3" builtinId="3"/>
    <cellStyle name="Currency" xfId="2" builtinId="4"/>
    <cellStyle name="Currency 2" xfId="4" xr:uid="{00000000-0005-0000-0000-000003000000}"/>
    <cellStyle name="Normal" xfId="0" builtinId="0"/>
    <cellStyle name="Normal 2" xfId="5" xr:uid="{00000000-0005-0000-0000-000005000000}"/>
    <cellStyle name="Percent" xfId="1" builtinId="5"/>
  </cellStyles>
  <dxfs count="0"/>
  <tableStyles count="0" defaultTableStyle="TableStyleMedium9" defaultPivotStyle="PivotStyleLight16"/>
  <colors>
    <mruColors>
      <color rgb="FFA6A6A6"/>
      <color rgb="FFBFBFBF"/>
      <color rgb="FFD9D9D9"/>
      <color rgb="FFF58025"/>
      <color rgb="FFEAEAEA"/>
      <color rgb="FF5E6A71"/>
      <color rgb="FFBC921A"/>
      <color rgb="FFE0AE20"/>
      <color rgb="FF006A71"/>
      <color rgb="FF5D87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y1-Fin/Reg_Affairs/2019%20Determination/Models/2.%20FP%20-%20Final%20Proposal/ANS%20models/Ancillary%20Service%20Pricing%20Model%2019_24%20current%20output%20she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First"/>
      <sheetName val="Inputs"/>
      <sheetName val="Inputs To Reg Sub"/>
    </sheetNames>
    <sheetDataSet>
      <sheetData sheetId="0"/>
      <sheetData sheetId="1">
        <row r="13">
          <cell r="H13">
            <v>6.3420000000000004E-2</v>
          </cell>
        </row>
        <row r="16">
          <cell r="H16">
            <v>1</v>
          </cell>
          <cell r="I16">
            <v>1</v>
          </cell>
          <cell r="J16">
            <v>1.0109999999999999</v>
          </cell>
          <cell r="K16">
            <v>1.0231319999999999</v>
          </cell>
          <cell r="L16">
            <v>1.0337725727999998</v>
          </cell>
        </row>
        <row r="20">
          <cell r="B20" t="str">
            <v>R1a</v>
          </cell>
          <cell r="C20" t="str">
            <v>AO11</v>
          </cell>
          <cell r="D20">
            <v>28</v>
          </cell>
          <cell r="E20">
            <v>45.84</v>
          </cell>
          <cell r="F20">
            <v>46.756800000000005</v>
          </cell>
          <cell r="G20">
            <v>47.212678799999999</v>
          </cell>
          <cell r="H20">
            <v>73.74148301772</v>
          </cell>
          <cell r="I20">
            <v>133.8725894163336</v>
          </cell>
        </row>
        <row r="21">
          <cell r="B21" t="str">
            <v>R1b</v>
          </cell>
          <cell r="C21" t="str">
            <v>AO23</v>
          </cell>
          <cell r="D21">
            <v>40</v>
          </cell>
          <cell r="E21">
            <v>62.63</v>
          </cell>
          <cell r="F21">
            <v>63.882600000000004</v>
          </cell>
          <cell r="G21">
            <v>64.505455350000005</v>
          </cell>
          <cell r="H21">
            <v>100.75107071116501</v>
          </cell>
          <cell r="I21">
            <v>182.9066377649427</v>
          </cell>
        </row>
        <row r="22">
          <cell r="B22" t="str">
            <v>R2a</v>
          </cell>
          <cell r="C22" t="str">
            <v>TO16</v>
          </cell>
          <cell r="D22">
            <v>40</v>
          </cell>
          <cell r="E22">
            <v>64.19</v>
          </cell>
          <cell r="F22">
            <v>65.473799999999997</v>
          </cell>
          <cell r="G22">
            <v>66.11216954999999</v>
          </cell>
          <cell r="H22">
            <v>103.26059762014499</v>
          </cell>
          <cell r="I22">
            <v>187.46251122675505</v>
          </cell>
        </row>
        <row r="23">
          <cell r="B23" t="str">
            <v>R2b</v>
          </cell>
          <cell r="C23" t="str">
            <v>TO16</v>
          </cell>
          <cell r="D23">
            <v>40</v>
          </cell>
          <cell r="E23">
            <v>64.19</v>
          </cell>
          <cell r="F23">
            <v>65.473799999999997</v>
          </cell>
          <cell r="G23">
            <v>66.11216954999999</v>
          </cell>
          <cell r="H23">
            <v>103.26059762014499</v>
          </cell>
          <cell r="I23">
            <v>187.46251122675505</v>
          </cell>
        </row>
        <row r="24">
          <cell r="B24" t="str">
            <v>R3</v>
          </cell>
          <cell r="C24" t="str">
            <v>EAMS8</v>
          </cell>
          <cell r="D24">
            <v>44</v>
          </cell>
          <cell r="E24">
            <v>73.73</v>
          </cell>
          <cell r="F24">
            <v>75.204599999999999</v>
          </cell>
          <cell r="G24">
            <v>75.937844849999991</v>
          </cell>
          <cell r="H24">
            <v>118.60731987121498</v>
          </cell>
          <cell r="I24">
            <v>215.32342970476165</v>
          </cell>
        </row>
        <row r="25">
          <cell r="B25" t="str">
            <v>R4</v>
          </cell>
          <cell r="C25" t="str">
            <v>TO8</v>
          </cell>
          <cell r="D25">
            <v>32</v>
          </cell>
          <cell r="E25">
            <v>49.63</v>
          </cell>
          <cell r="F25">
            <v>50.622600000000006</v>
          </cell>
          <cell r="G25">
            <v>51.116170350000004</v>
          </cell>
          <cell r="H25">
            <v>79.838346469665012</v>
          </cell>
          <cell r="I25">
            <v>144.94102558317272</v>
          </cell>
        </row>
        <row r="43">
          <cell r="M43">
            <v>0.46592661151676018</v>
          </cell>
        </row>
        <row r="48">
          <cell r="M48">
            <v>0.16037758511933414</v>
          </cell>
        </row>
        <row r="54">
          <cell r="C54" t="str">
            <v>R1a</v>
          </cell>
          <cell r="D54"/>
          <cell r="E54"/>
          <cell r="F54"/>
          <cell r="G54">
            <v>0</v>
          </cell>
        </row>
        <row r="55">
          <cell r="C55" t="str">
            <v>R1b</v>
          </cell>
          <cell r="D55"/>
          <cell r="E55"/>
          <cell r="F55"/>
          <cell r="G55">
            <v>0</v>
          </cell>
        </row>
        <row r="56">
          <cell r="C56" t="str">
            <v>R2a</v>
          </cell>
          <cell r="D56"/>
          <cell r="E56"/>
          <cell r="F56"/>
          <cell r="G56">
            <v>0</v>
          </cell>
        </row>
        <row r="57">
          <cell r="C57" t="str">
            <v>R2b</v>
          </cell>
          <cell r="D57">
            <v>1</v>
          </cell>
          <cell r="E57"/>
          <cell r="F57"/>
          <cell r="G57">
            <v>19.732436288346317</v>
          </cell>
        </row>
        <row r="58">
          <cell r="C58" t="str">
            <v>R3</v>
          </cell>
          <cell r="D58">
            <v>1</v>
          </cell>
          <cell r="E58"/>
          <cell r="F58"/>
          <cell r="G58">
            <v>19.732436288346317</v>
          </cell>
        </row>
        <row r="59">
          <cell r="C59" t="str">
            <v>R4</v>
          </cell>
          <cell r="D59">
            <v>1</v>
          </cell>
          <cell r="E59"/>
          <cell r="F59"/>
          <cell r="G59">
            <v>19.732436288346317</v>
          </cell>
        </row>
        <row r="61">
          <cell r="H61">
            <v>0.04</v>
          </cell>
          <cell r="I61">
            <v>0.04</v>
          </cell>
          <cell r="J61">
            <v>0.04</v>
          </cell>
          <cell r="K61">
            <v>0.04</v>
          </cell>
          <cell r="L61">
            <v>0.04</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2:S65"/>
  <sheetViews>
    <sheetView showGridLines="0" tabSelected="1" zoomScaleNormal="100" workbookViewId="0">
      <selection activeCell="H64" sqref="H64"/>
    </sheetView>
  </sheetViews>
  <sheetFormatPr defaultColWidth="9.140625" defaultRowHeight="12.75" x14ac:dyDescent="0.2"/>
  <cols>
    <col min="1" max="1" width="2.42578125" style="131" customWidth="1"/>
    <col min="2" max="2" width="41.85546875" style="131" customWidth="1"/>
    <col min="3" max="3" width="55.5703125" style="131" customWidth="1"/>
    <col min="4" max="4" width="19.28515625" style="131" customWidth="1"/>
    <col min="5" max="5" width="13.85546875" style="131" customWidth="1"/>
    <col min="6" max="6" width="14" style="131" customWidth="1"/>
    <col min="7" max="7" width="12.85546875" style="131" customWidth="1"/>
    <col min="8" max="8" width="13.28515625" style="131" customWidth="1"/>
    <col min="9" max="9" width="11.5703125" style="131" customWidth="1"/>
    <col min="10" max="16384" width="9.140625" style="131"/>
  </cols>
  <sheetData>
    <row r="2" spans="2:19" x14ac:dyDescent="0.2">
      <c r="B2" s="129" t="s">
        <v>7</v>
      </c>
      <c r="C2" s="130"/>
      <c r="D2" s="130"/>
      <c r="E2" s="130"/>
      <c r="F2" s="130"/>
      <c r="G2" s="130"/>
      <c r="H2" s="130"/>
      <c r="O2" s="132"/>
      <c r="P2" s="132"/>
      <c r="Q2" s="132"/>
      <c r="R2" s="132"/>
      <c r="S2" s="132"/>
    </row>
    <row r="3" spans="2:19" ht="75.75" customHeight="1" x14ac:dyDescent="0.2">
      <c r="B3" s="133" t="s">
        <v>56</v>
      </c>
      <c r="C3" s="260" t="s">
        <v>65</v>
      </c>
      <c r="D3" s="261"/>
      <c r="E3" s="262"/>
      <c r="F3" s="262"/>
      <c r="G3" s="262"/>
      <c r="H3" s="262"/>
      <c r="M3" s="134"/>
      <c r="N3" s="134"/>
      <c r="O3" s="132"/>
      <c r="P3" s="132"/>
      <c r="Q3" s="132"/>
      <c r="R3" s="132"/>
      <c r="S3" s="132"/>
    </row>
    <row r="4" spans="2:19" ht="55.5" customHeight="1" x14ac:dyDescent="0.2">
      <c r="B4" s="135"/>
      <c r="C4" s="266"/>
      <c r="D4" s="267"/>
      <c r="E4" s="136"/>
      <c r="F4" s="136"/>
      <c r="G4" s="136"/>
      <c r="H4" s="136"/>
      <c r="M4" s="134"/>
      <c r="N4" s="134"/>
      <c r="O4" s="132"/>
      <c r="P4" s="132"/>
      <c r="Q4" s="132"/>
      <c r="R4" s="132"/>
      <c r="S4" s="132"/>
    </row>
    <row r="5" spans="2:19" ht="15" customHeight="1" x14ac:dyDescent="0.2">
      <c r="B5" s="137" t="s">
        <v>13</v>
      </c>
      <c r="C5" s="138"/>
      <c r="D5" s="259" t="s">
        <v>163</v>
      </c>
      <c r="E5" s="139"/>
      <c r="F5" s="139"/>
      <c r="G5" s="139"/>
      <c r="H5" s="139"/>
      <c r="M5" s="134"/>
      <c r="N5" s="134"/>
      <c r="O5" s="132"/>
      <c r="P5" s="132"/>
      <c r="Q5" s="132"/>
      <c r="R5" s="132"/>
      <c r="S5" s="132"/>
    </row>
    <row r="6" spans="2:19" x14ac:dyDescent="0.2">
      <c r="B6" s="270" t="s">
        <v>42</v>
      </c>
      <c r="C6" s="254" t="s">
        <v>70</v>
      </c>
      <c r="D6" s="141">
        <v>710.41</v>
      </c>
      <c r="E6" s="269"/>
      <c r="F6" s="269"/>
      <c r="G6" s="269"/>
      <c r="H6" s="269"/>
      <c r="M6" s="134"/>
      <c r="N6" s="134"/>
      <c r="O6" s="132"/>
      <c r="P6" s="132"/>
      <c r="Q6" s="132"/>
      <c r="R6" s="132"/>
      <c r="S6" s="132"/>
    </row>
    <row r="7" spans="2:19" x14ac:dyDescent="0.2">
      <c r="B7" s="271"/>
      <c r="C7" s="140" t="s">
        <v>71</v>
      </c>
      <c r="D7" s="141">
        <v>328.96</v>
      </c>
      <c r="E7" s="269"/>
      <c r="F7" s="269"/>
      <c r="G7" s="269"/>
      <c r="H7" s="269"/>
      <c r="M7" s="134"/>
      <c r="N7" s="134"/>
      <c r="O7" s="132"/>
      <c r="P7" s="132"/>
      <c r="Q7" s="132"/>
      <c r="R7" s="132"/>
      <c r="S7" s="132"/>
    </row>
    <row r="8" spans="2:19" x14ac:dyDescent="0.2">
      <c r="B8" s="272" t="s">
        <v>108</v>
      </c>
      <c r="C8" s="255" t="s">
        <v>165</v>
      </c>
      <c r="D8" s="142">
        <f>'Bottom Up Estimation'!Q10</f>
        <v>637.84692427723019</v>
      </c>
      <c r="E8" s="269"/>
      <c r="F8" s="269"/>
      <c r="G8" s="269"/>
      <c r="H8" s="269"/>
      <c r="O8" s="132"/>
      <c r="P8" s="132"/>
      <c r="Q8" s="132"/>
      <c r="R8" s="132"/>
      <c r="S8" s="132"/>
    </row>
    <row r="9" spans="2:19" x14ac:dyDescent="0.2">
      <c r="B9" s="273"/>
      <c r="C9" s="255" t="s">
        <v>164</v>
      </c>
      <c r="D9" s="142">
        <f>'Bottom Up Estimation'!Q24</f>
        <v>2509.6915346295191</v>
      </c>
      <c r="E9" s="269"/>
      <c r="F9" s="269"/>
      <c r="G9" s="269"/>
      <c r="H9" s="269"/>
      <c r="O9" s="132"/>
      <c r="P9" s="132"/>
      <c r="Q9" s="132"/>
      <c r="R9" s="132"/>
      <c r="S9" s="132"/>
    </row>
    <row r="10" spans="2:19" x14ac:dyDescent="0.2">
      <c r="B10" s="273"/>
      <c r="C10" s="255" t="s">
        <v>159</v>
      </c>
      <c r="D10" s="142">
        <f>'Bottom Up Estimation'!Q22</f>
        <v>212.70961481276012</v>
      </c>
      <c r="E10" s="269"/>
      <c r="F10" s="269"/>
      <c r="G10" s="269"/>
      <c r="H10" s="269"/>
      <c r="O10" s="132"/>
      <c r="P10" s="132"/>
      <c r="Q10" s="132"/>
      <c r="R10" s="132"/>
      <c r="S10" s="132"/>
    </row>
    <row r="11" spans="2:19" ht="47.25" customHeight="1" x14ac:dyDescent="0.2">
      <c r="B11" s="273"/>
      <c r="C11" s="256" t="s">
        <v>160</v>
      </c>
      <c r="D11" s="258">
        <f>(1+D12)*(1+D13)-1</f>
        <v>0.55889567721915312</v>
      </c>
      <c r="E11" s="269"/>
      <c r="F11" s="269"/>
      <c r="G11" s="269"/>
      <c r="H11" s="269"/>
      <c r="O11" s="132"/>
      <c r="P11" s="132"/>
      <c r="Q11" s="132"/>
      <c r="R11" s="132"/>
      <c r="S11" s="132"/>
    </row>
    <row r="12" spans="2:19" x14ac:dyDescent="0.2">
      <c r="B12" s="273"/>
      <c r="C12" s="232" t="s">
        <v>161</v>
      </c>
      <c r="D12" s="257">
        <f>'Bottom Up Estimation'!N23</f>
        <v>0.46592661151676018</v>
      </c>
      <c r="E12" s="269"/>
      <c r="F12" s="269"/>
      <c r="G12" s="269"/>
      <c r="H12" s="269"/>
      <c r="O12" s="132"/>
      <c r="P12" s="132"/>
      <c r="Q12" s="132"/>
      <c r="R12" s="132"/>
      <c r="S12" s="132"/>
    </row>
    <row r="13" spans="2:19" x14ac:dyDescent="0.2">
      <c r="B13" s="273"/>
      <c r="C13" s="232" t="s">
        <v>162</v>
      </c>
      <c r="D13" s="257">
        <f>'Bottom Up Estimation'!P23</f>
        <v>6.3420000000000004E-2</v>
      </c>
      <c r="E13" s="269"/>
      <c r="F13" s="269"/>
      <c r="G13" s="269"/>
      <c r="H13" s="269"/>
      <c r="O13" s="132"/>
      <c r="P13" s="132"/>
      <c r="Q13" s="132"/>
      <c r="R13" s="132"/>
      <c r="S13" s="132"/>
    </row>
    <row r="14" spans="2:19" x14ac:dyDescent="0.2">
      <c r="B14" s="274"/>
      <c r="C14" s="232" t="s">
        <v>71</v>
      </c>
      <c r="D14" s="142">
        <f>'Bottom Up Estimation'!Q36</f>
        <v>153.03815460076717</v>
      </c>
      <c r="E14" s="269"/>
      <c r="F14" s="269"/>
      <c r="G14" s="269"/>
      <c r="H14" s="269"/>
      <c r="O14" s="132"/>
      <c r="P14" s="132"/>
      <c r="Q14" s="132"/>
      <c r="R14" s="132"/>
      <c r="S14" s="132"/>
    </row>
    <row r="15" spans="2:19" x14ac:dyDescent="0.2">
      <c r="B15" s="143" t="s">
        <v>48</v>
      </c>
      <c r="C15" s="275" t="s">
        <v>75</v>
      </c>
      <c r="D15" s="275"/>
      <c r="E15" s="144"/>
      <c r="F15" s="144"/>
      <c r="G15" s="144"/>
      <c r="H15" s="144"/>
      <c r="O15" s="132"/>
      <c r="P15" s="132"/>
      <c r="Q15" s="132"/>
      <c r="R15" s="132"/>
      <c r="S15" s="132"/>
    </row>
    <row r="16" spans="2:19" x14ac:dyDescent="0.2">
      <c r="B16" s="145" t="s">
        <v>5</v>
      </c>
      <c r="C16" s="146"/>
      <c r="D16" s="146"/>
      <c r="E16" s="147"/>
      <c r="F16" s="147"/>
      <c r="G16" s="147"/>
      <c r="H16" s="147"/>
      <c r="O16" s="132"/>
      <c r="P16" s="132"/>
      <c r="Q16" s="132"/>
      <c r="R16" s="132"/>
      <c r="S16" s="132"/>
    </row>
    <row r="17" spans="2:19" ht="205.5" customHeight="1" x14ac:dyDescent="0.2">
      <c r="B17" s="264" t="s">
        <v>169</v>
      </c>
      <c r="C17" s="265"/>
      <c r="D17" s="265"/>
      <c r="E17" s="265"/>
      <c r="F17" s="265"/>
      <c r="G17" s="265"/>
      <c r="H17" s="265"/>
      <c r="O17" s="132"/>
      <c r="P17" s="132"/>
      <c r="Q17" s="132"/>
      <c r="R17" s="132"/>
      <c r="S17" s="132"/>
    </row>
    <row r="18" spans="2:19" x14ac:dyDescent="0.2">
      <c r="B18" s="148"/>
      <c r="C18" s="148"/>
      <c r="D18" s="148"/>
      <c r="E18" s="148"/>
      <c r="F18" s="148"/>
      <c r="G18" s="148"/>
      <c r="H18" s="148"/>
      <c r="O18" s="132"/>
      <c r="P18" s="132"/>
      <c r="Q18" s="132"/>
      <c r="R18" s="132"/>
      <c r="S18" s="132"/>
    </row>
    <row r="19" spans="2:19" x14ac:dyDescent="0.2">
      <c r="O19" s="132"/>
      <c r="P19" s="132"/>
      <c r="Q19" s="132"/>
      <c r="R19" s="132"/>
      <c r="S19" s="132"/>
    </row>
    <row r="20" spans="2:19" x14ac:dyDescent="0.2">
      <c r="B20" s="149" t="s">
        <v>35</v>
      </c>
      <c r="C20" s="130"/>
      <c r="D20" s="130"/>
      <c r="E20" s="130"/>
      <c r="F20" s="130"/>
      <c r="G20" s="130"/>
      <c r="H20" s="130"/>
      <c r="O20" s="132"/>
      <c r="P20" s="132"/>
      <c r="Q20" s="132"/>
      <c r="R20" s="132"/>
      <c r="S20" s="132"/>
    </row>
    <row r="21" spans="2:19" x14ac:dyDescent="0.2">
      <c r="B21" s="263"/>
      <c r="C21" s="263"/>
      <c r="D21" s="263"/>
      <c r="E21" s="263"/>
      <c r="F21" s="263"/>
      <c r="G21" s="263"/>
      <c r="H21" s="263"/>
    </row>
    <row r="22" spans="2:19" ht="144.75" customHeight="1" x14ac:dyDescent="0.2">
      <c r="B22" s="268" t="s">
        <v>168</v>
      </c>
      <c r="C22" s="268"/>
      <c r="D22" s="268"/>
      <c r="E22" s="268"/>
      <c r="F22" s="268"/>
      <c r="G22" s="268"/>
      <c r="H22" s="268"/>
      <c r="I22" s="132"/>
    </row>
    <row r="23" spans="2:19" x14ac:dyDescent="0.2">
      <c r="B23" s="150"/>
      <c r="C23" s="150"/>
      <c r="D23" s="150"/>
      <c r="E23" s="150"/>
      <c r="F23" s="150"/>
      <c r="G23" s="150"/>
      <c r="H23" s="150"/>
    </row>
    <row r="24" spans="2:19" x14ac:dyDescent="0.2">
      <c r="B24" s="151"/>
      <c r="C24" s="151"/>
      <c r="D24" s="151"/>
      <c r="E24" s="151"/>
      <c r="F24" s="151"/>
      <c r="G24" s="151"/>
      <c r="H24" s="151"/>
    </row>
    <row r="25" spans="2:19" x14ac:dyDescent="0.2">
      <c r="B25" s="149" t="s">
        <v>43</v>
      </c>
      <c r="C25" s="130"/>
      <c r="D25" s="130"/>
      <c r="E25" s="130"/>
      <c r="F25" s="130"/>
      <c r="G25" s="130"/>
      <c r="H25" s="130"/>
    </row>
    <row r="26" spans="2:19" x14ac:dyDescent="0.2">
      <c r="B26" s="263"/>
      <c r="C26" s="263"/>
      <c r="D26" s="263"/>
      <c r="E26" s="263"/>
      <c r="F26" s="263"/>
      <c r="G26" s="263"/>
      <c r="H26" s="263"/>
    </row>
    <row r="27" spans="2:19" x14ac:dyDescent="0.2">
      <c r="B27" s="277" t="s">
        <v>107</v>
      </c>
      <c r="C27" s="277"/>
      <c r="D27" s="277"/>
      <c r="E27" s="277"/>
      <c r="F27" s="277"/>
      <c r="G27" s="277"/>
      <c r="H27" s="277"/>
    </row>
    <row r="28" spans="2:19" x14ac:dyDescent="0.2">
      <c r="B28" s="277" t="s">
        <v>158</v>
      </c>
      <c r="C28" s="277"/>
      <c r="D28" s="277"/>
      <c r="E28" s="277"/>
      <c r="F28" s="277"/>
      <c r="G28" s="277"/>
      <c r="H28" s="277"/>
    </row>
    <row r="29" spans="2:19" x14ac:dyDescent="0.2">
      <c r="B29" s="278"/>
      <c r="C29" s="279"/>
      <c r="D29" s="279"/>
      <c r="E29" s="279"/>
      <c r="F29" s="279"/>
      <c r="G29" s="279"/>
      <c r="H29" s="279"/>
    </row>
    <row r="30" spans="2:19" x14ac:dyDescent="0.2">
      <c r="B30" s="152"/>
      <c r="C30" s="152"/>
      <c r="D30" s="152"/>
      <c r="E30" s="152"/>
      <c r="F30" s="152"/>
      <c r="G30" s="152"/>
      <c r="H30" s="152"/>
    </row>
    <row r="31" spans="2:19" x14ac:dyDescent="0.2">
      <c r="B31" s="263"/>
      <c r="C31" s="263"/>
      <c r="D31" s="263"/>
      <c r="E31" s="263"/>
      <c r="F31" s="263"/>
      <c r="G31" s="263"/>
      <c r="H31" s="263"/>
    </row>
    <row r="32" spans="2:19" x14ac:dyDescent="0.2">
      <c r="B32" s="150"/>
      <c r="C32" s="150"/>
      <c r="D32" s="150"/>
      <c r="E32" s="150"/>
      <c r="F32" s="150"/>
      <c r="G32" s="150"/>
      <c r="H32" s="150"/>
    </row>
    <row r="33" spans="2:9" x14ac:dyDescent="0.2">
      <c r="B33" s="150"/>
      <c r="C33" s="150"/>
      <c r="D33" s="150"/>
      <c r="E33" s="150"/>
      <c r="F33" s="150"/>
      <c r="G33" s="150"/>
      <c r="H33" s="150"/>
    </row>
    <row r="34" spans="2:9" x14ac:dyDescent="0.2">
      <c r="B34" s="150"/>
      <c r="C34" s="150"/>
      <c r="D34" s="150"/>
      <c r="E34" s="150"/>
      <c r="F34" s="150"/>
      <c r="G34" s="150"/>
      <c r="H34" s="150"/>
    </row>
    <row r="35" spans="2:9" x14ac:dyDescent="0.2">
      <c r="B35" s="150"/>
      <c r="C35" s="150"/>
      <c r="D35" s="150"/>
      <c r="E35" s="150"/>
      <c r="F35" s="150"/>
      <c r="G35" s="150"/>
      <c r="H35" s="150"/>
    </row>
    <row r="36" spans="2:9" x14ac:dyDescent="0.2">
      <c r="B36" s="153"/>
      <c r="C36" s="153"/>
      <c r="D36" s="153"/>
      <c r="E36" s="153"/>
      <c r="F36" s="153"/>
      <c r="G36" s="153"/>
      <c r="H36" s="153"/>
      <c r="I36" s="132"/>
    </row>
    <row r="37" spans="2:9" x14ac:dyDescent="0.2">
      <c r="B37" s="149" t="s">
        <v>6</v>
      </c>
    </row>
    <row r="38" spans="2:9" x14ac:dyDescent="0.2">
      <c r="B38" s="154" t="s">
        <v>14</v>
      </c>
      <c r="C38" s="155" t="s">
        <v>30</v>
      </c>
      <c r="D38" s="155"/>
      <c r="E38" s="155"/>
      <c r="F38" s="155"/>
      <c r="G38" s="155"/>
      <c r="H38" s="155"/>
    </row>
    <row r="39" spans="2:9" x14ac:dyDescent="0.2">
      <c r="B39" s="156" t="s">
        <v>46</v>
      </c>
      <c r="C39" s="155" t="s">
        <v>52</v>
      </c>
      <c r="D39" s="155"/>
      <c r="E39" s="155"/>
      <c r="F39" s="155"/>
      <c r="G39" s="155"/>
      <c r="H39" s="155"/>
    </row>
    <row r="40" spans="2:9" x14ac:dyDescent="0.2">
      <c r="B40" s="156" t="s">
        <v>47</v>
      </c>
      <c r="C40" s="155" t="s">
        <v>53</v>
      </c>
      <c r="D40" s="155"/>
      <c r="E40" s="155"/>
      <c r="F40" s="155"/>
      <c r="G40" s="155"/>
      <c r="H40" s="155"/>
    </row>
    <row r="41" spans="2:9" x14ac:dyDescent="0.2">
      <c r="B41" s="156" t="s">
        <v>15</v>
      </c>
      <c r="C41" s="155" t="s">
        <v>31</v>
      </c>
      <c r="D41" s="155"/>
      <c r="E41" s="155"/>
      <c r="F41" s="155"/>
      <c r="G41" s="155"/>
      <c r="H41" s="155"/>
    </row>
    <row r="44" spans="2:9" x14ac:dyDescent="0.2">
      <c r="B44" s="149" t="s">
        <v>36</v>
      </c>
      <c r="C44" s="130"/>
      <c r="D44" s="130"/>
      <c r="E44" s="130"/>
      <c r="F44" s="130"/>
      <c r="G44" s="130"/>
      <c r="H44" s="130"/>
    </row>
    <row r="46" spans="2:9" x14ac:dyDescent="0.2">
      <c r="B46" s="157"/>
      <c r="C46" s="158" t="s">
        <v>37</v>
      </c>
      <c r="D46" s="158" t="s">
        <v>38</v>
      </c>
      <c r="E46" s="158" t="s">
        <v>39</v>
      </c>
      <c r="F46" s="158" t="s">
        <v>41</v>
      </c>
      <c r="G46" s="158" t="s">
        <v>40</v>
      </c>
      <c r="H46" s="159" t="s">
        <v>1</v>
      </c>
    </row>
    <row r="47" spans="2:9" x14ac:dyDescent="0.2">
      <c r="C47" s="160"/>
      <c r="D47" s="160"/>
      <c r="E47" s="160"/>
      <c r="F47" s="160"/>
      <c r="G47" s="160"/>
      <c r="H47" s="160"/>
    </row>
    <row r="48" spans="2:9" x14ac:dyDescent="0.2">
      <c r="B48" s="174" t="s">
        <v>109</v>
      </c>
      <c r="C48" s="161">
        <f>'Forecast Revenue - Costs'!D32</f>
        <v>176269.3130760382</v>
      </c>
      <c r="D48" s="161">
        <f>'Forecast Revenue - Costs'!E32</f>
        <v>176269.3130760382</v>
      </c>
      <c r="E48" s="161">
        <f>'Forecast Revenue - Costs'!F32</f>
        <v>178143.15848012303</v>
      </c>
      <c r="F48" s="161">
        <f>'Forecast Revenue - Costs'!G32</f>
        <v>182127.03080721863</v>
      </c>
      <c r="G48" s="161">
        <f>'Forecast Revenue - Costs'!H32</f>
        <v>188078.00467168237</v>
      </c>
      <c r="H48" s="161">
        <f>SUM(C48:G48)</f>
        <v>900886.82011110045</v>
      </c>
    </row>
    <row r="49" spans="2:9" x14ac:dyDescent="0.2">
      <c r="C49" s="162"/>
      <c r="D49" s="163"/>
      <c r="E49" s="162"/>
      <c r="F49" s="162"/>
      <c r="G49" s="162"/>
    </row>
    <row r="50" spans="2:9" x14ac:dyDescent="0.2">
      <c r="B50" s="174" t="s">
        <v>110</v>
      </c>
      <c r="C50" s="161">
        <f>SUM('Forecast Revenue - Costs'!D33:D35)</f>
        <v>128578.66486399819</v>
      </c>
      <c r="D50" s="161">
        <f>SUM('Forecast Revenue - Costs'!E33:E35)</f>
        <v>128578.66486399819</v>
      </c>
      <c r="E50" s="161">
        <f>SUM('Forecast Revenue - Costs'!F33:F35)</f>
        <v>129945.53091693865</v>
      </c>
      <c r="F50" s="161">
        <f>SUM('Forecast Revenue - Costs'!G33:G35)</f>
        <v>132851.54431125877</v>
      </c>
      <c r="G50" s="161">
        <f>SUM('Forecast Revenue - Costs'!H33:H35)</f>
        <v>137192.44892352796</v>
      </c>
      <c r="H50" s="161">
        <f>SUM(C50:G50)</f>
        <v>657146.85387972184</v>
      </c>
    </row>
    <row r="51" spans="2:9" x14ac:dyDescent="0.2">
      <c r="C51" s="162"/>
      <c r="D51" s="163"/>
      <c r="E51" s="162"/>
      <c r="F51" s="162"/>
      <c r="G51" s="162"/>
    </row>
    <row r="52" spans="2:9" x14ac:dyDescent="0.2">
      <c r="B52" s="174" t="s">
        <v>111</v>
      </c>
      <c r="C52" s="161">
        <f t="shared" ref="C52:H52" si="0">+C48+C50</f>
        <v>304847.97794003639</v>
      </c>
      <c r="D52" s="161">
        <f t="shared" si="0"/>
        <v>304847.97794003639</v>
      </c>
      <c r="E52" s="161">
        <f t="shared" si="0"/>
        <v>308088.68939706171</v>
      </c>
      <c r="F52" s="161">
        <f t="shared" si="0"/>
        <v>314978.5751184774</v>
      </c>
      <c r="G52" s="161">
        <f t="shared" si="0"/>
        <v>325270.45359521033</v>
      </c>
      <c r="H52" s="161">
        <f t="shared" si="0"/>
        <v>1558033.6739908224</v>
      </c>
    </row>
    <row r="53" spans="2:9" x14ac:dyDescent="0.2">
      <c r="C53" s="164"/>
      <c r="D53" s="164"/>
      <c r="E53" s="164"/>
      <c r="F53" s="164"/>
      <c r="G53" s="164"/>
    </row>
    <row r="54" spans="2:9" x14ac:dyDescent="0.2">
      <c r="B54" s="165" t="s">
        <v>6</v>
      </c>
    </row>
    <row r="55" spans="2:9" ht="14.25" customHeight="1" x14ac:dyDescent="0.2">
      <c r="B55" s="276"/>
      <c r="C55" s="276"/>
      <c r="D55" s="276"/>
      <c r="E55" s="276"/>
      <c r="F55" s="276"/>
      <c r="G55" s="276"/>
      <c r="H55" s="276"/>
    </row>
    <row r="56" spans="2:9" x14ac:dyDescent="0.2">
      <c r="B56" s="263"/>
      <c r="C56" s="263"/>
      <c r="D56" s="263"/>
      <c r="E56" s="263"/>
      <c r="F56" s="263"/>
      <c r="G56" s="263"/>
      <c r="H56" s="263"/>
      <c r="I56" s="132"/>
    </row>
    <row r="57" spans="2:9" ht="27.75" customHeight="1" x14ac:dyDescent="0.2">
      <c r="B57" s="263"/>
      <c r="C57" s="263"/>
      <c r="D57" s="263"/>
      <c r="E57" s="263"/>
      <c r="F57" s="263"/>
      <c r="G57" s="263"/>
      <c r="H57" s="263"/>
    </row>
    <row r="60" spans="2:9" x14ac:dyDescent="0.2">
      <c r="B60" s="149" t="s">
        <v>80</v>
      </c>
      <c r="C60" s="130"/>
      <c r="D60" s="130"/>
      <c r="E60" s="130"/>
      <c r="F60" s="130"/>
      <c r="G60" s="130"/>
      <c r="H60" s="130"/>
    </row>
    <row r="61" spans="2:9" x14ac:dyDescent="0.2">
      <c r="B61" s="166"/>
    </row>
    <row r="62" spans="2:9" x14ac:dyDescent="0.2">
      <c r="B62" s="167"/>
      <c r="C62" s="168" t="s">
        <v>37</v>
      </c>
      <c r="D62" s="168" t="s">
        <v>38</v>
      </c>
      <c r="E62" s="168" t="s">
        <v>39</v>
      </c>
      <c r="F62" s="168" t="s">
        <v>41</v>
      </c>
      <c r="G62" s="168" t="s">
        <v>40</v>
      </c>
      <c r="H62" s="169" t="s">
        <v>1</v>
      </c>
    </row>
    <row r="63" spans="2:9" x14ac:dyDescent="0.2">
      <c r="C63" s="170"/>
      <c r="D63" s="170"/>
      <c r="E63" s="170"/>
      <c r="F63" s="170"/>
      <c r="G63" s="170"/>
      <c r="H63" s="170"/>
    </row>
    <row r="64" spans="2:9" x14ac:dyDescent="0.2">
      <c r="B64" s="167" t="s">
        <v>12</v>
      </c>
      <c r="C64" s="171">
        <f>'Forecast Revenue - Costs'!D14</f>
        <v>1200</v>
      </c>
      <c r="D64" s="171">
        <f>'Forecast Revenue - Costs'!E14</f>
        <v>1200</v>
      </c>
      <c r="E64" s="171">
        <f>'Forecast Revenue - Costs'!F14</f>
        <v>1200</v>
      </c>
      <c r="F64" s="171">
        <f>'Forecast Revenue - Costs'!G14</f>
        <v>1200</v>
      </c>
      <c r="G64" s="171">
        <f>'Forecast Revenue - Costs'!H14</f>
        <v>1200</v>
      </c>
      <c r="H64" s="171">
        <f>SUM(C64:G64)</f>
        <v>6000</v>
      </c>
    </row>
    <row r="65" spans="3:8" x14ac:dyDescent="0.2">
      <c r="C65" s="172"/>
      <c r="D65" s="172"/>
      <c r="E65" s="172"/>
      <c r="F65" s="172"/>
      <c r="G65" s="172"/>
      <c r="H65" s="173"/>
    </row>
  </sheetData>
  <mergeCells count="22">
    <mergeCell ref="B55:H57"/>
    <mergeCell ref="B26:H26"/>
    <mergeCell ref="B27:H27"/>
    <mergeCell ref="B28:H28"/>
    <mergeCell ref="B29:H29"/>
    <mergeCell ref="B31:H31"/>
    <mergeCell ref="C3:H3"/>
    <mergeCell ref="B21:H21"/>
    <mergeCell ref="B17:H17"/>
    <mergeCell ref="C4:D4"/>
    <mergeCell ref="B22:H22"/>
    <mergeCell ref="E6:E7"/>
    <mergeCell ref="E8:E14"/>
    <mergeCell ref="F6:F7"/>
    <mergeCell ref="F8:F14"/>
    <mergeCell ref="G6:G7"/>
    <mergeCell ref="G8:G14"/>
    <mergeCell ref="H6:H7"/>
    <mergeCell ref="H8:H14"/>
    <mergeCell ref="B6:B7"/>
    <mergeCell ref="B8:B14"/>
    <mergeCell ref="C15:D15"/>
  </mergeCells>
  <pageMargins left="0.39370078740157483" right="0.39370078740157483" top="0.39370078740157483" bottom="0.39370078740157483" header="0.19685039370078741" footer="0.19685039370078741"/>
  <pageSetup paperSize="9"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N34"/>
  <sheetViews>
    <sheetView showGridLines="0" topLeftCell="A10" zoomScaleNormal="100" workbookViewId="0">
      <selection activeCell="B21" sqref="B21:K21"/>
    </sheetView>
  </sheetViews>
  <sheetFormatPr defaultColWidth="9.140625" defaultRowHeight="12.75" x14ac:dyDescent="0.2"/>
  <cols>
    <col min="1" max="1" width="2.28515625" style="1" customWidth="1"/>
    <col min="2" max="2" width="2.42578125" style="46" customWidth="1"/>
    <col min="3" max="3" width="10.140625" style="46" customWidth="1"/>
    <col min="4" max="9" width="13.140625" style="46" customWidth="1"/>
    <col min="10" max="11" width="9.140625" style="46"/>
    <col min="12" max="12" width="5.28515625" style="46" customWidth="1"/>
    <col min="13" max="13" width="2.42578125" style="1" customWidth="1"/>
    <col min="14" max="16384" width="9.140625" style="1"/>
  </cols>
  <sheetData>
    <row r="1" spans="2:14" ht="9" customHeight="1" x14ac:dyDescent="0.2"/>
    <row r="2" spans="2:14" ht="18" customHeight="1" x14ac:dyDescent="0.2">
      <c r="B2" s="43" t="s">
        <v>16</v>
      </c>
      <c r="C2" s="43"/>
      <c r="D2" s="43"/>
      <c r="E2" s="43"/>
      <c r="F2" s="43"/>
      <c r="G2" s="43"/>
      <c r="H2" s="43"/>
      <c r="I2" s="43"/>
      <c r="J2" s="43"/>
      <c r="K2" s="43"/>
    </row>
    <row r="3" spans="2:14" x14ac:dyDescent="0.2">
      <c r="B3" s="32" t="s">
        <v>0</v>
      </c>
      <c r="C3" s="44"/>
      <c r="D3" s="282" t="str">
        <f>'AER Summary'!C3</f>
        <v>Authorisation of ASP's</v>
      </c>
      <c r="E3" s="283"/>
      <c r="F3" s="283"/>
      <c r="G3" s="283"/>
      <c r="H3" s="283"/>
      <c r="I3" s="283"/>
      <c r="J3" s="283"/>
      <c r="K3" s="283"/>
      <c r="N3" s="29"/>
    </row>
    <row r="4" spans="2:14" x14ac:dyDescent="0.2">
      <c r="N4" s="29"/>
    </row>
    <row r="5" spans="2:14" x14ac:dyDescent="0.2">
      <c r="B5" s="284" t="s">
        <v>74</v>
      </c>
      <c r="C5" s="284"/>
      <c r="D5" s="284"/>
      <c r="E5" s="284"/>
      <c r="F5" s="284"/>
      <c r="G5" s="284"/>
      <c r="H5" s="284"/>
      <c r="I5" s="284"/>
      <c r="J5" s="284"/>
      <c r="K5" s="284"/>
      <c r="N5" s="29"/>
    </row>
    <row r="6" spans="2:14" ht="161.25" customHeight="1" x14ac:dyDescent="0.2">
      <c r="B6" s="285" t="s">
        <v>87</v>
      </c>
      <c r="C6" s="286"/>
      <c r="D6" s="286"/>
      <c r="E6" s="286"/>
      <c r="F6" s="286"/>
      <c r="G6" s="286"/>
      <c r="H6" s="286"/>
      <c r="I6" s="286"/>
      <c r="J6" s="286"/>
      <c r="K6" s="286"/>
      <c r="N6" s="29"/>
    </row>
    <row r="9" spans="2:14" x14ac:dyDescent="0.2">
      <c r="B9" s="284" t="s">
        <v>44</v>
      </c>
      <c r="C9" s="284"/>
      <c r="D9" s="284"/>
      <c r="E9" s="284"/>
      <c r="F9" s="284"/>
      <c r="G9" s="284"/>
      <c r="H9" s="284"/>
      <c r="I9" s="284"/>
      <c r="J9" s="284"/>
      <c r="K9" s="284"/>
    </row>
    <row r="10" spans="2:14" ht="15" customHeight="1" x14ac:dyDescent="0.2">
      <c r="B10" s="281" t="s">
        <v>73</v>
      </c>
      <c r="C10" s="281"/>
      <c r="D10" s="281"/>
      <c r="E10" s="281"/>
      <c r="F10" s="281"/>
      <c r="G10" s="281"/>
      <c r="H10" s="281"/>
      <c r="I10" s="281"/>
      <c r="J10" s="281"/>
      <c r="K10" s="281"/>
    </row>
    <row r="11" spans="2:14" ht="24.75" customHeight="1" x14ac:dyDescent="0.2">
      <c r="B11" s="287"/>
      <c r="C11" s="287"/>
      <c r="D11" s="287"/>
      <c r="E11" s="287"/>
      <c r="F11" s="287"/>
      <c r="G11" s="287"/>
      <c r="H11" s="287"/>
      <c r="I11" s="287"/>
      <c r="J11" s="287"/>
      <c r="K11" s="287"/>
      <c r="L11" s="48"/>
      <c r="M11" s="30"/>
      <c r="N11" s="30"/>
    </row>
    <row r="12" spans="2:14" x14ac:dyDescent="0.2">
      <c r="B12" s="287"/>
      <c r="C12" s="287"/>
      <c r="D12" s="287"/>
      <c r="E12" s="287"/>
      <c r="F12" s="287"/>
      <c r="G12" s="287"/>
      <c r="H12" s="287"/>
      <c r="I12" s="287"/>
      <c r="J12" s="287"/>
      <c r="K12" s="287"/>
      <c r="L12" s="48"/>
      <c r="M12" s="30"/>
      <c r="N12" s="30"/>
    </row>
    <row r="13" spans="2:14" x14ac:dyDescent="0.2">
      <c r="B13" s="287"/>
      <c r="C13" s="287"/>
      <c r="D13" s="287"/>
      <c r="E13" s="287"/>
      <c r="F13" s="287"/>
      <c r="G13" s="287"/>
      <c r="H13" s="287"/>
      <c r="I13" s="287"/>
      <c r="J13" s="287"/>
      <c r="K13" s="287"/>
      <c r="L13" s="48"/>
      <c r="M13" s="30"/>
      <c r="N13" s="30"/>
    </row>
    <row r="14" spans="2:14" ht="4.5" customHeight="1" x14ac:dyDescent="0.2">
      <c r="B14" s="287"/>
      <c r="C14" s="287"/>
      <c r="D14" s="287"/>
      <c r="E14" s="287"/>
      <c r="F14" s="287"/>
      <c r="G14" s="287"/>
      <c r="H14" s="287"/>
      <c r="I14" s="287"/>
      <c r="J14" s="287"/>
      <c r="K14" s="287"/>
      <c r="L14" s="48"/>
      <c r="M14" s="30"/>
      <c r="N14" s="30"/>
    </row>
    <row r="15" spans="2:14" x14ac:dyDescent="0.2">
      <c r="B15" s="287"/>
      <c r="C15" s="287"/>
      <c r="D15" s="287"/>
      <c r="E15" s="287"/>
      <c r="F15" s="287"/>
      <c r="G15" s="287"/>
      <c r="H15" s="287"/>
      <c r="I15" s="287"/>
      <c r="J15" s="287"/>
      <c r="K15" s="287"/>
      <c r="L15" s="48"/>
      <c r="M15" s="30"/>
      <c r="N15" s="30"/>
    </row>
    <row r="16" spans="2:14" x14ac:dyDescent="0.2">
      <c r="B16" s="287"/>
      <c r="C16" s="287"/>
      <c r="D16" s="287"/>
      <c r="E16" s="287"/>
      <c r="F16" s="287"/>
      <c r="G16" s="287"/>
      <c r="H16" s="287"/>
      <c r="I16" s="287"/>
      <c r="J16" s="287"/>
      <c r="K16" s="287"/>
      <c r="L16" s="48"/>
      <c r="M16" s="30"/>
      <c r="N16" s="30"/>
    </row>
    <row r="17" spans="2:14" x14ac:dyDescent="0.2">
      <c r="L17" s="48"/>
      <c r="M17" s="30"/>
      <c r="N17" s="30"/>
    </row>
    <row r="18" spans="2:14" x14ac:dyDescent="0.2">
      <c r="L18" s="48"/>
      <c r="M18" s="30"/>
      <c r="N18" s="30"/>
    </row>
    <row r="19" spans="2:14" x14ac:dyDescent="0.2">
      <c r="B19" s="284" t="s">
        <v>45</v>
      </c>
      <c r="C19" s="284"/>
      <c r="D19" s="284"/>
      <c r="E19" s="284"/>
      <c r="F19" s="284"/>
      <c r="G19" s="284"/>
      <c r="H19" s="284"/>
      <c r="I19" s="284"/>
      <c r="J19" s="284"/>
      <c r="K19" s="284"/>
      <c r="L19" s="48"/>
      <c r="M19" s="30"/>
      <c r="N19" s="30"/>
    </row>
    <row r="20" spans="2:14" ht="231.75" customHeight="1" x14ac:dyDescent="0.2">
      <c r="B20" s="281" t="str">
        <f>'AER Summary'!B17:H17</f>
        <v xml:space="preserve">
Authorisation of ASPs 
The initial issue and annual renewal of authorisation by Essential Energy of individual employees or sub - contractors of an ASP to carry out work on or near Essential Energy’s distribution system.
This may include without limitation:
&gt; confirmation of accreditation and registration status with DTIRIS;  
&gt; induction in the unique aspects of the network and associated Essential Energy’s safety rules and access permit requirements; 
&gt; verification that the applicant has undertaken the necessary regulatory safety training (resuscitation etc.) within the last 12 months; 
&gt; issuing authorisation cards; 
&gt; administration support directly related to authorisation.
To provide greater delivery flexibility, out of schedule courses can be requested pending resource availability but additional fees will apply. Where this occurs additional travel expenses are applied in addition to out of schedule course costs.</v>
      </c>
      <c r="C20" s="281"/>
      <c r="D20" s="281"/>
      <c r="E20" s="281"/>
      <c r="F20" s="281"/>
      <c r="G20" s="281"/>
      <c r="H20" s="281"/>
      <c r="I20" s="281"/>
      <c r="J20" s="281"/>
      <c r="K20" s="281"/>
    </row>
    <row r="21" spans="2:14" x14ac:dyDescent="0.2">
      <c r="B21" s="280"/>
      <c r="C21" s="280"/>
      <c r="D21" s="280"/>
      <c r="E21" s="280"/>
      <c r="F21" s="280"/>
      <c r="G21" s="280"/>
      <c r="H21" s="280"/>
      <c r="I21" s="280"/>
      <c r="J21" s="280"/>
      <c r="K21" s="280"/>
    </row>
    <row r="34" spans="2:12" x14ac:dyDescent="0.2">
      <c r="B34" s="1"/>
      <c r="C34" s="1"/>
      <c r="D34" s="1"/>
      <c r="E34" s="1"/>
      <c r="F34" s="1"/>
      <c r="G34" s="1"/>
      <c r="H34" s="1"/>
      <c r="I34" s="1"/>
      <c r="J34" s="1"/>
      <c r="K34" s="1"/>
      <c r="L34" s="1"/>
    </row>
  </sheetData>
  <mergeCells count="8">
    <mergeCell ref="B21:K21"/>
    <mergeCell ref="B20:K20"/>
    <mergeCell ref="D3:K3"/>
    <mergeCell ref="B19:K19"/>
    <mergeCell ref="B5:K5"/>
    <mergeCell ref="B9:K9"/>
    <mergeCell ref="B6:K6"/>
    <mergeCell ref="B10:K16"/>
  </mergeCells>
  <pageMargins left="0.39370078740157483" right="0.39370078740157483" top="0.39370078740157483" bottom="0.39370078740157483" header="0.19685039370078741" footer="0.19685039370078741"/>
  <pageSetup paperSize="9" scale="8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2:I39"/>
  <sheetViews>
    <sheetView showGridLines="0" workbookViewId="0">
      <selection activeCell="B42" sqref="B42"/>
    </sheetView>
  </sheetViews>
  <sheetFormatPr defaultColWidth="9.140625" defaultRowHeight="12.75" x14ac:dyDescent="0.2"/>
  <cols>
    <col min="1" max="1" width="3.5703125" style="49" customWidth="1"/>
    <col min="2" max="2" width="58.7109375" style="49" customWidth="1"/>
    <col min="3" max="3" width="59.5703125" style="49" customWidth="1"/>
    <col min="4" max="4" width="12.85546875" style="49" customWidth="1"/>
    <col min="5" max="8" width="11.7109375" style="49" customWidth="1"/>
    <col min="9" max="9" width="12.7109375" style="49" customWidth="1"/>
    <col min="10" max="16384" width="9.140625" style="49"/>
  </cols>
  <sheetData>
    <row r="2" spans="2:9" x14ac:dyDescent="0.2">
      <c r="B2" s="45" t="s">
        <v>84</v>
      </c>
      <c r="C2" s="26" t="s">
        <v>85</v>
      </c>
      <c r="D2" s="27"/>
      <c r="E2" s="27"/>
      <c r="F2" s="27"/>
      <c r="G2" s="27"/>
      <c r="H2" s="27"/>
      <c r="I2" s="27"/>
    </row>
    <row r="3" spans="2:9" x14ac:dyDescent="0.2">
      <c r="B3" s="13" t="s">
        <v>21</v>
      </c>
      <c r="C3" s="13" t="s">
        <v>3</v>
      </c>
      <c r="D3" s="62" t="s">
        <v>59</v>
      </c>
      <c r="E3" s="62" t="s">
        <v>58</v>
      </c>
      <c r="F3" s="62" t="s">
        <v>57</v>
      </c>
      <c r="G3" s="96" t="s">
        <v>94</v>
      </c>
      <c r="H3" s="96" t="s">
        <v>95</v>
      </c>
      <c r="I3" s="14" t="s">
        <v>1</v>
      </c>
    </row>
    <row r="4" spans="2:9" x14ac:dyDescent="0.2">
      <c r="B4" s="3" t="s">
        <v>22</v>
      </c>
      <c r="C4" s="3" t="s">
        <v>86</v>
      </c>
      <c r="D4" s="15"/>
      <c r="E4" s="87">
        <v>58464.39</v>
      </c>
      <c r="F4" s="87">
        <v>41748.32</v>
      </c>
      <c r="G4" s="87">
        <v>48877.96</v>
      </c>
      <c r="H4" s="87">
        <f>G4*102.5%</f>
        <v>50099.908999999992</v>
      </c>
      <c r="I4" s="175">
        <f>SUM(D4:H4)</f>
        <v>199190.57899999997</v>
      </c>
    </row>
    <row r="5" spans="2:9" x14ac:dyDescent="0.2">
      <c r="B5" s="3" t="s">
        <v>24</v>
      </c>
      <c r="C5" s="6"/>
      <c r="D5" s="87"/>
      <c r="E5" s="87">
        <v>0</v>
      </c>
      <c r="F5" s="87">
        <v>0</v>
      </c>
      <c r="G5" s="87">
        <v>0</v>
      </c>
      <c r="H5" s="87">
        <f t="shared" ref="H5:H8" si="0">G5*102.5%</f>
        <v>0</v>
      </c>
      <c r="I5" s="175">
        <f t="shared" ref="I5:I8" si="1">SUM(D5:H5)</f>
        <v>0</v>
      </c>
    </row>
    <row r="6" spans="2:9" x14ac:dyDescent="0.2">
      <c r="B6" s="3" t="s">
        <v>25</v>
      </c>
      <c r="C6" s="3"/>
      <c r="D6" s="87">
        <v>0</v>
      </c>
      <c r="E6" s="87">
        <v>4391.29</v>
      </c>
      <c r="F6" s="87">
        <v>1865.56</v>
      </c>
      <c r="G6" s="87">
        <v>0</v>
      </c>
      <c r="H6" s="87">
        <f t="shared" si="0"/>
        <v>0</v>
      </c>
      <c r="I6" s="175">
        <f t="shared" si="1"/>
        <v>6256.85</v>
      </c>
    </row>
    <row r="7" spans="2:9" x14ac:dyDescent="0.2">
      <c r="B7" s="3" t="s">
        <v>26</v>
      </c>
      <c r="C7" s="3"/>
      <c r="D7" s="87"/>
      <c r="E7" s="87">
        <v>0</v>
      </c>
      <c r="F7" s="87">
        <v>0</v>
      </c>
      <c r="G7" s="87">
        <v>0</v>
      </c>
      <c r="H7" s="87">
        <f t="shared" si="0"/>
        <v>0</v>
      </c>
      <c r="I7" s="175">
        <f t="shared" si="1"/>
        <v>0</v>
      </c>
    </row>
    <row r="8" spans="2:9" x14ac:dyDescent="0.2">
      <c r="B8" s="90" t="s">
        <v>23</v>
      </c>
      <c r="C8" s="3"/>
      <c r="D8" s="15"/>
      <c r="E8" s="15">
        <v>33825.94</v>
      </c>
      <c r="F8" s="15">
        <v>31610.71</v>
      </c>
      <c r="G8" s="15">
        <v>30520.2</v>
      </c>
      <c r="H8" s="87">
        <f t="shared" si="0"/>
        <v>31283.204999999998</v>
      </c>
      <c r="I8" s="175">
        <f t="shared" si="1"/>
        <v>127240.05500000001</v>
      </c>
    </row>
    <row r="9" spans="2:9" x14ac:dyDescent="0.2">
      <c r="B9" s="56" t="s">
        <v>1</v>
      </c>
      <c r="C9" s="17"/>
      <c r="D9" s="18">
        <f t="shared" ref="D9:I9" si="2">SUM(D4:D8)</f>
        <v>0</v>
      </c>
      <c r="E9" s="18">
        <f t="shared" si="2"/>
        <v>96681.62</v>
      </c>
      <c r="F9" s="18">
        <f t="shared" si="2"/>
        <v>75224.59</v>
      </c>
      <c r="G9" s="18">
        <f t="shared" si="2"/>
        <v>79398.16</v>
      </c>
      <c r="H9" s="18">
        <f t="shared" si="2"/>
        <v>81383.113999999987</v>
      </c>
      <c r="I9" s="19">
        <f t="shared" si="2"/>
        <v>332687.484</v>
      </c>
    </row>
    <row r="10" spans="2:9" x14ac:dyDescent="0.2">
      <c r="B10" s="51"/>
      <c r="C10" s="52"/>
      <c r="D10" s="53"/>
      <c r="E10" s="53"/>
      <c r="F10" s="53"/>
      <c r="G10" s="53"/>
      <c r="H10" s="53"/>
      <c r="I10" s="53"/>
    </row>
    <row r="11" spans="2:9" x14ac:dyDescent="0.2">
      <c r="B11" s="45" t="s">
        <v>84</v>
      </c>
      <c r="C11" s="26" t="s">
        <v>71</v>
      </c>
      <c r="D11" s="27"/>
      <c r="E11" s="27"/>
      <c r="F11" s="27"/>
      <c r="G11" s="27"/>
      <c r="H11" s="27"/>
      <c r="I11" s="27"/>
    </row>
    <row r="12" spans="2:9" x14ac:dyDescent="0.2">
      <c r="B12" s="13" t="s">
        <v>21</v>
      </c>
      <c r="C12" s="13" t="s">
        <v>3</v>
      </c>
      <c r="D12" s="62" t="s">
        <v>59</v>
      </c>
      <c r="E12" s="62" t="s">
        <v>58</v>
      </c>
      <c r="F12" s="62" t="s">
        <v>57</v>
      </c>
      <c r="G12" s="96" t="s">
        <v>94</v>
      </c>
      <c r="H12" s="96" t="s">
        <v>95</v>
      </c>
      <c r="I12" s="14" t="s">
        <v>1</v>
      </c>
    </row>
    <row r="13" spans="2:9" x14ac:dyDescent="0.2">
      <c r="B13" s="3" t="s">
        <v>22</v>
      </c>
      <c r="C13" s="3" t="s">
        <v>20</v>
      </c>
      <c r="D13" s="15"/>
      <c r="E13" s="87">
        <v>67256</v>
      </c>
      <c r="F13" s="87">
        <v>68035.070000000007</v>
      </c>
      <c r="G13" s="87">
        <v>68581.16</v>
      </c>
      <c r="H13" s="87">
        <f>G13*102.5%</f>
        <v>70295.688999999998</v>
      </c>
      <c r="I13" s="175">
        <f>SUM(D13:H13)</f>
        <v>274167.91899999999</v>
      </c>
    </row>
    <row r="14" spans="2:9" x14ac:dyDescent="0.2">
      <c r="B14" s="3" t="s">
        <v>24</v>
      </c>
      <c r="C14" s="6"/>
      <c r="D14" s="87"/>
      <c r="E14" s="87">
        <v>0</v>
      </c>
      <c r="F14" s="87">
        <v>0</v>
      </c>
      <c r="G14" s="87">
        <v>0</v>
      </c>
      <c r="H14" s="87">
        <f t="shared" ref="H14:H17" si="3">G14*102.5%</f>
        <v>0</v>
      </c>
      <c r="I14" s="175">
        <f t="shared" ref="I14:I17" si="4">SUM(D14:H14)</f>
        <v>0</v>
      </c>
    </row>
    <row r="15" spans="2:9" x14ac:dyDescent="0.2">
      <c r="B15" s="3" t="s">
        <v>25</v>
      </c>
      <c r="C15" s="3"/>
      <c r="D15" s="87">
        <v>0</v>
      </c>
      <c r="E15" s="87">
        <v>5936</v>
      </c>
      <c r="F15" s="87">
        <v>3071.74</v>
      </c>
      <c r="G15" s="87">
        <v>0</v>
      </c>
      <c r="H15" s="87">
        <f t="shared" si="3"/>
        <v>0</v>
      </c>
      <c r="I15" s="175">
        <f t="shared" si="4"/>
        <v>9007.74</v>
      </c>
    </row>
    <row r="16" spans="2:9" x14ac:dyDescent="0.2">
      <c r="B16" s="3" t="s">
        <v>26</v>
      </c>
      <c r="C16" s="3"/>
      <c r="D16" s="87"/>
      <c r="E16" s="87">
        <v>0</v>
      </c>
      <c r="F16" s="87">
        <v>0</v>
      </c>
      <c r="G16" s="87">
        <v>0</v>
      </c>
      <c r="H16" s="87">
        <f t="shared" si="3"/>
        <v>0</v>
      </c>
      <c r="I16" s="175">
        <f t="shared" si="4"/>
        <v>0</v>
      </c>
    </row>
    <row r="17" spans="1:9" x14ac:dyDescent="0.2">
      <c r="B17" s="90" t="s">
        <v>23</v>
      </c>
      <c r="C17" s="3"/>
      <c r="D17" s="15"/>
      <c r="E17" s="15">
        <v>24995</v>
      </c>
      <c r="F17" s="15">
        <v>54074.400000000001</v>
      </c>
      <c r="G17" s="15">
        <v>39673.519999999997</v>
      </c>
      <c r="H17" s="87">
        <f t="shared" si="3"/>
        <v>40665.357999999993</v>
      </c>
      <c r="I17" s="175">
        <f t="shared" si="4"/>
        <v>159408.27799999999</v>
      </c>
    </row>
    <row r="18" spans="1:9" x14ac:dyDescent="0.2">
      <c r="B18" s="56" t="s">
        <v>1</v>
      </c>
      <c r="C18" s="17"/>
      <c r="D18" s="18">
        <f t="shared" ref="D18:I18" si="5">SUM(D13:D17)</f>
        <v>0</v>
      </c>
      <c r="E18" s="18">
        <f t="shared" si="5"/>
        <v>98187</v>
      </c>
      <c r="F18" s="18">
        <f t="shared" si="5"/>
        <v>125181.21000000002</v>
      </c>
      <c r="G18" s="18">
        <f t="shared" si="5"/>
        <v>108254.68</v>
      </c>
      <c r="H18" s="18">
        <f t="shared" si="5"/>
        <v>110961.04699999999</v>
      </c>
      <c r="I18" s="19">
        <f t="shared" si="5"/>
        <v>442583.93699999998</v>
      </c>
    </row>
    <row r="19" spans="1:9" x14ac:dyDescent="0.2">
      <c r="B19" s="51"/>
      <c r="C19" s="52"/>
      <c r="D19" s="53"/>
      <c r="E19" s="53"/>
      <c r="F19" s="53"/>
      <c r="G19" s="53"/>
      <c r="H19" s="53"/>
      <c r="I19" s="53"/>
    </row>
    <row r="20" spans="1:9" x14ac:dyDescent="0.2">
      <c r="B20" s="55" t="s">
        <v>10</v>
      </c>
      <c r="C20" s="22"/>
      <c r="D20" s="22"/>
      <c r="E20" s="22"/>
      <c r="F20" s="22"/>
      <c r="G20" s="22"/>
      <c r="H20" s="22"/>
      <c r="I20" s="22"/>
    </row>
    <row r="21" spans="1:9" x14ac:dyDescent="0.2">
      <c r="B21" s="125" t="s">
        <v>4</v>
      </c>
      <c r="C21" s="13" t="s">
        <v>3</v>
      </c>
      <c r="D21" s="62" t="s">
        <v>59</v>
      </c>
      <c r="E21" s="62" t="s">
        <v>58</v>
      </c>
      <c r="F21" s="62" t="s">
        <v>57</v>
      </c>
      <c r="G21" s="62" t="s">
        <v>94</v>
      </c>
      <c r="H21" s="62" t="s">
        <v>95</v>
      </c>
      <c r="I21" s="126" t="s">
        <v>1</v>
      </c>
    </row>
    <row r="22" spans="1:9" x14ac:dyDescent="0.2">
      <c r="B22" s="3" t="s">
        <v>19</v>
      </c>
      <c r="C22" s="3" t="s">
        <v>70</v>
      </c>
      <c r="D22" s="91" t="str">
        <f>'Historical Revenue'!D14</f>
        <v xml:space="preserve"> - </v>
      </c>
      <c r="E22" s="92">
        <f>'Historical Revenue'!E14</f>
        <v>293</v>
      </c>
      <c r="F22" s="92">
        <v>336</v>
      </c>
      <c r="G22" s="92">
        <v>250</v>
      </c>
      <c r="H22" s="92">
        <v>250</v>
      </c>
      <c r="I22" s="176">
        <f>SUM(D22:H22)</f>
        <v>1129</v>
      </c>
    </row>
    <row r="23" spans="1:9" x14ac:dyDescent="0.2">
      <c r="B23" s="3" t="s">
        <v>19</v>
      </c>
      <c r="C23" s="3" t="s">
        <v>71</v>
      </c>
      <c r="D23" s="91" t="str">
        <f>'Historical Revenue'!D15</f>
        <v xml:space="preserve"> - </v>
      </c>
      <c r="E23" s="92">
        <f>'Historical Revenue'!E15</f>
        <v>915</v>
      </c>
      <c r="F23" s="92">
        <v>1156</v>
      </c>
      <c r="G23" s="92">
        <v>1200</v>
      </c>
      <c r="H23" s="92">
        <v>1200</v>
      </c>
      <c r="I23" s="176">
        <f>SUM(D23:H23)</f>
        <v>4471</v>
      </c>
    </row>
    <row r="24" spans="1:9" x14ac:dyDescent="0.2">
      <c r="A24" s="57"/>
      <c r="B24" s="127" t="s">
        <v>54</v>
      </c>
      <c r="C24" s="13"/>
      <c r="D24" s="128">
        <f t="shared" ref="D24:I24" si="6">SUM(D22:D23)</f>
        <v>0</v>
      </c>
      <c r="E24" s="128">
        <f t="shared" si="6"/>
        <v>1208</v>
      </c>
      <c r="F24" s="128">
        <f t="shared" si="6"/>
        <v>1492</v>
      </c>
      <c r="G24" s="128">
        <f t="shared" si="6"/>
        <v>1450</v>
      </c>
      <c r="H24" s="128">
        <f t="shared" si="6"/>
        <v>1450</v>
      </c>
      <c r="I24" s="128">
        <f t="shared" si="6"/>
        <v>5600</v>
      </c>
    </row>
    <row r="26" spans="1:9" x14ac:dyDescent="0.2">
      <c r="A26" s="57"/>
      <c r="B26" s="8" t="s">
        <v>6</v>
      </c>
      <c r="C26" s="1"/>
      <c r="D26" s="7"/>
      <c r="E26" s="93"/>
      <c r="F26" s="93"/>
      <c r="G26" s="93"/>
      <c r="H26" s="93"/>
      <c r="I26" s="54"/>
    </row>
    <row r="27" spans="1:9" ht="12.75" customHeight="1" x14ac:dyDescent="0.2">
      <c r="B27" s="291" t="s">
        <v>106</v>
      </c>
      <c r="C27" s="292"/>
      <c r="D27" s="292"/>
      <c r="E27" s="292"/>
      <c r="F27" s="292"/>
      <c r="G27" s="292"/>
      <c r="H27" s="292"/>
      <c r="I27" s="97"/>
    </row>
    <row r="28" spans="1:9" x14ac:dyDescent="0.2">
      <c r="B28" s="98" t="s">
        <v>96</v>
      </c>
      <c r="C28" s="99"/>
      <c r="D28" s="99"/>
      <c r="E28" s="99"/>
      <c r="F28" s="99"/>
      <c r="G28" s="99"/>
      <c r="H28" s="99"/>
      <c r="I28" s="99"/>
    </row>
    <row r="29" spans="1:9" x14ac:dyDescent="0.2">
      <c r="B29" s="94" t="s">
        <v>97</v>
      </c>
      <c r="C29" s="95"/>
      <c r="D29" s="95"/>
      <c r="E29" s="95"/>
      <c r="F29" s="95"/>
      <c r="G29" s="95"/>
      <c r="H29" s="95"/>
      <c r="I29" s="95"/>
    </row>
    <row r="30" spans="1:9" x14ac:dyDescent="0.2">
      <c r="B30" s="94" t="s">
        <v>98</v>
      </c>
      <c r="C30" s="95"/>
      <c r="D30" s="95"/>
      <c r="E30" s="95"/>
      <c r="F30" s="95"/>
      <c r="G30" s="95"/>
      <c r="H30" s="95"/>
      <c r="I30" s="95"/>
    </row>
    <row r="31" spans="1:9" x14ac:dyDescent="0.2">
      <c r="B31" s="94" t="s">
        <v>99</v>
      </c>
      <c r="C31" s="95"/>
      <c r="D31" s="95"/>
      <c r="E31" s="95"/>
      <c r="F31" s="95"/>
      <c r="G31" s="95"/>
      <c r="H31" s="95"/>
      <c r="I31" s="95"/>
    </row>
    <row r="32" spans="1:9" x14ac:dyDescent="0.2">
      <c r="B32" s="58" t="s">
        <v>100</v>
      </c>
      <c r="C32" s="28"/>
      <c r="D32" s="28"/>
      <c r="E32" s="28"/>
      <c r="F32" s="28"/>
      <c r="G32" s="95"/>
      <c r="H32" s="95"/>
      <c r="I32" s="28"/>
    </row>
    <row r="33" spans="2:9" x14ac:dyDescent="0.2">
      <c r="B33" s="1"/>
      <c r="C33" s="1"/>
      <c r="D33" s="7"/>
      <c r="E33" s="7"/>
      <c r="F33" s="7"/>
      <c r="G33" s="7"/>
      <c r="H33" s="7"/>
      <c r="I33" s="7"/>
    </row>
    <row r="34" spans="2:9" x14ac:dyDescent="0.2">
      <c r="B34" s="55" t="s">
        <v>50</v>
      </c>
      <c r="C34" s="22"/>
      <c r="D34" s="22"/>
      <c r="E34" s="22"/>
      <c r="F34" s="22"/>
      <c r="G34" s="22"/>
      <c r="H34" s="22"/>
      <c r="I34" s="22"/>
    </row>
    <row r="35" spans="2:9" x14ac:dyDescent="0.2">
      <c r="B35" s="1"/>
      <c r="C35" s="1"/>
      <c r="D35" s="1"/>
      <c r="E35" s="1"/>
      <c r="F35" s="1"/>
      <c r="G35" s="1"/>
      <c r="H35" s="1"/>
      <c r="I35" s="1"/>
    </row>
    <row r="36" spans="2:9" x14ac:dyDescent="0.2">
      <c r="B36" s="59" t="s">
        <v>11</v>
      </c>
      <c r="C36" s="10"/>
      <c r="D36" s="10"/>
      <c r="E36" s="10"/>
      <c r="F36" s="10"/>
      <c r="G36" s="10"/>
      <c r="H36" s="10"/>
      <c r="I36" s="10"/>
    </row>
    <row r="37" spans="2:9" x14ac:dyDescent="0.2">
      <c r="B37" s="307" t="s">
        <v>170</v>
      </c>
      <c r="C37" s="288"/>
      <c r="D37" s="288"/>
      <c r="E37" s="288"/>
      <c r="F37" s="288"/>
      <c r="G37" s="288"/>
      <c r="H37" s="288"/>
      <c r="I37" s="288"/>
    </row>
    <row r="38" spans="2:9" x14ac:dyDescent="0.2">
      <c r="B38" s="289"/>
      <c r="C38" s="290"/>
      <c r="D38" s="290"/>
      <c r="E38" s="290"/>
      <c r="F38" s="290"/>
      <c r="G38" s="290"/>
      <c r="H38" s="290"/>
      <c r="I38" s="290"/>
    </row>
    <row r="39" spans="2:9" x14ac:dyDescent="0.2">
      <c r="B39" s="60"/>
      <c r="C39" s="12"/>
      <c r="D39" s="12"/>
      <c r="E39" s="12"/>
      <c r="F39" s="12"/>
      <c r="G39" s="12"/>
      <c r="H39" s="12"/>
      <c r="I39" s="12"/>
    </row>
  </sheetData>
  <mergeCells count="2">
    <mergeCell ref="B37:I38"/>
    <mergeCell ref="B27:H27"/>
  </mergeCell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2:I30"/>
  <sheetViews>
    <sheetView showGridLines="0" workbookViewId="0">
      <selection activeCell="C37" sqref="C37"/>
    </sheetView>
  </sheetViews>
  <sheetFormatPr defaultColWidth="9.140625" defaultRowHeight="12.75" x14ac:dyDescent="0.2"/>
  <cols>
    <col min="1" max="1" width="3.140625" style="102" customWidth="1"/>
    <col min="2" max="2" width="56" style="102" customWidth="1"/>
    <col min="3" max="3" width="49.140625" style="102" customWidth="1"/>
    <col min="4" max="4" width="12.85546875" style="102" customWidth="1"/>
    <col min="5" max="8" width="11.28515625" style="102" customWidth="1"/>
    <col min="9" max="9" width="12.7109375" style="102" customWidth="1"/>
    <col min="10" max="16384" width="9.140625" style="102"/>
  </cols>
  <sheetData>
    <row r="2" spans="2:9" x14ac:dyDescent="0.2">
      <c r="B2" s="100" t="s">
        <v>8</v>
      </c>
      <c r="C2" s="101"/>
      <c r="D2" s="101"/>
      <c r="E2" s="101"/>
      <c r="F2" s="101"/>
      <c r="G2" s="101"/>
      <c r="H2" s="101"/>
      <c r="I2" s="101"/>
    </row>
    <row r="3" spans="2:9" x14ac:dyDescent="0.2">
      <c r="B3" s="103"/>
      <c r="C3" s="103"/>
      <c r="D3" s="103"/>
      <c r="E3" s="103"/>
      <c r="F3" s="103"/>
      <c r="G3" s="103"/>
      <c r="H3" s="103"/>
      <c r="I3" s="103"/>
    </row>
    <row r="4" spans="2:9" x14ac:dyDescent="0.2">
      <c r="B4" s="100" t="s">
        <v>2</v>
      </c>
      <c r="C4" s="101"/>
      <c r="D4" s="101"/>
      <c r="E4" s="101"/>
      <c r="F4" s="101"/>
      <c r="G4" s="101"/>
      <c r="H4" s="101"/>
      <c r="I4" s="101"/>
    </row>
    <row r="5" spans="2:9" x14ac:dyDescent="0.2">
      <c r="B5" s="309" t="s">
        <v>77</v>
      </c>
      <c r="C5" s="309" t="s">
        <v>3</v>
      </c>
      <c r="D5" s="310" t="s">
        <v>59</v>
      </c>
      <c r="E5" s="310" t="s">
        <v>58</v>
      </c>
      <c r="F5" s="310" t="s">
        <v>57</v>
      </c>
      <c r="G5" s="310" t="s">
        <v>94</v>
      </c>
      <c r="H5" s="310" t="s">
        <v>95</v>
      </c>
      <c r="I5" s="104" t="s">
        <v>1</v>
      </c>
    </row>
    <row r="6" spans="2:9" ht="15" customHeight="1" x14ac:dyDescent="0.2">
      <c r="B6" s="105" t="s">
        <v>81</v>
      </c>
      <c r="C6" s="106" t="s">
        <v>78</v>
      </c>
      <c r="D6" s="107" t="s">
        <v>90</v>
      </c>
      <c r="E6" s="108">
        <v>210350.25</v>
      </c>
      <c r="F6" s="108">
        <v>140707.24</v>
      </c>
      <c r="G6" s="108">
        <v>177402.58</v>
      </c>
      <c r="H6" s="108">
        <f>G6*102.5%</f>
        <v>181837.64449999997</v>
      </c>
      <c r="I6" s="198">
        <f>SUM(D6:H6)</f>
        <v>710297.71449999989</v>
      </c>
    </row>
    <row r="7" spans="2:9" x14ac:dyDescent="0.2">
      <c r="B7" s="116" t="s">
        <v>82</v>
      </c>
      <c r="C7" s="109" t="s">
        <v>79</v>
      </c>
      <c r="D7" s="107" t="s">
        <v>90</v>
      </c>
      <c r="E7" s="108">
        <v>296804.06</v>
      </c>
      <c r="F7" s="108">
        <v>379590.9</v>
      </c>
      <c r="G7" s="108">
        <v>394227.72</v>
      </c>
      <c r="H7" s="108">
        <f>G7*102.5%</f>
        <v>404083.41299999994</v>
      </c>
      <c r="I7" s="198">
        <f t="shared" ref="I7:I9" si="0">SUM(D7:H7)</f>
        <v>1474706.0929999999</v>
      </c>
    </row>
    <row r="8" spans="2:9" x14ac:dyDescent="0.2">
      <c r="B8" s="116"/>
      <c r="C8" s="109"/>
      <c r="D8" s="108"/>
      <c r="E8" s="108"/>
      <c r="F8" s="108"/>
      <c r="G8" s="108"/>
      <c r="H8" s="108"/>
      <c r="I8" s="198">
        <f t="shared" si="0"/>
        <v>0</v>
      </c>
    </row>
    <row r="9" spans="2:9" x14ac:dyDescent="0.2">
      <c r="B9" s="116"/>
      <c r="C9" s="109"/>
      <c r="D9" s="108"/>
      <c r="E9" s="108"/>
      <c r="F9" s="108"/>
      <c r="G9" s="108"/>
      <c r="H9" s="108"/>
      <c r="I9" s="198">
        <f t="shared" si="0"/>
        <v>0</v>
      </c>
    </row>
    <row r="10" spans="2:9" x14ac:dyDescent="0.2">
      <c r="B10" s="110" t="s">
        <v>1</v>
      </c>
      <c r="C10" s="111"/>
      <c r="D10" s="112">
        <f t="shared" ref="D10:I10" si="1">SUM(D6:D9)</f>
        <v>0</v>
      </c>
      <c r="E10" s="112">
        <f t="shared" si="1"/>
        <v>507154.31</v>
      </c>
      <c r="F10" s="112">
        <f t="shared" si="1"/>
        <v>520298.14</v>
      </c>
      <c r="G10" s="112">
        <f t="shared" si="1"/>
        <v>571630.29999999993</v>
      </c>
      <c r="H10" s="112">
        <f t="shared" si="1"/>
        <v>585921.05749999988</v>
      </c>
      <c r="I10" s="112">
        <f t="shared" si="1"/>
        <v>2185003.8074999996</v>
      </c>
    </row>
    <row r="11" spans="2:9" x14ac:dyDescent="0.2">
      <c r="B11" s="103"/>
      <c r="C11" s="103"/>
      <c r="D11" s="103"/>
      <c r="E11" s="103"/>
      <c r="F11" s="103"/>
      <c r="G11" s="103"/>
      <c r="H11" s="103"/>
      <c r="I11" s="103"/>
    </row>
    <row r="12" spans="2:9" x14ac:dyDescent="0.2">
      <c r="B12" s="100" t="s">
        <v>10</v>
      </c>
      <c r="C12" s="101"/>
      <c r="D12" s="101"/>
      <c r="E12" s="101"/>
      <c r="F12" s="101"/>
      <c r="G12" s="101"/>
      <c r="H12" s="101"/>
      <c r="I12" s="101"/>
    </row>
    <row r="13" spans="2:9" x14ac:dyDescent="0.2">
      <c r="B13" s="309" t="s">
        <v>4</v>
      </c>
      <c r="C13" s="309" t="s">
        <v>9</v>
      </c>
      <c r="D13" s="310" t="s">
        <v>59</v>
      </c>
      <c r="E13" s="310" t="s">
        <v>58</v>
      </c>
      <c r="F13" s="310" t="s">
        <v>57</v>
      </c>
      <c r="G13" s="310" t="s">
        <v>94</v>
      </c>
      <c r="H13" s="310" t="s">
        <v>95</v>
      </c>
      <c r="I13" s="311" t="s">
        <v>1</v>
      </c>
    </row>
    <row r="14" spans="2:9" x14ac:dyDescent="0.2">
      <c r="B14" s="116" t="s">
        <v>19</v>
      </c>
      <c r="C14" s="116" t="s">
        <v>88</v>
      </c>
      <c r="D14" s="113" t="s">
        <v>90</v>
      </c>
      <c r="E14" s="113">
        <v>293</v>
      </c>
      <c r="F14" s="114">
        <v>216</v>
      </c>
      <c r="G14" s="114">
        <v>250</v>
      </c>
      <c r="H14" s="114">
        <v>250</v>
      </c>
      <c r="I14" s="312">
        <f>SUM(D14:H14)</f>
        <v>1009</v>
      </c>
    </row>
    <row r="15" spans="2:9" x14ac:dyDescent="0.2">
      <c r="B15" s="116" t="s">
        <v>19</v>
      </c>
      <c r="C15" s="116" t="s">
        <v>89</v>
      </c>
      <c r="D15" s="113" t="s">
        <v>90</v>
      </c>
      <c r="E15" s="113">
        <v>915</v>
      </c>
      <c r="F15" s="115">
        <v>980</v>
      </c>
      <c r="G15" s="115">
        <v>1200</v>
      </c>
      <c r="H15" s="115">
        <v>1200</v>
      </c>
      <c r="I15" s="312">
        <f t="shared" ref="I15:I16" si="2">SUM(D15:H15)</f>
        <v>4295</v>
      </c>
    </row>
    <row r="16" spans="2:9" x14ac:dyDescent="0.2">
      <c r="B16" s="116"/>
      <c r="C16" s="116"/>
      <c r="D16" s="115"/>
      <c r="E16" s="115"/>
      <c r="F16" s="115"/>
      <c r="G16" s="115"/>
      <c r="H16" s="115"/>
      <c r="I16" s="312">
        <f t="shared" si="2"/>
        <v>0</v>
      </c>
    </row>
    <row r="17" spans="2:9" x14ac:dyDescent="0.2">
      <c r="B17" s="313" t="s">
        <v>17</v>
      </c>
      <c r="C17" s="314"/>
      <c r="D17" s="315">
        <f t="shared" ref="D17:H17" si="3">SUM(D14:D16)</f>
        <v>0</v>
      </c>
      <c r="E17" s="315">
        <f t="shared" si="3"/>
        <v>1208</v>
      </c>
      <c r="F17" s="315">
        <f t="shared" si="3"/>
        <v>1196</v>
      </c>
      <c r="G17" s="315">
        <f t="shared" si="3"/>
        <v>1450</v>
      </c>
      <c r="H17" s="315">
        <f t="shared" si="3"/>
        <v>1450</v>
      </c>
      <c r="I17" s="315">
        <f>SUM(I14:I16)</f>
        <v>5304</v>
      </c>
    </row>
    <row r="18" spans="2:9" x14ac:dyDescent="0.2">
      <c r="B18" s="103"/>
      <c r="C18" s="103"/>
      <c r="D18" s="117"/>
      <c r="E18" s="117"/>
      <c r="F18" s="117"/>
      <c r="G18" s="117"/>
      <c r="H18" s="117"/>
      <c r="I18" s="117"/>
    </row>
    <row r="19" spans="2:9" x14ac:dyDescent="0.2">
      <c r="B19" s="118" t="s">
        <v>6</v>
      </c>
      <c r="C19" s="103"/>
      <c r="D19" s="117"/>
      <c r="E19" s="117"/>
      <c r="F19" s="117"/>
      <c r="G19" s="117"/>
      <c r="H19" s="117"/>
      <c r="I19" s="117"/>
    </row>
    <row r="20" spans="2:9" x14ac:dyDescent="0.2">
      <c r="B20" s="119" t="s">
        <v>101</v>
      </c>
      <c r="C20" s="119"/>
      <c r="D20" s="119"/>
      <c r="E20" s="119"/>
      <c r="F20" s="119"/>
      <c r="G20" s="119"/>
      <c r="H20" s="119"/>
      <c r="I20" s="119"/>
    </row>
    <row r="21" spans="2:9" x14ac:dyDescent="0.2">
      <c r="B21" s="120" t="s">
        <v>102</v>
      </c>
      <c r="C21" s="120"/>
      <c r="D21" s="120"/>
      <c r="E21" s="120"/>
      <c r="F21" s="120"/>
      <c r="G21" s="120"/>
      <c r="H21" s="120"/>
      <c r="I21" s="120"/>
    </row>
    <row r="22" spans="2:9" x14ac:dyDescent="0.2">
      <c r="B22" s="120" t="s">
        <v>103</v>
      </c>
      <c r="C22" s="120"/>
      <c r="D22" s="120"/>
      <c r="E22" s="120"/>
      <c r="F22" s="120"/>
      <c r="G22" s="120"/>
      <c r="H22" s="120"/>
      <c r="I22" s="120"/>
    </row>
    <row r="23" spans="2:9" x14ac:dyDescent="0.2">
      <c r="B23" s="120" t="s">
        <v>104</v>
      </c>
      <c r="C23" s="120"/>
      <c r="D23" s="120"/>
      <c r="E23" s="120"/>
      <c r="F23" s="120"/>
      <c r="G23" s="120"/>
      <c r="H23" s="120"/>
      <c r="I23" s="120"/>
    </row>
    <row r="24" spans="2:9" x14ac:dyDescent="0.2">
      <c r="B24" s="120" t="s">
        <v>105</v>
      </c>
      <c r="C24" s="120"/>
      <c r="D24" s="120"/>
      <c r="E24" s="120"/>
      <c r="F24" s="120"/>
      <c r="G24" s="120"/>
      <c r="H24" s="120"/>
      <c r="I24" s="120"/>
    </row>
    <row r="25" spans="2:9" x14ac:dyDescent="0.2">
      <c r="B25" s="103"/>
      <c r="C25" s="103"/>
      <c r="D25" s="117"/>
      <c r="E25" s="117"/>
      <c r="F25" s="117"/>
      <c r="G25" s="117"/>
      <c r="H25" s="117"/>
      <c r="I25" s="117"/>
    </row>
    <row r="26" spans="2:9" ht="14.25" customHeight="1" x14ac:dyDescent="0.2">
      <c r="B26" s="100" t="s">
        <v>2</v>
      </c>
      <c r="C26" s="101"/>
      <c r="D26" s="101"/>
      <c r="E26" s="101"/>
      <c r="F26" s="101"/>
      <c r="G26" s="101"/>
      <c r="H26" s="101"/>
      <c r="I26" s="101"/>
    </row>
    <row r="27" spans="2:9" x14ac:dyDescent="0.2">
      <c r="B27" s="121" t="s">
        <v>11</v>
      </c>
      <c r="C27" s="122"/>
      <c r="D27" s="122"/>
      <c r="E27" s="122"/>
      <c r="F27" s="122"/>
      <c r="G27" s="122"/>
      <c r="H27" s="122"/>
      <c r="I27" s="122"/>
    </row>
    <row r="28" spans="2:9" x14ac:dyDescent="0.2">
      <c r="B28" s="308" t="s">
        <v>171</v>
      </c>
      <c r="C28" s="298"/>
      <c r="D28" s="298"/>
      <c r="E28" s="298"/>
      <c r="F28" s="298"/>
      <c r="G28" s="298"/>
      <c r="H28" s="298"/>
      <c r="I28" s="298"/>
    </row>
    <row r="29" spans="2:9" x14ac:dyDescent="0.2">
      <c r="B29" s="299"/>
      <c r="C29" s="299"/>
      <c r="D29" s="299"/>
      <c r="E29" s="299"/>
      <c r="F29" s="299"/>
      <c r="G29" s="299"/>
      <c r="H29" s="299"/>
      <c r="I29" s="299"/>
    </row>
    <row r="30" spans="2:9" x14ac:dyDescent="0.2">
      <c r="B30" s="123"/>
      <c r="C30" s="124"/>
      <c r="D30" s="124"/>
      <c r="E30" s="124"/>
      <c r="F30" s="124"/>
      <c r="G30" s="124"/>
      <c r="H30" s="124"/>
      <c r="I30" s="124"/>
    </row>
  </sheetData>
  <mergeCells count="1">
    <mergeCell ref="B28:I2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B1:AW41"/>
  <sheetViews>
    <sheetView showGridLines="0" zoomScale="80" zoomScaleNormal="80" workbookViewId="0">
      <selection activeCell="H7" sqref="H7"/>
    </sheetView>
  </sheetViews>
  <sheetFormatPr defaultColWidth="9.140625" defaultRowHeight="12.75" x14ac:dyDescent="0.2"/>
  <cols>
    <col min="1" max="1" width="2.28515625" style="1" customWidth="1"/>
    <col min="2" max="2" width="100" style="1" bestFit="1" customWidth="1"/>
    <col min="3" max="3" width="17.7109375" style="75" customWidth="1"/>
    <col min="4" max="4" width="9.140625" style="85"/>
    <col min="5" max="5" width="9.140625" style="72"/>
    <col min="6" max="14" width="9.140625" style="81"/>
    <col min="15" max="15" width="9.140625" style="1"/>
    <col min="16" max="16" width="9.140625" style="41"/>
    <col min="17" max="17" width="12.42578125" style="41" customWidth="1"/>
    <col min="18" max="18" width="2.85546875" style="1" customWidth="1"/>
    <col min="19" max="19" width="53.7109375" style="1" customWidth="1"/>
    <col min="20" max="20" width="15.7109375" style="1" customWidth="1"/>
    <col min="21" max="25" width="9.140625" style="1"/>
    <col min="26" max="26" width="3.28515625" style="1" customWidth="1"/>
    <col min="27" max="27" width="53.7109375" style="1" customWidth="1"/>
    <col min="28" max="28" width="15.7109375" style="1" customWidth="1"/>
    <col min="29" max="33" width="9.140625" style="1"/>
    <col min="34" max="34" width="4" style="1" customWidth="1"/>
    <col min="35" max="35" width="53.7109375" style="1" customWidth="1"/>
    <col min="36" max="36" width="15.7109375" style="1" customWidth="1"/>
    <col min="37" max="41" width="9.140625" style="1"/>
    <col min="42" max="42" width="9.140625" style="1" customWidth="1"/>
    <col min="43" max="43" width="53.7109375" style="1" customWidth="1"/>
    <col min="44" max="44" width="15.7109375" style="1" customWidth="1"/>
    <col min="45" max="16384" width="9.140625" style="1"/>
  </cols>
  <sheetData>
    <row r="1" spans="2:49" x14ac:dyDescent="0.2">
      <c r="S1" s="36"/>
      <c r="T1" s="36"/>
      <c r="U1" s="37"/>
      <c r="V1" s="36"/>
      <c r="W1" s="37"/>
      <c r="X1" s="38"/>
      <c r="Y1" s="39"/>
      <c r="AF1" s="42"/>
    </row>
    <row r="2" spans="2:49" x14ac:dyDescent="0.2">
      <c r="B2" s="177" t="s">
        <v>55</v>
      </c>
      <c r="C2" s="178"/>
      <c r="D2" s="178"/>
      <c r="E2" s="178"/>
      <c r="F2" s="178"/>
      <c r="G2" s="178"/>
      <c r="H2" s="293" t="s">
        <v>112</v>
      </c>
      <c r="I2" s="293"/>
      <c r="J2" s="293"/>
      <c r="K2" s="293"/>
      <c r="L2" s="293"/>
      <c r="M2" s="293"/>
      <c r="N2" s="293"/>
      <c r="O2" s="293"/>
      <c r="P2" s="293"/>
      <c r="Q2" s="293"/>
    </row>
    <row r="3" spans="2:49" ht="15.75" x14ac:dyDescent="0.25">
      <c r="B3" s="61" t="s">
        <v>65</v>
      </c>
      <c r="C3" s="47"/>
      <c r="D3" s="82"/>
      <c r="E3" s="67"/>
      <c r="F3" s="76"/>
      <c r="G3" s="76"/>
      <c r="H3" s="294" t="s">
        <v>113</v>
      </c>
      <c r="I3" s="294"/>
      <c r="J3" s="294"/>
      <c r="K3" s="294"/>
      <c r="L3" s="294"/>
      <c r="M3" s="294"/>
      <c r="N3" s="294"/>
      <c r="O3" s="294"/>
      <c r="P3" s="294"/>
      <c r="Q3" s="294"/>
    </row>
    <row r="4" spans="2:49" s="30" customFormat="1" ht="3" customHeight="1" x14ac:dyDescent="0.2">
      <c r="B4" s="33"/>
      <c r="C4" s="73"/>
      <c r="D4" s="83"/>
      <c r="E4" s="68"/>
      <c r="F4" s="77"/>
      <c r="G4" s="77"/>
      <c r="H4" s="77"/>
      <c r="I4" s="77"/>
      <c r="J4" s="77"/>
      <c r="K4" s="77"/>
      <c r="L4" s="77"/>
      <c r="M4" s="77"/>
      <c r="N4" s="77"/>
      <c r="O4" s="77"/>
      <c r="P4" s="77"/>
      <c r="Q4" s="77"/>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row>
    <row r="5" spans="2:49" ht="76.5" x14ac:dyDescent="0.2">
      <c r="B5" s="34" t="s">
        <v>18</v>
      </c>
      <c r="C5" s="34" t="s">
        <v>32</v>
      </c>
      <c r="D5" s="186" t="s">
        <v>64</v>
      </c>
      <c r="E5" s="187" t="s">
        <v>34</v>
      </c>
      <c r="F5" s="186" t="s">
        <v>33</v>
      </c>
      <c r="G5" s="186" t="s">
        <v>114</v>
      </c>
      <c r="H5" s="186" t="s">
        <v>115</v>
      </c>
      <c r="I5" s="186" t="s">
        <v>116</v>
      </c>
      <c r="J5" s="186" t="s">
        <v>117</v>
      </c>
      <c r="K5" s="188" t="s">
        <v>118</v>
      </c>
      <c r="L5" s="188" t="s">
        <v>119</v>
      </c>
      <c r="M5" s="186" t="s">
        <v>120</v>
      </c>
      <c r="N5" s="186" t="s">
        <v>121</v>
      </c>
      <c r="O5" s="186" t="s">
        <v>122</v>
      </c>
      <c r="P5" s="186" t="s">
        <v>123</v>
      </c>
      <c r="Q5" s="186" t="s">
        <v>124</v>
      </c>
      <c r="R5" s="50"/>
    </row>
    <row r="6" spans="2:49" x14ac:dyDescent="0.2">
      <c r="B6" s="195" t="s">
        <v>166</v>
      </c>
      <c r="C6" s="196"/>
      <c r="D6" s="196"/>
      <c r="E6" s="196"/>
      <c r="F6" s="196"/>
      <c r="G6" s="196"/>
      <c r="H6" s="196"/>
      <c r="I6" s="196"/>
      <c r="J6" s="196"/>
      <c r="K6" s="196"/>
      <c r="L6" s="196"/>
      <c r="M6" s="196"/>
      <c r="N6" s="196"/>
      <c r="O6" s="196"/>
      <c r="P6" s="196"/>
      <c r="Q6" s="196"/>
      <c r="R6" s="20"/>
    </row>
    <row r="7" spans="2:49" x14ac:dyDescent="0.2">
      <c r="B7" s="189" t="s">
        <v>68</v>
      </c>
      <c r="C7" s="190" t="s">
        <v>76</v>
      </c>
      <c r="D7" s="191">
        <v>1.5</v>
      </c>
      <c r="E7" s="192">
        <v>1</v>
      </c>
      <c r="F7" s="193">
        <f>E7*D7</f>
        <v>1.5</v>
      </c>
      <c r="G7" s="197">
        <v>0</v>
      </c>
      <c r="H7" s="88">
        <f>IF(G7=0,VLOOKUP(C:C,[1]Inputs!$B$20:$H$25,7,FALSE)*F7,VLOOKUP(C:C,[1]Inputs!$B$20:$I$25,8,FALSE)*F7)</f>
        <v>110.61222452658001</v>
      </c>
      <c r="I7" s="88">
        <f>VLOOKUP(C:C,[1]Inputs!$C$54:$G$59,5,FALSE)*F7</f>
        <v>0</v>
      </c>
      <c r="J7" s="88"/>
      <c r="K7" s="88"/>
      <c r="L7" s="88"/>
      <c r="M7" s="88">
        <f>SUM(H7:J7)</f>
        <v>110.61222452658001</v>
      </c>
      <c r="N7" s="88">
        <f>[1]Inputs!$M$43*M7</f>
        <v>51.537178966000496</v>
      </c>
      <c r="O7" s="88">
        <f>[1]Inputs!$M$48*M7</f>
        <v>17.739721454250486</v>
      </c>
      <c r="P7" s="88">
        <f>[1]Inputs!$H$13*SUM(M7:O7)</f>
        <v>11.408568304128023</v>
      </c>
      <c r="Q7" s="88">
        <f t="shared" ref="Q7" si="0">SUM(M7:P7)</f>
        <v>191.29769325095901</v>
      </c>
    </row>
    <row r="8" spans="2:49" x14ac:dyDescent="0.2">
      <c r="B8" s="65" t="s">
        <v>72</v>
      </c>
      <c r="C8" s="64" t="s">
        <v>91</v>
      </c>
      <c r="D8" s="79">
        <v>1.2</v>
      </c>
      <c r="E8" s="69">
        <v>1</v>
      </c>
      <c r="F8" s="88">
        <f t="shared" ref="F8:F9" si="1">E8*D8</f>
        <v>1.2</v>
      </c>
      <c r="G8" s="197">
        <v>0</v>
      </c>
      <c r="H8" s="88">
        <f>IF(G8=0,VLOOKUP(C:C,[1]Inputs!$B$20:$H$25,7,FALSE)*F8,VLOOKUP(C:C,[1]Inputs!$B$20:$I$25,8,FALSE)*F8)</f>
        <v>123.91271714417398</v>
      </c>
      <c r="I8" s="88">
        <f>VLOOKUP(C:C,[1]Inputs!$C$54:$G$59,5,FALSE)*F8</f>
        <v>23.678923546015579</v>
      </c>
      <c r="J8" s="88"/>
      <c r="K8" s="88"/>
      <c r="L8" s="88"/>
      <c r="M8" s="88">
        <f t="shared" ref="M8:M9" si="2">SUM(H8:J8)</f>
        <v>147.59164069018956</v>
      </c>
      <c r="N8" s="88">
        <f>[1]Inputs!$M$43*M8</f>
        <v>68.766873034979213</v>
      </c>
      <c r="O8" s="88">
        <f>[1]Inputs!$M$48*M8</f>
        <v>23.670390917693059</v>
      </c>
      <c r="P8" s="88">
        <f>[1]Inputs!$H$13*SUM(M8:O8)</f>
        <v>15.2226331324503</v>
      </c>
      <c r="Q8" s="88">
        <f t="shared" ref="Q8:Q9" si="3">SUM(M8:P8)</f>
        <v>255.25153777531216</v>
      </c>
      <c r="R8" s="20"/>
    </row>
    <row r="9" spans="2:49" x14ac:dyDescent="0.2">
      <c r="B9" s="66" t="s">
        <v>69</v>
      </c>
      <c r="C9" s="64" t="s">
        <v>76</v>
      </c>
      <c r="D9" s="79">
        <v>1.5</v>
      </c>
      <c r="E9" s="69">
        <v>1</v>
      </c>
      <c r="F9" s="88">
        <f t="shared" si="1"/>
        <v>1.5</v>
      </c>
      <c r="G9" s="197">
        <v>0</v>
      </c>
      <c r="H9" s="88">
        <f>IF(G9=0,VLOOKUP(C:C,[1]Inputs!$B$20:$H$25,7,FALSE)*F9,VLOOKUP(C:C,[1]Inputs!$B$20:$I$25,8,FALSE)*F9)</f>
        <v>110.61222452658001</v>
      </c>
      <c r="I9" s="88">
        <f>VLOOKUP(C:C,[1]Inputs!$C$54:$G$59,5,FALSE)*F9</f>
        <v>0</v>
      </c>
      <c r="J9" s="88"/>
      <c r="K9" s="88"/>
      <c r="L9" s="88"/>
      <c r="M9" s="88">
        <f t="shared" si="2"/>
        <v>110.61222452658001</v>
      </c>
      <c r="N9" s="88">
        <f>[1]Inputs!$M$43*M9</f>
        <v>51.537178966000496</v>
      </c>
      <c r="O9" s="88">
        <f>[1]Inputs!$M$48*M9</f>
        <v>17.739721454250486</v>
      </c>
      <c r="P9" s="88">
        <f>[1]Inputs!$H$13*SUM(M9:O9)</f>
        <v>11.408568304128023</v>
      </c>
      <c r="Q9" s="88">
        <f t="shared" si="3"/>
        <v>191.29769325095901</v>
      </c>
    </row>
    <row r="10" spans="2:49" x14ac:dyDescent="0.2">
      <c r="B10" s="295" t="s">
        <v>1</v>
      </c>
      <c r="C10" s="296"/>
      <c r="D10" s="296"/>
      <c r="E10" s="297"/>
      <c r="F10" s="86">
        <f>SUM(F7:F9)</f>
        <v>4.2</v>
      </c>
      <c r="G10" s="86">
        <f t="shared" ref="G10:Q10" si="4">SUM(G7:G9)</f>
        <v>0</v>
      </c>
      <c r="H10" s="86">
        <f t="shared" si="4"/>
        <v>345.13716619733401</v>
      </c>
      <c r="I10" s="86">
        <f t="shared" si="4"/>
        <v>23.678923546015579</v>
      </c>
      <c r="J10" s="86">
        <f t="shared" si="4"/>
        <v>0</v>
      </c>
      <c r="K10" s="86">
        <f t="shared" si="4"/>
        <v>0</v>
      </c>
      <c r="L10" s="86">
        <f t="shared" si="4"/>
        <v>0</v>
      </c>
      <c r="M10" s="86">
        <f t="shared" si="4"/>
        <v>368.81608974334961</v>
      </c>
      <c r="N10" s="86">
        <f t="shared" si="4"/>
        <v>171.84123096698022</v>
      </c>
      <c r="O10" s="86">
        <f t="shared" si="4"/>
        <v>59.149833826194026</v>
      </c>
      <c r="P10" s="86">
        <f t="shared" si="4"/>
        <v>38.039769740706348</v>
      </c>
      <c r="Q10" s="86">
        <f t="shared" si="4"/>
        <v>637.84692427723019</v>
      </c>
      <c r="R10" s="50"/>
    </row>
    <row r="11" spans="2:49" x14ac:dyDescent="0.2">
      <c r="B11" s="33"/>
      <c r="C11" s="73"/>
      <c r="D11" s="83"/>
      <c r="E11" s="68"/>
      <c r="F11" s="77"/>
      <c r="G11" s="77"/>
      <c r="H11" s="77"/>
      <c r="I11" s="77"/>
      <c r="J11" s="77"/>
      <c r="K11" s="77"/>
      <c r="L11" s="77"/>
      <c r="M11" s="77"/>
      <c r="N11" s="77"/>
      <c r="O11" s="77"/>
      <c r="P11" s="77"/>
      <c r="Q11" s="77"/>
    </row>
    <row r="12" spans="2:49" x14ac:dyDescent="0.2">
      <c r="B12" s="179" t="s">
        <v>155</v>
      </c>
      <c r="C12" s="180"/>
      <c r="D12" s="83"/>
      <c r="E12" s="68"/>
      <c r="F12" s="77"/>
      <c r="G12" s="77"/>
      <c r="H12" s="77"/>
      <c r="I12" s="77"/>
      <c r="J12" s="77"/>
      <c r="K12" s="77"/>
      <c r="L12" s="77"/>
      <c r="M12" s="77"/>
      <c r="N12" s="77"/>
      <c r="O12" s="77"/>
      <c r="P12" s="77"/>
      <c r="Q12" s="77"/>
    </row>
    <row r="13" spans="2:49" x14ac:dyDescent="0.2">
      <c r="B13" s="181" t="s">
        <v>92</v>
      </c>
      <c r="C13" s="183"/>
      <c r="D13" s="83"/>
      <c r="E13" s="68"/>
      <c r="F13" s="77"/>
      <c r="G13" s="77"/>
      <c r="H13" s="77"/>
      <c r="I13" s="77"/>
      <c r="J13" s="77"/>
      <c r="K13" s="77"/>
      <c r="L13" s="77"/>
      <c r="M13" s="77"/>
      <c r="N13" s="77"/>
      <c r="O13" s="77"/>
      <c r="P13" s="77"/>
      <c r="Q13" s="77"/>
    </row>
    <row r="14" spans="2:49" x14ac:dyDescent="0.2">
      <c r="B14" s="181"/>
      <c r="C14" s="182"/>
      <c r="D14" s="83"/>
      <c r="E14" s="68"/>
      <c r="F14" s="77"/>
      <c r="G14" s="77"/>
      <c r="H14" s="77"/>
      <c r="I14" s="77"/>
      <c r="J14" s="77"/>
      <c r="K14" s="77"/>
      <c r="L14" s="77"/>
      <c r="M14" s="77"/>
      <c r="N14" s="77"/>
      <c r="O14" s="77"/>
      <c r="P14" s="77"/>
      <c r="Q14" s="77"/>
    </row>
    <row r="15" spans="2:49" x14ac:dyDescent="0.2">
      <c r="B15" s="184" t="s">
        <v>93</v>
      </c>
      <c r="C15" s="185"/>
      <c r="D15" s="83"/>
      <c r="E15" s="68"/>
      <c r="F15" s="77"/>
      <c r="G15" s="77"/>
      <c r="H15" s="77"/>
      <c r="I15" s="77"/>
      <c r="J15" s="77"/>
      <c r="K15" s="77"/>
      <c r="L15" s="77"/>
      <c r="M15" s="77"/>
      <c r="N15" s="77"/>
      <c r="O15" s="77"/>
      <c r="P15" s="77"/>
      <c r="Q15" s="77"/>
    </row>
    <row r="16" spans="2:49" x14ac:dyDescent="0.2">
      <c r="B16" s="33"/>
      <c r="C16" s="73"/>
      <c r="D16" s="83"/>
      <c r="E16" s="68"/>
      <c r="F16" s="77"/>
      <c r="G16" s="77"/>
      <c r="H16" s="77"/>
      <c r="I16" s="77"/>
      <c r="J16" s="77"/>
      <c r="K16" s="77"/>
      <c r="L16" s="77"/>
      <c r="M16" s="77"/>
      <c r="N16" s="77"/>
      <c r="O16" s="77"/>
      <c r="P16" s="77"/>
      <c r="Q16" s="77"/>
    </row>
    <row r="17" spans="2:18" ht="76.5" x14ac:dyDescent="0.2">
      <c r="B17" s="34" t="s">
        <v>18</v>
      </c>
      <c r="C17" s="34" t="s">
        <v>32</v>
      </c>
      <c r="D17" s="186" t="s">
        <v>64</v>
      </c>
      <c r="E17" s="187" t="s">
        <v>34</v>
      </c>
      <c r="F17" s="186" t="s">
        <v>33</v>
      </c>
      <c r="G17" s="186" t="s">
        <v>114</v>
      </c>
      <c r="H17" s="186" t="s">
        <v>115</v>
      </c>
      <c r="I17" s="186" t="s">
        <v>116</v>
      </c>
      <c r="J17" s="186" t="s">
        <v>117</v>
      </c>
      <c r="K17" s="188" t="s">
        <v>118</v>
      </c>
      <c r="L17" s="188" t="s">
        <v>119</v>
      </c>
      <c r="M17" s="186" t="s">
        <v>120</v>
      </c>
      <c r="N17" s="186" t="s">
        <v>121</v>
      </c>
      <c r="O17" s="186" t="s">
        <v>122</v>
      </c>
      <c r="P17" s="186" t="s">
        <v>123</v>
      </c>
      <c r="Q17" s="186" t="s">
        <v>124</v>
      </c>
    </row>
    <row r="18" spans="2:18" x14ac:dyDescent="0.2">
      <c r="B18" s="195" t="s">
        <v>167</v>
      </c>
      <c r="C18" s="196"/>
      <c r="D18" s="196"/>
      <c r="E18" s="196"/>
      <c r="F18" s="196"/>
      <c r="G18" s="196"/>
      <c r="H18" s="196"/>
      <c r="I18" s="196"/>
      <c r="J18" s="196"/>
      <c r="K18" s="196"/>
      <c r="L18" s="196"/>
      <c r="M18" s="196"/>
      <c r="N18" s="196"/>
      <c r="O18" s="196"/>
      <c r="P18" s="196"/>
      <c r="Q18" s="196"/>
    </row>
    <row r="19" spans="2:18" x14ac:dyDescent="0.2">
      <c r="B19" s="234" t="s">
        <v>150</v>
      </c>
      <c r="C19" s="235" t="s">
        <v>76</v>
      </c>
      <c r="D19" s="236">
        <v>3</v>
      </c>
      <c r="E19" s="236">
        <v>1</v>
      </c>
      <c r="F19" s="237">
        <f>D19*E19</f>
        <v>3</v>
      </c>
      <c r="G19" s="238">
        <v>0</v>
      </c>
      <c r="H19" s="88">
        <f>IF(G19=0,VLOOKUP(C:C,[1]Inputs!$B$20:$H$25,7,FALSE)*F19,VLOOKUP(C:C,[1]Inputs!$B$20:$I$25,8,FALSE)*F19)</f>
        <v>221.22444905316001</v>
      </c>
      <c r="I19" s="239">
        <f>VLOOKUP(C:C,[1]Inputs!$C$54:$G$59,5,FALSE)*F19</f>
        <v>0</v>
      </c>
      <c r="J19" s="239"/>
      <c r="K19" s="239"/>
      <c r="L19" s="239"/>
      <c r="M19" s="239">
        <f>SUM(H19:J19)</f>
        <v>221.22444905316001</v>
      </c>
      <c r="N19" s="239">
        <f>[1]Inputs!$M$43*M19</f>
        <v>103.07435793200099</v>
      </c>
      <c r="O19" s="239">
        <f>[1]Inputs!$M$48*M19</f>
        <v>35.479442908500971</v>
      </c>
      <c r="P19" s="88">
        <f>[1]Inputs!$H$13*SUM(M19:O19)</f>
        <v>22.817136608256046</v>
      </c>
      <c r="Q19" s="239">
        <f t="shared" ref="Q19:Q20" si="5">SUM(M19:P19)</f>
        <v>382.59538650191803</v>
      </c>
    </row>
    <row r="20" spans="2:18" x14ac:dyDescent="0.2">
      <c r="B20" s="240" t="s">
        <v>151</v>
      </c>
      <c r="C20" s="241" t="s">
        <v>91</v>
      </c>
      <c r="D20" s="242">
        <v>10</v>
      </c>
      <c r="E20" s="242">
        <v>1</v>
      </c>
      <c r="F20" s="243">
        <f t="shared" ref="F20" si="6">D20*E20</f>
        <v>10</v>
      </c>
      <c r="G20" s="197">
        <v>0</v>
      </c>
      <c r="H20" s="88">
        <f>IF(G20=0,VLOOKUP(C:C,[1]Inputs!$B$20:$H$25,7,FALSE)*F20,VLOOKUP(C:C,[1]Inputs!$B$20:$I$25,8,FALSE)*F20)</f>
        <v>1032.6059762014499</v>
      </c>
      <c r="I20" s="88">
        <f>VLOOKUP(C:C,[1]Inputs!$C$54:$G$59,5,FALSE)*F20</f>
        <v>197.32436288346318</v>
      </c>
      <c r="J20" s="88"/>
      <c r="K20" s="88"/>
      <c r="L20" s="88"/>
      <c r="M20" s="88">
        <f t="shared" ref="M20" si="7">SUM(H20:J20)</f>
        <v>1229.9303390849132</v>
      </c>
      <c r="N20" s="88">
        <f>[1]Inputs!$M$43*M20</f>
        <v>573.0572752914934</v>
      </c>
      <c r="O20" s="88">
        <f>[1]Inputs!$M$48*M20</f>
        <v>197.25325764744215</v>
      </c>
      <c r="P20" s="88">
        <f>[1]Inputs!$H$13*SUM(M20:O20)</f>
        <v>126.85527610375249</v>
      </c>
      <c r="Q20" s="88">
        <f t="shared" si="5"/>
        <v>2127.0961481276013</v>
      </c>
    </row>
    <row r="21" spans="2:18" x14ac:dyDescent="0.2">
      <c r="B21" s="244" t="s">
        <v>152</v>
      </c>
      <c r="C21" s="241"/>
      <c r="D21" s="242"/>
      <c r="E21" s="242"/>
      <c r="F21" s="243"/>
      <c r="G21" s="197"/>
      <c r="H21" s="88"/>
      <c r="I21" s="88"/>
      <c r="J21" s="88"/>
      <c r="K21" s="88"/>
      <c r="L21" s="88"/>
      <c r="M21" s="88"/>
      <c r="N21" s="88"/>
      <c r="O21" s="88"/>
      <c r="P21" s="88"/>
      <c r="Q21" s="88"/>
    </row>
    <row r="22" spans="2:18" x14ac:dyDescent="0.2">
      <c r="B22" s="90" t="s">
        <v>153</v>
      </c>
      <c r="C22" s="64" t="s">
        <v>91</v>
      </c>
      <c r="D22" s="245">
        <v>1</v>
      </c>
      <c r="E22" s="245">
        <v>1</v>
      </c>
      <c r="F22" s="246">
        <f t="shared" ref="F22" si="8">D22*E22</f>
        <v>1</v>
      </c>
      <c r="G22" s="197">
        <v>0</v>
      </c>
      <c r="H22" s="88">
        <f>IF(G22=0,VLOOKUP(C:C,[1]Inputs!$B$20:$H$25,7,FALSE)*F22,VLOOKUP(C:C,[1]Inputs!$B$20:$I$25,8,FALSE)*F22)</f>
        <v>103.26059762014499</v>
      </c>
      <c r="I22" s="88">
        <f>VLOOKUP(C:C,[1]Inputs!$C$54:$G$59,5,FALSE)*F22</f>
        <v>19.732436288346317</v>
      </c>
      <c r="J22" s="88"/>
      <c r="K22" s="88"/>
      <c r="L22" s="88"/>
      <c r="M22" s="88">
        <f t="shared" ref="M22" si="9">SUM(H22:J22)</f>
        <v>122.99303390849131</v>
      </c>
      <c r="N22" s="88">
        <f>[1]Inputs!$M$43*M22</f>
        <v>57.305727529149344</v>
      </c>
      <c r="O22" s="88">
        <f>[1]Inputs!$M$48*M22</f>
        <v>19.725325764744216</v>
      </c>
      <c r="P22" s="88">
        <f>[1]Inputs!$H$13*SUM(M22:O22)</f>
        <v>12.685527610375249</v>
      </c>
      <c r="Q22" s="88">
        <f t="shared" ref="Q22" si="10">SUM(M22:P22)</f>
        <v>212.70961481276012</v>
      </c>
    </row>
    <row r="23" spans="2:18" ht="63.75" x14ac:dyDescent="0.2">
      <c r="B23" s="65" t="s">
        <v>154</v>
      </c>
      <c r="C23" s="65"/>
      <c r="D23" s="247"/>
      <c r="E23" s="247"/>
      <c r="F23" s="248"/>
      <c r="G23" s="249"/>
      <c r="H23" s="250"/>
      <c r="I23" s="250"/>
      <c r="J23" s="250"/>
      <c r="K23" s="250"/>
      <c r="L23" s="250"/>
      <c r="M23" s="250"/>
      <c r="N23" s="251">
        <f>[1]Inputs!$M$43</f>
        <v>0.46592661151676018</v>
      </c>
      <c r="O23" s="251"/>
      <c r="P23" s="251">
        <f>[1]Inputs!$H$13</f>
        <v>6.3420000000000004E-2</v>
      </c>
      <c r="Q23" s="252" t="str">
        <f>_xlfn.CONCAT("[Invoice + ",TEXT([1]Inputs!$M$43,"0.00%")," Overheads] + ",TEXT(P23,"0.00%")," Margin")</f>
        <v>[Invoice + 46.59% Overheads] + 6.34% Margin</v>
      </c>
      <c r="R23" s="20"/>
    </row>
    <row r="24" spans="2:18" x14ac:dyDescent="0.2">
      <c r="B24" s="295" t="s">
        <v>1</v>
      </c>
      <c r="C24" s="296"/>
      <c r="D24" s="296"/>
      <c r="E24" s="297"/>
      <c r="F24" s="86">
        <f>SUM(F19:F20)</f>
        <v>13</v>
      </c>
      <c r="G24" s="86">
        <f t="shared" ref="G24:Q24" si="11">SUM(G19:G20)</f>
        <v>0</v>
      </c>
      <c r="H24" s="86">
        <f t="shared" si="11"/>
        <v>1253.83042525461</v>
      </c>
      <c r="I24" s="86">
        <f t="shared" si="11"/>
        <v>197.32436288346318</v>
      </c>
      <c r="J24" s="86">
        <f t="shared" si="11"/>
        <v>0</v>
      </c>
      <c r="K24" s="86">
        <f t="shared" si="11"/>
        <v>0</v>
      </c>
      <c r="L24" s="86">
        <f t="shared" si="11"/>
        <v>0</v>
      </c>
      <c r="M24" s="86">
        <f t="shared" si="11"/>
        <v>1451.1547881380732</v>
      </c>
      <c r="N24" s="86">
        <f t="shared" si="11"/>
        <v>676.13163322349442</v>
      </c>
      <c r="O24" s="86">
        <f t="shared" si="11"/>
        <v>232.73270055594313</v>
      </c>
      <c r="P24" s="86">
        <f t="shared" si="11"/>
        <v>149.67241271200854</v>
      </c>
      <c r="Q24" s="86">
        <f t="shared" si="11"/>
        <v>2509.6915346295191</v>
      </c>
    </row>
    <row r="25" spans="2:18" x14ac:dyDescent="0.2">
      <c r="B25" s="36"/>
      <c r="C25" s="74"/>
      <c r="D25" s="84"/>
      <c r="E25" s="71"/>
      <c r="F25" s="80"/>
      <c r="G25" s="80"/>
      <c r="H25" s="80"/>
      <c r="I25" s="80"/>
      <c r="J25" s="80"/>
      <c r="K25" s="80"/>
      <c r="L25" s="80"/>
      <c r="M25" s="80"/>
      <c r="N25" s="80"/>
      <c r="O25" s="233"/>
      <c r="P25" s="39"/>
      <c r="Q25" s="39"/>
    </row>
    <row r="26" spans="2:18" ht="25.5" x14ac:dyDescent="0.2">
      <c r="B26" s="253" t="s">
        <v>156</v>
      </c>
      <c r="C26" s="180"/>
      <c r="D26" s="84"/>
      <c r="E26" s="71"/>
      <c r="F26" s="80"/>
      <c r="G26" s="80"/>
      <c r="H26" s="80"/>
      <c r="I26" s="80"/>
      <c r="J26" s="80"/>
      <c r="K26" s="80"/>
      <c r="L26" s="80"/>
      <c r="M26" s="80"/>
      <c r="N26" s="80"/>
      <c r="O26" s="233"/>
      <c r="P26" s="39"/>
      <c r="Q26" s="39"/>
    </row>
    <row r="27" spans="2:18" x14ac:dyDescent="0.2">
      <c r="B27" s="181" t="s">
        <v>157</v>
      </c>
      <c r="C27" s="183"/>
      <c r="D27" s="84"/>
      <c r="E27" s="71"/>
      <c r="F27" s="80"/>
      <c r="G27" s="80"/>
      <c r="H27" s="80"/>
      <c r="I27" s="80"/>
      <c r="J27" s="80"/>
      <c r="K27" s="80"/>
      <c r="L27" s="80"/>
      <c r="M27" s="80"/>
      <c r="N27" s="80"/>
      <c r="O27" s="233"/>
      <c r="P27" s="39"/>
      <c r="Q27" s="39"/>
    </row>
    <row r="28" spans="2:18" x14ac:dyDescent="0.2">
      <c r="B28" s="181"/>
      <c r="C28" s="182"/>
      <c r="D28" s="84"/>
      <c r="E28" s="71"/>
      <c r="F28" s="80"/>
      <c r="G28" s="80"/>
      <c r="H28" s="80"/>
      <c r="I28" s="80"/>
      <c r="J28" s="80"/>
      <c r="K28" s="80"/>
      <c r="L28" s="80"/>
      <c r="M28" s="80"/>
      <c r="N28" s="80"/>
      <c r="O28" s="233"/>
      <c r="P28" s="39"/>
      <c r="Q28" s="39"/>
    </row>
    <row r="29" spans="2:18" x14ac:dyDescent="0.2">
      <c r="B29" s="184"/>
      <c r="C29" s="185"/>
      <c r="D29" s="84"/>
      <c r="E29" s="71"/>
      <c r="F29" s="80"/>
      <c r="G29" s="80"/>
      <c r="H29" s="80"/>
      <c r="I29" s="80"/>
      <c r="J29" s="80"/>
      <c r="K29" s="80"/>
      <c r="L29" s="80"/>
      <c r="M29" s="80"/>
      <c r="N29" s="80"/>
      <c r="O29" s="233"/>
      <c r="P29" s="39"/>
      <c r="Q29" s="39"/>
    </row>
    <row r="30" spans="2:18" x14ac:dyDescent="0.2">
      <c r="B30" s="31"/>
      <c r="C30" s="31"/>
      <c r="D30" s="84"/>
      <c r="E30" s="71"/>
      <c r="F30" s="80"/>
      <c r="G30" s="80"/>
      <c r="H30" s="80"/>
      <c r="I30" s="80"/>
      <c r="J30" s="80"/>
      <c r="K30" s="80"/>
      <c r="L30" s="80"/>
      <c r="M30" s="80"/>
      <c r="N30" s="80"/>
      <c r="O30" s="233"/>
      <c r="P30" s="39"/>
      <c r="Q30" s="39"/>
    </row>
    <row r="31" spans="2:18" ht="76.5" x14ac:dyDescent="0.2">
      <c r="B31" s="34" t="s">
        <v>18</v>
      </c>
      <c r="C31" s="34" t="s">
        <v>32</v>
      </c>
      <c r="D31" s="186" t="s">
        <v>64</v>
      </c>
      <c r="E31" s="187" t="s">
        <v>34</v>
      </c>
      <c r="F31" s="186" t="s">
        <v>33</v>
      </c>
      <c r="G31" s="186" t="s">
        <v>114</v>
      </c>
      <c r="H31" s="186" t="s">
        <v>115</v>
      </c>
      <c r="I31" s="186" t="s">
        <v>116</v>
      </c>
      <c r="J31" s="186" t="s">
        <v>117</v>
      </c>
      <c r="K31" s="188" t="s">
        <v>118</v>
      </c>
      <c r="L31" s="188" t="s">
        <v>119</v>
      </c>
      <c r="M31" s="186" t="s">
        <v>120</v>
      </c>
      <c r="N31" s="186" t="s">
        <v>121</v>
      </c>
      <c r="O31" s="186" t="s">
        <v>122</v>
      </c>
      <c r="P31" s="186" t="s">
        <v>123</v>
      </c>
      <c r="Q31" s="186" t="s">
        <v>124</v>
      </c>
    </row>
    <row r="32" spans="2:18" x14ac:dyDescent="0.2">
      <c r="B32" s="195" t="s">
        <v>67</v>
      </c>
      <c r="C32" s="196"/>
      <c r="D32" s="196"/>
      <c r="E32" s="196"/>
      <c r="F32" s="196"/>
      <c r="G32" s="196"/>
      <c r="H32" s="196"/>
      <c r="I32" s="196"/>
      <c r="J32" s="196"/>
      <c r="K32" s="196"/>
      <c r="L32" s="196"/>
      <c r="M32" s="196"/>
      <c r="N32" s="196"/>
      <c r="O32" s="196"/>
      <c r="P32" s="196"/>
      <c r="Q32" s="196"/>
      <c r="R32" s="50"/>
    </row>
    <row r="33" spans="2:18" x14ac:dyDescent="0.2">
      <c r="B33" s="189" t="s">
        <v>68</v>
      </c>
      <c r="C33" s="190" t="s">
        <v>76</v>
      </c>
      <c r="D33" s="194">
        <v>0.6</v>
      </c>
      <c r="E33" s="192">
        <v>1</v>
      </c>
      <c r="F33" s="88">
        <f>E33*D33</f>
        <v>0.6</v>
      </c>
      <c r="G33" s="197">
        <v>0</v>
      </c>
      <c r="H33" s="88">
        <f>IF(G33=0,VLOOKUP(C:C,[1]Inputs!$B$20:$H$25,7,FALSE)*F33,VLOOKUP(C:C,[1]Inputs!$B$20:$I$25,8,FALSE)*F33)</f>
        <v>44.244889810631996</v>
      </c>
      <c r="I33" s="88">
        <f>VLOOKUP(C:C,[1]Inputs!$C$54:$G$59,5,FALSE)*F33</f>
        <v>0</v>
      </c>
      <c r="J33" s="88"/>
      <c r="K33" s="88"/>
      <c r="L33" s="88"/>
      <c r="M33" s="88">
        <f>SUM(H33:J33)</f>
        <v>44.244889810631996</v>
      </c>
      <c r="N33" s="88">
        <f>[1]Inputs!$M$43*M33</f>
        <v>20.614871586400195</v>
      </c>
      <c r="O33" s="88">
        <f>[1]Inputs!$M$48*M33</f>
        <v>7.0958885817001924</v>
      </c>
      <c r="P33" s="88">
        <f>[1]Inputs!$H$13*SUM(M33:O33)</f>
        <v>4.5634273216512078</v>
      </c>
      <c r="Q33" s="88">
        <f t="shared" ref="Q33" si="12">SUM(M33:P33)</f>
        <v>76.519077300383586</v>
      </c>
      <c r="R33" s="20"/>
    </row>
    <row r="34" spans="2:18" x14ac:dyDescent="0.2">
      <c r="B34" s="65" t="s">
        <v>69</v>
      </c>
      <c r="C34" s="64" t="s">
        <v>76</v>
      </c>
      <c r="D34" s="78">
        <v>0.6</v>
      </c>
      <c r="E34" s="70">
        <v>1</v>
      </c>
      <c r="F34" s="88">
        <f>E34*D34</f>
        <v>0.6</v>
      </c>
      <c r="G34" s="197">
        <v>0</v>
      </c>
      <c r="H34" s="88">
        <f>IF(G34=0,VLOOKUP(C:C,[1]Inputs!$B$20:$H$25,7,FALSE)*F34,VLOOKUP(C:C,[1]Inputs!$B$20:$I$25,8,FALSE)*F34)</f>
        <v>44.244889810631996</v>
      </c>
      <c r="I34" s="88">
        <f>VLOOKUP(C:C,[1]Inputs!$C$54:$G$59,5,FALSE)*F34</f>
        <v>0</v>
      </c>
      <c r="J34" s="88"/>
      <c r="K34" s="88"/>
      <c r="L34" s="88"/>
      <c r="M34" s="88">
        <f>SUM(H34:J34)</f>
        <v>44.244889810631996</v>
      </c>
      <c r="N34" s="88">
        <f>[1]Inputs!$M$43*M34</f>
        <v>20.614871586400195</v>
      </c>
      <c r="O34" s="88">
        <f>[1]Inputs!$M$48*M34</f>
        <v>7.0958885817001924</v>
      </c>
      <c r="P34" s="88">
        <f>[1]Inputs!$H$13*SUM(M34:O34)</f>
        <v>4.5634273216512078</v>
      </c>
      <c r="Q34" s="88">
        <f t="shared" ref="Q34" si="13">SUM(M34:P34)</f>
        <v>76.519077300383586</v>
      </c>
      <c r="R34" s="20"/>
    </row>
    <row r="35" spans="2:18" x14ac:dyDescent="0.2">
      <c r="B35" s="66"/>
      <c r="C35" s="64"/>
      <c r="D35" s="79"/>
      <c r="E35" s="69"/>
      <c r="F35" s="88"/>
      <c r="G35" s="88"/>
      <c r="H35" s="88"/>
      <c r="I35" s="88"/>
      <c r="J35" s="88"/>
      <c r="K35" s="88"/>
      <c r="L35" s="88"/>
      <c r="M35" s="88"/>
      <c r="N35" s="88"/>
      <c r="O35" s="35"/>
      <c r="P35" s="35"/>
      <c r="Q35" s="35"/>
      <c r="R35" s="20"/>
    </row>
    <row r="36" spans="2:18" ht="12.75" customHeight="1" x14ac:dyDescent="0.2">
      <c r="B36" s="295" t="s">
        <v>1</v>
      </c>
      <c r="C36" s="296"/>
      <c r="D36" s="296"/>
      <c r="E36" s="297"/>
      <c r="F36" s="86">
        <f>SUM(F33:F35)</f>
        <v>1.2</v>
      </c>
      <c r="G36" s="86">
        <f t="shared" ref="G36:Q36" si="14">SUM(G33:G35)</f>
        <v>0</v>
      </c>
      <c r="H36" s="86">
        <f t="shared" si="14"/>
        <v>88.489779621263992</v>
      </c>
      <c r="I36" s="86">
        <f t="shared" si="14"/>
        <v>0</v>
      </c>
      <c r="J36" s="86">
        <f t="shared" si="14"/>
        <v>0</v>
      </c>
      <c r="K36" s="86">
        <f t="shared" si="14"/>
        <v>0</v>
      </c>
      <c r="L36" s="86">
        <f t="shared" si="14"/>
        <v>0</v>
      </c>
      <c r="M36" s="86">
        <f t="shared" si="14"/>
        <v>88.489779621263992</v>
      </c>
      <c r="N36" s="86">
        <f t="shared" si="14"/>
        <v>41.22974317280039</v>
      </c>
      <c r="O36" s="86">
        <f t="shared" si="14"/>
        <v>14.191777163400385</v>
      </c>
      <c r="P36" s="86">
        <f t="shared" si="14"/>
        <v>9.1268546433024156</v>
      </c>
      <c r="Q36" s="86">
        <f t="shared" si="14"/>
        <v>153.03815460076717</v>
      </c>
    </row>
    <row r="37" spans="2:18" x14ac:dyDescent="0.2">
      <c r="O37" s="40"/>
    </row>
    <row r="41" spans="2:18" x14ac:dyDescent="0.2">
      <c r="R41" s="50"/>
    </row>
  </sheetData>
  <mergeCells count="5">
    <mergeCell ref="H2:Q2"/>
    <mergeCell ref="H3:Q3"/>
    <mergeCell ref="B36:E36"/>
    <mergeCell ref="B10:E10"/>
    <mergeCell ref="B24:E24"/>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77AB7A-2F92-4393-A88A-3B12C349E396}">
  <dimension ref="B1:O40"/>
  <sheetViews>
    <sheetView workbookViewId="0">
      <selection activeCell="E12" sqref="E12"/>
    </sheetView>
  </sheetViews>
  <sheetFormatPr defaultRowHeight="15" x14ac:dyDescent="0.25"/>
  <cols>
    <col min="1" max="1" width="4.42578125" customWidth="1"/>
    <col min="2" max="2" width="81" bestFit="1" customWidth="1"/>
    <col min="3" max="3" width="13.28515625" customWidth="1"/>
    <col min="4" max="8" width="12.7109375" bestFit="1" customWidth="1"/>
    <col min="10" max="15" width="10" bestFit="1" customWidth="1"/>
  </cols>
  <sheetData>
    <row r="1" spans="2:15" x14ac:dyDescent="0.25">
      <c r="B1" t="s">
        <v>130</v>
      </c>
      <c r="D1" s="207">
        <f>[1]Inputs!H16</f>
        <v>1</v>
      </c>
      <c r="E1" s="207">
        <f>[1]Inputs!I16</f>
        <v>1</v>
      </c>
      <c r="F1" s="207">
        <f>[1]Inputs!J16</f>
        <v>1.0109999999999999</v>
      </c>
      <c r="G1" s="207">
        <f>[1]Inputs!K16</f>
        <v>1.0231319999999999</v>
      </c>
      <c r="H1" s="207">
        <f>[1]Inputs!L16</f>
        <v>1.0337725727999998</v>
      </c>
      <c r="K1" s="208">
        <f>D1</f>
        <v>1</v>
      </c>
      <c r="L1" s="208">
        <f t="shared" ref="L1:O5" si="0">E1</f>
        <v>1</v>
      </c>
      <c r="M1" s="208">
        <f t="shared" si="0"/>
        <v>1.0109999999999999</v>
      </c>
      <c r="N1" s="208">
        <f t="shared" si="0"/>
        <v>1.0231319999999999</v>
      </c>
      <c r="O1" s="208">
        <f t="shared" si="0"/>
        <v>1.0337725727999998</v>
      </c>
    </row>
    <row r="2" spans="2:15" x14ac:dyDescent="0.25">
      <c r="B2" t="s">
        <v>131</v>
      </c>
      <c r="D2" s="207">
        <f>[1]Inputs!H61</f>
        <v>0.04</v>
      </c>
      <c r="E2" s="207">
        <f>[1]Inputs!I61</f>
        <v>0.04</v>
      </c>
      <c r="F2" s="207">
        <f>[1]Inputs!J61</f>
        <v>0.04</v>
      </c>
      <c r="G2" s="207">
        <f>[1]Inputs!K61</f>
        <v>0.04</v>
      </c>
      <c r="H2" s="207">
        <f>[1]Inputs!L61</f>
        <v>0.04</v>
      </c>
      <c r="K2" s="208"/>
      <c r="L2" s="208"/>
      <c r="M2" s="208"/>
      <c r="N2" s="208"/>
      <c r="O2" s="208"/>
    </row>
    <row r="3" spans="2:15" x14ac:dyDescent="0.25">
      <c r="B3" t="s">
        <v>132</v>
      </c>
      <c r="D3" s="208">
        <f>[1]Inputs!$M$43</f>
        <v>0.46592661151676018</v>
      </c>
      <c r="E3" s="208">
        <f>[1]Inputs!$M$43</f>
        <v>0.46592661151676018</v>
      </c>
      <c r="F3" s="208">
        <f>[1]Inputs!$M$43</f>
        <v>0.46592661151676018</v>
      </c>
      <c r="G3" s="208">
        <f>[1]Inputs!$M$43</f>
        <v>0.46592661151676018</v>
      </c>
      <c r="H3" s="208">
        <f>[1]Inputs!$M$43</f>
        <v>0.46592661151676018</v>
      </c>
      <c r="K3" s="208">
        <f t="shared" ref="K3:K5" si="1">D3</f>
        <v>0.46592661151676018</v>
      </c>
      <c r="L3" s="208">
        <f t="shared" si="0"/>
        <v>0.46592661151676018</v>
      </c>
      <c r="M3" s="208">
        <f t="shared" si="0"/>
        <v>0.46592661151676018</v>
      </c>
      <c r="N3" s="208">
        <f t="shared" si="0"/>
        <v>0.46592661151676018</v>
      </c>
      <c r="O3" s="208">
        <f t="shared" si="0"/>
        <v>0.46592661151676018</v>
      </c>
    </row>
    <row r="4" spans="2:15" x14ac:dyDescent="0.25">
      <c r="B4" t="s">
        <v>133</v>
      </c>
      <c r="D4" s="208">
        <f>[1]Inputs!$M$48</f>
        <v>0.16037758511933414</v>
      </c>
      <c r="E4" s="208">
        <f>[1]Inputs!$M$48</f>
        <v>0.16037758511933414</v>
      </c>
      <c r="F4" s="208">
        <f>[1]Inputs!$M$48</f>
        <v>0.16037758511933414</v>
      </c>
      <c r="G4" s="208">
        <f>[1]Inputs!$M$48</f>
        <v>0.16037758511933414</v>
      </c>
      <c r="H4" s="208">
        <f>[1]Inputs!$M$48</f>
        <v>0.16037758511933414</v>
      </c>
      <c r="K4" s="208">
        <f t="shared" si="1"/>
        <v>0.16037758511933414</v>
      </c>
      <c r="L4" s="208">
        <f t="shared" si="0"/>
        <v>0.16037758511933414</v>
      </c>
      <c r="M4" s="208">
        <f t="shared" si="0"/>
        <v>0.16037758511933414</v>
      </c>
      <c r="N4" s="208">
        <f t="shared" si="0"/>
        <v>0.16037758511933414</v>
      </c>
      <c r="O4" s="208">
        <f t="shared" si="0"/>
        <v>0.16037758511933414</v>
      </c>
    </row>
    <row r="5" spans="2:15" x14ac:dyDescent="0.25">
      <c r="B5" t="s">
        <v>134</v>
      </c>
      <c r="D5" s="208">
        <f>[1]Inputs!$H$13</f>
        <v>6.3420000000000004E-2</v>
      </c>
      <c r="E5" s="208">
        <f>[1]Inputs!$H$13</f>
        <v>6.3420000000000004E-2</v>
      </c>
      <c r="F5" s="208">
        <f>[1]Inputs!$H$13</f>
        <v>6.3420000000000004E-2</v>
      </c>
      <c r="G5" s="208">
        <f>[1]Inputs!$H$13</f>
        <v>6.3420000000000004E-2</v>
      </c>
      <c r="H5" s="208">
        <f>[1]Inputs!$H$13</f>
        <v>6.3420000000000004E-2</v>
      </c>
      <c r="K5" s="208">
        <f t="shared" si="1"/>
        <v>6.3420000000000004E-2</v>
      </c>
      <c r="L5" s="208">
        <f t="shared" si="0"/>
        <v>6.3420000000000004E-2</v>
      </c>
      <c r="M5" s="208">
        <f t="shared" si="0"/>
        <v>6.3420000000000004E-2</v>
      </c>
      <c r="N5" s="208">
        <f t="shared" si="0"/>
        <v>6.3420000000000004E-2</v>
      </c>
      <c r="O5" s="208">
        <f t="shared" si="0"/>
        <v>6.3420000000000004E-2</v>
      </c>
    </row>
    <row r="6" spans="2:15" s="209" customFormat="1" ht="15.75" x14ac:dyDescent="0.25">
      <c r="D6" s="300" t="s">
        <v>135</v>
      </c>
      <c r="E6" s="300"/>
      <c r="F6" s="300"/>
      <c r="G6" s="300"/>
      <c r="H6" s="300"/>
      <c r="J6" s="301" t="s">
        <v>136</v>
      </c>
      <c r="K6" s="301"/>
      <c r="L6" s="301"/>
      <c r="M6" s="301"/>
      <c r="N6" s="301"/>
      <c r="O6" s="301"/>
    </row>
    <row r="7" spans="2:15" x14ac:dyDescent="0.25">
      <c r="B7" s="210" t="s">
        <v>149</v>
      </c>
      <c r="C7" s="211"/>
      <c r="D7" s="211" t="s">
        <v>137</v>
      </c>
      <c r="E7" s="211" t="s">
        <v>138</v>
      </c>
      <c r="F7" s="211" t="s">
        <v>139</v>
      </c>
      <c r="G7" s="211" t="s">
        <v>140</v>
      </c>
      <c r="H7" s="211" t="s">
        <v>141</v>
      </c>
    </row>
    <row r="8" spans="2:15" x14ac:dyDescent="0.25">
      <c r="B8" s="212" t="s">
        <v>115</v>
      </c>
      <c r="C8" s="213"/>
      <c r="D8" s="214">
        <f>(D19*D$27)+(D31*D$39)</f>
        <v>170349.5821895343</v>
      </c>
      <c r="E8" s="214">
        <f t="shared" ref="E8:H8" si="2">(E19*E$27)+(E31*E$39)</f>
        <v>170349.5821895343</v>
      </c>
      <c r="F8" s="214">
        <f t="shared" si="2"/>
        <v>172223.42759361916</v>
      </c>
      <c r="G8" s="214">
        <f t="shared" si="2"/>
        <v>176207.29992071475</v>
      </c>
      <c r="H8" s="214">
        <f t="shared" si="2"/>
        <v>182158.27378517849</v>
      </c>
    </row>
    <row r="9" spans="2:15" x14ac:dyDescent="0.25">
      <c r="B9" s="212" t="s">
        <v>116</v>
      </c>
      <c r="C9" s="213"/>
      <c r="D9" s="214">
        <f t="shared" ref="D9:H15" si="3">(D20*D$27)+(D32*D$39)</f>
        <v>5919.7308865038949</v>
      </c>
      <c r="E9" s="214">
        <f t="shared" si="3"/>
        <v>5919.7308865038949</v>
      </c>
      <c r="F9" s="214">
        <f t="shared" si="3"/>
        <v>5919.7308865038949</v>
      </c>
      <c r="G9" s="214">
        <f t="shared" si="3"/>
        <v>5919.7308865038949</v>
      </c>
      <c r="H9" s="214">
        <f t="shared" si="3"/>
        <v>5919.7308865038949</v>
      </c>
    </row>
    <row r="10" spans="2:15" x14ac:dyDescent="0.25">
      <c r="B10" s="212" t="s">
        <v>117</v>
      </c>
      <c r="C10" s="213"/>
      <c r="D10" s="214">
        <f t="shared" si="3"/>
        <v>0</v>
      </c>
      <c r="E10" s="214">
        <f t="shared" si="3"/>
        <v>0</v>
      </c>
      <c r="F10" s="214">
        <f t="shared" si="3"/>
        <v>0</v>
      </c>
      <c r="G10" s="214">
        <f t="shared" si="3"/>
        <v>0</v>
      </c>
      <c r="H10" s="214">
        <f t="shared" si="3"/>
        <v>0</v>
      </c>
    </row>
    <row r="11" spans="2:15" x14ac:dyDescent="0.25">
      <c r="B11" s="215" t="s">
        <v>142</v>
      </c>
      <c r="C11" s="215"/>
      <c r="D11" s="216">
        <f t="shared" si="3"/>
        <v>176269.3130760382</v>
      </c>
      <c r="E11" s="216">
        <f t="shared" si="3"/>
        <v>176269.3130760382</v>
      </c>
      <c r="F11" s="216">
        <f t="shared" si="3"/>
        <v>178143.15848012303</v>
      </c>
      <c r="G11" s="216">
        <f t="shared" si="3"/>
        <v>182127.03080721863</v>
      </c>
      <c r="H11" s="216">
        <f t="shared" si="3"/>
        <v>188078.00467168237</v>
      </c>
    </row>
    <row r="12" spans="2:15" x14ac:dyDescent="0.25">
      <c r="B12" s="213" t="s">
        <v>121</v>
      </c>
      <c r="C12" s="213"/>
      <c r="D12" s="214">
        <f t="shared" si="3"/>
        <v>82128.56375590543</v>
      </c>
      <c r="E12" s="214">
        <f t="shared" si="3"/>
        <v>82128.56375590543</v>
      </c>
      <c r="F12" s="214">
        <f t="shared" si="3"/>
        <v>83001.638195536943</v>
      </c>
      <c r="G12" s="214">
        <f t="shared" si="3"/>
        <v>84857.830329615972</v>
      </c>
      <c r="H12" s="214">
        <f t="shared" si="3"/>
        <v>87630.547417510359</v>
      </c>
    </row>
    <row r="13" spans="2:15" x14ac:dyDescent="0.25">
      <c r="B13" s="213" t="s">
        <v>122</v>
      </c>
      <c r="C13" s="213"/>
      <c r="D13" s="214">
        <f t="shared" si="3"/>
        <v>28269.646761778873</v>
      </c>
      <c r="E13" s="214">
        <f t="shared" si="3"/>
        <v>28269.646761778873</v>
      </c>
      <c r="F13" s="214">
        <f t="shared" si="3"/>
        <v>28570.16956257297</v>
      </c>
      <c r="G13" s="214">
        <f t="shared" si="3"/>
        <v>29209.093385816297</v>
      </c>
      <c r="H13" s="214">
        <f t="shared" si="3"/>
        <v>30163.496203307266</v>
      </c>
    </row>
    <row r="14" spans="2:15" x14ac:dyDescent="0.25">
      <c r="B14" s="213" t="s">
        <v>129</v>
      </c>
      <c r="C14" s="213"/>
      <c r="D14" s="214">
        <f t="shared" si="3"/>
        <v>18180.454346313883</v>
      </c>
      <c r="E14" s="214">
        <f t="shared" si="3"/>
        <v>18180.454346313883</v>
      </c>
      <c r="F14" s="214">
        <f t="shared" si="3"/>
        <v>18373.723158828736</v>
      </c>
      <c r="G14" s="214">
        <f t="shared" si="3"/>
        <v>18784.62059582652</v>
      </c>
      <c r="H14" s="214">
        <f t="shared" si="3"/>
        <v>19398.405302710351</v>
      </c>
    </row>
    <row r="15" spans="2:15" s="218" customFormat="1" x14ac:dyDescent="0.25">
      <c r="B15" s="217" t="s">
        <v>143</v>
      </c>
      <c r="C15" s="213"/>
      <c r="D15" s="216">
        <f t="shared" si="3"/>
        <v>304847.97794003633</v>
      </c>
      <c r="E15" s="216">
        <f t="shared" si="3"/>
        <v>304847.97794003633</v>
      </c>
      <c r="F15" s="216">
        <f t="shared" si="3"/>
        <v>308088.68939706165</v>
      </c>
      <c r="G15" s="216">
        <f t="shared" si="3"/>
        <v>314978.57511847746</v>
      </c>
      <c r="H15" s="216">
        <f t="shared" si="3"/>
        <v>325270.45359521033</v>
      </c>
    </row>
    <row r="16" spans="2:15" s="203" customFormat="1" x14ac:dyDescent="0.25">
      <c r="B16" s="219" t="s">
        <v>144</v>
      </c>
      <c r="C16" s="215"/>
      <c r="D16" s="216">
        <f>D28+D40-D15</f>
        <v>0</v>
      </c>
      <c r="E16" s="216">
        <f t="shared" ref="E16:H16" si="4">E28+E40-E15</f>
        <v>0</v>
      </c>
      <c r="F16" s="216">
        <f t="shared" si="4"/>
        <v>0</v>
      </c>
      <c r="G16" s="216">
        <f t="shared" si="4"/>
        <v>0</v>
      </c>
      <c r="H16" s="216">
        <f t="shared" si="4"/>
        <v>0</v>
      </c>
    </row>
    <row r="17" spans="2:15" s="203" customFormat="1" x14ac:dyDescent="0.25">
      <c r="C17" s="220"/>
    </row>
    <row r="18" spans="2:15" x14ac:dyDescent="0.25">
      <c r="B18" s="221" t="s">
        <v>66</v>
      </c>
      <c r="C18" s="204"/>
      <c r="D18" s="302" t="s">
        <v>145</v>
      </c>
      <c r="E18" s="303"/>
      <c r="F18" s="303"/>
      <c r="G18" s="303"/>
      <c r="H18" s="303"/>
      <c r="J18" s="204"/>
      <c r="K18" s="302" t="s">
        <v>145</v>
      </c>
      <c r="L18" s="303"/>
      <c r="M18" s="303"/>
      <c r="N18" s="303"/>
      <c r="O18" s="303"/>
    </row>
    <row r="19" spans="2:15" x14ac:dyDescent="0.25">
      <c r="B19" s="222" t="s">
        <v>115</v>
      </c>
      <c r="C19" s="223">
        <f>'Bottom Up Estimation'!H10</f>
        <v>345.13716619733401</v>
      </c>
      <c r="D19" s="224">
        <f>C19*D$1</f>
        <v>345.13716619733401</v>
      </c>
      <c r="E19" s="224">
        <f>D19*E1</f>
        <v>345.13716619733401</v>
      </c>
      <c r="F19" s="224">
        <f>E19*F1</f>
        <v>348.93367502550467</v>
      </c>
      <c r="G19" s="224">
        <f>F19*G1</f>
        <v>357.00520879619461</v>
      </c>
      <c r="H19" s="224">
        <f>G19*H1</f>
        <v>369.0621932002432</v>
      </c>
      <c r="J19" s="223"/>
      <c r="K19" s="224">
        <f>J19*K$1</f>
        <v>0</v>
      </c>
      <c r="L19" s="224">
        <f>K19*L1</f>
        <v>0</v>
      </c>
      <c r="M19" s="224">
        <f>L19*M1</f>
        <v>0</v>
      </c>
      <c r="N19" s="224">
        <f>M19*N1</f>
        <v>0</v>
      </c>
      <c r="O19" s="224">
        <f>N19*O1</f>
        <v>0</v>
      </c>
    </row>
    <row r="20" spans="2:15" x14ac:dyDescent="0.25">
      <c r="B20" s="222" t="s">
        <v>116</v>
      </c>
      <c r="C20" s="223">
        <f>'Bottom Up Estimation'!I10</f>
        <v>23.678923546015579</v>
      </c>
      <c r="D20" s="224">
        <f>C20</f>
        <v>23.678923546015579</v>
      </c>
      <c r="E20" s="224">
        <f t="shared" ref="E20:H21" si="5">D20</f>
        <v>23.678923546015579</v>
      </c>
      <c r="F20" s="224">
        <f t="shared" si="5"/>
        <v>23.678923546015579</v>
      </c>
      <c r="G20" s="224">
        <f t="shared" si="5"/>
        <v>23.678923546015579</v>
      </c>
      <c r="H20" s="224">
        <f t="shared" si="5"/>
        <v>23.678923546015579</v>
      </c>
      <c r="J20" s="223"/>
      <c r="K20" s="224">
        <f>J20</f>
        <v>0</v>
      </c>
      <c r="L20" s="224">
        <f t="shared" ref="L20:O21" si="6">K20</f>
        <v>0</v>
      </c>
      <c r="M20" s="224">
        <f t="shared" si="6"/>
        <v>0</v>
      </c>
      <c r="N20" s="224">
        <f t="shared" si="6"/>
        <v>0</v>
      </c>
      <c r="O20" s="224">
        <f t="shared" si="6"/>
        <v>0</v>
      </c>
    </row>
    <row r="21" spans="2:15" x14ac:dyDescent="0.25">
      <c r="B21" s="222" t="s">
        <v>117</v>
      </c>
      <c r="C21" s="223">
        <f>'Bottom Up Estimation'!J10</f>
        <v>0</v>
      </c>
      <c r="D21" s="224">
        <f>C21</f>
        <v>0</v>
      </c>
      <c r="E21" s="224">
        <f t="shared" si="5"/>
        <v>0</v>
      </c>
      <c r="F21" s="224">
        <f t="shared" si="5"/>
        <v>0</v>
      </c>
      <c r="G21" s="224">
        <f t="shared" si="5"/>
        <v>0</v>
      </c>
      <c r="H21" s="224">
        <f t="shared" si="5"/>
        <v>0</v>
      </c>
      <c r="J21" s="223"/>
      <c r="K21" s="224">
        <f>J21</f>
        <v>0</v>
      </c>
      <c r="L21" s="224">
        <f t="shared" si="6"/>
        <v>0</v>
      </c>
      <c r="M21" s="224">
        <f t="shared" si="6"/>
        <v>0</v>
      </c>
      <c r="N21" s="224">
        <f t="shared" si="6"/>
        <v>0</v>
      </c>
      <c r="O21" s="224">
        <f t="shared" si="6"/>
        <v>0</v>
      </c>
    </row>
    <row r="22" spans="2:15" s="203" customFormat="1" x14ac:dyDescent="0.25">
      <c r="B22" s="225" t="s">
        <v>142</v>
      </c>
      <c r="C22" s="316">
        <f>'Bottom Up Estimation'!M10</f>
        <v>368.81608974334961</v>
      </c>
      <c r="D22" s="215">
        <f>SUM(D19:D21)</f>
        <v>368.81608974334961</v>
      </c>
      <c r="E22" s="215">
        <f t="shared" ref="E22:H22" si="7">SUM(E19:E21)</f>
        <v>368.81608974334961</v>
      </c>
      <c r="F22" s="215">
        <f t="shared" si="7"/>
        <v>372.61259857152027</v>
      </c>
      <c r="G22" s="215">
        <f t="shared" si="7"/>
        <v>380.68413234221021</v>
      </c>
      <c r="H22" s="215">
        <f t="shared" si="7"/>
        <v>392.7411167462588</v>
      </c>
      <c r="J22" s="226"/>
      <c r="K22" s="213">
        <f>SUM(K19:K21)</f>
        <v>0</v>
      </c>
      <c r="L22" s="213">
        <f t="shared" ref="L22:O22" si="8">SUM(L19:L21)</f>
        <v>0</v>
      </c>
      <c r="M22" s="213">
        <f t="shared" si="8"/>
        <v>0</v>
      </c>
      <c r="N22" s="213">
        <f t="shared" si="8"/>
        <v>0</v>
      </c>
      <c r="O22" s="213">
        <f t="shared" si="8"/>
        <v>0</v>
      </c>
    </row>
    <row r="23" spans="2:15" x14ac:dyDescent="0.25">
      <c r="B23" s="222" t="s">
        <v>121</v>
      </c>
      <c r="C23" s="223">
        <f>'Bottom Up Estimation'!N10</f>
        <v>171.84123096698022</v>
      </c>
      <c r="D23" s="224">
        <f>D22*D$3</f>
        <v>171.84123096698022</v>
      </c>
      <c r="E23" s="224">
        <f t="shared" ref="E23:H23" si="9">E22*E$3</f>
        <v>171.84123096698022</v>
      </c>
      <c r="F23" s="224">
        <f t="shared" si="9"/>
        <v>173.61012546088324</v>
      </c>
      <c r="G23" s="224">
        <f t="shared" si="9"/>
        <v>177.37086784040389</v>
      </c>
      <c r="H23" s="224">
        <f t="shared" si="9"/>
        <v>182.98853772889268</v>
      </c>
      <c r="J23" s="223"/>
      <c r="K23" s="224">
        <f>K22*K$3</f>
        <v>0</v>
      </c>
      <c r="L23" s="224">
        <f t="shared" ref="L23:O23" si="10">L22*L$3</f>
        <v>0</v>
      </c>
      <c r="M23" s="224">
        <f t="shared" si="10"/>
        <v>0</v>
      </c>
      <c r="N23" s="224">
        <f t="shared" si="10"/>
        <v>0</v>
      </c>
      <c r="O23" s="224">
        <f t="shared" si="10"/>
        <v>0</v>
      </c>
    </row>
    <row r="24" spans="2:15" x14ac:dyDescent="0.25">
      <c r="B24" s="222" t="s">
        <v>122</v>
      </c>
      <c r="C24" s="223">
        <f>'Bottom Up Estimation'!O10</f>
        <v>59.149833826194026</v>
      </c>
      <c r="D24" s="224">
        <f>D22*D$4</f>
        <v>59.149833826194033</v>
      </c>
      <c r="E24" s="224">
        <f t="shared" ref="E24:H24" si="11">E22*E$4</f>
        <v>59.149833826194033</v>
      </c>
      <c r="F24" s="224">
        <f t="shared" si="11"/>
        <v>59.758708743940275</v>
      </c>
      <c r="G24" s="224">
        <f t="shared" si="11"/>
        <v>61.053201838292679</v>
      </c>
      <c r="H24" s="224">
        <f t="shared" si="11"/>
        <v>62.986871880835466</v>
      </c>
      <c r="J24" s="223"/>
      <c r="K24" s="224">
        <f>K22*K$4</f>
        <v>0</v>
      </c>
      <c r="L24" s="224">
        <f t="shared" ref="L24:O24" si="12">L22*L$4</f>
        <v>0</v>
      </c>
      <c r="M24" s="224">
        <f t="shared" si="12"/>
        <v>0</v>
      </c>
      <c r="N24" s="224">
        <f t="shared" si="12"/>
        <v>0</v>
      </c>
      <c r="O24" s="224">
        <f t="shared" si="12"/>
        <v>0</v>
      </c>
    </row>
    <row r="25" spans="2:15" x14ac:dyDescent="0.25">
      <c r="B25" s="222" t="s">
        <v>123</v>
      </c>
      <c r="C25" s="223">
        <f>'Bottom Up Estimation'!P10</f>
        <v>38.039769740706348</v>
      </c>
      <c r="D25" s="224">
        <f>SUM(D22:D24)*D$5</f>
        <v>38.039769740706348</v>
      </c>
      <c r="E25" s="224">
        <f t="shared" ref="E25:H25" si="13">SUM(E22:E24)*E$5</f>
        <v>38.039769740706348</v>
      </c>
      <c r="F25" s="224">
        <f t="shared" si="13"/>
        <v>38.431342466675723</v>
      </c>
      <c r="G25" s="224">
        <f t="shared" si="13"/>
        <v>39.263842172165909</v>
      </c>
      <c r="H25" s="224">
        <f t="shared" si="13"/>
        <v>40.507402101496695</v>
      </c>
      <c r="J25" s="223"/>
      <c r="K25" s="224">
        <f>SUM(K22:K24)*K$5</f>
        <v>0</v>
      </c>
      <c r="L25" s="224">
        <f t="shared" ref="L25:O25" si="14">SUM(L22:L24)*L$5</f>
        <v>0</v>
      </c>
      <c r="M25" s="224">
        <f t="shared" si="14"/>
        <v>0</v>
      </c>
      <c r="N25" s="224">
        <f t="shared" si="14"/>
        <v>0</v>
      </c>
      <c r="O25" s="224">
        <f t="shared" si="14"/>
        <v>0</v>
      </c>
    </row>
    <row r="26" spans="2:15" s="203" customFormat="1" x14ac:dyDescent="0.25">
      <c r="B26" s="227" t="s">
        <v>146</v>
      </c>
      <c r="C26" s="228">
        <f>'Bottom Up Estimation'!Q10</f>
        <v>637.84692427723019</v>
      </c>
      <c r="D26" s="229">
        <f>SUM(D22:D25)</f>
        <v>637.84692427723019</v>
      </c>
      <c r="E26" s="229">
        <f t="shared" ref="E26:H26" si="15">SUM(E22:E25)</f>
        <v>637.84692427723019</v>
      </c>
      <c r="F26" s="229">
        <f t="shared" si="15"/>
        <v>644.41277524301938</v>
      </c>
      <c r="G26" s="229">
        <f t="shared" si="15"/>
        <v>658.37204419307272</v>
      </c>
      <c r="H26" s="229">
        <f t="shared" si="15"/>
        <v>679.22392845748368</v>
      </c>
      <c r="J26" s="228"/>
      <c r="K26" s="229">
        <f>SUM(K22:K25)</f>
        <v>0</v>
      </c>
      <c r="L26" s="229">
        <f t="shared" ref="L26:O26" si="16">SUM(L22:L25)</f>
        <v>0</v>
      </c>
      <c r="M26" s="229">
        <f t="shared" si="16"/>
        <v>0</v>
      </c>
      <c r="N26" s="229">
        <f t="shared" si="16"/>
        <v>0</v>
      </c>
      <c r="O26" s="229">
        <f t="shared" si="16"/>
        <v>0</v>
      </c>
    </row>
    <row r="27" spans="2:15" x14ac:dyDescent="0.25">
      <c r="B27" s="230" t="s">
        <v>147</v>
      </c>
      <c r="C27" s="224"/>
      <c r="D27" s="231">
        <f>'Forecast Revenue - Costs'!D12</f>
        <v>250</v>
      </c>
      <c r="E27" s="231">
        <f>'Forecast Revenue - Costs'!E12</f>
        <v>250</v>
      </c>
      <c r="F27" s="231">
        <f>'Forecast Revenue - Costs'!F12</f>
        <v>250</v>
      </c>
      <c r="G27" s="231">
        <f>'Forecast Revenue - Costs'!G12</f>
        <v>250</v>
      </c>
      <c r="H27" s="231">
        <f>'Forecast Revenue - Costs'!H12</f>
        <v>250</v>
      </c>
      <c r="J27" s="224"/>
      <c r="K27" s="231"/>
      <c r="L27" s="231"/>
      <c r="M27" s="231"/>
      <c r="N27" s="231"/>
      <c r="O27" s="231"/>
    </row>
    <row r="28" spans="2:15" s="203" customFormat="1" x14ac:dyDescent="0.25">
      <c r="B28" s="217" t="s">
        <v>148</v>
      </c>
      <c r="C28" s="215"/>
      <c r="D28" s="216">
        <f>D26*D27</f>
        <v>159461.73106930754</v>
      </c>
      <c r="E28" s="216">
        <f t="shared" ref="E28:H28" si="17">E26*E27</f>
        <v>159461.73106930754</v>
      </c>
      <c r="F28" s="216">
        <f t="shared" si="17"/>
        <v>161103.19381075483</v>
      </c>
      <c r="G28" s="216">
        <f t="shared" si="17"/>
        <v>164593.01104826818</v>
      </c>
      <c r="H28" s="216">
        <f t="shared" si="17"/>
        <v>169805.98211437091</v>
      </c>
      <c r="J28" s="215"/>
      <c r="K28" s="216"/>
      <c r="L28" s="216"/>
      <c r="M28" s="216"/>
      <c r="N28" s="216"/>
      <c r="O28" s="216"/>
    </row>
    <row r="30" spans="2:15" x14ac:dyDescent="0.25">
      <c r="B30" s="221" t="s">
        <v>67</v>
      </c>
      <c r="C30" s="204"/>
      <c r="D30" s="302" t="s">
        <v>145</v>
      </c>
      <c r="E30" s="303"/>
      <c r="F30" s="303"/>
      <c r="G30" s="303"/>
      <c r="H30" s="303"/>
      <c r="J30" s="204"/>
      <c r="K30" s="302" t="s">
        <v>145</v>
      </c>
      <c r="L30" s="303"/>
      <c r="M30" s="303"/>
      <c r="N30" s="303"/>
      <c r="O30" s="303"/>
    </row>
    <row r="31" spans="2:15" x14ac:dyDescent="0.25">
      <c r="B31" s="222" t="s">
        <v>115</v>
      </c>
      <c r="C31" s="223">
        <f>'Bottom Up Estimation'!H36</f>
        <v>88.489779621263992</v>
      </c>
      <c r="D31" s="224">
        <f>C31*D$1</f>
        <v>88.489779621263992</v>
      </c>
      <c r="E31" s="224">
        <f t="shared" ref="E31:H31" si="18">D31*E$1</f>
        <v>88.489779621263992</v>
      </c>
      <c r="F31" s="224">
        <f t="shared" si="18"/>
        <v>89.463167197097889</v>
      </c>
      <c r="G31" s="224">
        <f t="shared" si="18"/>
        <v>91.53262918070115</v>
      </c>
      <c r="H31" s="224">
        <f t="shared" si="18"/>
        <v>94.623921563281769</v>
      </c>
      <c r="J31" s="223"/>
      <c r="K31" s="224">
        <f>J31*K$1</f>
        <v>0</v>
      </c>
      <c r="L31" s="224">
        <f t="shared" ref="L31:O31" si="19">K31*L$1</f>
        <v>0</v>
      </c>
      <c r="M31" s="224">
        <f t="shared" si="19"/>
        <v>0</v>
      </c>
      <c r="N31" s="224">
        <f t="shared" si="19"/>
        <v>0</v>
      </c>
      <c r="O31" s="224">
        <f t="shared" si="19"/>
        <v>0</v>
      </c>
    </row>
    <row r="32" spans="2:15" x14ac:dyDescent="0.25">
      <c r="B32" s="222" t="s">
        <v>116</v>
      </c>
      <c r="C32" s="223">
        <f>'Bottom Up Estimation'!I36</f>
        <v>0</v>
      </c>
      <c r="D32" s="224">
        <f>C32</f>
        <v>0</v>
      </c>
      <c r="E32" s="224">
        <v>0</v>
      </c>
      <c r="F32" s="224">
        <v>0</v>
      </c>
      <c r="G32" s="224">
        <v>0</v>
      </c>
      <c r="H32" s="224">
        <v>0</v>
      </c>
      <c r="J32" s="223"/>
      <c r="K32" s="224">
        <f>J32</f>
        <v>0</v>
      </c>
      <c r="L32" s="224">
        <f t="shared" ref="L32:O33" si="20">K32</f>
        <v>0</v>
      </c>
      <c r="M32" s="224">
        <f t="shared" si="20"/>
        <v>0</v>
      </c>
      <c r="N32" s="224">
        <f t="shared" si="20"/>
        <v>0</v>
      </c>
      <c r="O32" s="224">
        <f t="shared" si="20"/>
        <v>0</v>
      </c>
    </row>
    <row r="33" spans="2:15" x14ac:dyDescent="0.25">
      <c r="B33" s="222" t="s">
        <v>117</v>
      </c>
      <c r="C33" s="223">
        <f>'Bottom Up Estimation'!J36</f>
        <v>0</v>
      </c>
      <c r="D33" s="224">
        <f>C33</f>
        <v>0</v>
      </c>
      <c r="E33" s="224">
        <f t="shared" ref="E33:H33" si="21">D33</f>
        <v>0</v>
      </c>
      <c r="F33" s="224">
        <f t="shared" si="21"/>
        <v>0</v>
      </c>
      <c r="G33" s="224">
        <f t="shared" si="21"/>
        <v>0</v>
      </c>
      <c r="H33" s="224">
        <f t="shared" si="21"/>
        <v>0</v>
      </c>
      <c r="J33" s="223"/>
      <c r="K33" s="224">
        <f>J33</f>
        <v>0</v>
      </c>
      <c r="L33" s="224">
        <f t="shared" si="20"/>
        <v>0</v>
      </c>
      <c r="M33" s="224">
        <f t="shared" si="20"/>
        <v>0</v>
      </c>
      <c r="N33" s="224">
        <f t="shared" si="20"/>
        <v>0</v>
      </c>
      <c r="O33" s="224">
        <f t="shared" si="20"/>
        <v>0</v>
      </c>
    </row>
    <row r="34" spans="2:15" x14ac:dyDescent="0.25">
      <c r="B34" s="225" t="s">
        <v>142</v>
      </c>
      <c r="C34" s="316">
        <f>'Bottom Up Estimation'!M36</f>
        <v>88.489779621263992</v>
      </c>
      <c r="D34" s="215">
        <f>SUM(D31:D33)</f>
        <v>88.489779621263992</v>
      </c>
      <c r="E34" s="215">
        <f t="shared" ref="E34:H34" si="22">SUM(E31:E33)</f>
        <v>88.489779621263992</v>
      </c>
      <c r="F34" s="215">
        <f t="shared" si="22"/>
        <v>89.463167197097889</v>
      </c>
      <c r="G34" s="215">
        <f t="shared" si="22"/>
        <v>91.53262918070115</v>
      </c>
      <c r="H34" s="215">
        <f t="shared" si="22"/>
        <v>94.623921563281769</v>
      </c>
      <c r="J34" s="226"/>
      <c r="K34" s="213">
        <f>SUM(K31:K33)</f>
        <v>0</v>
      </c>
      <c r="L34" s="213">
        <f t="shared" ref="L34:O34" si="23">SUM(L31:L33)</f>
        <v>0</v>
      </c>
      <c r="M34" s="213">
        <f t="shared" si="23"/>
        <v>0</v>
      </c>
      <c r="N34" s="213">
        <f t="shared" si="23"/>
        <v>0</v>
      </c>
      <c r="O34" s="213">
        <f t="shared" si="23"/>
        <v>0</v>
      </c>
    </row>
    <row r="35" spans="2:15" x14ac:dyDescent="0.25">
      <c r="B35" s="222" t="s">
        <v>121</v>
      </c>
      <c r="C35" s="223">
        <f>'Bottom Up Estimation'!N36</f>
        <v>41.22974317280039</v>
      </c>
      <c r="D35" s="224">
        <f>D34*D$3</f>
        <v>41.22974317280039</v>
      </c>
      <c r="E35" s="224">
        <f t="shared" ref="E35:H35" si="24">E34*E$3</f>
        <v>41.22974317280039</v>
      </c>
      <c r="F35" s="224">
        <f t="shared" si="24"/>
        <v>41.683270347701189</v>
      </c>
      <c r="G35" s="224">
        <f t="shared" si="24"/>
        <v>42.647487757384212</v>
      </c>
      <c r="H35" s="224">
        <f t="shared" si="24"/>
        <v>44.087803142407573</v>
      </c>
      <c r="J35" s="223"/>
      <c r="K35" s="224">
        <f>K34*K$3</f>
        <v>0</v>
      </c>
      <c r="L35" s="224">
        <f t="shared" ref="L35:O35" si="25">L34*L$3</f>
        <v>0</v>
      </c>
      <c r="M35" s="224">
        <f t="shared" si="25"/>
        <v>0</v>
      </c>
      <c r="N35" s="224">
        <f t="shared" si="25"/>
        <v>0</v>
      </c>
      <c r="O35" s="224">
        <f t="shared" si="25"/>
        <v>0</v>
      </c>
    </row>
    <row r="36" spans="2:15" x14ac:dyDescent="0.25">
      <c r="B36" s="222" t="s">
        <v>122</v>
      </c>
      <c r="C36" s="223">
        <f>'Bottom Up Estimation'!O36</f>
        <v>14.191777163400385</v>
      </c>
      <c r="D36" s="224">
        <f>D34*D$4</f>
        <v>14.191777163400385</v>
      </c>
      <c r="E36" s="224">
        <f t="shared" ref="E36:H36" si="26">E34*E$4</f>
        <v>14.191777163400385</v>
      </c>
      <c r="F36" s="224">
        <f t="shared" si="26"/>
        <v>14.34788671219779</v>
      </c>
      <c r="G36" s="224">
        <f t="shared" si="26"/>
        <v>14.679782027624347</v>
      </c>
      <c r="H36" s="224">
        <f t="shared" si="26"/>
        <v>15.175556034840419</v>
      </c>
      <c r="J36" s="223"/>
      <c r="K36" s="224">
        <f>K34*K$4</f>
        <v>0</v>
      </c>
      <c r="L36" s="224">
        <f t="shared" ref="L36:O36" si="27">L34*L$4</f>
        <v>0</v>
      </c>
      <c r="M36" s="224">
        <f t="shared" si="27"/>
        <v>0</v>
      </c>
      <c r="N36" s="224">
        <f t="shared" si="27"/>
        <v>0</v>
      </c>
      <c r="O36" s="224">
        <f t="shared" si="27"/>
        <v>0</v>
      </c>
    </row>
    <row r="37" spans="2:15" x14ac:dyDescent="0.25">
      <c r="B37" s="222" t="s">
        <v>123</v>
      </c>
      <c r="C37" s="223">
        <f>'Bottom Up Estimation'!P36</f>
        <v>9.1268546433024156</v>
      </c>
      <c r="D37" s="224">
        <f>SUM(D34:D36)*D$5</f>
        <v>9.1268546433024156</v>
      </c>
      <c r="E37" s="224">
        <f t="shared" ref="E37:H37" si="28">SUM(E34:E36)*E$5</f>
        <v>9.1268546433024156</v>
      </c>
      <c r="F37" s="224">
        <f t="shared" si="28"/>
        <v>9.2272500443787422</v>
      </c>
      <c r="G37" s="224">
        <f t="shared" si="28"/>
        <v>9.44069479240531</v>
      </c>
      <c r="H37" s="224">
        <f t="shared" si="28"/>
        <v>9.7595313445643974</v>
      </c>
      <c r="J37" s="223"/>
      <c r="K37" s="224">
        <f>SUM(K34:K36)*K$5</f>
        <v>0</v>
      </c>
      <c r="L37" s="224">
        <f t="shared" ref="L37:O37" si="29">SUM(L34:L36)*L$5</f>
        <v>0</v>
      </c>
      <c r="M37" s="224">
        <f t="shared" si="29"/>
        <v>0</v>
      </c>
      <c r="N37" s="224">
        <f t="shared" si="29"/>
        <v>0</v>
      </c>
      <c r="O37" s="224">
        <f t="shared" si="29"/>
        <v>0</v>
      </c>
    </row>
    <row r="38" spans="2:15" s="203" customFormat="1" x14ac:dyDescent="0.25">
      <c r="B38" s="227" t="s">
        <v>146</v>
      </c>
      <c r="C38" s="228">
        <f>'Bottom Up Estimation'!Q36</f>
        <v>153.03815460076717</v>
      </c>
      <c r="D38" s="229">
        <f>SUM(D34:D37)</f>
        <v>153.03815460076717</v>
      </c>
      <c r="E38" s="229">
        <f t="shared" ref="E38:H38" si="30">SUM(E34:E37)</f>
        <v>153.03815460076717</v>
      </c>
      <c r="F38" s="229">
        <f t="shared" si="30"/>
        <v>154.7215743013756</v>
      </c>
      <c r="G38" s="229">
        <f t="shared" si="30"/>
        <v>158.30059375811501</v>
      </c>
      <c r="H38" s="229">
        <f t="shared" si="30"/>
        <v>163.64681208509415</v>
      </c>
      <c r="J38" s="228"/>
      <c r="K38" s="229">
        <f>SUM(K34:K37)</f>
        <v>0</v>
      </c>
      <c r="L38" s="229">
        <f t="shared" ref="L38:O38" si="31">SUM(L34:L37)</f>
        <v>0</v>
      </c>
      <c r="M38" s="229">
        <f t="shared" si="31"/>
        <v>0</v>
      </c>
      <c r="N38" s="229">
        <f t="shared" si="31"/>
        <v>0</v>
      </c>
      <c r="O38" s="229">
        <f t="shared" si="31"/>
        <v>0</v>
      </c>
    </row>
    <row r="39" spans="2:15" x14ac:dyDescent="0.25">
      <c r="B39" s="230" t="s">
        <v>147</v>
      </c>
      <c r="C39" s="224"/>
      <c r="D39" s="231">
        <f>'Forecast Revenue - Costs'!D13</f>
        <v>950</v>
      </c>
      <c r="E39" s="231">
        <f>'Forecast Revenue - Costs'!E13</f>
        <v>950</v>
      </c>
      <c r="F39" s="231">
        <f>'Forecast Revenue - Costs'!F13</f>
        <v>950</v>
      </c>
      <c r="G39" s="231">
        <f>'Forecast Revenue - Costs'!G13</f>
        <v>950</v>
      </c>
      <c r="H39" s="231">
        <f>'Forecast Revenue - Costs'!H13</f>
        <v>950</v>
      </c>
      <c r="J39" s="224"/>
      <c r="K39" s="231"/>
      <c r="L39" s="231"/>
      <c r="M39" s="231"/>
      <c r="N39" s="231"/>
      <c r="O39" s="231"/>
    </row>
    <row r="40" spans="2:15" s="203" customFormat="1" x14ac:dyDescent="0.25">
      <c r="B40" s="217" t="s">
        <v>148</v>
      </c>
      <c r="C40" s="215"/>
      <c r="D40" s="216">
        <f>D38*D39</f>
        <v>145386.24687072882</v>
      </c>
      <c r="E40" s="216">
        <f t="shared" ref="E40:H40" si="32">E38*E39</f>
        <v>145386.24687072882</v>
      </c>
      <c r="F40" s="216">
        <f t="shared" si="32"/>
        <v>146985.49558630682</v>
      </c>
      <c r="G40" s="216">
        <f t="shared" si="32"/>
        <v>150385.56407020925</v>
      </c>
      <c r="H40" s="216">
        <f t="shared" si="32"/>
        <v>155464.47148083945</v>
      </c>
      <c r="J40" s="215"/>
      <c r="K40" s="216"/>
      <c r="L40" s="216"/>
      <c r="M40" s="216"/>
      <c r="N40" s="216"/>
      <c r="O40" s="216"/>
    </row>
  </sheetData>
  <mergeCells count="6">
    <mergeCell ref="D6:H6"/>
    <mergeCell ref="J6:O6"/>
    <mergeCell ref="D18:H18"/>
    <mergeCell ref="K18:O18"/>
    <mergeCell ref="D30:H30"/>
    <mergeCell ref="K30:O30"/>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B2:I36"/>
  <sheetViews>
    <sheetView showGridLines="0" topLeftCell="A4" workbookViewId="0">
      <selection activeCell="B40" sqref="B40"/>
    </sheetView>
  </sheetViews>
  <sheetFormatPr defaultRowHeight="15" x14ac:dyDescent="0.25"/>
  <cols>
    <col min="1" max="1" width="3.28515625" customWidth="1"/>
    <col min="2" max="2" width="66.42578125" customWidth="1"/>
    <col min="3" max="3" width="65.140625" customWidth="1"/>
    <col min="4" max="4" width="11.85546875" customWidth="1"/>
    <col min="5" max="8" width="11.28515625" customWidth="1"/>
    <col min="9" max="9" width="12.7109375" customWidth="1"/>
  </cols>
  <sheetData>
    <row r="2" spans="2:9" x14ac:dyDescent="0.25">
      <c r="B2" s="21" t="s">
        <v>51</v>
      </c>
      <c r="C2" s="22"/>
      <c r="D2" s="22"/>
      <c r="E2" s="22"/>
      <c r="F2" s="22"/>
      <c r="G2" s="22"/>
      <c r="H2" s="22"/>
      <c r="I2" s="22"/>
    </row>
    <row r="3" spans="2:9" x14ac:dyDescent="0.25">
      <c r="B3" s="1"/>
      <c r="C3" s="1"/>
      <c r="D3" s="1"/>
      <c r="E3" s="1"/>
      <c r="F3" s="1"/>
      <c r="G3" s="1"/>
      <c r="H3" s="1"/>
      <c r="I3" s="1"/>
    </row>
    <row r="4" spans="2:9" x14ac:dyDescent="0.25">
      <c r="B4" s="125" t="s">
        <v>77</v>
      </c>
      <c r="C4" s="125" t="s">
        <v>3</v>
      </c>
      <c r="D4" s="62" t="s">
        <v>60</v>
      </c>
      <c r="E4" s="62" t="s">
        <v>61</v>
      </c>
      <c r="F4" s="62" t="s">
        <v>62</v>
      </c>
      <c r="G4" s="62" t="s">
        <v>83</v>
      </c>
      <c r="H4" s="62" t="s">
        <v>63</v>
      </c>
      <c r="I4" s="126" t="s">
        <v>1</v>
      </c>
    </row>
    <row r="5" spans="2:9" x14ac:dyDescent="0.25">
      <c r="B5" s="89" t="s">
        <v>81</v>
      </c>
      <c r="C5" s="25" t="s">
        <v>78</v>
      </c>
      <c r="D5" s="24">
        <f>'Forecasts by year'!D28</f>
        <v>159461.73106930754</v>
      </c>
      <c r="E5" s="24">
        <f>'Forecasts by year'!E28</f>
        <v>159461.73106930754</v>
      </c>
      <c r="F5" s="24">
        <f>'Forecasts by year'!F28</f>
        <v>161103.19381075483</v>
      </c>
      <c r="G5" s="24">
        <f>'Forecasts by year'!G28</f>
        <v>164593.01104826818</v>
      </c>
      <c r="H5" s="24">
        <f>'Forecasts by year'!H28</f>
        <v>169805.98211437091</v>
      </c>
      <c r="I5" s="317">
        <f>SUM(D5:H5)</f>
        <v>814425.64911200898</v>
      </c>
    </row>
    <row r="6" spans="2:9" x14ac:dyDescent="0.25">
      <c r="B6" s="3" t="s">
        <v>82</v>
      </c>
      <c r="C6" s="23" t="s">
        <v>79</v>
      </c>
      <c r="D6" s="4">
        <f>'Forecasts by year'!D40</f>
        <v>145386.24687072882</v>
      </c>
      <c r="E6" s="4">
        <f>'Forecasts by year'!E40</f>
        <v>145386.24687072882</v>
      </c>
      <c r="F6" s="4">
        <f>'Forecasts by year'!F40</f>
        <v>146985.49558630682</v>
      </c>
      <c r="G6" s="4">
        <f>'Forecasts by year'!G40</f>
        <v>150385.56407020925</v>
      </c>
      <c r="H6" s="4">
        <f>'Forecasts by year'!H40</f>
        <v>155464.47148083945</v>
      </c>
      <c r="I6" s="317">
        <f t="shared" ref="I6" si="0">SUM(D6:H6)</f>
        <v>743608.02487881319</v>
      </c>
    </row>
    <row r="7" spans="2:9" x14ac:dyDescent="0.25">
      <c r="B7" s="13" t="s">
        <v>1</v>
      </c>
      <c r="C7" s="13"/>
      <c r="D7" s="318">
        <f>SUM(D5:D6)</f>
        <v>304847.97794003633</v>
      </c>
      <c r="E7" s="318">
        <f>SUM(E5:E6)</f>
        <v>304847.97794003633</v>
      </c>
      <c r="F7" s="318">
        <f>SUM(F5:F6)</f>
        <v>308088.68939706165</v>
      </c>
      <c r="G7" s="318">
        <f>SUM(G5:G6)</f>
        <v>314978.57511847746</v>
      </c>
      <c r="H7" s="318">
        <f>SUM(H5:H6)</f>
        <v>325270.45359521033</v>
      </c>
      <c r="I7" s="318">
        <f>SUM(I5:I6)</f>
        <v>1558033.6739908222</v>
      </c>
    </row>
    <row r="8" spans="2:9" x14ac:dyDescent="0.25">
      <c r="B8" s="1"/>
      <c r="C8" s="1"/>
      <c r="D8" s="1"/>
      <c r="E8" s="1"/>
      <c r="F8" s="1"/>
      <c r="G8" s="1"/>
      <c r="H8" s="1"/>
      <c r="I8" s="1"/>
    </row>
    <row r="9" spans="2:9" x14ac:dyDescent="0.25">
      <c r="B9" s="21" t="s">
        <v>28</v>
      </c>
      <c r="C9" s="22"/>
      <c r="D9" s="22"/>
      <c r="E9" s="22"/>
      <c r="F9" s="22"/>
      <c r="G9" s="22"/>
      <c r="H9" s="22"/>
      <c r="I9" s="22"/>
    </row>
    <row r="10" spans="2:9" x14ac:dyDescent="0.25">
      <c r="B10" s="1"/>
      <c r="C10" s="1"/>
      <c r="D10" s="1"/>
      <c r="E10" s="1"/>
      <c r="F10" s="1"/>
      <c r="G10" s="1"/>
      <c r="H10" s="1"/>
      <c r="I10" s="1"/>
    </row>
    <row r="11" spans="2:9" x14ac:dyDescent="0.25">
      <c r="B11" s="125" t="s">
        <v>4</v>
      </c>
      <c r="C11" s="125" t="s">
        <v>9</v>
      </c>
      <c r="D11" s="62" t="s">
        <v>60</v>
      </c>
      <c r="E11" s="62" t="s">
        <v>61</v>
      </c>
      <c r="F11" s="62" t="s">
        <v>62</v>
      </c>
      <c r="G11" s="62" t="s">
        <v>83</v>
      </c>
      <c r="H11" s="62" t="s">
        <v>63</v>
      </c>
      <c r="I11" s="126" t="s">
        <v>1</v>
      </c>
    </row>
    <row r="12" spans="2:9" x14ac:dyDescent="0.25">
      <c r="B12" s="3" t="str">
        <f>C5</f>
        <v>Authorisation ASP Initial</v>
      </c>
      <c r="C12" s="25" t="s">
        <v>78</v>
      </c>
      <c r="D12" s="92">
        <v>250</v>
      </c>
      <c r="E12" s="92">
        <v>250</v>
      </c>
      <c r="F12" s="92">
        <v>250</v>
      </c>
      <c r="G12" s="92">
        <v>250</v>
      </c>
      <c r="H12" s="92">
        <v>250</v>
      </c>
      <c r="I12" s="176">
        <f>SUM(D12:H12)</f>
        <v>1250</v>
      </c>
    </row>
    <row r="13" spans="2:9" x14ac:dyDescent="0.25">
      <c r="B13" s="3"/>
      <c r="C13" s="23" t="s">
        <v>79</v>
      </c>
      <c r="D13" s="92">
        <v>950</v>
      </c>
      <c r="E13" s="92">
        <v>950</v>
      </c>
      <c r="F13" s="92">
        <v>950</v>
      </c>
      <c r="G13" s="92">
        <v>950</v>
      </c>
      <c r="H13" s="92">
        <v>950</v>
      </c>
      <c r="I13" s="176">
        <f t="shared" ref="I13" si="1">SUM(D13:H13)</f>
        <v>4750</v>
      </c>
    </row>
    <row r="14" spans="2:9" x14ac:dyDescent="0.25">
      <c r="B14" s="13" t="s">
        <v>17</v>
      </c>
      <c r="C14" s="13"/>
      <c r="D14" s="128">
        <f>SUM(D12:D13)</f>
        <v>1200</v>
      </c>
      <c r="E14" s="128">
        <f>SUM(E12:E13)</f>
        <v>1200</v>
      </c>
      <c r="F14" s="128">
        <f>SUM(F12:F13)</f>
        <v>1200</v>
      </c>
      <c r="G14" s="128">
        <f>SUM(G12:G13)</f>
        <v>1200</v>
      </c>
      <c r="H14" s="128">
        <f>SUM(H12:H13)</f>
        <v>1200</v>
      </c>
      <c r="I14" s="128">
        <f>SUM(I12:I13)</f>
        <v>6000</v>
      </c>
    </row>
    <row r="15" spans="2:9" x14ac:dyDescent="0.25">
      <c r="B15" s="1"/>
      <c r="C15" s="1"/>
      <c r="D15" s="7"/>
      <c r="E15" s="7"/>
      <c r="F15" s="7"/>
      <c r="G15" s="7"/>
      <c r="H15" s="7"/>
      <c r="I15" s="7"/>
    </row>
    <row r="16" spans="2:9" x14ac:dyDescent="0.25">
      <c r="B16" s="8" t="s">
        <v>6</v>
      </c>
      <c r="C16" s="1"/>
      <c r="D16" s="7"/>
      <c r="E16" s="7"/>
      <c r="F16" s="7"/>
      <c r="G16" s="7"/>
      <c r="H16" s="7"/>
      <c r="I16" s="7"/>
    </row>
    <row r="17" spans="2:9" x14ac:dyDescent="0.25">
      <c r="B17" s="304"/>
      <c r="C17" s="304"/>
      <c r="D17" s="304"/>
      <c r="E17" s="304"/>
      <c r="F17" s="304"/>
      <c r="G17" s="304"/>
      <c r="H17" s="304"/>
      <c r="I17" s="304"/>
    </row>
    <row r="18" spans="2:9" x14ac:dyDescent="0.25">
      <c r="B18" s="305"/>
      <c r="C18" s="305"/>
      <c r="D18" s="305"/>
      <c r="E18" s="305"/>
      <c r="F18" s="305"/>
      <c r="G18" s="305"/>
      <c r="H18" s="305"/>
      <c r="I18" s="305"/>
    </row>
    <row r="19" spans="2:9" x14ac:dyDescent="0.25">
      <c r="B19" s="1"/>
      <c r="C19" s="1"/>
      <c r="D19" s="7"/>
      <c r="E19" s="7"/>
      <c r="F19" s="7"/>
      <c r="G19" s="7"/>
      <c r="H19" s="7"/>
      <c r="I19" s="7"/>
    </row>
    <row r="20" spans="2:9" x14ac:dyDescent="0.25">
      <c r="B20" s="21" t="s">
        <v>29</v>
      </c>
      <c r="C20" s="22"/>
      <c r="D20" s="22"/>
      <c r="E20" s="22"/>
      <c r="F20" s="22"/>
      <c r="G20" s="22"/>
      <c r="H20" s="22"/>
      <c r="I20" s="22"/>
    </row>
    <row r="21" spans="2:9" x14ac:dyDescent="0.25">
      <c r="B21" s="1"/>
      <c r="C21" s="1"/>
      <c r="D21" s="1"/>
      <c r="E21" s="1"/>
      <c r="F21" s="1"/>
      <c r="G21" s="1"/>
      <c r="H21" s="1"/>
      <c r="I21" s="1"/>
    </row>
    <row r="22" spans="2:9" x14ac:dyDescent="0.25">
      <c r="B22" s="9" t="s">
        <v>27</v>
      </c>
      <c r="C22" s="10"/>
      <c r="D22" s="10"/>
      <c r="E22" s="10"/>
      <c r="F22" s="10"/>
      <c r="G22" s="10"/>
      <c r="H22" s="10"/>
      <c r="I22" s="10"/>
    </row>
    <row r="23" spans="2:9" x14ac:dyDescent="0.25">
      <c r="B23" s="308" t="s">
        <v>172</v>
      </c>
      <c r="C23" s="288"/>
      <c r="D23" s="288"/>
      <c r="E23" s="288"/>
      <c r="F23" s="288"/>
      <c r="G23" s="288"/>
      <c r="H23" s="288"/>
      <c r="I23" s="288"/>
    </row>
    <row r="24" spans="2:9" x14ac:dyDescent="0.25">
      <c r="B24" s="290"/>
      <c r="C24" s="290"/>
      <c r="D24" s="290"/>
      <c r="E24" s="290"/>
      <c r="F24" s="290"/>
      <c r="G24" s="290"/>
      <c r="H24" s="290"/>
      <c r="I24" s="290"/>
    </row>
    <row r="25" spans="2:9" x14ac:dyDescent="0.25">
      <c r="B25" s="11"/>
      <c r="C25" s="12"/>
      <c r="D25" s="12"/>
      <c r="E25" s="12"/>
      <c r="F25" s="12"/>
      <c r="G25" s="12"/>
      <c r="H25" s="12"/>
      <c r="I25" s="12"/>
    </row>
    <row r="26" spans="2:9" x14ac:dyDescent="0.25">
      <c r="B26" s="1"/>
      <c r="C26" s="1"/>
      <c r="D26" s="1"/>
      <c r="E26" s="1"/>
      <c r="F26" s="1"/>
      <c r="G26" s="1"/>
      <c r="H26" s="1"/>
      <c r="I26" s="1"/>
    </row>
    <row r="27" spans="2:9" x14ac:dyDescent="0.25">
      <c r="B27" s="26" t="s">
        <v>49</v>
      </c>
      <c r="C27" s="27"/>
      <c r="D27" s="306" t="s">
        <v>125</v>
      </c>
      <c r="E27" s="306"/>
      <c r="F27" s="306"/>
      <c r="G27" s="306"/>
      <c r="H27" s="306"/>
      <c r="I27" s="27"/>
    </row>
    <row r="28" spans="2:9" ht="15.75" customHeight="1" x14ac:dyDescent="0.25">
      <c r="B28" s="2" t="s">
        <v>21</v>
      </c>
      <c r="C28" s="13" t="s">
        <v>3</v>
      </c>
      <c r="D28" s="63" t="s">
        <v>60</v>
      </c>
      <c r="E28" s="63" t="s">
        <v>61</v>
      </c>
      <c r="F28" s="63" t="s">
        <v>62</v>
      </c>
      <c r="G28" s="63" t="s">
        <v>83</v>
      </c>
      <c r="H28" s="199" t="s">
        <v>63</v>
      </c>
      <c r="I28" s="14" t="s">
        <v>1</v>
      </c>
    </row>
    <row r="29" spans="2:9" s="203" customFormat="1" x14ac:dyDescent="0.25">
      <c r="B29" s="200" t="s">
        <v>126</v>
      </c>
      <c r="C29" s="201"/>
      <c r="D29" s="87">
        <f>'Forecasts by year'!D8</f>
        <v>170349.5821895343</v>
      </c>
      <c r="E29" s="87">
        <f>'Forecasts by year'!E8</f>
        <v>170349.5821895343</v>
      </c>
      <c r="F29" s="87">
        <f>'Forecasts by year'!F8</f>
        <v>172223.42759361916</v>
      </c>
      <c r="G29" s="87">
        <f>'Forecasts by year'!G8</f>
        <v>176207.29992071475</v>
      </c>
      <c r="H29" s="87">
        <f>'Forecasts by year'!H8</f>
        <v>182158.27378517849</v>
      </c>
      <c r="I29" s="202">
        <f t="shared" ref="I29:I31" si="2">SUM(D29:H29)</f>
        <v>871288.16567858099</v>
      </c>
    </row>
    <row r="30" spans="2:9" s="203" customFormat="1" x14ac:dyDescent="0.25">
      <c r="B30" s="200" t="s">
        <v>127</v>
      </c>
      <c r="C30" s="204"/>
      <c r="D30" s="87">
        <f>'Forecasts by year'!D9</f>
        <v>5919.7308865038949</v>
      </c>
      <c r="E30" s="87">
        <f>'Forecasts by year'!E9</f>
        <v>5919.7308865038949</v>
      </c>
      <c r="F30" s="87">
        <f>'Forecasts by year'!F9</f>
        <v>5919.7308865038949</v>
      </c>
      <c r="G30" s="87">
        <f>'Forecasts by year'!G9</f>
        <v>5919.7308865038949</v>
      </c>
      <c r="H30" s="87">
        <f>'Forecasts by year'!H9</f>
        <v>5919.7308865038949</v>
      </c>
      <c r="I30" s="202">
        <f t="shared" si="2"/>
        <v>29598.654432519474</v>
      </c>
    </row>
    <row r="31" spans="2:9" s="203" customFormat="1" x14ac:dyDescent="0.25">
      <c r="B31" s="200" t="s">
        <v>117</v>
      </c>
      <c r="C31" s="204"/>
      <c r="D31" s="87">
        <f>'Forecasts by year'!D10</f>
        <v>0</v>
      </c>
      <c r="E31" s="87">
        <f>'Forecasts by year'!E10</f>
        <v>0</v>
      </c>
      <c r="F31" s="87">
        <f>'Forecasts by year'!F10</f>
        <v>0</v>
      </c>
      <c r="G31" s="87">
        <f>'Forecasts by year'!G10</f>
        <v>0</v>
      </c>
      <c r="H31" s="87">
        <f>'Forecasts by year'!H10</f>
        <v>0</v>
      </c>
      <c r="I31" s="202">
        <f t="shared" si="2"/>
        <v>0</v>
      </c>
    </row>
    <row r="32" spans="2:9" s="203" customFormat="1" x14ac:dyDescent="0.25">
      <c r="B32" s="205" t="s">
        <v>128</v>
      </c>
      <c r="C32" s="204"/>
      <c r="D32" s="206">
        <f>'Forecasts by year'!D11</f>
        <v>176269.3130760382</v>
      </c>
      <c r="E32" s="206">
        <f>'Forecasts by year'!E11</f>
        <v>176269.3130760382</v>
      </c>
      <c r="F32" s="206">
        <f>'Forecasts by year'!F11</f>
        <v>178143.15848012303</v>
      </c>
      <c r="G32" s="206">
        <f>'Forecasts by year'!G11</f>
        <v>182127.03080721863</v>
      </c>
      <c r="H32" s="206">
        <f>'Forecasts by year'!H11</f>
        <v>188078.00467168237</v>
      </c>
      <c r="I32" s="202">
        <f>SUM(D32:H32)</f>
        <v>900886.82011110045</v>
      </c>
    </row>
    <row r="33" spans="2:9" x14ac:dyDescent="0.25">
      <c r="B33" s="5" t="s">
        <v>121</v>
      </c>
      <c r="C33" s="6"/>
      <c r="D33" s="87">
        <f>'Forecasts by year'!D12</f>
        <v>82128.56375590543</v>
      </c>
      <c r="E33" s="87">
        <f>'Forecasts by year'!E12</f>
        <v>82128.56375590543</v>
      </c>
      <c r="F33" s="87">
        <f>'Forecasts by year'!F12</f>
        <v>83001.638195536943</v>
      </c>
      <c r="G33" s="87">
        <f>'Forecasts by year'!G12</f>
        <v>84857.830329615972</v>
      </c>
      <c r="H33" s="87">
        <f>'Forecasts by year'!H12</f>
        <v>87630.547417510359</v>
      </c>
      <c r="I33" s="202">
        <f>SUM(D33:H33)</f>
        <v>419747.14345447411</v>
      </c>
    </row>
    <row r="34" spans="2:9" x14ac:dyDescent="0.25">
      <c r="B34" s="5" t="s">
        <v>122</v>
      </c>
      <c r="C34" s="3"/>
      <c r="D34" s="87">
        <f>'Forecasts by year'!D13</f>
        <v>28269.646761778873</v>
      </c>
      <c r="E34" s="87">
        <f>'Forecasts by year'!E13</f>
        <v>28269.646761778873</v>
      </c>
      <c r="F34" s="87">
        <f>'Forecasts by year'!F13</f>
        <v>28570.16956257297</v>
      </c>
      <c r="G34" s="87">
        <f>'Forecasts by year'!G13</f>
        <v>29209.093385816297</v>
      </c>
      <c r="H34" s="87">
        <f>'Forecasts by year'!H13</f>
        <v>30163.496203307266</v>
      </c>
      <c r="I34" s="202">
        <f>SUM(D34:H34)</f>
        <v>144482.05267525426</v>
      </c>
    </row>
    <row r="35" spans="2:9" x14ac:dyDescent="0.25">
      <c r="B35" s="5" t="s">
        <v>129</v>
      </c>
      <c r="C35" s="3"/>
      <c r="D35" s="87">
        <f>'Forecasts by year'!D14</f>
        <v>18180.454346313883</v>
      </c>
      <c r="E35" s="87">
        <f>'Forecasts by year'!E14</f>
        <v>18180.454346313883</v>
      </c>
      <c r="F35" s="87">
        <f>'Forecasts by year'!F14</f>
        <v>18373.723158828736</v>
      </c>
      <c r="G35" s="87">
        <f>'Forecasts by year'!G14</f>
        <v>18784.62059582652</v>
      </c>
      <c r="H35" s="87">
        <f>'Forecasts by year'!H14</f>
        <v>19398.405302710351</v>
      </c>
      <c r="I35" s="202">
        <f>SUM(D35:H35)</f>
        <v>92917.657749993377</v>
      </c>
    </row>
    <row r="36" spans="2:9" x14ac:dyDescent="0.25">
      <c r="B36" s="16" t="s">
        <v>1</v>
      </c>
      <c r="C36" s="17"/>
      <c r="D36" s="18">
        <f>SUM(D32:D35)</f>
        <v>304847.97794003639</v>
      </c>
      <c r="E36" s="18">
        <f t="shared" ref="E36:H36" si="3">SUM(E32:E35)</f>
        <v>304847.97794003639</v>
      </c>
      <c r="F36" s="18">
        <f t="shared" si="3"/>
        <v>308088.68939706171</v>
      </c>
      <c r="G36" s="18">
        <f t="shared" si="3"/>
        <v>314978.57511847746</v>
      </c>
      <c r="H36" s="18">
        <f t="shared" si="3"/>
        <v>325270.45359521033</v>
      </c>
      <c r="I36" s="19">
        <f>SUM(I32:I35)</f>
        <v>1558033.6739908219</v>
      </c>
    </row>
  </sheetData>
  <mergeCells count="3">
    <mergeCell ref="B17:I18"/>
    <mergeCell ref="B23:I24"/>
    <mergeCell ref="D27:H2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AER Summary</vt:lpstr>
      <vt:lpstr>Service Description</vt:lpstr>
      <vt:lpstr>Operating Costs</vt:lpstr>
      <vt:lpstr>Historical Revenue</vt:lpstr>
      <vt:lpstr>Bottom Up Estimation</vt:lpstr>
      <vt:lpstr>Forecasts by year</vt:lpstr>
      <vt:lpstr>Forecast Revenue - Costs</vt:lpstr>
    </vt:vector>
  </TitlesOfParts>
  <Company>Ausgrid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Timothy Peters</cp:lastModifiedBy>
  <cp:lastPrinted>2017-08-29T06:11:46Z</cp:lastPrinted>
  <dcterms:created xsi:type="dcterms:W3CDTF">2013-06-17T01:25:32Z</dcterms:created>
  <dcterms:modified xsi:type="dcterms:W3CDTF">2018-04-17T22:26:25Z</dcterms:modified>
</cp:coreProperties>
</file>