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8_Network Safety Services\"/>
    </mc:Choice>
  </mc:AlternateContent>
  <xr:revisionPtr revIDLastSave="0" documentId="13_ncr:1_{3911BDC2-09D8-4293-9A41-70900905F852}"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I7" i="13" l="1"/>
  <c r="I8" i="13"/>
  <c r="I9" i="13"/>
  <c r="I15" i="13"/>
  <c r="I16" i="13"/>
  <c r="I14" i="15"/>
  <c r="I5" i="15"/>
  <c r="I6" i="15"/>
  <c r="I7" i="15"/>
  <c r="I8" i="15"/>
  <c r="B20" i="9"/>
  <c r="H5" i="17" l="1"/>
  <c r="G5" i="17"/>
  <c r="F5" i="17"/>
  <c r="E5" i="17"/>
  <c r="D5" i="17"/>
  <c r="H2" i="17"/>
  <c r="G2" i="17"/>
  <c r="F2" i="17"/>
  <c r="E2" i="17"/>
  <c r="D2" i="17"/>
  <c r="H1" i="17"/>
  <c r="G1" i="17"/>
  <c r="F1" i="17"/>
  <c r="E1" i="17"/>
  <c r="D1" i="17"/>
  <c r="I13" i="16" l="1"/>
  <c r="L27" i="17"/>
  <c r="M27" i="17"/>
  <c r="N27" i="17"/>
  <c r="O27" i="17"/>
  <c r="K27" i="17"/>
  <c r="E27" i="17"/>
  <c r="F27" i="17"/>
  <c r="G27" i="17"/>
  <c r="H27" i="17"/>
  <c r="D27" i="17"/>
  <c r="N5" i="17"/>
  <c r="L5" i="17"/>
  <c r="O1" i="17"/>
  <c r="N1" i="17"/>
  <c r="M1" i="17"/>
  <c r="L1" i="17"/>
  <c r="K1" i="17"/>
  <c r="G20" i="11"/>
  <c r="J20" i="11"/>
  <c r="C21" i="17" s="1"/>
  <c r="D21" i="17" s="1"/>
  <c r="D10" i="17" s="1"/>
  <c r="K20" i="11"/>
  <c r="L20" i="11"/>
  <c r="G40" i="11"/>
  <c r="J40" i="11"/>
  <c r="J21" i="17" s="1"/>
  <c r="K21" i="17" s="1"/>
  <c r="L21" i="17" s="1"/>
  <c r="M21" i="17" s="1"/>
  <c r="N21" i="17" s="1"/>
  <c r="O21" i="17" s="1"/>
  <c r="K40" i="11"/>
  <c r="L40" i="11"/>
  <c r="F7" i="11"/>
  <c r="H7" i="11" l="1"/>
  <c r="I7" i="11"/>
  <c r="O10" i="17"/>
  <c r="N10" i="17"/>
  <c r="K10" i="17"/>
  <c r="D31" i="16" s="1"/>
  <c r="L10" i="17"/>
  <c r="M10" i="17"/>
  <c r="E21" i="17"/>
  <c r="E10" i="17" s="1"/>
  <c r="K5" i="17"/>
  <c r="O5" i="17"/>
  <c r="M5" i="17"/>
  <c r="I14" i="13"/>
  <c r="G17" i="13"/>
  <c r="H17" i="13"/>
  <c r="I6" i="13"/>
  <c r="G10" i="13"/>
  <c r="H10" i="13"/>
  <c r="I13" i="15"/>
  <c r="G15" i="15"/>
  <c r="H15" i="15"/>
  <c r="I4" i="15"/>
  <c r="G9" i="15"/>
  <c r="H9" i="15"/>
  <c r="M7" i="11" l="1"/>
  <c r="E31" i="16"/>
  <c r="F21" i="17"/>
  <c r="F10" i="17" s="1"/>
  <c r="F31" i="16" s="1"/>
  <c r="G21" i="17" l="1"/>
  <c r="G10" i="17" s="1"/>
  <c r="G31" i="16" s="1"/>
  <c r="E14" i="16"/>
  <c r="D58" i="8" s="1"/>
  <c r="F14" i="16"/>
  <c r="E58" i="8" s="1"/>
  <c r="G14" i="16"/>
  <c r="F58" i="8" s="1"/>
  <c r="H14" i="16"/>
  <c r="G58" i="8" s="1"/>
  <c r="D14" i="16"/>
  <c r="C58" i="8" s="1"/>
  <c r="H21" i="17" l="1"/>
  <c r="H10" i="17" s="1"/>
  <c r="H31" i="16" s="1"/>
  <c r="I31" i="16" s="1"/>
  <c r="I12" i="16"/>
  <c r="F37" i="11"/>
  <c r="F36" i="11"/>
  <c r="F35" i="11"/>
  <c r="F34" i="11"/>
  <c r="F33" i="11"/>
  <c r="F32" i="11"/>
  <c r="F31" i="11"/>
  <c r="F30" i="11"/>
  <c r="F29" i="11"/>
  <c r="F28" i="11"/>
  <c r="F27" i="11"/>
  <c r="I34" i="11" l="1"/>
  <c r="H34" i="11"/>
  <c r="M34" i="11" s="1"/>
  <c r="F40" i="11"/>
  <c r="H27" i="11"/>
  <c r="I27" i="11"/>
  <c r="I35" i="11"/>
  <c r="H35" i="11"/>
  <c r="I28" i="11"/>
  <c r="H28" i="11"/>
  <c r="I32" i="11"/>
  <c r="H32" i="11"/>
  <c r="I36" i="11"/>
  <c r="H36" i="11"/>
  <c r="I30" i="11"/>
  <c r="H30" i="11"/>
  <c r="I31" i="11"/>
  <c r="H31" i="11"/>
  <c r="I29" i="11"/>
  <c r="H29" i="11"/>
  <c r="I33" i="11"/>
  <c r="H33" i="11"/>
  <c r="I37" i="11"/>
  <c r="H37" i="11"/>
  <c r="F17" i="11"/>
  <c r="F16" i="11"/>
  <c r="F15" i="11"/>
  <c r="F14" i="11"/>
  <c r="F13" i="11"/>
  <c r="F12" i="11"/>
  <c r="F11" i="11"/>
  <c r="F10" i="11"/>
  <c r="F9" i="11"/>
  <c r="F8" i="11"/>
  <c r="M33" i="11" l="1"/>
  <c r="M31" i="11"/>
  <c r="M36" i="11"/>
  <c r="M28" i="11"/>
  <c r="I40" i="11"/>
  <c r="J20" i="17" s="1"/>
  <c r="K20" i="17" s="1"/>
  <c r="M27" i="11"/>
  <c r="H40" i="11"/>
  <c r="J19" i="17" s="1"/>
  <c r="K19" i="17" s="1"/>
  <c r="M37" i="11"/>
  <c r="M29" i="11"/>
  <c r="M30" i="11"/>
  <c r="M32" i="11"/>
  <c r="M35" i="11"/>
  <c r="H12" i="11"/>
  <c r="I12" i="11"/>
  <c r="H13" i="11"/>
  <c r="I13" i="11"/>
  <c r="H17" i="11"/>
  <c r="I17" i="11"/>
  <c r="H16" i="11"/>
  <c r="I16" i="11"/>
  <c r="I10" i="11"/>
  <c r="H10" i="11"/>
  <c r="I14" i="11"/>
  <c r="H14" i="11"/>
  <c r="M14" i="11" s="1"/>
  <c r="H11" i="11"/>
  <c r="I11" i="11"/>
  <c r="I15" i="11"/>
  <c r="H15" i="11"/>
  <c r="M15" i="11" s="1"/>
  <c r="H9" i="11"/>
  <c r="I9" i="11"/>
  <c r="I8" i="11"/>
  <c r="H8" i="11"/>
  <c r="F20" i="11"/>
  <c r="L20" i="17" l="1"/>
  <c r="K9" i="17"/>
  <c r="K8" i="17"/>
  <c r="L19" i="17"/>
  <c r="K22" i="17"/>
  <c r="K11" i="17" s="1"/>
  <c r="M40" i="11"/>
  <c r="J22" i="17" s="1"/>
  <c r="M9" i="11"/>
  <c r="M11" i="11"/>
  <c r="M17" i="11"/>
  <c r="M13" i="11"/>
  <c r="M10" i="11"/>
  <c r="M16" i="11"/>
  <c r="M12" i="11"/>
  <c r="I20" i="11"/>
  <c r="C20" i="17" s="1"/>
  <c r="D20" i="17" s="1"/>
  <c r="E20" i="17" s="1"/>
  <c r="H20" i="11"/>
  <c r="C19" i="17" s="1"/>
  <c r="D19" i="17" s="1"/>
  <c r="M8" i="11"/>
  <c r="M20" i="17" l="1"/>
  <c r="L9" i="17"/>
  <c r="L8" i="17"/>
  <c r="L22" i="17"/>
  <c r="L11" i="17" s="1"/>
  <c r="M19" i="17"/>
  <c r="D9" i="17"/>
  <c r="D30" i="16" s="1"/>
  <c r="M20" i="11"/>
  <c r="C22" i="17" s="1"/>
  <c r="E9" i="17"/>
  <c r="F20" i="17"/>
  <c r="D8" i="17"/>
  <c r="D29" i="16" s="1"/>
  <c r="E19" i="17"/>
  <c r="D22" i="17"/>
  <c r="D11" i="17" s="1"/>
  <c r="D32" i="16" s="1"/>
  <c r="E30" i="16" l="1"/>
  <c r="M8" i="17"/>
  <c r="M22" i="17"/>
  <c r="M11" i="17" s="1"/>
  <c r="N19" i="17"/>
  <c r="N20" i="17"/>
  <c r="M9" i="17"/>
  <c r="C42" i="8"/>
  <c r="E8" i="17"/>
  <c r="E29" i="16" s="1"/>
  <c r="F19" i="17"/>
  <c r="E22" i="17"/>
  <c r="E11" i="17" s="1"/>
  <c r="E32" i="16" s="1"/>
  <c r="D42" i="8" s="1"/>
  <c r="F9" i="17"/>
  <c r="G20" i="17"/>
  <c r="F15" i="15"/>
  <c r="E15" i="15"/>
  <c r="D15" i="15"/>
  <c r="F30" i="16" l="1"/>
  <c r="O20" i="17"/>
  <c r="O9" i="17" s="1"/>
  <c r="N9" i="17"/>
  <c r="N8" i="17"/>
  <c r="N22" i="17"/>
  <c r="N11" i="17" s="1"/>
  <c r="O19" i="17"/>
  <c r="F8" i="17"/>
  <c r="F29" i="16" s="1"/>
  <c r="G19" i="17"/>
  <c r="F22" i="17"/>
  <c r="F11" i="17" s="1"/>
  <c r="F32" i="16" s="1"/>
  <c r="G9" i="17"/>
  <c r="H20" i="17"/>
  <c r="H9" i="17" s="1"/>
  <c r="I15" i="15"/>
  <c r="E9" i="15"/>
  <c r="D9" i="15"/>
  <c r="I14" i="16"/>
  <c r="F17" i="13"/>
  <c r="E17" i="13"/>
  <c r="D17" i="13"/>
  <c r="F10" i="13"/>
  <c r="E10" i="13"/>
  <c r="D10" i="13"/>
  <c r="H30" i="16" l="1"/>
  <c r="G30" i="16"/>
  <c r="O8" i="17"/>
  <c r="O22" i="17"/>
  <c r="O11" i="17" s="1"/>
  <c r="G8" i="17"/>
  <c r="G29" i="16" s="1"/>
  <c r="G22" i="17"/>
  <c r="G11" i="17" s="1"/>
  <c r="G32" i="16" s="1"/>
  <c r="F42" i="8" s="1"/>
  <c r="H19" i="17"/>
  <c r="E42" i="8"/>
  <c r="I10" i="13"/>
  <c r="I17" i="13"/>
  <c r="F9" i="15"/>
  <c r="I30" i="16" l="1"/>
  <c r="H8" i="17"/>
  <c r="H29" i="16" s="1"/>
  <c r="I29" i="16" s="1"/>
  <c r="H22" i="17"/>
  <c r="H11" i="17" s="1"/>
  <c r="H32" i="16" s="1"/>
  <c r="I9" i="15"/>
  <c r="G42" i="8" l="1"/>
  <c r="I32" i="16"/>
  <c r="D3" i="9"/>
  <c r="H42" i="8" l="1"/>
  <c r="H58" i="8" l="1"/>
  <c r="G4" i="17" l="1"/>
  <c r="O37" i="11"/>
  <c r="O33" i="11"/>
  <c r="O29" i="11"/>
  <c r="O14" i="11"/>
  <c r="O10" i="11"/>
  <c r="F4" i="17"/>
  <c r="O34" i="11"/>
  <c r="O30" i="11"/>
  <c r="O15" i="11"/>
  <c r="O11" i="11"/>
  <c r="O7" i="11"/>
  <c r="E4" i="17"/>
  <c r="O35" i="11"/>
  <c r="O31" i="11"/>
  <c r="O27" i="11"/>
  <c r="O16" i="11"/>
  <c r="O12" i="11"/>
  <c r="O8" i="11"/>
  <c r="H4" i="17"/>
  <c r="D4" i="17"/>
  <c r="O36" i="11"/>
  <c r="O32" i="11"/>
  <c r="O28" i="11"/>
  <c r="O17" i="11"/>
  <c r="O13" i="11"/>
  <c r="O9" i="11"/>
  <c r="O20" i="11" l="1"/>
  <c r="C24" i="17" s="1"/>
  <c r="M4" i="17"/>
  <c r="M24" i="17" s="1"/>
  <c r="M13" i="17" s="1"/>
  <c r="F24" i="17"/>
  <c r="F13" i="17" s="1"/>
  <c r="O4" i="17"/>
  <c r="O24" i="17" s="1"/>
  <c r="O13" i="17" s="1"/>
  <c r="H24" i="17"/>
  <c r="H13" i="17" s="1"/>
  <c r="O40" i="11"/>
  <c r="J24" i="17" s="1"/>
  <c r="K4" i="17"/>
  <c r="K24" i="17" s="1"/>
  <c r="K13" i="17" s="1"/>
  <c r="D24" i="17"/>
  <c r="D13" i="17" s="1"/>
  <c r="L4" i="17"/>
  <c r="L24" i="17" s="1"/>
  <c r="L13" i="17" s="1"/>
  <c r="E24" i="17"/>
  <c r="E13" i="17" s="1"/>
  <c r="N4" i="17"/>
  <c r="N24" i="17" s="1"/>
  <c r="N13" i="17" s="1"/>
  <c r="G24" i="17"/>
  <c r="G13" i="17" s="1"/>
  <c r="F34" i="16" l="1"/>
  <c r="G34" i="16"/>
  <c r="E34" i="16"/>
  <c r="D34" i="16"/>
  <c r="H34" i="16"/>
  <c r="I34" i="16" l="1"/>
  <c r="H3" i="17" l="1"/>
  <c r="D3" i="17"/>
  <c r="N36" i="11"/>
  <c r="N32" i="11"/>
  <c r="N28" i="11"/>
  <c r="N17" i="11"/>
  <c r="N13" i="11"/>
  <c r="N9" i="11"/>
  <c r="G3" i="17"/>
  <c r="N37" i="11"/>
  <c r="N33" i="11"/>
  <c r="N29" i="11"/>
  <c r="N14" i="11"/>
  <c r="N10" i="11"/>
  <c r="F3" i="17"/>
  <c r="N34" i="11"/>
  <c r="N30" i="11"/>
  <c r="N15" i="11"/>
  <c r="N11" i="11"/>
  <c r="N7" i="11"/>
  <c r="E3" i="17"/>
  <c r="N35" i="11"/>
  <c r="N31" i="11"/>
  <c r="N27" i="11"/>
  <c r="N16" i="11"/>
  <c r="N12" i="11"/>
  <c r="N8" i="11"/>
  <c r="P28" i="11" l="1"/>
  <c r="Q28" i="11" s="1"/>
  <c r="P9" i="11"/>
  <c r="Q9" i="11" s="1"/>
  <c r="P8" i="11"/>
  <c r="Q8" i="11" s="1"/>
  <c r="P31" i="11"/>
  <c r="Q31" i="11" s="1"/>
  <c r="P11" i="11"/>
  <c r="Q11" i="11" s="1"/>
  <c r="M3" i="17"/>
  <c r="M23" i="17" s="1"/>
  <c r="F23" i="17"/>
  <c r="P33" i="11"/>
  <c r="Q33" i="11" s="1"/>
  <c r="P13" i="11"/>
  <c r="Q13" i="11" s="1"/>
  <c r="P36" i="11"/>
  <c r="Q36" i="11" s="1"/>
  <c r="P16" i="11"/>
  <c r="Q16" i="11" s="1"/>
  <c r="E23" i="17"/>
  <c r="L3" i="17"/>
  <c r="L23" i="17" s="1"/>
  <c r="P30" i="11"/>
  <c r="Q30" i="11" s="1"/>
  <c r="P14" i="11"/>
  <c r="Q14" i="11" s="1"/>
  <c r="N3" i="17"/>
  <c r="N23" i="17" s="1"/>
  <c r="G23" i="17"/>
  <c r="O3" i="17"/>
  <c r="O23" i="17" s="1"/>
  <c r="H23" i="17"/>
  <c r="P27" i="11"/>
  <c r="Q27" i="11" s="1"/>
  <c r="N40" i="11"/>
  <c r="J23" i="17" s="1"/>
  <c r="P7" i="11"/>
  <c r="Q7" i="11" s="1"/>
  <c r="N20" i="11"/>
  <c r="C23" i="17" s="1"/>
  <c r="P34" i="11"/>
  <c r="Q34" i="11" s="1"/>
  <c r="P29" i="11"/>
  <c r="Q29" i="11" s="1"/>
  <c r="P32" i="11"/>
  <c r="Q32" i="11" s="1"/>
  <c r="P12" i="11"/>
  <c r="Q12" i="11" s="1"/>
  <c r="P35" i="11"/>
  <c r="Q35" i="11" s="1"/>
  <c r="P15" i="11"/>
  <c r="Q15" i="11" s="1"/>
  <c r="P10" i="11"/>
  <c r="Q10" i="11" s="1"/>
  <c r="P37" i="11"/>
  <c r="Q37" i="11" s="1"/>
  <c r="P17" i="11"/>
  <c r="Q17" i="11" s="1"/>
  <c r="D23" i="17"/>
  <c r="K3" i="17"/>
  <c r="K23" i="17" s="1"/>
  <c r="K12" i="17" l="1"/>
  <c r="K25" i="17"/>
  <c r="K14" i="17" s="1"/>
  <c r="D25" i="17"/>
  <c r="D14" i="17" s="1"/>
  <c r="D12" i="17"/>
  <c r="P40" i="11"/>
  <c r="J25" i="17" s="1"/>
  <c r="N12" i="17"/>
  <c r="N25" i="17"/>
  <c r="N14" i="17" s="1"/>
  <c r="M25" i="17"/>
  <c r="M14" i="17" s="1"/>
  <c r="M12" i="17"/>
  <c r="Q20" i="11"/>
  <c r="G12" i="17"/>
  <c r="G25" i="17"/>
  <c r="G14" i="17" s="1"/>
  <c r="F25" i="17"/>
  <c r="F14" i="17" s="1"/>
  <c r="F12" i="17"/>
  <c r="P20" i="11"/>
  <c r="C25" i="17" s="1"/>
  <c r="H12" i="17"/>
  <c r="H25" i="17"/>
  <c r="H14" i="17" s="1"/>
  <c r="L25" i="17"/>
  <c r="L14" i="17" s="1"/>
  <c r="L12" i="17"/>
  <c r="Q40" i="11"/>
  <c r="O25" i="17"/>
  <c r="O14" i="17" s="1"/>
  <c r="O12" i="17"/>
  <c r="E25" i="17"/>
  <c r="E14" i="17" s="1"/>
  <c r="E12" i="17"/>
  <c r="O26" i="17" l="1"/>
  <c r="O15" i="17" s="1"/>
  <c r="L26" i="17"/>
  <c r="L28" i="17" s="1"/>
  <c r="E35" i="16"/>
  <c r="D33" i="16"/>
  <c r="H26" i="17"/>
  <c r="H28" i="17" s="1"/>
  <c r="F26" i="17"/>
  <c r="F28" i="17" s="1"/>
  <c r="F5" i="16" s="1"/>
  <c r="D35" i="16"/>
  <c r="F35" i="16"/>
  <c r="M26" i="17"/>
  <c r="M28" i="17" s="1"/>
  <c r="E33" i="16"/>
  <c r="G35" i="16"/>
  <c r="H35" i="16"/>
  <c r="F33" i="16"/>
  <c r="G33" i="16"/>
  <c r="K26" i="17"/>
  <c r="E26" i="17"/>
  <c r="H33" i="16"/>
  <c r="C26" i="17"/>
  <c r="D7" i="8"/>
  <c r="N26" i="17"/>
  <c r="D26" i="17"/>
  <c r="D8" i="8"/>
  <c r="J26" i="17"/>
  <c r="G26" i="17"/>
  <c r="O28" i="17" l="1"/>
  <c r="O16" i="17" s="1"/>
  <c r="I35" i="16"/>
  <c r="D36" i="16"/>
  <c r="L15" i="17"/>
  <c r="L16" i="17" s="1"/>
  <c r="H15" i="17"/>
  <c r="H16" i="17" s="1"/>
  <c r="E36" i="16"/>
  <c r="C44" i="8"/>
  <c r="C46" i="8" s="1"/>
  <c r="D44" i="8"/>
  <c r="D46" i="8" s="1"/>
  <c r="I33" i="16"/>
  <c r="M15" i="17"/>
  <c r="M16" i="17" s="1"/>
  <c r="F15" i="17"/>
  <c r="F16" i="17" s="1"/>
  <c r="K28" i="17"/>
  <c r="D6" i="16" s="1"/>
  <c r="K15" i="17"/>
  <c r="H5" i="16"/>
  <c r="D15" i="17"/>
  <c r="D28" i="17"/>
  <c r="G44" i="8"/>
  <c r="G46" i="8" s="1"/>
  <c r="H36" i="16"/>
  <c r="G36" i="16"/>
  <c r="F44" i="8"/>
  <c r="F46" i="8" s="1"/>
  <c r="G28" i="17"/>
  <c r="G15" i="17"/>
  <c r="E6" i="16"/>
  <c r="N28" i="17"/>
  <c r="N15" i="17"/>
  <c r="E28" i="17"/>
  <c r="E15" i="17"/>
  <c r="F36" i="16"/>
  <c r="E44" i="8"/>
  <c r="E46" i="8" s="1"/>
  <c r="F6" i="16"/>
  <c r="F7" i="16" s="1"/>
  <c r="H6" i="16" l="1"/>
  <c r="I36" i="16"/>
  <c r="K16" i="17"/>
  <c r="E5" i="16"/>
  <c r="E7" i="16" s="1"/>
  <c r="E16" i="17"/>
  <c r="H44" i="8"/>
  <c r="H46" i="8" s="1"/>
  <c r="D16" i="17"/>
  <c r="D5" i="16"/>
  <c r="G6" i="16"/>
  <c r="N16" i="17"/>
  <c r="G5" i="16"/>
  <c r="G16" i="17"/>
  <c r="I6" i="16" l="1"/>
  <c r="H7" i="16"/>
  <c r="G7" i="16"/>
  <c r="D7" i="16"/>
  <c r="I5" i="16"/>
  <c r="I7" i="16" s="1"/>
</calcChain>
</file>

<file path=xl/sharedStrings.xml><?xml version="1.0" encoding="utf-8"?>
<sst xmlns="http://schemas.openxmlformats.org/spreadsheetml/2006/main" count="285" uniqueCount="150">
  <si>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</si>
  <si>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</si>
  <si>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</si>
  <si>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</si>
  <si>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</si>
  <si>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</si>
  <si>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</si>
  <si>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</si>
  <si>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</si>
  <si>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</si>
  <si>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</si>
  <si>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</si>
  <si>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</si>
  <si>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</si>
  <si>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</si>
  <si>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</si>
  <si>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</si>
  <si>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</si>
  <si>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</si>
  <si>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</si>
  <si>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</si>
  <si>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</si>
  <si>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</si>
  <si>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</si>
  <si>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</si>
  <si>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</si>
  <si>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</si>
  <si>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</si>
  <si>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</si>
  <si>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</si>
  <si>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</si>
  <si>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</si>
  <si>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</si>
  <si>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</si>
  <si>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</si>
  <si>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</si>
  <si>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</si>
  <si>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</si>
  <si>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</si>
  <si>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</si>
  <si>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</si>
  <si>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</si>
  <si>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</si>
  <si>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</si>
  <si>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</si>
  <si>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</si>
  <si>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</si>
  <si>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</si>
  <si>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</si>
  <si>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</si>
  <si>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</si>
  <si>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</si>
  <si>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</si>
  <si>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</si>
  <si>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R2a</t>
  </si>
  <si>
    <t>Alternative Control Service - Bottom Up Estimation</t>
  </si>
  <si>
    <t>Network Service:</t>
  </si>
  <si>
    <t>FY16/17</t>
  </si>
  <si>
    <t>FY15/16</t>
  </si>
  <si>
    <t>FY14/15</t>
  </si>
  <si>
    <t>FY19/20</t>
  </si>
  <si>
    <t>FY20/21</t>
  </si>
  <si>
    <t>FY21/22</t>
  </si>
  <si>
    <t>FY23/24</t>
  </si>
  <si>
    <t>Time on Task (Hours)</t>
  </si>
  <si>
    <t>Safe approach clearances - De energisation of mains</t>
  </si>
  <si>
    <t>Network safety services
Examples include:
· provision of traffic control services by the distributor where required
· fitting of tiger tails, high load escort 
· de-energising wires for safe approach (e.g. for tree pruning)
· work undertaken to determine the cause of a customer fault where there may be a safety impact on the network or related component
· Neutral integrity test – where customers request the distributor to investigate the occurrence of mild electric shocks within a customer’s premises to determine whether the fault exists within the customer’s installation or on the network. A fee would be levied where the fault is within the customer’s installation.</t>
  </si>
  <si>
    <t>Review outage request, research network configuration and submit NAR</t>
  </si>
  <si>
    <t>R4</t>
  </si>
  <si>
    <t>Review impacted customers and mail out outage notifications (EE notified)</t>
  </si>
  <si>
    <t>Process network configuration upgrade such as Power On "patches" and GIS maps</t>
  </si>
  <si>
    <t xml:space="preserve">Review protection setting and process NAR request </t>
  </si>
  <si>
    <t>Write switching sheet (pre and approved)</t>
  </si>
  <si>
    <t>Complete site assesment in field to verify switching sheet and NECF compliance</t>
  </si>
  <si>
    <t>Travel to / from site</t>
  </si>
  <si>
    <t>Network Operator - run switching sheet</t>
  </si>
  <si>
    <t>Test - Apply HV/LV earths and bonds as required - Issues Access Permit / Operating Agreement</t>
  </si>
  <si>
    <t>Cancel AP / OP - remove earths - complete return switching</t>
  </si>
  <si>
    <r>
      <t xml:space="preserve">
</t>
    </r>
    <r>
      <rPr>
        <sz val="10"/>
        <color rgb="FFFF0000"/>
        <rFont val="Arial"/>
        <family val="2"/>
      </rPr>
      <t>New Service</t>
    </r>
  </si>
  <si>
    <t xml:space="preserve">Existing Service Description (2014 - 19) </t>
  </si>
  <si>
    <t>Field Officer</t>
  </si>
  <si>
    <t xml:space="preserve"> - </t>
  </si>
  <si>
    <t>Bottom Up Estimation</t>
  </si>
  <si>
    <t>R1a</t>
  </si>
  <si>
    <t>Complete network switching for access permit / operating agreement</t>
  </si>
  <si>
    <t>Safe approach clearances - De energisation of mains (fixed fee) OT</t>
  </si>
  <si>
    <t>Safe approach clearances - De energisation of mains (fixed fee) NT</t>
  </si>
  <si>
    <t>NT</t>
  </si>
  <si>
    <t>OT</t>
  </si>
  <si>
    <t>Project Code</t>
  </si>
  <si>
    <t>Operating Costs (on IO's, work orders, cost objects, cost centres)</t>
  </si>
  <si>
    <t>FY22/23</t>
  </si>
  <si>
    <t>Projected Volumes for FY2019-24 Regulatory Period</t>
  </si>
  <si>
    <r>
      <t xml:space="preserve">
</t>
    </r>
    <r>
      <rPr>
        <sz val="10"/>
        <rFont val="Arial"/>
        <family val="2"/>
      </rPr>
      <t>Estimated volumes based on feedback from teams on safety de-energisation works completed annually.</t>
    </r>
  </si>
  <si>
    <t xml:space="preserve">Operating Costs - </t>
  </si>
  <si>
    <t>New service</t>
  </si>
  <si>
    <t>New Service. No historical operating costs available.</t>
  </si>
  <si>
    <t>New Service. No historical revenue available.</t>
  </si>
  <si>
    <t>New Service - Safe Approach Clearances - De-energisation of mains</t>
  </si>
  <si>
    <t>FY17/18</t>
  </si>
  <si>
    <t>FY18/19</t>
  </si>
  <si>
    <t>Proposed Fee ($2018/19 - Excl GST)</t>
  </si>
  <si>
    <t>Total Direct Costs $2018/19</t>
  </si>
  <si>
    <t>Total Indirect Costs $2018/19</t>
  </si>
  <si>
    <t>TOTAL COSTS $2018/19</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</si>
  <si>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</si>
  <si>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</si>
  <si>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</si>
  <si>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</si>
  <si>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</si>
  <si>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</si>
  <si>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</si>
  <si>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</si>
  <si>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</si>
  <si>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</si>
  <si>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</si>
  <si>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t>
  </si>
  <si>
    <t>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</si>
  <si>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</si>
  <si>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</si>
  <si>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</si>
  <si>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</si>
  <si>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</si>
  <si>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</si>
  <si>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</si>
  <si>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</si>
  <si>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</si>
  <si>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</si>
  <si>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</si>
  <si>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</si>
  <si>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</si>
  <si>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</si>
  <si>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</si>
  <si>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</si>
  <si>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</si>
  <si>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</si>
  <si>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</si>
  <si>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</si>
  <si>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</si>
  <si>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</si>
  <si>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</si>
  <si>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8.1 Safe Approach Clearances</t>
  </si>
  <si>
    <t xml:space="preserve">Safe Approach Clearances </t>
  </si>
  <si>
    <t>OVERTIME LABOUR TIME</t>
  </si>
  <si>
    <t>Safe Approach - NT</t>
  </si>
  <si>
    <t>Safe Approach - OT</t>
  </si>
  <si>
    <t>Work near electricity assets - De-energisation of mains required (NEW)</t>
  </si>
  <si>
    <t xml:space="preserve">
Work near electrical assets - de-energisation of mains required
This service provides de energisation of Overhead and Underground mains where it has been identified that exclusion distances cannot be maintained.
Examples of work activities include vegetation clearing, construction work and operating cranes.
This service can include but not limited to:
&gt; Access to Essential Energy’s distribution network through the provision on an Access Permit issued to authorised personnel or Issuing of Operating Agreement;
&gt; Researching, documenting and completion of a Network  Access Request (NAR) including a site visit as required;
&gt; Documenting the actual switching process;
&gt; Programming the work;
&gt; Control room activities;
&gt; Fitting and removing of Access Permit earths or Low Voltage bonds (if required);
&gt; The actual switching of the High and Low voltage networks;
&gt; Notification of affected customers and NECF compliance (EE notified);
&gt; Provision of alternative supply (generator) to affected customers in line with company procedures;
&gt; Reinstate network and testing;
&gt; Meeting requirements of the National Energy Retail Law (NSW) and the National Energy Retail Rules;
&gt; Travel costs
Excludes - Provision of Essential Energy staff as an Authorised Access Permit Recipient. This is service is in addition and would be covered under Site Safety Supervision service.</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</si>
  <si>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</si>
  <si>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 xml:space="preserve">Estimates have been provided on the work effort that will be required to complete each service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</si>
</sst>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quot;$&quot;#,##0.00"/>
    <numFmt numFmtId="169" formatCode="#,##0.00\ ;\(#,##0.00\);\-\ "/>
    <numFmt numFmtId="170" formatCode="#,##0\ ;\(#,##0\);\-\ "/>
    <numFmt numFmtId="171" formatCode="_(* #,##0_);_(* \(#,##0\);_(* &quot;-&quot;??_);_(@_)"/>
  </numFmts>
  <fonts count="42"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sz val="10"/>
      <color theme="1"/>
      <name val="Calibri"/>
      <family val="2"/>
      <scheme val="minor"/>
    </font>
    <font>
      <b/>
      <sz val="10"/>
      <color theme="0"/>
      <name val="Arial"/>
      <family val="2"/>
    </font>
    <font>
      <sz val="10"/>
      <color theme="0"/>
      <name val="Arial"/>
      <family val="2"/>
    </font>
    <font>
      <b/>
      <sz val="10"/>
      <name val="Arial"/>
      <family val="2"/>
    </font>
    <font>
      <sz val="10"/>
      <color theme="1"/>
      <name val="Arial"/>
      <family val="2"/>
    </font>
    <font>
      <b/>
      <sz val="10"/>
      <color theme="1"/>
      <name val="Arial"/>
      <family val="2"/>
    </font>
    <font>
      <sz val="10"/>
      <name val="Arial"/>
      <family val="2"/>
    </font>
    <font>
      <sz val="10"/>
      <color rgb="FFFF0000"/>
      <name val="Arial"/>
      <family val="2"/>
    </font>
    <font>
      <sz val="10"/>
      <color theme="1"/>
      <name val="Arial"/>
      <family val="2"/>
    </font>
    <font>
      <b/>
      <sz val="10"/>
      <color theme="0"/>
      <name val="Arial"/>
      <family val="2"/>
    </font>
    <font>
      <b/>
      <sz val="12"/>
      <color theme="0"/>
      <name val="Arial"/>
      <family val="2"/>
    </font>
    <font>
      <b/>
      <sz val="10"/>
      <name val="Arial"/>
      <family val="2"/>
    </font>
    <font>
      <sz val="10"/>
      <name val="Arial"/>
      <family val="2"/>
    </font>
    <font>
      <sz val="10"/>
      <color theme="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8"/>
      <color theme="1"/>
      <name val="Arial"/>
      <family val="2"/>
    </font>
    <font>
      <b/>
      <sz val="7"/>
      <name val="Arial"/>
      <family val="2"/>
    </font>
    <font>
      <sz val="10"/>
      <name val="Arial"/>
      <family val="2"/>
    </font>
    <font>
      <sz val="10"/>
      <color rgb="FFFF0000"/>
      <name val="Arial"/>
      <family val="2"/>
    </font>
    <font>
      <sz val="10"/>
      <color rgb="FF0065A6"/>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6">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style="thin">
        <color theme="0"/>
      </top>
      <bottom/>
      <diagonal/>
    </border>
    <border>
      <left style="thin">
        <color theme="0"/>
      </left>
      <right style="thin">
        <color theme="0"/>
      </right>
      <top/>
      <bottom style="thin">
        <color theme="0"/>
      </bottom>
      <diagonal/>
    </border>
    <border>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4" fillId="0" borderId="0"/>
  </cellStyleXfs>
  <cellXfs count="303">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166" fontId="2" fillId="4" borderId="4" xfId="2" applyNumberFormat="1"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6" fontId="7" fillId="5" borderId="8" xfId="2" applyNumberFormat="1" applyFont="1" applyFill="1" applyBorder="1"/>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6" fontId="7" fillId="5" borderId="9" xfId="2" applyNumberFormat="1" applyFont="1" applyFill="1" applyBorder="1"/>
    <xf numFmtId="166" fontId="7" fillId="5" borderId="10" xfId="2" applyNumberFormat="1" applyFont="1" applyFill="1" applyBorder="1"/>
    <xf numFmtId="0" fontId="5" fillId="8" borderId="0" xfId="0" applyFont="1" applyFill="1"/>
    <xf numFmtId="0" fontId="8" fillId="8" borderId="0" xfId="0" applyFont="1" applyFill="1"/>
    <xf numFmtId="0" fontId="2" fillId="10" borderId="4" xfId="0" applyFont="1" applyFill="1" applyBorder="1"/>
    <xf numFmtId="166" fontId="2" fillId="10" borderId="4" xfId="2" applyNumberFormat="1" applyFont="1" applyFill="1" applyBorder="1"/>
    <xf numFmtId="0" fontId="2" fillId="10" borderId="4" xfId="0" applyFont="1" applyFill="1" applyBorder="1" applyAlignment="1">
      <alignment wrapText="1"/>
    </xf>
    <xf numFmtId="0" fontId="5" fillId="8" borderId="12" xfId="0" applyFont="1" applyFill="1" applyBorder="1"/>
    <xf numFmtId="0" fontId="8" fillId="8" borderId="12" xfId="0" applyFont="1" applyFill="1" applyBorder="1"/>
    <xf numFmtId="0" fontId="7" fillId="11" borderId="8" xfId="0" applyFont="1" applyFill="1" applyBorder="1"/>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8" borderId="0" xfId="0" applyFont="1" applyFill="1" applyAlignment="1">
      <alignment horizontal="left"/>
    </xf>
    <xf numFmtId="0" fontId="7" fillId="9" borderId="6" xfId="0" applyFont="1" applyFill="1" applyBorder="1" applyAlignment="1">
      <alignment horizontal="left"/>
    </xf>
    <xf numFmtId="0" fontId="2" fillId="0" borderId="0" xfId="0" applyFont="1" applyAlignment="1">
      <alignment horizontal="left"/>
    </xf>
    <xf numFmtId="0" fontId="2" fillId="0" borderId="0" xfId="0" applyFont="1" applyFill="1" applyAlignment="1">
      <alignment horizontal="left"/>
    </xf>
    <xf numFmtId="0" fontId="11" fillId="0" borderId="0" xfId="0" applyFont="1"/>
    <xf numFmtId="0" fontId="7" fillId="5" borderId="7" xfId="0" applyFont="1" applyFill="1" applyBorder="1" applyAlignment="1">
      <alignment horizontal="center"/>
    </xf>
    <xf numFmtId="166" fontId="2" fillId="10" borderId="5" xfId="2" applyNumberFormat="1" applyFont="1" applyFill="1" applyBorder="1" applyAlignment="1">
      <alignment horizontal="center"/>
    </xf>
    <xf numFmtId="3" fontId="2" fillId="10" borderId="4" xfId="0" applyNumberFormat="1" applyFont="1" applyFill="1" applyBorder="1"/>
    <xf numFmtId="0" fontId="2" fillId="10" borderId="4" xfId="0" applyFont="1" applyFill="1" applyBorder="1" applyAlignment="1">
      <alignment horizontal="left"/>
    </xf>
    <xf numFmtId="0" fontId="7" fillId="11" borderId="7" xfId="0" applyFont="1" applyFill="1" applyBorder="1" applyAlignment="1">
      <alignment horizontal="left"/>
    </xf>
    <xf numFmtId="0" fontId="7" fillId="11" borderId="11" xfId="0" applyFont="1" applyFill="1" applyBorder="1" applyAlignment="1">
      <alignment horizontal="left"/>
    </xf>
    <xf numFmtId="0" fontId="7" fillId="11" borderId="7" xfId="0" applyFont="1" applyFill="1" applyBorder="1" applyAlignment="1">
      <alignment horizontal="center"/>
    </xf>
    <xf numFmtId="0" fontId="7" fillId="11" borderId="8" xfId="0" applyFont="1" applyFill="1" applyBorder="1" applyAlignment="1">
      <alignment horizontal="right"/>
    </xf>
    <xf numFmtId="0" fontId="9" fillId="4" borderId="4" xfId="0" applyFont="1" applyFill="1" applyBorder="1" applyAlignment="1">
      <alignment horizontal="left"/>
    </xf>
    <xf numFmtId="0" fontId="7" fillId="11" borderId="8" xfId="0" applyFont="1" applyFill="1" applyBorder="1" applyAlignment="1">
      <alignment horizontal="center"/>
    </xf>
    <xf numFmtId="0" fontId="9" fillId="4" borderId="1" xfId="0" applyFont="1" applyFill="1" applyBorder="1" applyAlignment="1">
      <alignment vertical="top" wrapText="1"/>
    </xf>
    <xf numFmtId="0" fontId="12" fillId="0" borderId="0" xfId="0" applyFont="1"/>
    <xf numFmtId="0" fontId="13" fillId="8" borderId="11" xfId="0" applyFont="1" applyFill="1" applyBorder="1"/>
    <xf numFmtId="0" fontId="14" fillId="8" borderId="12" xfId="0" applyFont="1" applyFill="1" applyBorder="1"/>
    <xf numFmtId="0" fontId="15" fillId="5" borderId="4" xfId="0" applyFont="1" applyFill="1" applyBorder="1"/>
    <xf numFmtId="0" fontId="15" fillId="5" borderId="4" xfId="0" applyFont="1" applyFill="1" applyBorder="1" applyAlignment="1">
      <alignment horizontal="center"/>
    </xf>
    <xf numFmtId="0" fontId="15" fillId="11" borderId="8" xfId="0" applyFont="1" applyFill="1" applyBorder="1" applyAlignment="1">
      <alignment horizontal="center"/>
    </xf>
    <xf numFmtId="0" fontId="15" fillId="5" borderId="5" xfId="0" applyFont="1" applyFill="1" applyBorder="1" applyAlignment="1">
      <alignment horizontal="right"/>
    </xf>
    <xf numFmtId="0" fontId="16" fillId="4" borderId="4" xfId="0" applyFont="1" applyFill="1" applyBorder="1"/>
    <xf numFmtId="166" fontId="16" fillId="10" borderId="5" xfId="2" applyNumberFormat="1" applyFont="1" applyFill="1" applyBorder="1" applyAlignment="1">
      <alignment horizontal="center"/>
    </xf>
    <xf numFmtId="0" fontId="16" fillId="4" borderId="5" xfId="0" applyFont="1" applyFill="1" applyBorder="1"/>
    <xf numFmtId="166" fontId="16" fillId="4" borderId="5" xfId="2" applyNumberFormat="1" applyFont="1" applyFill="1" applyBorder="1" applyAlignment="1">
      <alignment horizontal="center"/>
    </xf>
    <xf numFmtId="0" fontId="15" fillId="5" borderId="10" xfId="0" applyFont="1" applyFill="1" applyBorder="1"/>
    <xf numFmtId="0" fontId="18" fillId="5" borderId="1" xfId="0" applyFont="1" applyFill="1" applyBorder="1"/>
    <xf numFmtId="166" fontId="15" fillId="5" borderId="9" xfId="2" applyNumberFormat="1" applyFont="1" applyFill="1" applyBorder="1"/>
    <xf numFmtId="0" fontId="15" fillId="0" borderId="0" xfId="0" applyFont="1" applyFill="1" applyBorder="1"/>
    <xf numFmtId="0" fontId="18" fillId="0" borderId="0" xfId="0" applyFont="1" applyFill="1" applyBorder="1"/>
    <xf numFmtId="166" fontId="15" fillId="0" borderId="0" xfId="2" applyNumberFormat="1" applyFont="1" applyFill="1" applyBorder="1"/>
    <xf numFmtId="0" fontId="13" fillId="8" borderId="8" xfId="0" applyFont="1" applyFill="1" applyBorder="1"/>
    <xf numFmtId="0" fontId="14" fillId="8" borderId="0" xfId="0" applyFont="1" applyFill="1"/>
    <xf numFmtId="0" fontId="15" fillId="5" borderId="14" xfId="0" applyFont="1" applyFill="1" applyBorder="1" applyAlignment="1">
      <alignment horizontal="left"/>
    </xf>
    <xf numFmtId="0" fontId="15" fillId="5" borderId="11" xfId="0" applyFont="1" applyFill="1" applyBorder="1" applyAlignment="1">
      <alignment horizontal="left"/>
    </xf>
    <xf numFmtId="0" fontId="15" fillId="5" borderId="7" xfId="0" applyFont="1" applyFill="1" applyBorder="1" applyAlignment="1">
      <alignment horizontal="center"/>
    </xf>
    <xf numFmtId="3" fontId="16" fillId="10" borderId="4" xfId="0" applyNumberFormat="1" applyFont="1" applyFill="1" applyBorder="1"/>
    <xf numFmtId="0" fontId="16" fillId="4" borderId="5" xfId="0" quotePrefix="1" applyFont="1" applyFill="1" applyBorder="1"/>
    <xf numFmtId="0" fontId="12" fillId="0" borderId="6" xfId="0" applyFont="1" applyBorder="1"/>
    <xf numFmtId="0" fontId="15" fillId="11" borderId="10" xfId="0" applyFont="1" applyFill="1" applyBorder="1"/>
    <xf numFmtId="0" fontId="15" fillId="5" borderId="0" xfId="0" applyFont="1" applyFill="1" applyBorder="1"/>
    <xf numFmtId="3" fontId="15" fillId="5" borderId="8" xfId="0" applyNumberFormat="1" applyFont="1" applyFill="1" applyBorder="1"/>
    <xf numFmtId="0" fontId="15" fillId="5" borderId="6" xfId="0" applyFont="1" applyFill="1" applyBorder="1" applyAlignment="1">
      <alignment horizontal="left"/>
    </xf>
    <xf numFmtId="0" fontId="16" fillId="0" borderId="0" xfId="0" applyFont="1"/>
    <xf numFmtId="0" fontId="17" fillId="0" borderId="0" xfId="0" applyFont="1"/>
    <xf numFmtId="0" fontId="19" fillId="4" borderId="10" xfId="0" applyFont="1" applyFill="1" applyBorder="1" applyAlignment="1">
      <alignment vertical="top" wrapText="1"/>
    </xf>
    <xf numFmtId="0" fontId="19" fillId="4" borderId="1" xfId="0" applyFont="1" applyFill="1" applyBorder="1" applyAlignment="1">
      <alignment vertical="top" wrapText="1"/>
    </xf>
    <xf numFmtId="0" fontId="15" fillId="5" borderId="11" xfId="0" applyFont="1" applyFill="1" applyBorder="1"/>
    <xf numFmtId="0" fontId="18" fillId="5" borderId="12" xfId="0" applyFont="1" applyFill="1" applyBorder="1"/>
    <xf numFmtId="0" fontId="16" fillId="4" borderId="8" xfId="0" quotePrefix="1" applyFont="1" applyFill="1" applyBorder="1" applyAlignment="1">
      <alignment vertical="top"/>
    </xf>
    <xf numFmtId="0" fontId="16" fillId="4" borderId="0" xfId="0" applyFont="1" applyFill="1" applyBorder="1" applyAlignment="1">
      <alignment vertical="top"/>
    </xf>
    <xf numFmtId="0" fontId="20" fillId="0" borderId="0" xfId="0" applyFont="1"/>
    <xf numFmtId="0" fontId="20" fillId="0" borderId="0" xfId="0" applyFont="1" applyAlignment="1">
      <alignment horizontal="center"/>
    </xf>
    <xf numFmtId="2" fontId="20" fillId="0" borderId="0" xfId="0" applyNumberFormat="1" applyFont="1" applyAlignment="1">
      <alignment horizontal="center"/>
    </xf>
    <xf numFmtId="1" fontId="20" fillId="0" borderId="0" xfId="0" applyNumberFormat="1" applyFont="1"/>
    <xf numFmtId="2" fontId="20" fillId="0" borderId="0" xfId="0" applyNumberFormat="1" applyFont="1"/>
    <xf numFmtId="168" fontId="20" fillId="0" borderId="0" xfId="0" applyNumberFormat="1" applyFont="1" applyAlignment="1">
      <alignment horizontal="center"/>
    </xf>
    <xf numFmtId="0" fontId="22" fillId="8" borderId="8" xfId="0" applyNumberFormat="1" applyFont="1" applyFill="1" applyBorder="1" applyAlignment="1">
      <alignment horizontal="left"/>
    </xf>
    <xf numFmtId="0" fontId="21" fillId="8" borderId="0" xfId="0" applyFont="1" applyFill="1" applyAlignment="1">
      <alignment horizontal="center"/>
    </xf>
    <xf numFmtId="2" fontId="21" fillId="8" borderId="0" xfId="0" applyNumberFormat="1" applyFont="1" applyFill="1" applyAlignment="1">
      <alignment horizontal="center"/>
    </xf>
    <xf numFmtId="1" fontId="21" fillId="8" borderId="0" xfId="0" applyNumberFormat="1" applyFont="1" applyFill="1" applyAlignment="1">
      <alignment horizontal="left"/>
    </xf>
    <xf numFmtId="2" fontId="21" fillId="8" borderId="0" xfId="0" applyNumberFormat="1" applyFont="1" applyFill="1" applyAlignment="1">
      <alignment horizontal="left"/>
    </xf>
    <xf numFmtId="0" fontId="20" fillId="0" borderId="0" xfId="0" applyFont="1" applyFill="1"/>
    <xf numFmtId="0" fontId="21" fillId="0" borderId="0" xfId="0" applyFont="1" applyFill="1" applyAlignment="1">
      <alignment horizontal="left"/>
    </xf>
    <xf numFmtId="0" fontId="21" fillId="0" borderId="0" xfId="0" applyFont="1" applyFill="1" applyAlignment="1">
      <alignment horizontal="center"/>
    </xf>
    <xf numFmtId="2" fontId="21" fillId="0" borderId="0" xfId="0" applyNumberFormat="1" applyFont="1" applyFill="1" applyAlignment="1">
      <alignment horizontal="center"/>
    </xf>
    <xf numFmtId="1" fontId="21" fillId="0" borderId="0" xfId="0" applyNumberFormat="1" applyFont="1" applyFill="1" applyAlignment="1">
      <alignment horizontal="left"/>
    </xf>
    <xf numFmtId="2" fontId="21" fillId="0" borderId="0" xfId="0" applyNumberFormat="1" applyFont="1" applyFill="1" applyAlignment="1">
      <alignment horizontal="left"/>
    </xf>
    <xf numFmtId="0" fontId="21" fillId="8" borderId="9" xfId="0" applyFont="1" applyFill="1" applyBorder="1" applyAlignment="1">
      <alignment horizontal="center" vertical="center"/>
    </xf>
    <xf numFmtId="0" fontId="20" fillId="0" borderId="8" xfId="0" applyFont="1" applyBorder="1"/>
    <xf numFmtId="0" fontId="24" fillId="10" borderId="4" xfId="0" applyFont="1" applyFill="1" applyBorder="1" applyAlignment="1">
      <alignment horizontal="left" vertical="center"/>
    </xf>
    <xf numFmtId="0" fontId="24" fillId="10" borderId="4" xfId="0" applyFont="1" applyFill="1" applyBorder="1" applyAlignment="1">
      <alignment horizontal="center"/>
    </xf>
    <xf numFmtId="1" fontId="24" fillId="10" borderId="10" xfId="0" applyNumberFormat="1" applyFont="1" applyFill="1" applyBorder="1" applyAlignment="1">
      <alignment horizontal="center"/>
    </xf>
    <xf numFmtId="2" fontId="24" fillId="10" borderId="4" xfId="3" applyNumberFormat="1" applyFont="1" applyFill="1" applyBorder="1" applyAlignment="1">
      <alignment horizontal="center"/>
    </xf>
    <xf numFmtId="168" fontId="24" fillId="10" borderId="4" xfId="0" applyNumberFormat="1" applyFont="1" applyFill="1" applyBorder="1" applyAlignment="1">
      <alignment horizontal="center"/>
    </xf>
    <xf numFmtId="2" fontId="24" fillId="10" borderId="9" xfId="0" applyNumberFormat="1" applyFont="1" applyFill="1" applyBorder="1" applyAlignment="1">
      <alignment horizontal="center"/>
    </xf>
    <xf numFmtId="0" fontId="24" fillId="10" borderId="1" xfId="0" applyFont="1" applyFill="1" applyBorder="1" applyAlignment="1">
      <alignment horizontal="left" vertical="center" wrapText="1"/>
    </xf>
    <xf numFmtId="2" fontId="24" fillId="10" borderId="4" xfId="0" applyNumberFormat="1" applyFont="1" applyFill="1" applyBorder="1" applyAlignment="1">
      <alignment horizontal="center"/>
    </xf>
    <xf numFmtId="0" fontId="24" fillId="10" borderId="4" xfId="0" applyFont="1" applyFill="1" applyBorder="1" applyAlignment="1">
      <alignment horizontal="left" vertical="center" wrapText="1"/>
    </xf>
    <xf numFmtId="2" fontId="24" fillId="10" borderId="8" xfId="0" applyNumberFormat="1" applyFont="1" applyFill="1" applyBorder="1" applyAlignment="1">
      <alignment horizontal="center"/>
    </xf>
    <xf numFmtId="2" fontId="24" fillId="10" borderId="10" xfId="0" applyNumberFormat="1" applyFont="1" applyFill="1" applyBorder="1" applyAlignment="1">
      <alignment horizontal="center"/>
    </xf>
    <xf numFmtId="0" fontId="20" fillId="0" borderId="6" xfId="0" applyFont="1" applyBorder="1"/>
    <xf numFmtId="2" fontId="24" fillId="10" borderId="10" xfId="3" applyNumberFormat="1" applyFont="1" applyFill="1" applyBorder="1" applyAlignment="1">
      <alignment horizontal="center"/>
    </xf>
    <xf numFmtId="168" fontId="24" fillId="10" borderId="10" xfId="0" applyNumberFormat="1" applyFont="1" applyFill="1" applyBorder="1" applyAlignment="1">
      <alignment horizontal="center"/>
    </xf>
    <xf numFmtId="168" fontId="24" fillId="10" borderId="9" xfId="0" applyNumberFormat="1" applyFont="1" applyFill="1" applyBorder="1" applyAlignment="1">
      <alignment horizontal="center"/>
    </xf>
    <xf numFmtId="0" fontId="20" fillId="0" borderId="11" xfId="0" applyFont="1" applyBorder="1"/>
    <xf numFmtId="2" fontId="23" fillId="11" borderId="4" xfId="0" applyNumberFormat="1" applyFont="1" applyFill="1" applyBorder="1" applyAlignment="1">
      <alignment horizontal="center"/>
    </xf>
    <xf numFmtId="0" fontId="25" fillId="0" borderId="0" xfId="0" applyFont="1"/>
    <xf numFmtId="0" fontId="25" fillId="0" borderId="0" xfId="0" applyFont="1" applyAlignment="1">
      <alignment horizontal="center"/>
    </xf>
    <xf numFmtId="2" fontId="25" fillId="0" borderId="0" xfId="0" applyNumberFormat="1" applyFont="1" applyBorder="1" applyAlignment="1">
      <alignment horizontal="center"/>
    </xf>
    <xf numFmtId="1" fontId="25" fillId="0" borderId="0" xfId="0" applyNumberFormat="1" applyFont="1"/>
    <xf numFmtId="2" fontId="25" fillId="0" borderId="0" xfId="0" applyNumberFormat="1" applyFont="1" applyBorder="1"/>
    <xf numFmtId="0" fontId="25" fillId="0" borderId="1" xfId="0" applyFont="1" applyBorder="1"/>
    <xf numFmtId="168" fontId="25" fillId="0" borderId="1" xfId="0" applyNumberFormat="1" applyFont="1" applyBorder="1" applyAlignment="1">
      <alignment horizontal="center"/>
    </xf>
    <xf numFmtId="0" fontId="21" fillId="8" borderId="13" xfId="0" applyFont="1" applyFill="1" applyBorder="1" applyAlignment="1">
      <alignment horizontal="left"/>
    </xf>
    <xf numFmtId="0" fontId="22" fillId="8" borderId="11" xfId="0" applyNumberFormat="1" applyFont="1" applyFill="1" applyBorder="1" applyAlignment="1">
      <alignment horizontal="left"/>
    </xf>
    <xf numFmtId="0" fontId="21" fillId="8" borderId="12" xfId="0" applyFont="1" applyFill="1" applyBorder="1" applyAlignment="1">
      <alignment horizontal="center"/>
    </xf>
    <xf numFmtId="2" fontId="21" fillId="8" borderId="12" xfId="0" applyNumberFormat="1" applyFont="1" applyFill="1" applyBorder="1" applyAlignment="1">
      <alignment horizontal="center"/>
    </xf>
    <xf numFmtId="1" fontId="21" fillId="8" borderId="12" xfId="0" applyNumberFormat="1" applyFont="1" applyFill="1" applyBorder="1" applyAlignment="1">
      <alignment horizontal="left"/>
    </xf>
    <xf numFmtId="2" fontId="21" fillId="8" borderId="12" xfId="0" applyNumberFormat="1" applyFont="1" applyFill="1" applyBorder="1" applyAlignment="1">
      <alignment horizontal="left"/>
    </xf>
    <xf numFmtId="0" fontId="21" fillId="8" borderId="12" xfId="0" applyFont="1" applyFill="1" applyBorder="1" applyAlignment="1">
      <alignment horizontal="left"/>
    </xf>
    <xf numFmtId="0" fontId="21" fillId="8" borderId="15" xfId="0" applyFont="1" applyFill="1" applyBorder="1" applyAlignment="1">
      <alignment horizontal="left"/>
    </xf>
    <xf numFmtId="0" fontId="26" fillId="8" borderId="11" xfId="0" applyFont="1" applyFill="1" applyBorder="1"/>
    <xf numFmtId="0" fontId="27" fillId="8" borderId="0" xfId="0" applyFont="1" applyFill="1"/>
    <xf numFmtId="0" fontId="28" fillId="0" borderId="0" xfId="0" applyFont="1"/>
    <xf numFmtId="0" fontId="28" fillId="0" borderId="0" xfId="0" applyFont="1" applyFill="1"/>
    <xf numFmtId="0" fontId="29" fillId="9" borderId="4" xfId="0" applyFont="1" applyFill="1" applyBorder="1"/>
    <xf numFmtId="0" fontId="28" fillId="6" borderId="0" xfId="0" applyFont="1" applyFill="1"/>
    <xf numFmtId="0" fontId="29" fillId="9" borderId="10" xfId="0" applyFont="1" applyFill="1" applyBorder="1"/>
    <xf numFmtId="0" fontId="31" fillId="7" borderId="0" xfId="0" applyFont="1" applyFill="1" applyBorder="1" applyAlignment="1">
      <alignment vertical="center" wrapText="1"/>
    </xf>
    <xf numFmtId="0" fontId="29" fillId="9" borderId="5" xfId="0" applyFont="1" applyFill="1" applyBorder="1"/>
    <xf numFmtId="0" fontId="31" fillId="2" borderId="4" xfId="0" applyFont="1" applyFill="1" applyBorder="1" applyAlignment="1"/>
    <xf numFmtId="0" fontId="32" fillId="2" borderId="4" xfId="0" applyFont="1" applyFill="1" applyBorder="1" applyAlignment="1">
      <alignment horizontal="center"/>
    </xf>
    <xf numFmtId="0" fontId="33" fillId="7" borderId="0" xfId="0" applyFont="1" applyFill="1" applyBorder="1" applyAlignment="1">
      <alignment horizontal="center" vertical="center"/>
    </xf>
    <xf numFmtId="0" fontId="29" fillId="9" borderId="10" xfId="0" applyFont="1" applyFill="1" applyBorder="1" applyAlignment="1">
      <alignment horizontal="left" vertical="center"/>
    </xf>
    <xf numFmtId="168" fontId="28" fillId="7" borderId="4" xfId="0" applyNumberFormat="1" applyFont="1" applyFill="1" applyBorder="1" applyAlignment="1">
      <alignment horizontal="center"/>
    </xf>
    <xf numFmtId="0" fontId="28" fillId="7" borderId="0" xfId="0" applyFont="1" applyFill="1" applyBorder="1" applyAlignment="1">
      <alignment horizontal="center" vertical="center"/>
    </xf>
    <xf numFmtId="168" fontId="28" fillId="3" borderId="4" xfId="0" applyNumberFormat="1" applyFont="1" applyFill="1" applyBorder="1" applyAlignment="1">
      <alignment horizontal="center"/>
    </xf>
    <xf numFmtId="168" fontId="28" fillId="7" borderId="0" xfId="0" applyNumberFormat="1" applyFont="1" applyFill="1" applyBorder="1" applyAlignment="1"/>
    <xf numFmtId="0" fontId="29" fillId="9" borderId="4" xfId="0" applyFont="1" applyFill="1" applyBorder="1" applyAlignment="1">
      <alignment horizontal="left" vertical="center"/>
    </xf>
    <xf numFmtId="168" fontId="34" fillId="7" borderId="4" xfId="0" applyNumberFormat="1" applyFont="1" applyFill="1" applyBorder="1" applyAlignment="1"/>
    <xf numFmtId="0" fontId="30" fillId="7" borderId="11" xfId="0" applyFont="1" applyFill="1" applyBorder="1" applyAlignment="1">
      <alignment horizontal="left"/>
    </xf>
    <xf numFmtId="0" fontId="30" fillId="7" borderId="12" xfId="0" applyFont="1" applyFill="1" applyBorder="1" applyAlignment="1">
      <alignment horizontal="left"/>
    </xf>
    <xf numFmtId="0" fontId="30" fillId="7" borderId="0" xfId="0" applyFont="1" applyFill="1" applyBorder="1" applyAlignment="1">
      <alignment horizontal="left"/>
    </xf>
    <xf numFmtId="0" fontId="26" fillId="8" borderId="10" xfId="0" applyFont="1" applyFill="1" applyBorder="1"/>
    <xf numFmtId="0" fontId="27" fillId="8" borderId="0" xfId="0" applyFont="1" applyFill="1" applyBorder="1"/>
    <xf numFmtId="0" fontId="27" fillId="8" borderId="12" xfId="0" applyFont="1" applyFill="1" applyBorder="1"/>
    <xf numFmtId="0" fontId="27" fillId="8" borderId="2" xfId="0" applyFont="1" applyFill="1" applyBorder="1"/>
    <xf numFmtId="0" fontId="28" fillId="7" borderId="0" xfId="0" applyFont="1" applyFill="1" applyBorder="1" applyAlignment="1">
      <alignment horizontal="left" vertical="top" wrapText="1"/>
    </xf>
    <xf numFmtId="0" fontId="26" fillId="8" borderId="0" xfId="0" applyFont="1" applyFill="1"/>
    <xf numFmtId="0" fontId="28" fillId="7" borderId="0" xfId="0" applyFont="1" applyFill="1" applyBorder="1" applyAlignment="1">
      <alignment horizontal="left"/>
    </xf>
    <xf numFmtId="0" fontId="28" fillId="0" borderId="0" xfId="0" applyFont="1" applyAlignment="1">
      <alignment horizontal="left"/>
    </xf>
    <xf numFmtId="0" fontId="28" fillId="7" borderId="0" xfId="0" applyFont="1" applyFill="1" applyBorder="1" applyAlignment="1">
      <alignment horizontal="left" wrapText="1"/>
    </xf>
    <xf numFmtId="0" fontId="28" fillId="0" borderId="0" xfId="0" applyFont="1" applyFill="1" applyBorder="1" applyAlignment="1">
      <alignment horizontal="left"/>
    </xf>
    <xf numFmtId="0" fontId="29" fillId="2" borderId="3" xfId="0" applyFont="1" applyFill="1" applyBorder="1"/>
    <xf numFmtId="0" fontId="28" fillId="7" borderId="0" xfId="0" applyFont="1" applyFill="1" applyAlignment="1">
      <alignment horizontal="left"/>
    </xf>
    <xf numFmtId="0" fontId="29" fillId="2" borderId="1" xfId="0" applyFont="1" applyFill="1" applyBorder="1"/>
    <xf numFmtId="0" fontId="29" fillId="9" borderId="6" xfId="0" applyFont="1" applyFill="1" applyBorder="1" applyAlignment="1">
      <alignment horizontal="left"/>
    </xf>
    <xf numFmtId="0" fontId="29" fillId="9" borderId="7" xfId="0" applyFont="1" applyFill="1" applyBorder="1" applyAlignment="1">
      <alignment horizontal="right"/>
    </xf>
    <xf numFmtId="0" fontId="29" fillId="9" borderId="8" xfId="0" applyFont="1" applyFill="1" applyBorder="1" applyAlignment="1">
      <alignment horizontal="right"/>
    </xf>
    <xf numFmtId="166" fontId="34" fillId="0" borderId="0" xfId="2" applyNumberFormat="1" applyFont="1"/>
    <xf numFmtId="166" fontId="29" fillId="2" borderId="7" xfId="2" applyNumberFormat="1" applyFont="1" applyFill="1" applyBorder="1"/>
    <xf numFmtId="10" fontId="28" fillId="0" borderId="0" xfId="1" applyNumberFormat="1" applyFont="1"/>
    <xf numFmtId="10" fontId="28" fillId="0" borderId="0" xfId="0" applyNumberFormat="1" applyFont="1"/>
    <xf numFmtId="169" fontId="28" fillId="0" borderId="0" xfId="1" applyNumberFormat="1" applyFont="1"/>
    <xf numFmtId="0" fontId="26" fillId="8" borderId="6" xfId="0" applyFont="1" applyFill="1" applyBorder="1" applyAlignment="1">
      <alignment horizontal="left"/>
    </xf>
    <xf numFmtId="0" fontId="30" fillId="0" borderId="0" xfId="0" applyFont="1"/>
    <xf numFmtId="0" fontId="29" fillId="2" borderId="6" xfId="0" applyFont="1" applyFill="1" applyBorder="1" applyAlignment="1">
      <alignment horizontal="left"/>
    </xf>
    <xf numFmtId="0" fontId="29" fillId="2" borderId="7" xfId="0" applyFont="1" applyFill="1" applyBorder="1" applyAlignment="1">
      <alignment horizontal="right"/>
    </xf>
    <xf numFmtId="0" fontId="29" fillId="2" borderId="8" xfId="0" applyFont="1" applyFill="1" applyBorder="1" applyAlignment="1">
      <alignment horizontal="right"/>
    </xf>
    <xf numFmtId="167" fontId="34" fillId="0" borderId="0" xfId="3" applyNumberFormat="1" applyFont="1" applyAlignment="1"/>
    <xf numFmtId="170" fontId="29" fillId="2" borderId="7" xfId="2" applyNumberFormat="1" applyFont="1" applyFill="1" applyBorder="1" applyAlignment="1"/>
    <xf numFmtId="167" fontId="36" fillId="0" borderId="0" xfId="3" applyNumberFormat="1" applyFont="1" applyAlignment="1">
      <alignment horizontal="right"/>
    </xf>
    <xf numFmtId="167" fontId="36" fillId="0" borderId="0" xfId="3" applyNumberFormat="1" applyFont="1" applyAlignment="1">
      <alignment horizontal="center" vertical="center"/>
    </xf>
    <xf numFmtId="0" fontId="7" fillId="2" borderId="6" xfId="0" applyFont="1" applyFill="1" applyBorder="1"/>
    <xf numFmtId="166" fontId="17" fillId="11" borderId="5" xfId="2" applyNumberFormat="1" applyFont="1" applyFill="1" applyBorder="1"/>
    <xf numFmtId="166" fontId="15" fillId="11" borderId="10" xfId="2" applyNumberFormat="1" applyFont="1" applyFill="1" applyBorder="1"/>
    <xf numFmtId="0" fontId="15" fillId="11" borderId="8" xfId="0" applyFont="1" applyFill="1" applyBorder="1" applyAlignment="1">
      <alignment horizontal="right"/>
    </xf>
    <xf numFmtId="3" fontId="17" fillId="11" borderId="10" xfId="0" applyNumberFormat="1" applyFont="1" applyFill="1" applyBorder="1"/>
    <xf numFmtId="0" fontId="21" fillId="8" borderId="8" xfId="0" applyFont="1" applyFill="1" applyBorder="1" applyAlignment="1"/>
    <xf numFmtId="0" fontId="21" fillId="8" borderId="0" xfId="0" applyFont="1" applyFill="1" applyBorder="1" applyAlignment="1"/>
    <xf numFmtId="2"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168" fontId="7" fillId="9" borderId="2" xfId="0" applyNumberFormat="1" applyFont="1" applyFill="1" applyBorder="1" applyAlignment="1"/>
    <xf numFmtId="168" fontId="7" fillId="9" borderId="3" xfId="0" applyNumberFormat="1" applyFont="1" applyFill="1" applyBorder="1" applyAlignment="1">
      <alignment horizontal="left"/>
    </xf>
    <xf numFmtId="2" fontId="4" fillId="10" borderId="4" xfId="3" applyNumberFormat="1" applyFont="1" applyFill="1" applyBorder="1" applyAlignment="1">
      <alignment horizontal="center"/>
    </xf>
    <xf numFmtId="0" fontId="20" fillId="0" borderId="0" xfId="0" applyFont="1" applyBorder="1"/>
    <xf numFmtId="2" fontId="21" fillId="8" borderId="9" xfId="0" applyNumberFormat="1" applyFont="1" applyFill="1" applyBorder="1" applyAlignment="1">
      <alignment horizontal="center" vertical="center" wrapText="1"/>
    </xf>
    <xf numFmtId="1" fontId="21" fillId="8" borderId="9" xfId="0" applyNumberFormat="1" applyFont="1" applyFill="1" applyBorder="1" applyAlignment="1">
      <alignment horizontal="center" vertical="center" wrapText="1"/>
    </xf>
    <xf numFmtId="0" fontId="24" fillId="10" borderId="14" xfId="0" applyFont="1" applyFill="1" applyBorder="1" applyAlignment="1">
      <alignment horizontal="left" vertical="center"/>
    </xf>
    <xf numFmtId="0" fontId="24" fillId="10" borderId="14" xfId="0" applyFont="1" applyFill="1" applyBorder="1" applyAlignment="1">
      <alignment horizontal="center"/>
    </xf>
    <xf numFmtId="2" fontId="24" fillId="10" borderId="6" xfId="0" applyNumberFormat="1" applyFont="1" applyFill="1" applyBorder="1" applyAlignment="1">
      <alignment horizontal="center"/>
    </xf>
    <xf numFmtId="1" fontId="24" fillId="10" borderId="8" xfId="0" applyNumberFormat="1" applyFont="1" applyFill="1" applyBorder="1" applyAlignment="1">
      <alignment horizontal="center"/>
    </xf>
    <xf numFmtId="2" fontId="24" fillId="10" borderId="14" xfId="3" applyNumberFormat="1" applyFont="1" applyFill="1" applyBorder="1" applyAlignment="1">
      <alignment horizontal="center"/>
    </xf>
    <xf numFmtId="2" fontId="4" fillId="10" borderId="14" xfId="3" applyNumberFormat="1" applyFont="1" applyFill="1" applyBorder="1" applyAlignment="1">
      <alignment horizontal="center"/>
    </xf>
    <xf numFmtId="168" fontId="23" fillId="9" borderId="5" xfId="0" applyNumberFormat="1" applyFont="1" applyFill="1" applyBorder="1" applyAlignment="1"/>
    <xf numFmtId="168" fontId="23" fillId="9" borderId="2" xfId="0" applyNumberFormat="1" applyFont="1" applyFill="1" applyBorder="1" applyAlignment="1"/>
    <xf numFmtId="3" fontId="4" fillId="10" borderId="4" xfId="3" applyNumberFormat="1" applyFont="1" applyFill="1" applyBorder="1" applyAlignment="1">
      <alignment horizontal="center"/>
    </xf>
    <xf numFmtId="3" fontId="4" fillId="10" borderId="14" xfId="3" applyNumberFormat="1" applyFont="1" applyFill="1" applyBorder="1" applyAlignment="1">
      <alignment horizontal="center"/>
    </xf>
    <xf numFmtId="166" fontId="6" fillId="11" borderId="5" xfId="2" applyNumberFormat="1" applyFont="1" applyFill="1" applyBorder="1"/>
    <xf numFmtId="3" fontId="6" fillId="11" borderId="10" xfId="0" applyNumberFormat="1" applyFont="1" applyFill="1" applyBorder="1"/>
    <xf numFmtId="3" fontId="6" fillId="11" borderId="4" xfId="0" applyNumberFormat="1" applyFont="1" applyFill="1" applyBorder="1"/>
    <xf numFmtId="3" fontId="6" fillId="11" borderId="9" xfId="0" applyNumberFormat="1" applyFont="1" applyFill="1" applyBorder="1"/>
    <xf numFmtId="0" fontId="7" fillId="5" borderId="8" xfId="0" applyFont="1" applyFill="1" applyBorder="1" applyAlignment="1">
      <alignment horizontal="center"/>
    </xf>
    <xf numFmtId="0" fontId="2" fillId="4" borderId="3" xfId="0" applyFont="1" applyFill="1" applyBorder="1" applyAlignment="1">
      <alignment horizontal="left" indent="1"/>
    </xf>
    <xf numFmtId="0" fontId="6" fillId="4" borderId="4" xfId="0" applyFont="1" applyFill="1" applyBorder="1"/>
    <xf numFmtId="166" fontId="6" fillId="5" borderId="5" xfId="2" applyNumberFormat="1" applyFont="1" applyFill="1" applyBorder="1" applyAlignment="1">
      <alignment horizontal="center"/>
    </xf>
    <xf numFmtId="0" fontId="37" fillId="0" borderId="0" xfId="0" applyFont="1"/>
    <xf numFmtId="0" fontId="6" fillId="4" borderId="5" xfId="0" applyFont="1" applyFill="1" applyBorder="1"/>
    <xf numFmtId="0" fontId="6" fillId="4" borderId="3" xfId="0" applyFont="1" applyFill="1" applyBorder="1"/>
    <xf numFmtId="166" fontId="6"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38" fillId="0" borderId="0" xfId="0" applyFont="1"/>
    <xf numFmtId="165" fontId="5" fillId="15" borderId="4" xfId="3" applyFont="1" applyFill="1" applyBorder="1" applyAlignment="1">
      <alignment horizontal="left"/>
    </xf>
    <xf numFmtId="165" fontId="5" fillId="15" borderId="4" xfId="3" applyFont="1" applyFill="1" applyBorder="1" applyAlignment="1">
      <alignment horizontal="center"/>
    </xf>
    <xf numFmtId="165" fontId="2" fillId="5" borderId="4" xfId="3" applyFont="1" applyFill="1" applyBorder="1" applyAlignment="1">
      <alignment horizontal="left" indent="2"/>
    </xf>
    <xf numFmtId="165" fontId="2" fillId="5" borderId="4" xfId="3" applyFont="1" applyFill="1" applyBorder="1"/>
    <xf numFmtId="171" fontId="2" fillId="5" borderId="4" xfId="3" applyNumberFormat="1" applyFont="1" applyFill="1" applyBorder="1"/>
    <xf numFmtId="165" fontId="6" fillId="5" borderId="4" xfId="3" applyFont="1" applyFill="1" applyBorder="1"/>
    <xf numFmtId="171"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39" fillId="4" borderId="5" xfId="0" applyFont="1" applyFill="1" applyBorder="1"/>
    <xf numFmtId="0" fontId="2" fillId="4" borderId="4" xfId="0" applyFont="1" applyFill="1" applyBorder="1" applyAlignment="1">
      <alignment horizontal="left"/>
    </xf>
    <xf numFmtId="165" fontId="40" fillId="10" borderId="4" xfId="3" applyFont="1" applyFill="1" applyBorder="1"/>
    <xf numFmtId="165" fontId="2" fillId="10" borderId="4" xfId="3" applyFont="1" applyFill="1" applyBorder="1"/>
    <xf numFmtId="165" fontId="6" fillId="5" borderId="4" xfId="3" applyFont="1" applyFill="1" applyBorder="1" applyAlignment="1">
      <alignment horizontal="left"/>
    </xf>
    <xf numFmtId="0" fontId="6" fillId="4" borderId="4" xfId="0" applyFont="1" applyFill="1" applyBorder="1" applyAlignment="1">
      <alignment horizontal="left"/>
    </xf>
    <xf numFmtId="165" fontId="41" fillId="10" borderId="4" xfId="3" applyFont="1" applyFill="1" applyBorder="1"/>
    <xf numFmtId="165" fontId="6" fillId="10" borderId="4" xfId="3" applyFont="1" applyFill="1" applyBorder="1"/>
    <xf numFmtId="0" fontId="2" fillId="4" borderId="7" xfId="0" applyFont="1" applyFill="1" applyBorder="1" applyAlignment="1">
      <alignment horizontal="left"/>
    </xf>
    <xf numFmtId="171" fontId="2" fillId="10" borderId="4" xfId="3" applyNumberFormat="1" applyFont="1" applyFill="1" applyBorder="1"/>
    <xf numFmtId="0" fontId="31" fillId="7" borderId="8" xfId="0" applyFont="1" applyFill="1" applyBorder="1" applyAlignment="1">
      <alignment vertical="center" wrapText="1"/>
    </xf>
    <xf numFmtId="1" fontId="24" fillId="10" borderId="10" xfId="3" applyNumberFormat="1" applyFont="1" applyFill="1" applyBorder="1" applyAlignment="1">
      <alignment horizontal="center"/>
    </xf>
    <xf numFmtId="3" fontId="6" fillId="11" borderId="5" xfId="0" applyNumberFormat="1" applyFont="1" applyFill="1" applyBorder="1"/>
    <xf numFmtId="165" fontId="41" fillId="5" borderId="4" xfId="3" applyFont="1" applyFill="1" applyBorder="1"/>
    <xf numFmtId="0" fontId="30" fillId="7" borderId="10" xfId="0" applyNumberFormat="1" applyFont="1" applyFill="1" applyBorder="1" applyAlignment="1">
      <alignment horizontal="left" wrapText="1"/>
    </xf>
    <xf numFmtId="0" fontId="30" fillId="7" borderId="1" xfId="0" applyNumberFormat="1" applyFont="1" applyFill="1" applyBorder="1" applyAlignment="1">
      <alignment horizontal="left" wrapText="1"/>
    </xf>
    <xf numFmtId="0" fontId="28" fillId="7" borderId="0" xfId="0" applyFont="1" applyFill="1" applyBorder="1" applyAlignment="1">
      <alignment horizontal="left" wrapText="1"/>
    </xf>
    <xf numFmtId="0" fontId="2" fillId="7" borderId="1" xfId="0" applyFont="1" applyFill="1" applyBorder="1" applyAlignment="1">
      <alignment horizontal="left" vertical="top" wrapText="1"/>
    </xf>
    <xf numFmtId="0" fontId="28"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8" fillId="2" borderId="5" xfId="0" applyFont="1" applyFill="1" applyBorder="1" applyAlignment="1">
      <alignment horizontal="center"/>
    </xf>
    <xf numFmtId="0" fontId="28" fillId="2" borderId="3" xfId="0" applyFont="1" applyFill="1" applyBorder="1" applyAlignment="1">
      <alignment horizontal="center"/>
    </xf>
    <xf numFmtId="0" fontId="7" fillId="9" borderId="9" xfId="0" applyFont="1" applyFill="1" applyBorder="1" applyAlignment="1">
      <alignment horizontal="left" vertical="center"/>
    </xf>
    <xf numFmtId="0" fontId="29" fillId="9" borderId="14" xfId="0" applyFont="1" applyFill="1" applyBorder="1" applyAlignment="1">
      <alignment horizontal="left" vertical="center"/>
    </xf>
    <xf numFmtId="0" fontId="28" fillId="7" borderId="1" xfId="0" applyFont="1" applyFill="1" applyBorder="1" applyAlignment="1">
      <alignment horizontal="left" wrapText="1"/>
    </xf>
    <xf numFmtId="0" fontId="35" fillId="7" borderId="0" xfId="0" quotePrefix="1" applyFont="1" applyFill="1" applyBorder="1" applyAlignment="1">
      <alignment horizontal="left" vertical="top" wrapText="1"/>
    </xf>
    <xf numFmtId="0" fontId="28" fillId="7" borderId="0" xfId="0" quotePrefix="1" applyFont="1" applyFill="1" applyBorder="1" applyAlignment="1">
      <alignment horizontal="left" vertical="top" wrapText="1"/>
    </xf>
    <xf numFmtId="0" fontId="28" fillId="7" borderId="0"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16" fillId="4" borderId="10" xfId="0" quotePrefix="1" applyFont="1" applyFill="1" applyBorder="1" applyAlignment="1">
      <alignment horizontal="left" vertical="top" wrapText="1"/>
    </xf>
    <xf numFmtId="0" fontId="16" fillId="4" borderId="1" xfId="0" quotePrefix="1" applyFont="1" applyFill="1" applyBorder="1" applyAlignment="1">
      <alignment horizontal="left" vertical="top" wrapText="1"/>
    </xf>
    <xf numFmtId="0" fontId="16" fillId="4" borderId="8" xfId="0" quotePrefix="1" applyFont="1" applyFill="1" applyBorder="1" applyAlignment="1">
      <alignment horizontal="left" vertical="top" wrapText="1"/>
    </xf>
    <xf numFmtId="0" fontId="16" fillId="4" borderId="0" xfId="0" quotePrefix="1" applyFont="1" applyFill="1" applyBorder="1" applyAlignment="1">
      <alignment horizontal="left" vertical="top" wrapText="1"/>
    </xf>
    <xf numFmtId="0" fontId="21" fillId="8" borderId="10" xfId="0" applyFont="1" applyFill="1" applyBorder="1" applyAlignment="1">
      <alignment horizontal="left"/>
    </xf>
    <xf numFmtId="0" fontId="21" fillId="8" borderId="1" xfId="0" applyFont="1" applyFill="1" applyBorder="1" applyAlignment="1">
      <alignment horizontal="left"/>
    </xf>
    <xf numFmtId="0" fontId="23" fillId="11" borderId="5" xfId="0" applyFont="1" applyFill="1" applyBorder="1" applyAlignment="1">
      <alignment horizontal="left" vertical="center"/>
    </xf>
    <xf numFmtId="0" fontId="23" fillId="11" borderId="2" xfId="0" applyFont="1" applyFill="1" applyBorder="1" applyAlignment="1">
      <alignment horizontal="left" vertical="center"/>
    </xf>
    <xf numFmtId="0" fontId="23"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2" fillId="4" borderId="1"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10" fontId="38" fillId="14" borderId="12" xfId="0" applyNumberFormat="1" applyFont="1" applyFill="1" applyBorder="1" applyAlignment="1">
      <alignment horizontal="center"/>
    </xf>
    <xf numFmtId="10" fontId="38"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9" fillId="4" borderId="1" xfId="0" applyFont="1" applyFill="1" applyBorder="1" applyAlignment="1">
      <alignment horizontal="left" vertical="top" wrapText="1"/>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1" fillId="4" borderId="1" xfId="0" quotePrefix="1" applyFont="1" applyFill="1" applyBorder="1" applyAlignment="1">
      <alignment horizontal="left" vertical="top" wrapText="1"/>
    </xf>
    <xf numFmtId="0" fontId="5" fillId="8" borderId="12" xfId="0" applyFont="1" applyFill="1" applyBorder="1" applyAlignment="1">
      <alignment horizontal="center"/>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BFBFBF"/>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9"/>
  <sheetViews>
    <sheetView showGridLines="0" tabSelected="1" zoomScaleNormal="100" workbookViewId="0">
      <selection activeCell="H58" sqref="H58"/>
    </sheetView>
  </sheetViews>
  <sheetFormatPr defaultColWidth="9.140625" defaultRowHeight="12.75" x14ac:dyDescent="0.2"/>
  <cols>
    <col min="1" max="1" width="2.42578125" style="144" customWidth="1"/>
    <col min="2" max="2" width="41.85546875" style="144" customWidth="1"/>
    <col min="3" max="3" width="19.7109375" style="144" customWidth="1"/>
    <col min="4" max="4" width="16.140625" style="144" customWidth="1"/>
    <col min="5" max="5" width="13.85546875" style="144" customWidth="1"/>
    <col min="6" max="6" width="14" style="144" customWidth="1"/>
    <col min="7" max="7" width="12.85546875" style="144" customWidth="1"/>
    <col min="8" max="8" width="13.28515625" style="144" customWidth="1"/>
    <col min="9" max="9" width="11.5703125" style="144" customWidth="1"/>
    <col min="10" max="16384" width="9.140625" style="144"/>
  </cols>
  <sheetData>
    <row r="2" spans="2:19" x14ac:dyDescent="0.2">
      <c r="B2" s="142" t="s">
        <v>7</v>
      </c>
      <c r="C2" s="143"/>
      <c r="D2" s="143"/>
      <c r="E2" s="143"/>
      <c r="F2" s="143"/>
      <c r="G2" s="143"/>
      <c r="H2" s="143"/>
      <c r="O2" s="145"/>
      <c r="P2" s="145"/>
      <c r="Q2" s="145"/>
      <c r="R2" s="145"/>
      <c r="S2" s="145"/>
    </row>
    <row r="3" spans="2:19" ht="75.75" customHeight="1" x14ac:dyDescent="0.2">
      <c r="B3" s="146" t="s">
        <v>56</v>
      </c>
      <c r="C3" s="259" t="s">
        <v>146</v>
      </c>
      <c r="D3" s="260"/>
      <c r="E3" s="260"/>
      <c r="F3" s="260"/>
      <c r="G3" s="260"/>
      <c r="H3" s="260"/>
      <c r="M3" s="147"/>
      <c r="N3" s="147"/>
      <c r="O3" s="145"/>
      <c r="P3" s="145"/>
      <c r="Q3" s="145"/>
      <c r="R3" s="145"/>
      <c r="S3" s="145"/>
    </row>
    <row r="4" spans="2:19" ht="55.5" customHeight="1" x14ac:dyDescent="0.2">
      <c r="B4" s="148"/>
      <c r="C4" s="265"/>
      <c r="D4" s="266"/>
      <c r="E4" s="255"/>
      <c r="F4" s="149"/>
      <c r="G4" s="149"/>
      <c r="H4" s="149"/>
      <c r="M4" s="147"/>
      <c r="N4" s="147"/>
      <c r="O4" s="145"/>
      <c r="P4" s="145"/>
      <c r="Q4" s="145"/>
      <c r="R4" s="145"/>
      <c r="S4" s="145"/>
    </row>
    <row r="5" spans="2:19" x14ac:dyDescent="0.2">
      <c r="B5" s="150" t="s">
        <v>13</v>
      </c>
      <c r="C5" s="151"/>
      <c r="D5" s="152" t="s">
        <v>47</v>
      </c>
      <c r="E5" s="153"/>
      <c r="F5" s="153"/>
      <c r="G5" s="153"/>
      <c r="H5" s="153"/>
      <c r="M5" s="147"/>
      <c r="N5" s="147"/>
      <c r="O5" s="145"/>
      <c r="P5" s="145"/>
      <c r="Q5" s="145"/>
      <c r="R5" s="145"/>
      <c r="S5" s="145"/>
    </row>
    <row r="6" spans="2:19" x14ac:dyDescent="0.2">
      <c r="B6" s="154" t="s">
        <v>41</v>
      </c>
      <c r="C6" s="155"/>
      <c r="D6" s="155" t="s">
        <v>81</v>
      </c>
      <c r="E6" s="156"/>
      <c r="F6" s="156"/>
      <c r="G6" s="156"/>
      <c r="H6" s="156"/>
      <c r="M6" s="147"/>
      <c r="N6" s="147"/>
      <c r="O6" s="145"/>
      <c r="P6" s="145"/>
      <c r="Q6" s="145"/>
      <c r="R6" s="145"/>
      <c r="S6" s="145"/>
    </row>
    <row r="7" spans="2:19" x14ac:dyDescent="0.2">
      <c r="B7" s="267" t="s">
        <v>101</v>
      </c>
      <c r="C7" s="155" t="s">
        <v>87</v>
      </c>
      <c r="D7" s="157">
        <f>'Proposed price'!Q20</f>
        <v>2206.7200570985506</v>
      </c>
      <c r="E7" s="158"/>
      <c r="F7" s="158"/>
      <c r="G7" s="158"/>
      <c r="H7" s="158"/>
      <c r="O7" s="145"/>
      <c r="P7" s="145"/>
      <c r="Q7" s="145"/>
      <c r="R7" s="145"/>
      <c r="S7" s="145"/>
    </row>
    <row r="8" spans="2:19" x14ac:dyDescent="0.2">
      <c r="B8" s="268"/>
      <c r="C8" s="155" t="s">
        <v>88</v>
      </c>
      <c r="D8" s="157">
        <f>'Proposed price'!Q40</f>
        <v>3107.4517722177047</v>
      </c>
      <c r="E8" s="158"/>
      <c r="F8" s="158"/>
      <c r="G8" s="158"/>
      <c r="H8" s="158"/>
      <c r="O8" s="145"/>
      <c r="P8" s="145"/>
      <c r="Q8" s="145"/>
      <c r="R8" s="145"/>
      <c r="S8" s="145"/>
    </row>
    <row r="9" spans="2:19" x14ac:dyDescent="0.2">
      <c r="B9" s="159" t="s">
        <v>48</v>
      </c>
      <c r="C9" s="160" t="s">
        <v>82</v>
      </c>
      <c r="D9" s="160"/>
      <c r="E9" s="161"/>
      <c r="F9" s="162"/>
      <c r="G9" s="163"/>
      <c r="H9" s="162"/>
      <c r="O9" s="145"/>
      <c r="P9" s="145"/>
      <c r="Q9" s="145"/>
      <c r="R9" s="145"/>
      <c r="S9" s="145"/>
    </row>
    <row r="10" spans="2:19" x14ac:dyDescent="0.2">
      <c r="B10" s="164" t="s">
        <v>5</v>
      </c>
      <c r="C10" s="165"/>
      <c r="D10" s="165"/>
      <c r="E10" s="166"/>
      <c r="F10" s="166"/>
      <c r="G10" s="167"/>
      <c r="H10" s="166"/>
      <c r="O10" s="145"/>
      <c r="P10" s="145"/>
      <c r="Q10" s="145"/>
      <c r="R10" s="145"/>
      <c r="S10" s="145"/>
    </row>
    <row r="11" spans="2:19" ht="303.75" customHeight="1" x14ac:dyDescent="0.2">
      <c r="B11" s="262" t="s">
        <v>147</v>
      </c>
      <c r="C11" s="263"/>
      <c r="D11" s="263"/>
      <c r="E11" s="263"/>
      <c r="F11" s="263"/>
      <c r="G11" s="263"/>
      <c r="H11" s="263"/>
      <c r="O11" s="145"/>
      <c r="P11" s="145"/>
      <c r="Q11" s="145"/>
      <c r="R11" s="145"/>
      <c r="S11" s="145"/>
    </row>
    <row r="12" spans="2:19" x14ac:dyDescent="0.2">
      <c r="B12" s="168"/>
      <c r="C12" s="168"/>
      <c r="D12" s="168"/>
      <c r="E12" s="168"/>
      <c r="F12" s="168"/>
      <c r="G12" s="168"/>
      <c r="H12" s="168"/>
      <c r="O12" s="145"/>
      <c r="P12" s="145"/>
      <c r="Q12" s="145"/>
      <c r="R12" s="145"/>
      <c r="S12" s="145"/>
    </row>
    <row r="13" spans="2:19" x14ac:dyDescent="0.2">
      <c r="O13" s="145"/>
      <c r="P13" s="145"/>
      <c r="Q13" s="145"/>
      <c r="R13" s="145"/>
      <c r="S13" s="145"/>
    </row>
    <row r="14" spans="2:19" x14ac:dyDescent="0.2">
      <c r="B14" s="169" t="s">
        <v>34</v>
      </c>
      <c r="C14" s="143"/>
      <c r="D14" s="143"/>
      <c r="E14" s="143"/>
      <c r="F14" s="143"/>
      <c r="G14" s="143"/>
      <c r="H14" s="143"/>
      <c r="O14" s="145"/>
      <c r="P14" s="145"/>
      <c r="Q14" s="145"/>
      <c r="R14" s="145"/>
      <c r="S14" s="145"/>
    </row>
    <row r="15" spans="2:19" x14ac:dyDescent="0.2">
      <c r="B15" s="261"/>
      <c r="C15" s="261"/>
      <c r="D15" s="261"/>
      <c r="E15" s="261"/>
      <c r="F15" s="261"/>
      <c r="G15" s="261"/>
      <c r="H15" s="261"/>
    </row>
    <row r="16" spans="2:19" ht="122.25" customHeight="1" x14ac:dyDescent="0.2">
      <c r="B16" s="264" t="s">
        <v>148</v>
      </c>
      <c r="C16" s="264"/>
      <c r="D16" s="264"/>
      <c r="E16" s="264"/>
      <c r="F16" s="264"/>
      <c r="G16" s="264"/>
      <c r="H16" s="264"/>
      <c r="I16" s="145"/>
    </row>
    <row r="17" spans="2:9" x14ac:dyDescent="0.2">
      <c r="B17" s="170"/>
      <c r="C17" s="170"/>
      <c r="D17" s="170"/>
      <c r="E17" s="170"/>
      <c r="F17" s="170"/>
      <c r="G17" s="170"/>
      <c r="H17" s="170"/>
    </row>
    <row r="18" spans="2:9" x14ac:dyDescent="0.2">
      <c r="B18" s="171"/>
      <c r="C18" s="171"/>
      <c r="D18" s="171"/>
      <c r="E18" s="171"/>
      <c r="F18" s="171"/>
      <c r="G18" s="171"/>
      <c r="H18" s="171"/>
    </row>
    <row r="19" spans="2:9" x14ac:dyDescent="0.2">
      <c r="B19" s="169" t="s">
        <v>42</v>
      </c>
      <c r="C19" s="143"/>
      <c r="D19" s="143"/>
      <c r="E19" s="143"/>
      <c r="F19" s="143"/>
      <c r="G19" s="143"/>
      <c r="H19" s="143"/>
    </row>
    <row r="20" spans="2:9" x14ac:dyDescent="0.2">
      <c r="B20" s="261"/>
      <c r="C20" s="261"/>
      <c r="D20" s="261"/>
      <c r="E20" s="261"/>
      <c r="F20" s="261"/>
      <c r="G20" s="261"/>
      <c r="H20" s="261"/>
    </row>
    <row r="21" spans="2:9" x14ac:dyDescent="0.2">
      <c r="B21" s="270" t="s">
        <v>95</v>
      </c>
      <c r="C21" s="271"/>
      <c r="D21" s="271"/>
      <c r="E21" s="271"/>
      <c r="F21" s="271"/>
      <c r="G21" s="271"/>
      <c r="H21" s="271"/>
    </row>
    <row r="22" spans="2:9" x14ac:dyDescent="0.2">
      <c r="B22" s="271"/>
      <c r="C22" s="271"/>
      <c r="D22" s="271"/>
      <c r="E22" s="271"/>
      <c r="F22" s="271"/>
      <c r="G22" s="271"/>
      <c r="H22" s="271"/>
    </row>
    <row r="23" spans="2:9" x14ac:dyDescent="0.2">
      <c r="B23" s="271"/>
      <c r="C23" s="272"/>
      <c r="D23" s="272"/>
      <c r="E23" s="272"/>
      <c r="F23" s="272"/>
      <c r="G23" s="272"/>
      <c r="H23" s="272"/>
    </row>
    <row r="24" spans="2:9" x14ac:dyDescent="0.2">
      <c r="B24" s="172"/>
      <c r="C24" s="172"/>
      <c r="D24" s="172"/>
      <c r="E24" s="172"/>
      <c r="F24" s="172"/>
      <c r="G24" s="172"/>
      <c r="H24" s="172"/>
    </row>
    <row r="25" spans="2:9" x14ac:dyDescent="0.2">
      <c r="B25" s="261"/>
      <c r="C25" s="261"/>
      <c r="D25" s="261"/>
      <c r="E25" s="261"/>
      <c r="F25" s="261"/>
      <c r="G25" s="261"/>
      <c r="H25" s="261"/>
    </row>
    <row r="26" spans="2:9" x14ac:dyDescent="0.2">
      <c r="B26" s="170"/>
      <c r="C26" s="170"/>
      <c r="D26" s="170"/>
      <c r="E26" s="170"/>
      <c r="F26" s="170"/>
      <c r="G26" s="170"/>
      <c r="H26" s="170"/>
    </row>
    <row r="27" spans="2:9" x14ac:dyDescent="0.2">
      <c r="B27" s="170"/>
      <c r="C27" s="170"/>
      <c r="D27" s="170"/>
      <c r="E27" s="170"/>
      <c r="F27" s="170"/>
      <c r="G27" s="170"/>
      <c r="H27" s="170"/>
    </row>
    <row r="28" spans="2:9" x14ac:dyDescent="0.2">
      <c r="B28" s="170"/>
      <c r="C28" s="170"/>
      <c r="D28" s="170"/>
      <c r="E28" s="170"/>
      <c r="F28" s="170"/>
      <c r="G28" s="170"/>
      <c r="H28" s="170"/>
    </row>
    <row r="29" spans="2:9" x14ac:dyDescent="0.2">
      <c r="B29" s="170"/>
      <c r="C29" s="170"/>
      <c r="D29" s="170"/>
      <c r="E29" s="170"/>
      <c r="F29" s="170"/>
      <c r="G29" s="170"/>
      <c r="H29" s="170"/>
    </row>
    <row r="30" spans="2:9" x14ac:dyDescent="0.2">
      <c r="B30" s="173"/>
      <c r="C30" s="173"/>
      <c r="D30" s="173"/>
      <c r="E30" s="173"/>
      <c r="F30" s="173"/>
      <c r="G30" s="173"/>
      <c r="H30" s="173"/>
      <c r="I30" s="145"/>
    </row>
    <row r="31" spans="2:9" x14ac:dyDescent="0.2">
      <c r="B31" s="169" t="s">
        <v>6</v>
      </c>
    </row>
    <row r="32" spans="2:9" x14ac:dyDescent="0.2">
      <c r="B32" s="174" t="s">
        <v>14</v>
      </c>
      <c r="C32" s="175" t="s">
        <v>29</v>
      </c>
      <c r="D32" s="175"/>
      <c r="E32" s="175"/>
      <c r="F32" s="175"/>
      <c r="G32" s="175"/>
      <c r="H32" s="175"/>
    </row>
    <row r="33" spans="2:8" x14ac:dyDescent="0.2">
      <c r="B33" s="176" t="s">
        <v>45</v>
      </c>
      <c r="C33" s="175" t="s">
        <v>51</v>
      </c>
      <c r="D33" s="175"/>
      <c r="E33" s="175"/>
      <c r="F33" s="175"/>
      <c r="G33" s="175"/>
      <c r="H33" s="175"/>
    </row>
    <row r="34" spans="2:8" x14ac:dyDescent="0.2">
      <c r="B34" s="176" t="s">
        <v>46</v>
      </c>
      <c r="C34" s="175" t="s">
        <v>52</v>
      </c>
      <c r="D34" s="175"/>
      <c r="E34" s="175"/>
      <c r="F34" s="175"/>
      <c r="G34" s="175"/>
      <c r="H34" s="175"/>
    </row>
    <row r="35" spans="2:8" x14ac:dyDescent="0.2">
      <c r="B35" s="176" t="s">
        <v>15</v>
      </c>
      <c r="C35" s="175" t="s">
        <v>30</v>
      </c>
      <c r="D35" s="175"/>
      <c r="E35" s="175"/>
      <c r="F35" s="175"/>
      <c r="G35" s="175"/>
      <c r="H35" s="175"/>
    </row>
    <row r="38" spans="2:8" x14ac:dyDescent="0.2">
      <c r="B38" s="169" t="s">
        <v>35</v>
      </c>
      <c r="C38" s="143"/>
      <c r="D38" s="143"/>
      <c r="E38" s="143"/>
      <c r="F38" s="143"/>
      <c r="G38" s="143"/>
      <c r="H38" s="143"/>
    </row>
    <row r="40" spans="2:8" x14ac:dyDescent="0.2">
      <c r="B40" s="177"/>
      <c r="C40" s="178" t="s">
        <v>36</v>
      </c>
      <c r="D40" s="178" t="s">
        <v>37</v>
      </c>
      <c r="E40" s="178" t="s">
        <v>38</v>
      </c>
      <c r="F40" s="178" t="s">
        <v>40</v>
      </c>
      <c r="G40" s="178" t="s">
        <v>39</v>
      </c>
      <c r="H40" s="179" t="s">
        <v>1</v>
      </c>
    </row>
    <row r="41" spans="2:8" x14ac:dyDescent="0.2">
      <c r="C41" s="180"/>
      <c r="D41" s="180"/>
      <c r="E41" s="180"/>
      <c r="F41" s="180"/>
      <c r="G41" s="180"/>
      <c r="H41" s="180"/>
    </row>
    <row r="42" spans="2:8" x14ac:dyDescent="0.2">
      <c r="B42" s="194" t="s">
        <v>102</v>
      </c>
      <c r="C42" s="181">
        <f>'Forecast Revenue - Costs'!D32</f>
        <v>66402.632456446474</v>
      </c>
      <c r="D42" s="181">
        <f>'Forecast Revenue - Costs'!E32</f>
        <v>66402.632456446474</v>
      </c>
      <c r="E42" s="181">
        <f>'Forecast Revenue - Costs'!F32</f>
        <v>67024.533013881475</v>
      </c>
      <c r="F42" s="181">
        <f>'Forecast Revenue - Costs'!G32</f>
        <v>68346.719153447557</v>
      </c>
      <c r="G42" s="181">
        <f>'Forecast Revenue - Costs'!H32</f>
        <v>70321.75613116374</v>
      </c>
      <c r="H42" s="181">
        <f>SUM(C42:G42)</f>
        <v>338498.27321138571</v>
      </c>
    </row>
    <row r="43" spans="2:8" x14ac:dyDescent="0.2">
      <c r="C43" s="182"/>
      <c r="D43" s="183"/>
      <c r="E43" s="182"/>
      <c r="F43" s="182"/>
      <c r="G43" s="182"/>
    </row>
    <row r="44" spans="2:8" x14ac:dyDescent="0.2">
      <c r="B44" s="194" t="s">
        <v>103</v>
      </c>
      <c r="C44" s="181">
        <f>SUM('Forecast Revenue - Costs'!D33:D35)</f>
        <v>48437.02897407682</v>
      </c>
      <c r="D44" s="181">
        <f>SUM('Forecast Revenue - Costs'!E33:E35)</f>
        <v>48437.02897407682</v>
      </c>
      <c r="E44" s="181">
        <f>SUM('Forecast Revenue - Costs'!F33:F35)</f>
        <v>48890.670858519137</v>
      </c>
      <c r="F44" s="181">
        <f>SUM('Forecast Revenue - Costs'!G33:G35)</f>
        <v>49855.132145400967</v>
      </c>
      <c r="G44" s="181">
        <f>SUM('Forecast Revenue - Costs'!H33:H35)</f>
        <v>51295.811825943128</v>
      </c>
      <c r="H44" s="181">
        <f>SUM(C44:G44)</f>
        <v>246915.67277801689</v>
      </c>
    </row>
    <row r="45" spans="2:8" x14ac:dyDescent="0.2">
      <c r="C45" s="182"/>
      <c r="D45" s="183"/>
      <c r="E45" s="182"/>
      <c r="F45" s="182"/>
      <c r="G45" s="182"/>
    </row>
    <row r="46" spans="2:8" x14ac:dyDescent="0.2">
      <c r="B46" s="194" t="s">
        <v>104</v>
      </c>
      <c r="C46" s="181">
        <f t="shared" ref="C46:H46" si="0">+C42+C44</f>
        <v>114839.66143052329</v>
      </c>
      <c r="D46" s="181">
        <f t="shared" si="0"/>
        <v>114839.66143052329</v>
      </c>
      <c r="E46" s="181">
        <f t="shared" si="0"/>
        <v>115915.20387240061</v>
      </c>
      <c r="F46" s="181">
        <f t="shared" si="0"/>
        <v>118201.85129884852</v>
      </c>
      <c r="G46" s="181">
        <f t="shared" si="0"/>
        <v>121617.56795710686</v>
      </c>
      <c r="H46" s="181">
        <f t="shared" si="0"/>
        <v>585413.94598940259</v>
      </c>
    </row>
    <row r="47" spans="2:8" x14ac:dyDescent="0.2">
      <c r="C47" s="184"/>
      <c r="D47" s="184"/>
      <c r="E47" s="184"/>
      <c r="F47" s="184"/>
      <c r="G47" s="184"/>
    </row>
    <row r="48" spans="2:8" x14ac:dyDescent="0.2">
      <c r="B48" s="185" t="s">
        <v>6</v>
      </c>
    </row>
    <row r="49" spans="2:9" ht="14.25" customHeight="1" x14ac:dyDescent="0.2">
      <c r="B49" s="269"/>
      <c r="C49" s="269"/>
      <c r="D49" s="269"/>
      <c r="E49" s="269"/>
      <c r="F49" s="269"/>
      <c r="G49" s="269"/>
      <c r="H49" s="269"/>
    </row>
    <row r="50" spans="2:9" x14ac:dyDescent="0.2">
      <c r="B50" s="261"/>
      <c r="C50" s="261"/>
      <c r="D50" s="261"/>
      <c r="E50" s="261"/>
      <c r="F50" s="261"/>
      <c r="G50" s="261"/>
      <c r="H50" s="261"/>
      <c r="I50" s="145"/>
    </row>
    <row r="51" spans="2:9" ht="27.75" customHeight="1" x14ac:dyDescent="0.2">
      <c r="B51" s="261"/>
      <c r="C51" s="261"/>
      <c r="D51" s="261"/>
      <c r="E51" s="261"/>
      <c r="F51" s="261"/>
      <c r="G51" s="261"/>
      <c r="H51" s="261"/>
    </row>
    <row r="54" spans="2:9" x14ac:dyDescent="0.2">
      <c r="B54" s="169" t="s">
        <v>92</v>
      </c>
      <c r="C54" s="143"/>
      <c r="D54" s="143"/>
      <c r="E54" s="143"/>
      <c r="F54" s="143"/>
      <c r="G54" s="143"/>
      <c r="H54" s="143"/>
    </row>
    <row r="55" spans="2:9" x14ac:dyDescent="0.2">
      <c r="B55" s="186"/>
    </row>
    <row r="56" spans="2:9" x14ac:dyDescent="0.2">
      <c r="B56" s="187"/>
      <c r="C56" s="188" t="s">
        <v>36</v>
      </c>
      <c r="D56" s="188" t="s">
        <v>37</v>
      </c>
      <c r="E56" s="188" t="s">
        <v>38</v>
      </c>
      <c r="F56" s="188" t="s">
        <v>40</v>
      </c>
      <c r="G56" s="188" t="s">
        <v>39</v>
      </c>
      <c r="H56" s="189" t="s">
        <v>1</v>
      </c>
    </row>
    <row r="57" spans="2:9" x14ac:dyDescent="0.2">
      <c r="C57" s="190"/>
      <c r="D57" s="190"/>
      <c r="E57" s="190"/>
      <c r="F57" s="190"/>
      <c r="G57" s="190"/>
      <c r="H57" s="190"/>
    </row>
    <row r="58" spans="2:9" x14ac:dyDescent="0.2">
      <c r="B58" s="187" t="s">
        <v>12</v>
      </c>
      <c r="C58" s="191">
        <f>'Forecast Revenue - Costs'!D14</f>
        <v>50</v>
      </c>
      <c r="D58" s="191">
        <f>'Forecast Revenue - Costs'!E14</f>
        <v>50</v>
      </c>
      <c r="E58" s="191">
        <f>'Forecast Revenue - Costs'!F14</f>
        <v>50</v>
      </c>
      <c r="F58" s="191">
        <f>'Forecast Revenue - Costs'!G14</f>
        <v>50</v>
      </c>
      <c r="G58" s="191">
        <f>'Forecast Revenue - Costs'!H14</f>
        <v>50</v>
      </c>
      <c r="H58" s="191">
        <f>SUM(C58:G58)</f>
        <v>250</v>
      </c>
    </row>
    <row r="59" spans="2:9" x14ac:dyDescent="0.2">
      <c r="C59" s="192"/>
      <c r="D59" s="192"/>
      <c r="E59" s="192"/>
      <c r="F59" s="192"/>
      <c r="G59" s="192"/>
      <c r="H59" s="193"/>
    </row>
  </sheetData>
  <mergeCells count="12">
    <mergeCell ref="B49:H51"/>
    <mergeCell ref="B20:H20"/>
    <mergeCell ref="B21:H21"/>
    <mergeCell ref="B22:H22"/>
    <mergeCell ref="B23:H23"/>
    <mergeCell ref="B25:H25"/>
    <mergeCell ref="C3:H3"/>
    <mergeCell ref="B15:H15"/>
    <mergeCell ref="B11:H11"/>
    <mergeCell ref="B16:H16"/>
    <mergeCell ref="C4:D4"/>
    <mergeCell ref="B7:B8"/>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U20" sqref="U20"/>
    </sheetView>
  </sheetViews>
  <sheetFormatPr defaultColWidth="9.140625" defaultRowHeight="12.75" x14ac:dyDescent="0.2"/>
  <cols>
    <col min="1" max="1" width="2.28515625" style="1" customWidth="1"/>
    <col min="2" max="2" width="2.42578125" style="40" customWidth="1"/>
    <col min="3" max="3" width="10.140625" style="40" customWidth="1"/>
    <col min="4" max="9" width="13.140625" style="40" customWidth="1"/>
    <col min="10" max="11" width="9.140625" style="40"/>
    <col min="12" max="12" width="5.28515625" style="40" customWidth="1"/>
    <col min="13" max="13" width="2.42578125" style="1" customWidth="1"/>
    <col min="14" max="16384" width="9.140625" style="1"/>
  </cols>
  <sheetData>
    <row r="1" spans="2:14" ht="9" customHeight="1" x14ac:dyDescent="0.2"/>
    <row r="2" spans="2:14" ht="18" customHeight="1" x14ac:dyDescent="0.2">
      <c r="B2" s="38" t="s">
        <v>16</v>
      </c>
      <c r="C2" s="38"/>
      <c r="D2" s="38"/>
      <c r="E2" s="38"/>
      <c r="F2" s="38"/>
      <c r="G2" s="38"/>
      <c r="H2" s="38"/>
      <c r="I2" s="38"/>
      <c r="J2" s="38"/>
      <c r="K2" s="38"/>
    </row>
    <row r="3" spans="2:14" x14ac:dyDescent="0.2">
      <c r="B3" s="37" t="s">
        <v>0</v>
      </c>
      <c r="C3" s="39"/>
      <c r="D3" s="275" t="str">
        <f>'AER Summary'!C3</f>
        <v>Work near electricity assets - De-energisation of mains required (NEW)</v>
      </c>
      <c r="E3" s="276"/>
      <c r="F3" s="276"/>
      <c r="G3" s="276"/>
      <c r="H3" s="276"/>
      <c r="I3" s="276"/>
      <c r="J3" s="276"/>
      <c r="K3" s="276"/>
      <c r="N3" s="35"/>
    </row>
    <row r="4" spans="2:14" x14ac:dyDescent="0.2">
      <c r="N4" s="35"/>
    </row>
    <row r="5" spans="2:14" x14ac:dyDescent="0.2">
      <c r="B5" s="277" t="s">
        <v>79</v>
      </c>
      <c r="C5" s="277"/>
      <c r="D5" s="277"/>
      <c r="E5" s="277"/>
      <c r="F5" s="277"/>
      <c r="G5" s="277"/>
      <c r="H5" s="277"/>
      <c r="I5" s="277"/>
      <c r="J5" s="277"/>
      <c r="K5" s="277"/>
      <c r="N5" s="35"/>
    </row>
    <row r="6" spans="2:14" ht="69" customHeight="1" x14ac:dyDescent="0.2">
      <c r="B6" s="278" t="s">
        <v>78</v>
      </c>
      <c r="C6" s="279"/>
      <c r="D6" s="279"/>
      <c r="E6" s="279"/>
      <c r="F6" s="279"/>
      <c r="G6" s="279"/>
      <c r="H6" s="279"/>
      <c r="I6" s="279"/>
      <c r="J6" s="279"/>
      <c r="K6" s="279"/>
      <c r="N6" s="35"/>
    </row>
    <row r="9" spans="2:14" x14ac:dyDescent="0.2">
      <c r="B9" s="277" t="s">
        <v>43</v>
      </c>
      <c r="C9" s="277"/>
      <c r="D9" s="277"/>
      <c r="E9" s="277"/>
      <c r="F9" s="277"/>
      <c r="G9" s="277"/>
      <c r="H9" s="277"/>
      <c r="I9" s="277"/>
      <c r="J9" s="277"/>
      <c r="K9" s="277"/>
    </row>
    <row r="10" spans="2:14" ht="15" customHeight="1" x14ac:dyDescent="0.2">
      <c r="B10" s="274" t="s">
        <v>66</v>
      </c>
      <c r="C10" s="274"/>
      <c r="D10" s="274"/>
      <c r="E10" s="274"/>
      <c r="F10" s="274"/>
      <c r="G10" s="274"/>
      <c r="H10" s="274"/>
      <c r="I10" s="274"/>
      <c r="J10" s="274"/>
      <c r="K10" s="274"/>
    </row>
    <row r="11" spans="2:14" ht="24.75" customHeight="1" x14ac:dyDescent="0.2">
      <c r="B11" s="280"/>
      <c r="C11" s="280"/>
      <c r="D11" s="280"/>
      <c r="E11" s="280"/>
      <c r="F11" s="280"/>
      <c r="G11" s="280"/>
      <c r="H11" s="280"/>
      <c r="I11" s="280"/>
      <c r="J11" s="280"/>
      <c r="K11" s="280"/>
      <c r="L11" s="41"/>
      <c r="M11" s="36"/>
      <c r="N11" s="36"/>
    </row>
    <row r="12" spans="2:14" x14ac:dyDescent="0.2">
      <c r="B12" s="280"/>
      <c r="C12" s="280"/>
      <c r="D12" s="280"/>
      <c r="E12" s="280"/>
      <c r="F12" s="280"/>
      <c r="G12" s="280"/>
      <c r="H12" s="280"/>
      <c r="I12" s="280"/>
      <c r="J12" s="280"/>
      <c r="K12" s="280"/>
      <c r="L12" s="41"/>
      <c r="M12" s="36"/>
      <c r="N12" s="36"/>
    </row>
    <row r="13" spans="2:14" x14ac:dyDescent="0.2">
      <c r="B13" s="280"/>
      <c r="C13" s="280"/>
      <c r="D13" s="280"/>
      <c r="E13" s="280"/>
      <c r="F13" s="280"/>
      <c r="G13" s="280"/>
      <c r="H13" s="280"/>
      <c r="I13" s="280"/>
      <c r="J13" s="280"/>
      <c r="K13" s="280"/>
      <c r="L13" s="41"/>
      <c r="M13" s="36"/>
      <c r="N13" s="36"/>
    </row>
    <row r="14" spans="2:14" ht="48" customHeight="1" x14ac:dyDescent="0.2">
      <c r="B14" s="280"/>
      <c r="C14" s="280"/>
      <c r="D14" s="280"/>
      <c r="E14" s="280"/>
      <c r="F14" s="280"/>
      <c r="G14" s="280"/>
      <c r="H14" s="280"/>
      <c r="I14" s="280"/>
      <c r="J14" s="280"/>
      <c r="K14" s="280"/>
      <c r="L14" s="41"/>
      <c r="M14" s="36"/>
      <c r="N14" s="36"/>
    </row>
    <row r="15" spans="2:14" x14ac:dyDescent="0.2">
      <c r="B15" s="280"/>
      <c r="C15" s="280"/>
      <c r="D15" s="280"/>
      <c r="E15" s="280"/>
      <c r="F15" s="280"/>
      <c r="G15" s="280"/>
      <c r="H15" s="280"/>
      <c r="I15" s="280"/>
      <c r="J15" s="280"/>
      <c r="K15" s="280"/>
      <c r="L15" s="41"/>
      <c r="M15" s="36"/>
      <c r="N15" s="36"/>
    </row>
    <row r="16" spans="2:14" x14ac:dyDescent="0.2">
      <c r="B16" s="280"/>
      <c r="C16" s="280"/>
      <c r="D16" s="280"/>
      <c r="E16" s="280"/>
      <c r="F16" s="280"/>
      <c r="G16" s="280"/>
      <c r="H16" s="280"/>
      <c r="I16" s="280"/>
      <c r="J16" s="280"/>
      <c r="K16" s="280"/>
      <c r="L16" s="41"/>
      <c r="M16" s="36"/>
      <c r="N16" s="36"/>
    </row>
    <row r="17" spans="2:14" x14ac:dyDescent="0.2">
      <c r="L17" s="41"/>
      <c r="M17" s="36"/>
      <c r="N17" s="36"/>
    </row>
    <row r="18" spans="2:14" x14ac:dyDescent="0.2">
      <c r="L18" s="41"/>
      <c r="M18" s="36"/>
      <c r="N18" s="36"/>
    </row>
    <row r="19" spans="2:14" x14ac:dyDescent="0.2">
      <c r="B19" s="277" t="s">
        <v>44</v>
      </c>
      <c r="C19" s="277"/>
      <c r="D19" s="277"/>
      <c r="E19" s="277"/>
      <c r="F19" s="277"/>
      <c r="G19" s="277"/>
      <c r="H19" s="277"/>
      <c r="I19" s="277"/>
      <c r="J19" s="277"/>
      <c r="K19" s="277"/>
      <c r="L19" s="41"/>
      <c r="M19" s="36"/>
      <c r="N19" s="36"/>
    </row>
    <row r="20" spans="2:14" ht="282" customHeight="1" x14ac:dyDescent="0.2">
      <c r="B20" s="274" t="str">
        <f>'AER Summary'!B11:H11</f>
        <v xml:space="preserve">
Work near electrical assets - de-energisation of mains required
This service provides de energisation of Overhead and Underground mains where it has been identified that exclusion distances cannot be maintained.
Examples of work activities include vegetation clearing, construction work and operating cranes.
This service can include but not limited to:
&gt; Access to Essential Energy’s distribution network through the provision on an Access Permit issued to authorised personnel or Issuing of Operating Agreement;
&gt; Researching, documenting and completion of a Network  Access Request (NAR) including a site visit as required;
&gt; Documenting the actual switching process;
&gt; Programming the work;
&gt; Control room activities;
&gt; Fitting and removing of Access Permit earths or Low Voltage bonds (if required);
&gt; The actual switching of the High and Low voltage networks;
&gt; Notification of affected customers and NECF compliance (EE notified);
&gt; Provision of alternative supply (generator) to affected customers in line with company procedures;
&gt; Reinstate network and testing;
&gt; Meeting requirements of the National Energy Retail Law (NSW) and the National Energy Retail Rules;
&gt; Travel costs
Excludes - Provision of Essential Energy staff as an Authorised Access Permit Recipient. This is service is in addition and would be covered under Site Safety Supervision service.</v>
      </c>
      <c r="C20" s="274"/>
      <c r="D20" s="274"/>
      <c r="E20" s="274"/>
      <c r="F20" s="274"/>
      <c r="G20" s="274"/>
      <c r="H20" s="274"/>
      <c r="I20" s="274"/>
      <c r="J20" s="274"/>
      <c r="K20" s="274"/>
    </row>
    <row r="21" spans="2:14" x14ac:dyDescent="0.2">
      <c r="B21" s="273"/>
      <c r="C21" s="273"/>
      <c r="D21" s="273"/>
      <c r="E21" s="273"/>
      <c r="F21" s="273"/>
      <c r="G21" s="273"/>
      <c r="H21" s="273"/>
      <c r="I21" s="273"/>
      <c r="J21" s="273"/>
      <c r="K21" s="273"/>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5"/>
  <sheetViews>
    <sheetView showGridLines="0" zoomScale="90" zoomScaleNormal="90" workbookViewId="0">
      <selection activeCell="I13" sqref="I13:I14"/>
    </sheetView>
  </sheetViews>
  <sheetFormatPr defaultColWidth="9.140625" defaultRowHeight="12.75" x14ac:dyDescent="0.2"/>
  <cols>
    <col min="1" max="1" width="3.28515625" style="54" customWidth="1"/>
    <col min="2" max="2" width="60.140625" style="54" customWidth="1"/>
    <col min="3" max="3" width="65.140625" style="54" customWidth="1"/>
    <col min="4" max="4" width="12.85546875" style="54" customWidth="1"/>
    <col min="5" max="8" width="11.28515625" style="54" customWidth="1"/>
    <col min="9" max="9" width="12.7109375" style="54" customWidth="1"/>
    <col min="10" max="10" width="9.5703125" style="54" customWidth="1"/>
    <col min="11" max="16384" width="9.140625" style="54"/>
  </cols>
  <sheetData>
    <row r="2" spans="1:9" x14ac:dyDescent="0.2">
      <c r="B2" s="55" t="s">
        <v>90</v>
      </c>
      <c r="C2" s="56"/>
      <c r="D2" s="56"/>
      <c r="E2" s="56"/>
      <c r="F2" s="56"/>
      <c r="G2" s="56"/>
      <c r="H2" s="56"/>
      <c r="I2" s="56"/>
    </row>
    <row r="3" spans="1:9" x14ac:dyDescent="0.2">
      <c r="B3" s="57" t="s">
        <v>20</v>
      </c>
      <c r="C3" s="57" t="s">
        <v>3</v>
      </c>
      <c r="D3" s="58" t="s">
        <v>59</v>
      </c>
      <c r="E3" s="58" t="s">
        <v>58</v>
      </c>
      <c r="F3" s="58" t="s">
        <v>57</v>
      </c>
      <c r="G3" s="59" t="s">
        <v>99</v>
      </c>
      <c r="H3" s="59" t="s">
        <v>100</v>
      </c>
      <c r="I3" s="60" t="s">
        <v>1</v>
      </c>
    </row>
    <row r="4" spans="1:9" x14ac:dyDescent="0.2">
      <c r="B4" s="61" t="s">
        <v>21</v>
      </c>
      <c r="C4" s="61" t="s">
        <v>80</v>
      </c>
      <c r="D4" s="62"/>
      <c r="E4" s="62"/>
      <c r="F4" s="62"/>
      <c r="G4" s="62"/>
      <c r="H4" s="62"/>
      <c r="I4" s="195">
        <f>SUM(D4:H4)</f>
        <v>0</v>
      </c>
    </row>
    <row r="5" spans="1:9" x14ac:dyDescent="0.2">
      <c r="B5" s="61" t="s">
        <v>23</v>
      </c>
      <c r="C5" s="63"/>
      <c r="D5" s="62"/>
      <c r="E5" s="62"/>
      <c r="F5" s="62"/>
      <c r="G5" s="62"/>
      <c r="H5" s="62"/>
      <c r="I5" s="195">
        <f t="shared" ref="I5:I8" si="0">SUM(D5:H5)</f>
        <v>0</v>
      </c>
    </row>
    <row r="6" spans="1:9" x14ac:dyDescent="0.2">
      <c r="B6" s="61" t="s">
        <v>24</v>
      </c>
      <c r="C6" s="61"/>
      <c r="D6" s="62">
        <v>0</v>
      </c>
      <c r="E6" s="62">
        <v>0</v>
      </c>
      <c r="F6" s="62">
        <v>0</v>
      </c>
      <c r="G6" s="62">
        <v>0</v>
      </c>
      <c r="H6" s="62">
        <v>0</v>
      </c>
      <c r="I6" s="195">
        <f t="shared" si="0"/>
        <v>0</v>
      </c>
    </row>
    <row r="7" spans="1:9" x14ac:dyDescent="0.2">
      <c r="B7" s="61" t="s">
        <v>25</v>
      </c>
      <c r="C7" s="61"/>
      <c r="D7" s="62"/>
      <c r="E7" s="62"/>
      <c r="F7" s="62"/>
      <c r="G7" s="62"/>
      <c r="H7" s="62"/>
      <c r="I7" s="195">
        <f t="shared" si="0"/>
        <v>0</v>
      </c>
    </row>
    <row r="8" spans="1:9" x14ac:dyDescent="0.2">
      <c r="B8" s="61" t="s">
        <v>22</v>
      </c>
      <c r="C8" s="61"/>
      <c r="D8" s="64"/>
      <c r="E8" s="64"/>
      <c r="F8" s="64"/>
      <c r="G8" s="64"/>
      <c r="H8" s="64"/>
      <c r="I8" s="195">
        <f t="shared" si="0"/>
        <v>0</v>
      </c>
    </row>
    <row r="9" spans="1:9" x14ac:dyDescent="0.2">
      <c r="B9" s="65" t="s">
        <v>1</v>
      </c>
      <c r="C9" s="66"/>
      <c r="D9" s="67">
        <f t="shared" ref="D9:I9" si="1">SUM(D4:D8)</f>
        <v>0</v>
      </c>
      <c r="E9" s="67">
        <f t="shared" si="1"/>
        <v>0</v>
      </c>
      <c r="F9" s="67">
        <f t="shared" si="1"/>
        <v>0</v>
      </c>
      <c r="G9" s="67">
        <f t="shared" ref="G9:H9" si="2">SUM(G4:G8)</f>
        <v>0</v>
      </c>
      <c r="H9" s="67">
        <f t="shared" si="2"/>
        <v>0</v>
      </c>
      <c r="I9" s="196">
        <f t="shared" si="1"/>
        <v>0</v>
      </c>
    </row>
    <row r="10" spans="1:9" x14ac:dyDescent="0.2">
      <c r="B10" s="68"/>
      <c r="C10" s="69"/>
      <c r="D10" s="70"/>
      <c r="E10" s="70"/>
      <c r="F10" s="70"/>
      <c r="G10" s="70"/>
      <c r="H10" s="70"/>
      <c r="I10" s="70"/>
    </row>
    <row r="11" spans="1:9" x14ac:dyDescent="0.2">
      <c r="B11" s="71" t="s">
        <v>10</v>
      </c>
      <c r="C11" s="72"/>
      <c r="D11" s="72"/>
      <c r="E11" s="72"/>
      <c r="F11" s="72"/>
      <c r="G11" s="72"/>
      <c r="H11" s="72"/>
      <c r="I11" s="72"/>
    </row>
    <row r="12" spans="1:9" x14ac:dyDescent="0.2">
      <c r="B12" s="73" t="s">
        <v>4</v>
      </c>
      <c r="C12" s="74" t="s">
        <v>9</v>
      </c>
      <c r="D12" s="75" t="s">
        <v>59</v>
      </c>
      <c r="E12" s="75" t="s">
        <v>58</v>
      </c>
      <c r="F12" s="75" t="s">
        <v>57</v>
      </c>
      <c r="G12" s="59" t="s">
        <v>99</v>
      </c>
      <c r="H12" s="59" t="s">
        <v>100</v>
      </c>
      <c r="I12" s="197" t="s">
        <v>1</v>
      </c>
    </row>
    <row r="13" spans="1:9" x14ac:dyDescent="0.2">
      <c r="B13" s="61" t="s">
        <v>19</v>
      </c>
      <c r="C13" s="63"/>
      <c r="D13" s="76"/>
      <c r="E13" s="76"/>
      <c r="F13" s="76"/>
      <c r="G13" s="76"/>
      <c r="H13" s="76"/>
      <c r="I13" s="198">
        <f>SUM(D13:H13)</f>
        <v>0</v>
      </c>
    </row>
    <row r="14" spans="1:9" x14ac:dyDescent="0.2">
      <c r="B14" s="63"/>
      <c r="C14" s="77"/>
      <c r="D14" s="76"/>
      <c r="E14" s="76"/>
      <c r="F14" s="76"/>
      <c r="G14" s="76"/>
      <c r="H14" s="76"/>
      <c r="I14" s="198">
        <f>SUM(D14:H14)</f>
        <v>0</v>
      </c>
    </row>
    <row r="15" spans="1:9" x14ac:dyDescent="0.2">
      <c r="A15" s="78"/>
      <c r="B15" s="79" t="s">
        <v>53</v>
      </c>
      <c r="C15" s="80"/>
      <c r="D15" s="81">
        <f t="shared" ref="D15:I15" si="3">SUM(D13:D14)</f>
        <v>0</v>
      </c>
      <c r="E15" s="81">
        <f t="shared" si="3"/>
        <v>0</v>
      </c>
      <c r="F15" s="81">
        <f t="shared" si="3"/>
        <v>0</v>
      </c>
      <c r="G15" s="81">
        <f t="shared" ref="G15:H15" si="4">SUM(G13:G14)</f>
        <v>0</v>
      </c>
      <c r="H15" s="81">
        <f t="shared" si="4"/>
        <v>0</v>
      </c>
      <c r="I15" s="81">
        <f t="shared" si="3"/>
        <v>0</v>
      </c>
    </row>
    <row r="17" spans="1:9" x14ac:dyDescent="0.2">
      <c r="A17" s="78"/>
      <c r="B17" s="82" t="s">
        <v>6</v>
      </c>
      <c r="C17" s="83"/>
      <c r="D17" s="84"/>
      <c r="E17" s="84"/>
      <c r="F17" s="84"/>
      <c r="G17" s="84"/>
      <c r="H17" s="84"/>
      <c r="I17" s="84"/>
    </row>
    <row r="18" spans="1:9" x14ac:dyDescent="0.2">
      <c r="B18" s="85" t="s">
        <v>96</v>
      </c>
      <c r="C18" s="86"/>
      <c r="D18" s="86"/>
      <c r="E18" s="86"/>
      <c r="F18" s="86"/>
      <c r="G18" s="86"/>
      <c r="H18" s="86"/>
      <c r="I18" s="86"/>
    </row>
    <row r="19" spans="1:9" x14ac:dyDescent="0.2">
      <c r="B19" s="83"/>
      <c r="C19" s="83"/>
      <c r="D19" s="84"/>
      <c r="E19" s="84"/>
      <c r="F19" s="84"/>
      <c r="G19" s="84"/>
      <c r="H19" s="84"/>
      <c r="I19" s="84"/>
    </row>
    <row r="20" spans="1:9" x14ac:dyDescent="0.2">
      <c r="B20" s="71" t="s">
        <v>94</v>
      </c>
      <c r="C20" s="72"/>
      <c r="D20" s="72"/>
      <c r="E20" s="72"/>
      <c r="F20" s="72"/>
      <c r="G20" s="72"/>
      <c r="H20" s="72"/>
      <c r="I20" s="72"/>
    </row>
    <row r="21" spans="1:9" x14ac:dyDescent="0.2">
      <c r="B21" s="83"/>
      <c r="C21" s="83"/>
      <c r="D21" s="83"/>
      <c r="E21" s="83"/>
      <c r="F21" s="83"/>
      <c r="G21" s="83"/>
      <c r="H21" s="83"/>
      <c r="I21" s="83"/>
    </row>
    <row r="22" spans="1:9" x14ac:dyDescent="0.2">
      <c r="B22" s="87" t="s">
        <v>11</v>
      </c>
      <c r="C22" s="88"/>
      <c r="D22" s="88"/>
      <c r="E22" s="88"/>
      <c r="F22" s="88"/>
      <c r="G22" s="88"/>
      <c r="H22" s="88"/>
      <c r="I22" s="88"/>
    </row>
    <row r="23" spans="1:9" x14ac:dyDescent="0.2">
      <c r="B23" s="281"/>
      <c r="C23" s="282"/>
      <c r="D23" s="282"/>
      <c r="E23" s="282"/>
      <c r="F23" s="282"/>
      <c r="G23" s="282"/>
      <c r="H23" s="282"/>
      <c r="I23" s="282"/>
    </row>
    <row r="24" spans="1:9" x14ac:dyDescent="0.2">
      <c r="B24" s="283"/>
      <c r="C24" s="284"/>
      <c r="D24" s="284"/>
      <c r="E24" s="284"/>
      <c r="F24" s="284"/>
      <c r="G24" s="284"/>
      <c r="H24" s="284"/>
      <c r="I24" s="284"/>
    </row>
    <row r="25" spans="1:9" x14ac:dyDescent="0.2">
      <c r="B25" s="89"/>
      <c r="C25" s="90"/>
      <c r="D25" s="90"/>
      <c r="E25" s="90"/>
      <c r="F25" s="90"/>
      <c r="G25" s="90"/>
      <c r="H25" s="90"/>
      <c r="I25" s="90"/>
    </row>
  </sheetData>
  <mergeCells count="1">
    <mergeCell ref="B23:I24"/>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R51"/>
  <sheetViews>
    <sheetView showGridLines="0" zoomScale="90" zoomScaleNormal="90" workbookViewId="0">
      <selection activeCell="F27" sqref="F27"/>
    </sheetView>
  </sheetViews>
  <sheetFormatPr defaultColWidth="9.140625" defaultRowHeight="12.75" x14ac:dyDescent="0.2"/>
  <cols>
    <col min="1" max="1" width="2.28515625" style="91" customWidth="1"/>
    <col min="2" max="2" width="87.42578125" style="91" bestFit="1" customWidth="1"/>
    <col min="3" max="3" width="15.140625" style="92" bestFit="1" customWidth="1"/>
    <col min="4" max="4" width="9.140625" style="93"/>
    <col min="5" max="5" width="9.140625" style="94"/>
    <col min="6" max="14" width="9.140625" style="95"/>
    <col min="15" max="15" width="9.140625" style="91"/>
    <col min="16" max="17" width="9.140625" style="96"/>
    <col min="18" max="18" width="8.42578125" style="91" customWidth="1"/>
    <col min="19" max="20" width="8.85546875" style="91" customWidth="1"/>
    <col min="21" max="25" width="9.140625" style="91"/>
    <col min="26" max="26" width="3.28515625" style="91" customWidth="1"/>
    <col min="27" max="27" width="53.7109375" style="91" customWidth="1"/>
    <col min="28" max="28" width="15.7109375" style="91" customWidth="1"/>
    <col min="29" max="33" width="9.140625" style="91"/>
    <col min="34" max="34" width="4" style="91" customWidth="1"/>
    <col min="35" max="35" width="53.7109375" style="91" customWidth="1"/>
    <col min="36" max="36" width="15.7109375" style="91" customWidth="1"/>
    <col min="37" max="41" width="9.140625" style="91"/>
    <col min="42" max="42" width="9.140625" style="91" customWidth="1"/>
    <col min="43" max="43" width="53.7109375" style="91" customWidth="1"/>
    <col min="44" max="44" width="15.7109375" style="91" customWidth="1"/>
    <col min="45" max="16384" width="9.140625" style="91"/>
  </cols>
  <sheetData>
    <row r="1" spans="1:18" ht="10.5" customHeight="1" x14ac:dyDescent="0.2"/>
    <row r="2" spans="1:18" x14ac:dyDescent="0.2">
      <c r="B2" s="199" t="s">
        <v>55</v>
      </c>
      <c r="C2" s="200"/>
      <c r="D2" s="200"/>
      <c r="E2" s="200"/>
      <c r="F2" s="200"/>
      <c r="G2" s="200"/>
      <c r="H2" s="290" t="s">
        <v>116</v>
      </c>
      <c r="I2" s="290"/>
      <c r="J2" s="290"/>
      <c r="K2" s="290"/>
      <c r="L2" s="290"/>
      <c r="M2" s="290"/>
      <c r="N2" s="290"/>
      <c r="O2" s="290"/>
      <c r="P2" s="290"/>
      <c r="Q2" s="290"/>
    </row>
    <row r="3" spans="1:18" ht="15.75" x14ac:dyDescent="0.25">
      <c r="B3" s="97" t="s">
        <v>65</v>
      </c>
      <c r="C3" s="98"/>
      <c r="D3" s="99"/>
      <c r="E3" s="100"/>
      <c r="F3" s="101"/>
      <c r="G3" s="101"/>
      <c r="H3" s="291" t="s">
        <v>117</v>
      </c>
      <c r="I3" s="291"/>
      <c r="J3" s="291"/>
      <c r="K3" s="291"/>
      <c r="L3" s="291"/>
      <c r="M3" s="291"/>
      <c r="N3" s="291"/>
      <c r="O3" s="291"/>
      <c r="P3" s="291"/>
      <c r="Q3" s="291"/>
    </row>
    <row r="4" spans="1:18" s="102" customFormat="1" ht="3" customHeight="1" x14ac:dyDescent="0.2">
      <c r="B4" s="103"/>
      <c r="C4" s="104"/>
      <c r="D4" s="105"/>
      <c r="E4" s="106"/>
      <c r="F4" s="107"/>
      <c r="G4" s="107"/>
      <c r="H4" s="107"/>
      <c r="I4" s="107"/>
      <c r="J4" s="107"/>
      <c r="K4" s="107"/>
      <c r="L4" s="107"/>
      <c r="M4" s="107"/>
      <c r="N4" s="107"/>
      <c r="O4" s="103"/>
      <c r="P4" s="103"/>
      <c r="Q4" s="103"/>
    </row>
    <row r="5" spans="1:18" ht="76.5" x14ac:dyDescent="0.2">
      <c r="B5" s="108" t="s">
        <v>18</v>
      </c>
      <c r="C5" s="108" t="s">
        <v>31</v>
      </c>
      <c r="D5" s="207" t="s">
        <v>64</v>
      </c>
      <c r="E5" s="208" t="s">
        <v>33</v>
      </c>
      <c r="F5" s="207" t="s">
        <v>32</v>
      </c>
      <c r="G5" s="201" t="s">
        <v>105</v>
      </c>
      <c r="H5" s="201" t="s">
        <v>106</v>
      </c>
      <c r="I5" s="201" t="s">
        <v>107</v>
      </c>
      <c r="J5" s="201" t="s">
        <v>108</v>
      </c>
      <c r="K5" s="202" t="s">
        <v>109</v>
      </c>
      <c r="L5" s="202" t="s">
        <v>110</v>
      </c>
      <c r="M5" s="201" t="s">
        <v>111</v>
      </c>
      <c r="N5" s="201" t="s">
        <v>112</v>
      </c>
      <c r="O5" s="201" t="s">
        <v>113</v>
      </c>
      <c r="P5" s="201" t="s">
        <v>114</v>
      </c>
      <c r="Q5" s="201" t="s">
        <v>115</v>
      </c>
      <c r="R5" s="109"/>
    </row>
    <row r="6" spans="1:18" x14ac:dyDescent="0.2">
      <c r="B6" s="215" t="s">
        <v>86</v>
      </c>
      <c r="C6" s="216"/>
      <c r="D6" s="216"/>
      <c r="E6" s="216"/>
      <c r="F6" s="216"/>
      <c r="G6" s="203"/>
      <c r="H6" s="203"/>
      <c r="I6" s="203"/>
      <c r="J6" s="203"/>
      <c r="K6" s="203"/>
      <c r="L6" s="203"/>
      <c r="M6" s="203"/>
      <c r="N6" s="203"/>
      <c r="O6" s="203"/>
      <c r="P6" s="203"/>
      <c r="Q6" s="204"/>
      <c r="R6" s="206"/>
    </row>
    <row r="7" spans="1:18" x14ac:dyDescent="0.2">
      <c r="B7" s="209" t="s">
        <v>67</v>
      </c>
      <c r="C7" s="210" t="s">
        <v>68</v>
      </c>
      <c r="D7" s="211">
        <v>2</v>
      </c>
      <c r="E7" s="212">
        <v>1</v>
      </c>
      <c r="F7" s="213">
        <f>E7*D7</f>
        <v>2</v>
      </c>
      <c r="G7" s="217">
        <v>0</v>
      </c>
      <c r="H7" s="205">
        <f>IF(G7=0,VLOOKUP(C:C,[1]Inputs!$B$20:$H$25,7,FALSE)*F7,VLOOKUP(C:C,[1]Inputs!$B$20:$I$25,8,FALSE)*F7)</f>
        <v>159.67669293933002</v>
      </c>
      <c r="I7" s="205">
        <f>VLOOKUP(C:C,[1]Inputs!$C$54:$G$59,5,FALSE)*F7</f>
        <v>39.464872576692635</v>
      </c>
      <c r="J7" s="205"/>
      <c r="K7" s="205"/>
      <c r="L7" s="205"/>
      <c r="M7" s="205">
        <f>SUM(H7:J7)</f>
        <v>199.14156551602267</v>
      </c>
      <c r="N7" s="205">
        <f>[1]Inputs!$M$43*M7</f>
        <v>92.785354833023334</v>
      </c>
      <c r="O7" s="205">
        <f>[1]Inputs!$M$48*M7</f>
        <v>31.937843374343384</v>
      </c>
      <c r="P7" s="205">
        <f>[1]Inputs!$H$13*SUM(M7:O7)</f>
        <v>20.539503315337356</v>
      </c>
      <c r="Q7" s="205">
        <f t="shared" ref="Q7" si="0">SUM(M7:P7)</f>
        <v>344.40426703872674</v>
      </c>
    </row>
    <row r="8" spans="1:18" x14ac:dyDescent="0.2">
      <c r="B8" s="110" t="s">
        <v>69</v>
      </c>
      <c r="C8" s="111" t="s">
        <v>83</v>
      </c>
      <c r="D8" s="115">
        <v>0.5</v>
      </c>
      <c r="E8" s="112">
        <v>1</v>
      </c>
      <c r="F8" s="113">
        <f t="shared" ref="F8:F17" si="1">E8*D8</f>
        <v>0.5</v>
      </c>
      <c r="G8" s="217">
        <v>0</v>
      </c>
      <c r="H8" s="205">
        <f>IF(G8=0,VLOOKUP(C:C,[1]Inputs!$B$20:$H$25,7,FALSE)*F8,VLOOKUP(C:C,[1]Inputs!$B$20:$I$25,8,FALSE)*F8)</f>
        <v>36.87074150886</v>
      </c>
      <c r="I8" s="205">
        <f>VLOOKUP(C:C,[1]Inputs!$C$54:$G$59,5,FALSE)*F8</f>
        <v>0</v>
      </c>
      <c r="J8" s="205"/>
      <c r="K8" s="205"/>
      <c r="L8" s="205"/>
      <c r="M8" s="205">
        <f t="shared" ref="M8:M17" si="2">SUM(H8:J8)</f>
        <v>36.87074150886</v>
      </c>
      <c r="N8" s="205">
        <f>[1]Inputs!$M$43*M8</f>
        <v>17.179059655333496</v>
      </c>
      <c r="O8" s="205">
        <f>[1]Inputs!$M$48*M8</f>
        <v>5.913240484750161</v>
      </c>
      <c r="P8" s="205">
        <f>[1]Inputs!$H$13*SUM(M8:O8)</f>
        <v>3.8028561013760069</v>
      </c>
      <c r="Q8" s="205">
        <f t="shared" ref="Q8:Q17" si="3">SUM(M8:P8)</f>
        <v>63.765897750319667</v>
      </c>
    </row>
    <row r="9" spans="1:18" x14ac:dyDescent="0.2">
      <c r="B9" s="116" t="s">
        <v>70</v>
      </c>
      <c r="C9" s="111" t="s">
        <v>83</v>
      </c>
      <c r="D9" s="117">
        <v>0.5</v>
      </c>
      <c r="E9" s="112">
        <v>1</v>
      </c>
      <c r="F9" s="113">
        <f t="shared" si="1"/>
        <v>0.5</v>
      </c>
      <c r="G9" s="217">
        <v>0</v>
      </c>
      <c r="H9" s="205">
        <f>IF(G9=0,VLOOKUP(C:C,[1]Inputs!$B$20:$H$25,7,FALSE)*F9,VLOOKUP(C:C,[1]Inputs!$B$20:$I$25,8,FALSE)*F9)</f>
        <v>36.87074150886</v>
      </c>
      <c r="I9" s="205">
        <f>VLOOKUP(C:C,[1]Inputs!$C$54:$G$59,5,FALSE)*F9</f>
        <v>0</v>
      </c>
      <c r="J9" s="205"/>
      <c r="K9" s="205"/>
      <c r="L9" s="205"/>
      <c r="M9" s="205">
        <f t="shared" si="2"/>
        <v>36.87074150886</v>
      </c>
      <c r="N9" s="205">
        <f>[1]Inputs!$M$43*M9</f>
        <v>17.179059655333496</v>
      </c>
      <c r="O9" s="205">
        <f>[1]Inputs!$M$48*M9</f>
        <v>5.913240484750161</v>
      </c>
      <c r="P9" s="205">
        <f>[1]Inputs!$H$13*SUM(M9:O9)</f>
        <v>3.8028561013760069</v>
      </c>
      <c r="Q9" s="205">
        <f t="shared" si="3"/>
        <v>63.765897750319667</v>
      </c>
    </row>
    <row r="10" spans="1:18" x14ac:dyDescent="0.2">
      <c r="B10" s="118" t="s">
        <v>71</v>
      </c>
      <c r="C10" s="111" t="s">
        <v>54</v>
      </c>
      <c r="D10" s="119">
        <v>0.5</v>
      </c>
      <c r="E10" s="112">
        <v>1</v>
      </c>
      <c r="F10" s="113">
        <f t="shared" si="1"/>
        <v>0.5</v>
      </c>
      <c r="G10" s="217">
        <v>0</v>
      </c>
      <c r="H10" s="205">
        <f>IF(G10=0,VLOOKUP(C:C,[1]Inputs!$B$20:$H$25,7,FALSE)*F10,VLOOKUP(C:C,[1]Inputs!$B$20:$I$25,8,FALSE)*F10)</f>
        <v>51.630298810072496</v>
      </c>
      <c r="I10" s="205">
        <f>VLOOKUP(C:C,[1]Inputs!$C$54:$G$59,5,FALSE)*F10</f>
        <v>0</v>
      </c>
      <c r="J10" s="205"/>
      <c r="K10" s="205"/>
      <c r="L10" s="205"/>
      <c r="M10" s="205">
        <f t="shared" si="2"/>
        <v>51.630298810072496</v>
      </c>
      <c r="N10" s="205">
        <f>[1]Inputs!$M$43*M10</f>
        <v>24.055930176174893</v>
      </c>
      <c r="O10" s="205">
        <f>[1]Inputs!$M$48*M10</f>
        <v>8.2803426421490585</v>
      </c>
      <c r="P10" s="205">
        <f>[1]Inputs!$H$13*SUM(M10:O10)</f>
        <v>5.3251599726729033</v>
      </c>
      <c r="Q10" s="205">
        <f t="shared" si="3"/>
        <v>89.291731601069358</v>
      </c>
    </row>
    <row r="11" spans="1:18" x14ac:dyDescent="0.2">
      <c r="B11" s="110" t="s">
        <v>72</v>
      </c>
      <c r="C11" s="111" t="s">
        <v>54</v>
      </c>
      <c r="D11" s="120">
        <v>1</v>
      </c>
      <c r="E11" s="112">
        <v>1</v>
      </c>
      <c r="F11" s="113">
        <f t="shared" si="1"/>
        <v>1</v>
      </c>
      <c r="G11" s="217">
        <v>0</v>
      </c>
      <c r="H11" s="205">
        <f>IF(G11=0,VLOOKUP(C:C,[1]Inputs!$B$20:$H$25,7,FALSE)*F11,VLOOKUP(C:C,[1]Inputs!$B$20:$I$25,8,FALSE)*F11)</f>
        <v>103.26059762014499</v>
      </c>
      <c r="I11" s="205">
        <f>VLOOKUP(C:C,[1]Inputs!$C$54:$G$59,5,FALSE)*F11</f>
        <v>0</v>
      </c>
      <c r="J11" s="205"/>
      <c r="K11" s="205"/>
      <c r="L11" s="205"/>
      <c r="M11" s="205">
        <f t="shared" si="2"/>
        <v>103.26059762014499</v>
      </c>
      <c r="N11" s="205">
        <f>[1]Inputs!$M$43*M11</f>
        <v>48.111860352349787</v>
      </c>
      <c r="O11" s="205">
        <f>[1]Inputs!$M$48*M11</f>
        <v>16.560685284298117</v>
      </c>
      <c r="P11" s="205">
        <f>[1]Inputs!$H$13*SUM(M11:O11)</f>
        <v>10.650319945345807</v>
      </c>
      <c r="Q11" s="205">
        <f t="shared" si="3"/>
        <v>178.58346320213872</v>
      </c>
    </row>
    <row r="12" spans="1:18" x14ac:dyDescent="0.2">
      <c r="B12" s="110" t="s">
        <v>73</v>
      </c>
      <c r="C12" s="111" t="s">
        <v>68</v>
      </c>
      <c r="D12" s="120">
        <v>1</v>
      </c>
      <c r="E12" s="112">
        <v>1</v>
      </c>
      <c r="F12" s="113">
        <f t="shared" si="1"/>
        <v>1</v>
      </c>
      <c r="G12" s="217">
        <v>0</v>
      </c>
      <c r="H12" s="205">
        <f>IF(G12=0,VLOOKUP(C:C,[1]Inputs!$B$20:$H$25,7,FALSE)*F12,VLOOKUP(C:C,[1]Inputs!$B$20:$I$25,8,FALSE)*F12)</f>
        <v>79.838346469665012</v>
      </c>
      <c r="I12" s="205">
        <f>VLOOKUP(C:C,[1]Inputs!$C$54:$G$59,5,FALSE)*F12</f>
        <v>19.732436288346317</v>
      </c>
      <c r="J12" s="205"/>
      <c r="K12" s="205"/>
      <c r="L12" s="205"/>
      <c r="M12" s="205">
        <f t="shared" si="2"/>
        <v>99.570782758011333</v>
      </c>
      <c r="N12" s="205">
        <f>[1]Inputs!$M$43*M12</f>
        <v>46.392677416511667</v>
      </c>
      <c r="O12" s="205">
        <f>[1]Inputs!$M$48*M12</f>
        <v>15.968921687171692</v>
      </c>
      <c r="P12" s="205">
        <f>[1]Inputs!$H$13*SUM(M12:O12)</f>
        <v>10.269751657668678</v>
      </c>
      <c r="Q12" s="205">
        <f t="shared" si="3"/>
        <v>172.20213351936337</v>
      </c>
    </row>
    <row r="13" spans="1:18" x14ac:dyDescent="0.2">
      <c r="B13" s="110" t="s">
        <v>74</v>
      </c>
      <c r="C13" s="111" t="s">
        <v>68</v>
      </c>
      <c r="D13" s="120">
        <v>1</v>
      </c>
      <c r="E13" s="112">
        <v>2</v>
      </c>
      <c r="F13" s="113">
        <f t="shared" si="1"/>
        <v>2</v>
      </c>
      <c r="G13" s="217">
        <v>0</v>
      </c>
      <c r="H13" s="205">
        <f>IF(G13=0,VLOOKUP(C:C,[1]Inputs!$B$20:$H$25,7,FALSE)*F13,VLOOKUP(C:C,[1]Inputs!$B$20:$I$25,8,FALSE)*F13)</f>
        <v>159.67669293933002</v>
      </c>
      <c r="I13" s="205">
        <f>VLOOKUP(C:C,[1]Inputs!$C$54:$G$59,5,FALSE)*F13</f>
        <v>39.464872576692635</v>
      </c>
      <c r="J13" s="205"/>
      <c r="K13" s="205"/>
      <c r="L13" s="205"/>
      <c r="M13" s="205">
        <f t="shared" si="2"/>
        <v>199.14156551602267</v>
      </c>
      <c r="N13" s="205">
        <f>[1]Inputs!$M$43*M13</f>
        <v>92.785354833023334</v>
      </c>
      <c r="O13" s="205">
        <f>[1]Inputs!$M$48*M13</f>
        <v>31.937843374343384</v>
      </c>
      <c r="P13" s="205">
        <f>[1]Inputs!$H$13*SUM(M13:O13)</f>
        <v>20.539503315337356</v>
      </c>
      <c r="Q13" s="205">
        <f t="shared" si="3"/>
        <v>344.40426703872674</v>
      </c>
    </row>
    <row r="14" spans="1:18" x14ac:dyDescent="0.2">
      <c r="B14" s="110" t="s">
        <v>75</v>
      </c>
      <c r="C14" s="111" t="s">
        <v>54</v>
      </c>
      <c r="D14" s="120">
        <v>0.5</v>
      </c>
      <c r="E14" s="112">
        <v>1</v>
      </c>
      <c r="F14" s="113">
        <f t="shared" si="1"/>
        <v>0.5</v>
      </c>
      <c r="G14" s="217">
        <v>0</v>
      </c>
      <c r="H14" s="205">
        <f>IF(G14=0,VLOOKUP(C:C,[1]Inputs!$B$20:$H$25,7,FALSE)*F14,VLOOKUP(C:C,[1]Inputs!$B$20:$I$25,8,FALSE)*F14)</f>
        <v>51.630298810072496</v>
      </c>
      <c r="I14" s="205">
        <f>VLOOKUP(C:C,[1]Inputs!$C$54:$G$59,5,FALSE)*F14</f>
        <v>0</v>
      </c>
      <c r="J14" s="205"/>
      <c r="K14" s="205"/>
      <c r="L14" s="205"/>
      <c r="M14" s="205">
        <f t="shared" si="2"/>
        <v>51.630298810072496</v>
      </c>
      <c r="N14" s="205">
        <f>[1]Inputs!$M$43*M14</f>
        <v>24.055930176174893</v>
      </c>
      <c r="O14" s="205">
        <f>[1]Inputs!$M$48*M14</f>
        <v>8.2803426421490585</v>
      </c>
      <c r="P14" s="205">
        <f>[1]Inputs!$H$13*SUM(M14:O14)</f>
        <v>5.3251599726729033</v>
      </c>
      <c r="Q14" s="205">
        <f t="shared" si="3"/>
        <v>89.291731601069358</v>
      </c>
    </row>
    <row r="15" spans="1:18" x14ac:dyDescent="0.2">
      <c r="B15" s="110" t="s">
        <v>84</v>
      </c>
      <c r="C15" s="111" t="s">
        <v>68</v>
      </c>
      <c r="D15" s="120">
        <v>1</v>
      </c>
      <c r="E15" s="112">
        <v>2</v>
      </c>
      <c r="F15" s="113">
        <f t="shared" si="1"/>
        <v>2</v>
      </c>
      <c r="G15" s="217">
        <v>0</v>
      </c>
      <c r="H15" s="205">
        <f>IF(G15=0,VLOOKUP(C:C,[1]Inputs!$B$20:$H$25,7,FALSE)*F15,VLOOKUP(C:C,[1]Inputs!$B$20:$I$25,8,FALSE)*F15)</f>
        <v>159.67669293933002</v>
      </c>
      <c r="I15" s="205">
        <f>VLOOKUP(C:C,[1]Inputs!$C$54:$G$59,5,FALSE)*F15</f>
        <v>39.464872576692635</v>
      </c>
      <c r="J15" s="205"/>
      <c r="K15" s="205"/>
      <c r="L15" s="205"/>
      <c r="M15" s="205">
        <f t="shared" si="2"/>
        <v>199.14156551602267</v>
      </c>
      <c r="N15" s="205">
        <f>[1]Inputs!$M$43*M15</f>
        <v>92.785354833023334</v>
      </c>
      <c r="O15" s="205">
        <f>[1]Inputs!$M$48*M15</f>
        <v>31.937843374343384</v>
      </c>
      <c r="P15" s="205">
        <f>[1]Inputs!$H$13*SUM(M15:O15)</f>
        <v>20.539503315337356</v>
      </c>
      <c r="Q15" s="205">
        <f t="shared" si="3"/>
        <v>344.40426703872674</v>
      </c>
      <c r="R15" s="206"/>
    </row>
    <row r="16" spans="1:18" x14ac:dyDescent="0.2">
      <c r="A16" s="121"/>
      <c r="B16" s="110" t="s">
        <v>76</v>
      </c>
      <c r="C16" s="111" t="s">
        <v>68</v>
      </c>
      <c r="D16" s="120">
        <v>1</v>
      </c>
      <c r="E16" s="112">
        <v>1</v>
      </c>
      <c r="F16" s="113">
        <f t="shared" si="1"/>
        <v>1</v>
      </c>
      <c r="G16" s="217">
        <v>0</v>
      </c>
      <c r="H16" s="205">
        <f>IF(G16=0,VLOOKUP(C:C,[1]Inputs!$B$20:$H$25,7,FALSE)*F16,VLOOKUP(C:C,[1]Inputs!$B$20:$I$25,8,FALSE)*F16)</f>
        <v>79.838346469665012</v>
      </c>
      <c r="I16" s="205">
        <f>VLOOKUP(C:C,[1]Inputs!$C$54:$G$59,5,FALSE)*F16</f>
        <v>19.732436288346317</v>
      </c>
      <c r="J16" s="205"/>
      <c r="K16" s="205"/>
      <c r="L16" s="205"/>
      <c r="M16" s="205">
        <f t="shared" si="2"/>
        <v>99.570782758011333</v>
      </c>
      <c r="N16" s="205">
        <f>[1]Inputs!$M$43*M16</f>
        <v>46.392677416511667</v>
      </c>
      <c r="O16" s="205">
        <f>[1]Inputs!$M$48*M16</f>
        <v>15.968921687171692</v>
      </c>
      <c r="P16" s="205">
        <f>[1]Inputs!$H$13*SUM(M16:O16)</f>
        <v>10.269751657668678</v>
      </c>
      <c r="Q16" s="205">
        <f t="shared" si="3"/>
        <v>172.20213351936337</v>
      </c>
      <c r="R16" s="206"/>
    </row>
    <row r="17" spans="2:18" x14ac:dyDescent="0.2">
      <c r="B17" s="110" t="s">
        <v>77</v>
      </c>
      <c r="C17" s="111" t="s">
        <v>68</v>
      </c>
      <c r="D17" s="120">
        <v>1</v>
      </c>
      <c r="E17" s="112">
        <v>2</v>
      </c>
      <c r="F17" s="113">
        <f t="shared" si="1"/>
        <v>2</v>
      </c>
      <c r="G17" s="217">
        <v>0</v>
      </c>
      <c r="H17" s="205">
        <f>IF(G17=0,VLOOKUP(C:C,[1]Inputs!$B$20:$H$25,7,FALSE)*F17,VLOOKUP(C:C,[1]Inputs!$B$20:$I$25,8,FALSE)*F17)</f>
        <v>159.67669293933002</v>
      </c>
      <c r="I17" s="205">
        <f>VLOOKUP(C:C,[1]Inputs!$C$54:$G$59,5,FALSE)*F17</f>
        <v>39.464872576692635</v>
      </c>
      <c r="J17" s="205"/>
      <c r="K17" s="205"/>
      <c r="L17" s="205"/>
      <c r="M17" s="205">
        <f t="shared" si="2"/>
        <v>199.14156551602267</v>
      </c>
      <c r="N17" s="205">
        <f>[1]Inputs!$M$43*M17</f>
        <v>92.785354833023334</v>
      </c>
      <c r="O17" s="205">
        <f>[1]Inputs!$M$48*M17</f>
        <v>31.937843374343384</v>
      </c>
      <c r="P17" s="205">
        <f>[1]Inputs!$H$13*SUM(M17:O17)</f>
        <v>20.539503315337356</v>
      </c>
      <c r="Q17" s="205">
        <f t="shared" si="3"/>
        <v>344.40426703872674</v>
      </c>
    </row>
    <row r="18" spans="2:18" x14ac:dyDescent="0.2">
      <c r="B18" s="110"/>
      <c r="C18" s="111"/>
      <c r="D18" s="120"/>
      <c r="E18" s="112"/>
      <c r="F18" s="122"/>
      <c r="G18" s="122"/>
      <c r="H18" s="122"/>
      <c r="I18" s="122"/>
      <c r="J18" s="122"/>
      <c r="K18" s="122"/>
      <c r="L18" s="122"/>
      <c r="M18" s="122"/>
      <c r="N18" s="122"/>
      <c r="O18" s="123"/>
      <c r="P18" s="124"/>
      <c r="Q18" s="124"/>
    </row>
    <row r="19" spans="2:18" x14ac:dyDescent="0.2">
      <c r="B19" s="110"/>
      <c r="C19" s="111"/>
      <c r="D19" s="120"/>
      <c r="E19" s="112"/>
      <c r="F19" s="122"/>
      <c r="G19" s="122"/>
      <c r="H19" s="122"/>
      <c r="I19" s="122"/>
      <c r="J19" s="122"/>
      <c r="K19" s="122"/>
      <c r="L19" s="122"/>
      <c r="M19" s="122"/>
      <c r="N19" s="122"/>
      <c r="O19" s="123"/>
      <c r="P19" s="114"/>
      <c r="Q19" s="114"/>
      <c r="R19" s="125"/>
    </row>
    <row r="20" spans="2:18" x14ac:dyDescent="0.2">
      <c r="B20" s="287" t="s">
        <v>1</v>
      </c>
      <c r="C20" s="288"/>
      <c r="D20" s="288"/>
      <c r="E20" s="289"/>
      <c r="F20" s="126">
        <f>SUM(F7:F19)</f>
        <v>13</v>
      </c>
      <c r="G20" s="126">
        <f t="shared" ref="G20:Q20" si="4">SUM(G7:G19)</f>
        <v>0</v>
      </c>
      <c r="H20" s="126">
        <f t="shared" si="4"/>
        <v>1078.64614295466</v>
      </c>
      <c r="I20" s="126">
        <f t="shared" si="4"/>
        <v>197.32436288346318</v>
      </c>
      <c r="J20" s="126">
        <f t="shared" si="4"/>
        <v>0</v>
      </c>
      <c r="K20" s="126">
        <f t="shared" si="4"/>
        <v>0</v>
      </c>
      <c r="L20" s="126">
        <f t="shared" si="4"/>
        <v>0</v>
      </c>
      <c r="M20" s="126">
        <f t="shared" si="4"/>
        <v>1275.9705058381232</v>
      </c>
      <c r="N20" s="126">
        <f t="shared" si="4"/>
        <v>594.50861418048328</v>
      </c>
      <c r="O20" s="126">
        <f t="shared" si="4"/>
        <v>204.63706840981345</v>
      </c>
      <c r="P20" s="126">
        <f t="shared" si="4"/>
        <v>131.60386867013042</v>
      </c>
      <c r="Q20" s="126">
        <f t="shared" si="4"/>
        <v>2206.7200570985506</v>
      </c>
      <c r="R20" s="109"/>
    </row>
    <row r="21" spans="2:18" x14ac:dyDescent="0.2">
      <c r="B21" s="127"/>
      <c r="C21" s="128"/>
      <c r="D21" s="129"/>
      <c r="E21" s="130"/>
      <c r="F21" s="131"/>
      <c r="G21" s="131"/>
      <c r="H21" s="131"/>
      <c r="I21" s="131"/>
      <c r="J21" s="131"/>
      <c r="K21" s="131"/>
      <c r="L21" s="131"/>
      <c r="M21" s="131"/>
      <c r="N21" s="131"/>
      <c r="O21" s="132"/>
      <c r="P21" s="133"/>
      <c r="Q21" s="133"/>
    </row>
    <row r="22" spans="2:18" x14ac:dyDescent="0.2">
      <c r="B22" s="285" t="s">
        <v>55</v>
      </c>
      <c r="C22" s="286"/>
      <c r="D22" s="286"/>
      <c r="E22" s="286"/>
      <c r="F22" s="286"/>
      <c r="G22" s="286"/>
      <c r="H22" s="286"/>
      <c r="I22" s="286"/>
      <c r="J22" s="286"/>
      <c r="K22" s="286"/>
      <c r="L22" s="286"/>
      <c r="M22" s="286"/>
      <c r="N22" s="286"/>
      <c r="O22" s="286"/>
      <c r="P22" s="286"/>
      <c r="Q22" s="134"/>
    </row>
    <row r="23" spans="2:18" ht="15.75" x14ac:dyDescent="0.25">
      <c r="B23" s="135" t="s">
        <v>65</v>
      </c>
      <c r="C23" s="136"/>
      <c r="D23" s="137"/>
      <c r="E23" s="138"/>
      <c r="F23" s="139"/>
      <c r="G23" s="139"/>
      <c r="H23" s="139"/>
      <c r="I23" s="139"/>
      <c r="J23" s="139"/>
      <c r="K23" s="139"/>
      <c r="L23" s="139"/>
      <c r="M23" s="139"/>
      <c r="N23" s="139"/>
      <c r="O23" s="140"/>
      <c r="P23" s="140"/>
      <c r="Q23" s="141"/>
    </row>
    <row r="24" spans="2:18" x14ac:dyDescent="0.2">
      <c r="B24" s="103"/>
      <c r="C24" s="104"/>
      <c r="D24" s="105"/>
      <c r="E24" s="106"/>
      <c r="F24" s="107"/>
      <c r="G24" s="107"/>
      <c r="H24" s="107"/>
      <c r="I24" s="107"/>
      <c r="J24" s="107"/>
      <c r="K24" s="107"/>
      <c r="L24" s="107"/>
      <c r="M24" s="107"/>
      <c r="N24" s="107"/>
      <c r="O24" s="103"/>
      <c r="P24" s="103"/>
      <c r="Q24" s="103"/>
    </row>
    <row r="25" spans="2:18" ht="76.5" x14ac:dyDescent="0.2">
      <c r="B25" s="108" t="s">
        <v>18</v>
      </c>
      <c r="C25" s="108" t="s">
        <v>31</v>
      </c>
      <c r="D25" s="207" t="s">
        <v>64</v>
      </c>
      <c r="E25" s="208" t="s">
        <v>33</v>
      </c>
      <c r="F25" s="207" t="s">
        <v>32</v>
      </c>
      <c r="G25" s="201" t="s">
        <v>105</v>
      </c>
      <c r="H25" s="201" t="s">
        <v>106</v>
      </c>
      <c r="I25" s="201" t="s">
        <v>107</v>
      </c>
      <c r="J25" s="201" t="s">
        <v>108</v>
      </c>
      <c r="K25" s="202" t="s">
        <v>109</v>
      </c>
      <c r="L25" s="202" t="s">
        <v>110</v>
      </c>
      <c r="M25" s="201" t="s">
        <v>111</v>
      </c>
      <c r="N25" s="201" t="s">
        <v>112</v>
      </c>
      <c r="O25" s="201" t="s">
        <v>113</v>
      </c>
      <c r="P25" s="201" t="s">
        <v>114</v>
      </c>
      <c r="Q25" s="201" t="s">
        <v>115</v>
      </c>
      <c r="R25" s="109"/>
    </row>
    <row r="26" spans="2:18" x14ac:dyDescent="0.2">
      <c r="B26" s="215" t="s">
        <v>85</v>
      </c>
      <c r="C26" s="216"/>
      <c r="D26" s="216"/>
      <c r="E26" s="216"/>
      <c r="F26" s="216"/>
      <c r="G26" s="203"/>
      <c r="H26" s="203"/>
      <c r="I26" s="203"/>
      <c r="J26" s="203"/>
      <c r="K26" s="203"/>
      <c r="L26" s="203"/>
      <c r="M26" s="203"/>
      <c r="N26" s="203"/>
      <c r="O26" s="203"/>
      <c r="P26" s="203"/>
      <c r="Q26" s="204"/>
    </row>
    <row r="27" spans="2:18" x14ac:dyDescent="0.2">
      <c r="B27" s="209" t="s">
        <v>67</v>
      </c>
      <c r="C27" s="210" t="s">
        <v>68</v>
      </c>
      <c r="D27" s="211">
        <v>2</v>
      </c>
      <c r="E27" s="212">
        <v>1</v>
      </c>
      <c r="F27" s="213">
        <f>E27*D27</f>
        <v>2</v>
      </c>
      <c r="G27" s="218">
        <v>0</v>
      </c>
      <c r="H27" s="214">
        <f>IF(G27=0,VLOOKUP(C:C,[1]Inputs!$B$20:$H$25,7,FALSE)*F27,VLOOKUP(C:C,[1]Inputs!$B$20:$I$25,8,FALSE)*F27)</f>
        <v>159.67669293933002</v>
      </c>
      <c r="I27" s="214">
        <f>VLOOKUP(C:C,[1]Inputs!$C$54:$G$59,5,FALSE)*F27</f>
        <v>39.464872576692635</v>
      </c>
      <c r="J27" s="214"/>
      <c r="K27" s="214"/>
      <c r="L27" s="214"/>
      <c r="M27" s="214">
        <f>SUM(H27:J27)</f>
        <v>199.14156551602267</v>
      </c>
      <c r="N27" s="214">
        <f>[1]Inputs!$M$43*M27</f>
        <v>92.785354833023334</v>
      </c>
      <c r="O27" s="214">
        <f>[1]Inputs!$M$48*M27</f>
        <v>31.937843374343384</v>
      </c>
      <c r="P27" s="214">
        <f>[1]Inputs!$H$13*SUM(M27:O27)</f>
        <v>20.539503315337356</v>
      </c>
      <c r="Q27" s="214">
        <f t="shared" ref="Q27" si="5">SUM(M27:P27)</f>
        <v>344.40426703872674</v>
      </c>
    </row>
    <row r="28" spans="2:18" x14ac:dyDescent="0.2">
      <c r="B28" s="110" t="s">
        <v>69</v>
      </c>
      <c r="C28" s="111" t="s">
        <v>83</v>
      </c>
      <c r="D28" s="115">
        <v>0.5</v>
      </c>
      <c r="E28" s="112">
        <v>1</v>
      </c>
      <c r="F28" s="113">
        <f t="shared" ref="F28:F37" si="6">E28*D28</f>
        <v>0.5</v>
      </c>
      <c r="G28" s="218">
        <v>0</v>
      </c>
      <c r="H28" s="214">
        <f>IF(G28=0,VLOOKUP(C:C,[1]Inputs!$B$20:$H$25,7,FALSE)*F28,VLOOKUP(C:C,[1]Inputs!$B$20:$I$25,8,FALSE)*F28)</f>
        <v>36.87074150886</v>
      </c>
      <c r="I28" s="214">
        <f>VLOOKUP(C:C,[1]Inputs!$C$54:$G$59,5,FALSE)*F28</f>
        <v>0</v>
      </c>
      <c r="J28" s="214"/>
      <c r="K28" s="214"/>
      <c r="L28" s="214"/>
      <c r="M28" s="214">
        <f t="shared" ref="M28:M37" si="7">SUM(H28:J28)</f>
        <v>36.87074150886</v>
      </c>
      <c r="N28" s="214">
        <f>[1]Inputs!$M$43*M28</f>
        <v>17.179059655333496</v>
      </c>
      <c r="O28" s="214">
        <f>[1]Inputs!$M$48*M28</f>
        <v>5.913240484750161</v>
      </c>
      <c r="P28" s="214">
        <f>[1]Inputs!$H$13*SUM(M28:O28)</f>
        <v>3.8028561013760069</v>
      </c>
      <c r="Q28" s="214">
        <f t="shared" ref="Q28:Q37" si="8">SUM(M28:P28)</f>
        <v>63.765897750319667</v>
      </c>
    </row>
    <row r="29" spans="2:18" x14ac:dyDescent="0.2">
      <c r="B29" s="116" t="s">
        <v>70</v>
      </c>
      <c r="C29" s="111" t="s">
        <v>83</v>
      </c>
      <c r="D29" s="117">
        <v>0.5</v>
      </c>
      <c r="E29" s="112">
        <v>1</v>
      </c>
      <c r="F29" s="113">
        <f t="shared" si="6"/>
        <v>0.5</v>
      </c>
      <c r="G29" s="218">
        <v>0</v>
      </c>
      <c r="H29" s="214">
        <f>IF(G29=0,VLOOKUP(C:C,[1]Inputs!$B$20:$H$25,7,FALSE)*F29,VLOOKUP(C:C,[1]Inputs!$B$20:$I$25,8,FALSE)*F29)</f>
        <v>36.87074150886</v>
      </c>
      <c r="I29" s="214">
        <f>VLOOKUP(C:C,[1]Inputs!$C$54:$G$59,5,FALSE)*F29</f>
        <v>0</v>
      </c>
      <c r="J29" s="214"/>
      <c r="K29" s="214"/>
      <c r="L29" s="214"/>
      <c r="M29" s="214">
        <f t="shared" si="7"/>
        <v>36.87074150886</v>
      </c>
      <c r="N29" s="214">
        <f>[1]Inputs!$M$43*M29</f>
        <v>17.179059655333496</v>
      </c>
      <c r="O29" s="214">
        <f>[1]Inputs!$M$48*M29</f>
        <v>5.913240484750161</v>
      </c>
      <c r="P29" s="214">
        <f>[1]Inputs!$H$13*SUM(M29:O29)</f>
        <v>3.8028561013760069</v>
      </c>
      <c r="Q29" s="214">
        <f t="shared" si="8"/>
        <v>63.765897750319667</v>
      </c>
    </row>
    <row r="30" spans="2:18" x14ac:dyDescent="0.2">
      <c r="B30" s="118" t="s">
        <v>71</v>
      </c>
      <c r="C30" s="111" t="s">
        <v>54</v>
      </c>
      <c r="D30" s="119">
        <v>0.5</v>
      </c>
      <c r="E30" s="112">
        <v>1</v>
      </c>
      <c r="F30" s="113">
        <f t="shared" si="6"/>
        <v>0.5</v>
      </c>
      <c r="G30" s="218">
        <v>0</v>
      </c>
      <c r="H30" s="214">
        <f>IF(G30=0,VLOOKUP(C:C,[1]Inputs!$B$20:$H$25,7,FALSE)*F30,VLOOKUP(C:C,[1]Inputs!$B$20:$I$25,8,FALSE)*F30)</f>
        <v>51.630298810072496</v>
      </c>
      <c r="I30" s="214">
        <f>VLOOKUP(C:C,[1]Inputs!$C$54:$G$59,5,FALSE)*F30</f>
        <v>0</v>
      </c>
      <c r="J30" s="214"/>
      <c r="K30" s="214"/>
      <c r="L30" s="214"/>
      <c r="M30" s="214">
        <f t="shared" si="7"/>
        <v>51.630298810072496</v>
      </c>
      <c r="N30" s="214">
        <f>[1]Inputs!$M$43*M30</f>
        <v>24.055930176174893</v>
      </c>
      <c r="O30" s="214">
        <f>[1]Inputs!$M$48*M30</f>
        <v>8.2803426421490585</v>
      </c>
      <c r="P30" s="214">
        <f>[1]Inputs!$H$13*SUM(M30:O30)</f>
        <v>5.3251599726729033</v>
      </c>
      <c r="Q30" s="214">
        <f t="shared" si="8"/>
        <v>89.291731601069358</v>
      </c>
    </row>
    <row r="31" spans="2:18" x14ac:dyDescent="0.2">
      <c r="B31" s="110" t="s">
        <v>72</v>
      </c>
      <c r="C31" s="111" t="s">
        <v>54</v>
      </c>
      <c r="D31" s="120">
        <v>1</v>
      </c>
      <c r="E31" s="112">
        <v>1</v>
      </c>
      <c r="F31" s="113">
        <f t="shared" si="6"/>
        <v>1</v>
      </c>
      <c r="G31" s="218">
        <v>0</v>
      </c>
      <c r="H31" s="214">
        <f>IF(G31=0,VLOOKUP(C:C,[1]Inputs!$B$20:$H$25,7,FALSE)*F31,VLOOKUP(C:C,[1]Inputs!$B$20:$I$25,8,FALSE)*F31)</f>
        <v>103.26059762014499</v>
      </c>
      <c r="I31" s="214">
        <f>VLOOKUP(C:C,[1]Inputs!$C$54:$G$59,5,FALSE)*F31</f>
        <v>0</v>
      </c>
      <c r="J31" s="214"/>
      <c r="K31" s="214"/>
      <c r="L31" s="214"/>
      <c r="M31" s="214">
        <f t="shared" si="7"/>
        <v>103.26059762014499</v>
      </c>
      <c r="N31" s="214">
        <f>[1]Inputs!$M$43*M31</f>
        <v>48.111860352349787</v>
      </c>
      <c r="O31" s="214">
        <f>[1]Inputs!$M$48*M31</f>
        <v>16.560685284298117</v>
      </c>
      <c r="P31" s="214">
        <f>[1]Inputs!$H$13*SUM(M31:O31)</f>
        <v>10.650319945345807</v>
      </c>
      <c r="Q31" s="214">
        <f t="shared" si="8"/>
        <v>178.58346320213872</v>
      </c>
    </row>
    <row r="32" spans="2:18" x14ac:dyDescent="0.2">
      <c r="B32" s="110" t="s">
        <v>73</v>
      </c>
      <c r="C32" s="111" t="s">
        <v>68</v>
      </c>
      <c r="D32" s="120">
        <v>1</v>
      </c>
      <c r="E32" s="112">
        <v>1</v>
      </c>
      <c r="F32" s="113">
        <f t="shared" si="6"/>
        <v>1</v>
      </c>
      <c r="G32" s="218">
        <v>1</v>
      </c>
      <c r="H32" s="214">
        <f>IF(G32=0,VLOOKUP(C:C,[1]Inputs!$B$20:$H$25,7,FALSE)*F32,VLOOKUP(C:C,[1]Inputs!$B$20:$I$25,8,FALSE)*F32)</f>
        <v>144.94102558317272</v>
      </c>
      <c r="I32" s="214">
        <f>VLOOKUP(C:C,[1]Inputs!$C$54:$G$59,5,FALSE)*F32</f>
        <v>19.732436288346317</v>
      </c>
      <c r="J32" s="214"/>
      <c r="K32" s="214"/>
      <c r="L32" s="214"/>
      <c r="M32" s="214">
        <f t="shared" si="7"/>
        <v>164.67346187151904</v>
      </c>
      <c r="N32" s="214">
        <f>[1]Inputs!$M$43*M32</f>
        <v>76.725748096531277</v>
      </c>
      <c r="O32" s="214">
        <f>[1]Inputs!$M$48*M32</f>
        <v>26.409932148194969</v>
      </c>
      <c r="P32" s="214">
        <f>[1]Inputs!$H$13*SUM(M32:O32)</f>
        <v>16.98445579301228</v>
      </c>
      <c r="Q32" s="214">
        <f t="shared" si="8"/>
        <v>284.79359790925758</v>
      </c>
    </row>
    <row r="33" spans="2:18" x14ac:dyDescent="0.2">
      <c r="B33" s="110" t="s">
        <v>74</v>
      </c>
      <c r="C33" s="111" t="s">
        <v>68</v>
      </c>
      <c r="D33" s="120">
        <v>1</v>
      </c>
      <c r="E33" s="112">
        <v>2</v>
      </c>
      <c r="F33" s="113">
        <f t="shared" si="6"/>
        <v>2</v>
      </c>
      <c r="G33" s="218">
        <v>1</v>
      </c>
      <c r="H33" s="214">
        <f>IF(G33=0,VLOOKUP(C:C,[1]Inputs!$B$20:$H$25,7,FALSE)*F33,VLOOKUP(C:C,[1]Inputs!$B$20:$I$25,8,FALSE)*F33)</f>
        <v>289.88205116634543</v>
      </c>
      <c r="I33" s="214">
        <f>VLOOKUP(C:C,[1]Inputs!$C$54:$G$59,5,FALSE)*F33</f>
        <v>39.464872576692635</v>
      </c>
      <c r="J33" s="214"/>
      <c r="K33" s="214"/>
      <c r="L33" s="214"/>
      <c r="M33" s="214">
        <f t="shared" si="7"/>
        <v>329.34692374303808</v>
      </c>
      <c r="N33" s="214">
        <f>[1]Inputs!$M$43*M33</f>
        <v>153.45149619306255</v>
      </c>
      <c r="O33" s="214">
        <f>[1]Inputs!$M$48*M33</f>
        <v>52.819864296389937</v>
      </c>
      <c r="P33" s="214">
        <f>[1]Inputs!$H$13*SUM(M33:O33)</f>
        <v>33.968911586024561</v>
      </c>
      <c r="Q33" s="214">
        <f t="shared" si="8"/>
        <v>569.58719581851517</v>
      </c>
    </row>
    <row r="34" spans="2:18" x14ac:dyDescent="0.2">
      <c r="B34" s="110" t="s">
        <v>75</v>
      </c>
      <c r="C34" s="111" t="s">
        <v>54</v>
      </c>
      <c r="D34" s="120">
        <v>0.5</v>
      </c>
      <c r="E34" s="112">
        <v>1</v>
      </c>
      <c r="F34" s="113">
        <f t="shared" si="6"/>
        <v>0.5</v>
      </c>
      <c r="G34" s="218">
        <v>0</v>
      </c>
      <c r="H34" s="214">
        <f>IF(G34=0,VLOOKUP(C:C,[1]Inputs!$B$20:$H$25,7,FALSE)*F34,VLOOKUP(C:C,[1]Inputs!$B$20:$I$25,8,FALSE)*F34)</f>
        <v>51.630298810072496</v>
      </c>
      <c r="I34" s="214">
        <f>VLOOKUP(C:C,[1]Inputs!$C$54:$G$59,5,FALSE)*F34</f>
        <v>0</v>
      </c>
      <c r="J34" s="214"/>
      <c r="K34" s="214"/>
      <c r="L34" s="214"/>
      <c r="M34" s="214">
        <f t="shared" si="7"/>
        <v>51.630298810072496</v>
      </c>
      <c r="N34" s="214">
        <f>[1]Inputs!$M$43*M34</f>
        <v>24.055930176174893</v>
      </c>
      <c r="O34" s="214">
        <f>[1]Inputs!$M$48*M34</f>
        <v>8.2803426421490585</v>
      </c>
      <c r="P34" s="214">
        <f>[1]Inputs!$H$13*SUM(M34:O34)</f>
        <v>5.3251599726729033</v>
      </c>
      <c r="Q34" s="214">
        <f t="shared" si="8"/>
        <v>89.291731601069358</v>
      </c>
    </row>
    <row r="35" spans="2:18" x14ac:dyDescent="0.2">
      <c r="B35" s="110" t="s">
        <v>84</v>
      </c>
      <c r="C35" s="111" t="s">
        <v>68</v>
      </c>
      <c r="D35" s="120">
        <v>1</v>
      </c>
      <c r="E35" s="112">
        <v>2</v>
      </c>
      <c r="F35" s="113">
        <f t="shared" si="6"/>
        <v>2</v>
      </c>
      <c r="G35" s="218">
        <v>1</v>
      </c>
      <c r="H35" s="214">
        <f>IF(G35=0,VLOOKUP(C:C,[1]Inputs!$B$20:$H$25,7,FALSE)*F35,VLOOKUP(C:C,[1]Inputs!$B$20:$I$25,8,FALSE)*F35)</f>
        <v>289.88205116634543</v>
      </c>
      <c r="I35" s="214">
        <f>VLOOKUP(C:C,[1]Inputs!$C$54:$G$59,5,FALSE)*F35</f>
        <v>39.464872576692635</v>
      </c>
      <c r="J35" s="214"/>
      <c r="K35" s="214"/>
      <c r="L35" s="214"/>
      <c r="M35" s="214">
        <f t="shared" si="7"/>
        <v>329.34692374303808</v>
      </c>
      <c r="N35" s="214">
        <f>[1]Inputs!$M$43*M35</f>
        <v>153.45149619306255</v>
      </c>
      <c r="O35" s="214">
        <f>[1]Inputs!$M$48*M35</f>
        <v>52.819864296389937</v>
      </c>
      <c r="P35" s="214">
        <f>[1]Inputs!$H$13*SUM(M35:O35)</f>
        <v>33.968911586024561</v>
      </c>
      <c r="Q35" s="214">
        <f t="shared" si="8"/>
        <v>569.58719581851517</v>
      </c>
    </row>
    <row r="36" spans="2:18" x14ac:dyDescent="0.2">
      <c r="B36" s="110" t="s">
        <v>76</v>
      </c>
      <c r="C36" s="111" t="s">
        <v>68</v>
      </c>
      <c r="D36" s="120">
        <v>1</v>
      </c>
      <c r="E36" s="112">
        <v>1</v>
      </c>
      <c r="F36" s="113">
        <f t="shared" si="6"/>
        <v>1</v>
      </c>
      <c r="G36" s="218">
        <v>1</v>
      </c>
      <c r="H36" s="214">
        <f>IF(G36=0,VLOOKUP(C:C,[1]Inputs!$B$20:$H$25,7,FALSE)*F36,VLOOKUP(C:C,[1]Inputs!$B$20:$I$25,8,FALSE)*F36)</f>
        <v>144.94102558317272</v>
      </c>
      <c r="I36" s="214">
        <f>VLOOKUP(C:C,[1]Inputs!$C$54:$G$59,5,FALSE)*F36</f>
        <v>19.732436288346317</v>
      </c>
      <c r="J36" s="214"/>
      <c r="K36" s="214"/>
      <c r="L36" s="214"/>
      <c r="M36" s="214">
        <f t="shared" si="7"/>
        <v>164.67346187151904</v>
      </c>
      <c r="N36" s="214">
        <f>[1]Inputs!$M$43*M36</f>
        <v>76.725748096531277</v>
      </c>
      <c r="O36" s="214">
        <f>[1]Inputs!$M$48*M36</f>
        <v>26.409932148194969</v>
      </c>
      <c r="P36" s="214">
        <f>[1]Inputs!$H$13*SUM(M36:O36)</f>
        <v>16.98445579301228</v>
      </c>
      <c r="Q36" s="214">
        <f t="shared" si="8"/>
        <v>284.79359790925758</v>
      </c>
    </row>
    <row r="37" spans="2:18" x14ac:dyDescent="0.2">
      <c r="B37" s="110" t="s">
        <v>77</v>
      </c>
      <c r="C37" s="111" t="s">
        <v>68</v>
      </c>
      <c r="D37" s="120">
        <v>1</v>
      </c>
      <c r="E37" s="112">
        <v>2</v>
      </c>
      <c r="F37" s="113">
        <f t="shared" si="6"/>
        <v>2</v>
      </c>
      <c r="G37" s="218">
        <v>1</v>
      </c>
      <c r="H37" s="214">
        <f>IF(G37=0,VLOOKUP(C:C,[1]Inputs!$B$20:$H$25,7,FALSE)*F37,VLOOKUP(C:C,[1]Inputs!$B$20:$I$25,8,FALSE)*F37)</f>
        <v>289.88205116634543</v>
      </c>
      <c r="I37" s="214">
        <f>VLOOKUP(C:C,[1]Inputs!$C$54:$G$59,5,FALSE)*F37</f>
        <v>39.464872576692635</v>
      </c>
      <c r="J37" s="214"/>
      <c r="K37" s="214"/>
      <c r="L37" s="214"/>
      <c r="M37" s="214">
        <f t="shared" si="7"/>
        <v>329.34692374303808</v>
      </c>
      <c r="N37" s="214">
        <f>[1]Inputs!$M$43*M37</f>
        <v>153.45149619306255</v>
      </c>
      <c r="O37" s="214">
        <f>[1]Inputs!$M$48*M37</f>
        <v>52.819864296389937</v>
      </c>
      <c r="P37" s="214">
        <f>[1]Inputs!$H$13*SUM(M37:O37)</f>
        <v>33.968911586024561</v>
      </c>
      <c r="Q37" s="214">
        <f t="shared" si="8"/>
        <v>569.58719581851517</v>
      </c>
    </row>
    <row r="38" spans="2:18" x14ac:dyDescent="0.2">
      <c r="B38" s="110"/>
      <c r="C38" s="111"/>
      <c r="D38" s="120"/>
      <c r="E38" s="112"/>
      <c r="F38" s="122"/>
      <c r="G38" s="256"/>
      <c r="H38" s="122"/>
      <c r="I38" s="122"/>
      <c r="J38" s="122"/>
      <c r="K38" s="122"/>
      <c r="L38" s="122"/>
      <c r="M38" s="122"/>
      <c r="N38" s="122"/>
      <c r="O38" s="123"/>
      <c r="P38" s="124"/>
      <c r="Q38" s="124"/>
      <c r="R38" s="109"/>
    </row>
    <row r="39" spans="2:18" x14ac:dyDescent="0.2">
      <c r="B39" s="110"/>
      <c r="C39" s="111"/>
      <c r="D39" s="120"/>
      <c r="E39" s="112"/>
      <c r="F39" s="122"/>
      <c r="G39" s="122"/>
      <c r="H39" s="122"/>
      <c r="I39" s="122"/>
      <c r="J39" s="122"/>
      <c r="K39" s="122"/>
      <c r="L39" s="122"/>
      <c r="M39" s="122"/>
      <c r="N39" s="122"/>
      <c r="O39" s="123"/>
      <c r="P39" s="114"/>
      <c r="Q39" s="114"/>
    </row>
    <row r="40" spans="2:18" x14ac:dyDescent="0.2">
      <c r="B40" s="287" t="s">
        <v>1</v>
      </c>
      <c r="C40" s="288"/>
      <c r="D40" s="288"/>
      <c r="E40" s="289"/>
      <c r="F40" s="126">
        <f>SUM(F27:F39)</f>
        <v>13</v>
      </c>
      <c r="G40" s="126">
        <f t="shared" ref="G40:Q40" si="9">SUM(G27:G39)</f>
        <v>5</v>
      </c>
      <c r="H40" s="126">
        <f t="shared" si="9"/>
        <v>1599.4675758627218</v>
      </c>
      <c r="I40" s="126">
        <f t="shared" si="9"/>
        <v>197.32436288346318</v>
      </c>
      <c r="J40" s="126">
        <f t="shared" si="9"/>
        <v>0</v>
      </c>
      <c r="K40" s="126">
        <f t="shared" si="9"/>
        <v>0</v>
      </c>
      <c r="L40" s="126">
        <f t="shared" si="9"/>
        <v>0</v>
      </c>
      <c r="M40" s="126">
        <f t="shared" si="9"/>
        <v>1796.791938746185</v>
      </c>
      <c r="N40" s="126">
        <f t="shared" si="9"/>
        <v>837.1731796206401</v>
      </c>
      <c r="O40" s="126">
        <f t="shared" si="9"/>
        <v>288.16515209799968</v>
      </c>
      <c r="P40" s="126">
        <f t="shared" si="9"/>
        <v>185.32150175287921</v>
      </c>
      <c r="Q40" s="126">
        <f t="shared" si="9"/>
        <v>3107.4517722177047</v>
      </c>
    </row>
    <row r="51" spans="18:18" x14ac:dyDescent="0.2">
      <c r="R51" s="109"/>
    </row>
  </sheetData>
  <mergeCells count="5">
    <mergeCell ref="B22:P22"/>
    <mergeCell ref="B40:E40"/>
    <mergeCell ref="B20:E20"/>
    <mergeCell ref="H2:Q2"/>
    <mergeCell ref="H3:Q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6"/>
  <sheetViews>
    <sheetView showGridLines="0" workbookViewId="0">
      <selection activeCell="B31" sqref="B31:C31"/>
    </sheetView>
  </sheetViews>
  <sheetFormatPr defaultColWidth="9.140625" defaultRowHeight="12.75" x14ac:dyDescent="0.2"/>
  <cols>
    <col min="1" max="1" width="3.140625" style="42" customWidth="1"/>
    <col min="2" max="2" width="66" style="42" customWidth="1"/>
    <col min="3" max="3" width="65.140625" style="42" customWidth="1"/>
    <col min="4" max="4" width="12.85546875" style="42" customWidth="1"/>
    <col min="5" max="8" width="11.28515625" style="42" customWidth="1"/>
    <col min="9" max="9" width="12.7109375" style="42" customWidth="1"/>
    <col min="10" max="16384" width="9.140625" style="42"/>
  </cols>
  <sheetData>
    <row r="2" spans="2:9" x14ac:dyDescent="0.2">
      <c r="B2" s="27" t="s">
        <v>8</v>
      </c>
      <c r="C2" s="28"/>
      <c r="D2" s="28"/>
      <c r="E2" s="28"/>
      <c r="F2" s="28"/>
      <c r="G2" s="28"/>
      <c r="H2" s="28"/>
      <c r="I2" s="28"/>
    </row>
    <row r="3" spans="2:9" x14ac:dyDescent="0.2">
      <c r="B3" s="1"/>
      <c r="C3" s="1"/>
      <c r="D3" s="1"/>
      <c r="E3" s="1"/>
      <c r="F3" s="1"/>
      <c r="G3" s="1"/>
      <c r="H3" s="1"/>
      <c r="I3" s="1"/>
    </row>
    <row r="4" spans="2:9" x14ac:dyDescent="0.2">
      <c r="B4" s="27" t="s">
        <v>2</v>
      </c>
      <c r="C4" s="28"/>
      <c r="D4" s="28"/>
      <c r="E4" s="28"/>
      <c r="F4" s="28"/>
      <c r="G4" s="28"/>
      <c r="H4" s="28"/>
      <c r="I4" s="28"/>
    </row>
    <row r="5" spans="2:9" x14ac:dyDescent="0.2">
      <c r="B5" s="47" t="s">
        <v>89</v>
      </c>
      <c r="C5" s="47" t="s">
        <v>9</v>
      </c>
      <c r="D5" s="49" t="s">
        <v>59</v>
      </c>
      <c r="E5" s="49" t="s">
        <v>58</v>
      </c>
      <c r="F5" s="49" t="s">
        <v>57</v>
      </c>
      <c r="G5" s="52" t="s">
        <v>99</v>
      </c>
      <c r="H5" s="52" t="s">
        <v>100</v>
      </c>
      <c r="I5" s="50" t="s">
        <v>1</v>
      </c>
    </row>
    <row r="6" spans="2:9" ht="13.5" customHeight="1" x14ac:dyDescent="0.2">
      <c r="B6" s="46"/>
      <c r="C6" s="31"/>
      <c r="D6" s="30"/>
      <c r="E6" s="30"/>
      <c r="F6" s="30"/>
      <c r="G6" s="30"/>
      <c r="H6" s="30"/>
      <c r="I6" s="219">
        <f>SUM(D6:H6)</f>
        <v>0</v>
      </c>
    </row>
    <row r="7" spans="2:9" x14ac:dyDescent="0.2">
      <c r="B7" s="7"/>
      <c r="C7" s="29"/>
      <c r="D7" s="30"/>
      <c r="E7" s="30"/>
      <c r="F7" s="30"/>
      <c r="G7" s="30"/>
      <c r="H7" s="30"/>
      <c r="I7" s="219">
        <f t="shared" ref="I7:I9" si="0">SUM(D7:H7)</f>
        <v>0</v>
      </c>
    </row>
    <row r="8" spans="2:9" x14ac:dyDescent="0.2">
      <c r="B8" s="7"/>
      <c r="C8" s="29"/>
      <c r="D8" s="30"/>
      <c r="E8" s="30"/>
      <c r="F8" s="30"/>
      <c r="G8" s="30"/>
      <c r="H8" s="30"/>
      <c r="I8" s="219">
        <f t="shared" si="0"/>
        <v>0</v>
      </c>
    </row>
    <row r="9" spans="2:9" x14ac:dyDescent="0.2">
      <c r="B9" s="7"/>
      <c r="C9" s="29"/>
      <c r="D9" s="30"/>
      <c r="E9" s="30"/>
      <c r="F9" s="30"/>
      <c r="G9" s="30"/>
      <c r="H9" s="30"/>
      <c r="I9" s="219">
        <f t="shared" si="0"/>
        <v>0</v>
      </c>
    </row>
    <row r="10" spans="2:9" x14ac:dyDescent="0.2">
      <c r="B10" s="8" t="s">
        <v>1</v>
      </c>
      <c r="C10" s="9"/>
      <c r="D10" s="10">
        <f t="shared" ref="D10:I10" si="1">SUM(D6:D9)</f>
        <v>0</v>
      </c>
      <c r="E10" s="10">
        <f t="shared" si="1"/>
        <v>0</v>
      </c>
      <c r="F10" s="10">
        <f t="shared" si="1"/>
        <v>0</v>
      </c>
      <c r="G10" s="10">
        <f t="shared" ref="G10:H10" si="2">SUM(G6:G9)</f>
        <v>0</v>
      </c>
      <c r="H10" s="10">
        <f t="shared" si="2"/>
        <v>0</v>
      </c>
      <c r="I10" s="10">
        <f t="shared" si="1"/>
        <v>0</v>
      </c>
    </row>
    <row r="11" spans="2:9" x14ac:dyDescent="0.2">
      <c r="B11" s="1"/>
      <c r="C11" s="1"/>
      <c r="D11" s="1"/>
      <c r="E11" s="1"/>
      <c r="F11" s="1"/>
      <c r="G11" s="1"/>
      <c r="H11" s="1"/>
      <c r="I11" s="1"/>
    </row>
    <row r="12" spans="2:9" x14ac:dyDescent="0.2">
      <c r="B12" s="27" t="s">
        <v>10</v>
      </c>
      <c r="C12" s="28"/>
      <c r="D12" s="28"/>
      <c r="E12" s="28"/>
      <c r="F12" s="28"/>
      <c r="G12" s="28"/>
      <c r="H12" s="28"/>
      <c r="I12" s="28"/>
    </row>
    <row r="13" spans="2:9" x14ac:dyDescent="0.2">
      <c r="B13" s="47" t="s">
        <v>4</v>
      </c>
      <c r="C13" s="48" t="s">
        <v>9</v>
      </c>
      <c r="D13" s="49" t="s">
        <v>59</v>
      </c>
      <c r="E13" s="49" t="s">
        <v>58</v>
      </c>
      <c r="F13" s="49" t="s">
        <v>57</v>
      </c>
      <c r="G13" s="52" t="s">
        <v>99</v>
      </c>
      <c r="H13" s="52" t="s">
        <v>100</v>
      </c>
      <c r="I13" s="50" t="s">
        <v>1</v>
      </c>
    </row>
    <row r="14" spans="2:9" x14ac:dyDescent="0.2">
      <c r="B14" s="11" t="s">
        <v>19</v>
      </c>
      <c r="C14" s="11"/>
      <c r="D14" s="45"/>
      <c r="E14" s="45"/>
      <c r="F14" s="45"/>
      <c r="G14" s="45"/>
      <c r="H14" s="45"/>
      <c r="I14" s="220">
        <f>SUM(D14:H14)</f>
        <v>0</v>
      </c>
    </row>
    <row r="15" spans="2:9" x14ac:dyDescent="0.2">
      <c r="B15" s="11"/>
      <c r="C15" s="13"/>
      <c r="D15" s="12"/>
      <c r="E15" s="12"/>
      <c r="F15" s="12"/>
      <c r="G15" s="12"/>
      <c r="H15" s="12"/>
      <c r="I15" s="220">
        <f t="shared" ref="I15:I16" si="3">SUM(D15:H15)</f>
        <v>0</v>
      </c>
    </row>
    <row r="16" spans="2:9" x14ac:dyDescent="0.2">
      <c r="B16" s="11"/>
      <c r="C16" s="11"/>
      <c r="D16" s="12"/>
      <c r="E16" s="12"/>
      <c r="F16" s="12"/>
      <c r="G16" s="12"/>
      <c r="H16" s="12"/>
      <c r="I16" s="257">
        <f t="shared" si="3"/>
        <v>0</v>
      </c>
    </row>
    <row r="17" spans="2:9" x14ac:dyDescent="0.2">
      <c r="B17" s="34" t="s">
        <v>17</v>
      </c>
      <c r="C17" s="9"/>
      <c r="D17" s="14">
        <f t="shared" ref="D17:F17" si="4">SUM(D14:D16)</f>
        <v>0</v>
      </c>
      <c r="E17" s="14">
        <f t="shared" si="4"/>
        <v>0</v>
      </c>
      <c r="F17" s="14">
        <f t="shared" si="4"/>
        <v>0</v>
      </c>
      <c r="G17" s="14">
        <f t="shared" ref="G17:H17" si="5">SUM(G14:G16)</f>
        <v>0</v>
      </c>
      <c r="H17" s="14">
        <f t="shared" si="5"/>
        <v>0</v>
      </c>
      <c r="I17" s="14">
        <f>SUM(I14:I16)</f>
        <v>0</v>
      </c>
    </row>
    <row r="18" spans="2:9" x14ac:dyDescent="0.2">
      <c r="B18" s="1"/>
      <c r="C18" s="1"/>
      <c r="D18" s="15"/>
      <c r="E18" s="15"/>
      <c r="F18" s="15"/>
      <c r="G18" s="15"/>
      <c r="H18" s="15"/>
      <c r="I18" s="15"/>
    </row>
    <row r="19" spans="2:9" x14ac:dyDescent="0.2">
      <c r="B19" s="16" t="s">
        <v>6</v>
      </c>
      <c r="C19" s="1"/>
      <c r="D19" s="15"/>
      <c r="E19" s="15"/>
      <c r="F19" s="15"/>
      <c r="G19" s="15"/>
      <c r="H19" s="15"/>
      <c r="I19" s="15"/>
    </row>
    <row r="20" spans="2:9" x14ac:dyDescent="0.2">
      <c r="B20" s="53" t="s">
        <v>97</v>
      </c>
      <c r="C20" s="53"/>
      <c r="D20" s="53"/>
      <c r="E20" s="53"/>
      <c r="F20" s="53"/>
      <c r="G20" s="53"/>
      <c r="H20" s="53"/>
      <c r="I20" s="53"/>
    </row>
    <row r="21" spans="2:9" x14ac:dyDescent="0.2">
      <c r="B21" s="1"/>
      <c r="C21" s="1"/>
      <c r="D21" s="15"/>
      <c r="E21" s="15"/>
      <c r="F21" s="15"/>
      <c r="G21" s="15"/>
      <c r="H21" s="15"/>
      <c r="I21" s="15"/>
    </row>
    <row r="22" spans="2:9" x14ac:dyDescent="0.2">
      <c r="B22" s="27" t="s">
        <v>2</v>
      </c>
      <c r="C22" s="28"/>
      <c r="D22" s="28"/>
      <c r="E22" s="28"/>
      <c r="F22" s="28"/>
      <c r="G22" s="28"/>
      <c r="H22" s="28"/>
      <c r="I22" s="28"/>
    </row>
    <row r="23" spans="2:9" x14ac:dyDescent="0.2">
      <c r="B23" s="17" t="s">
        <v>11</v>
      </c>
      <c r="C23" s="18"/>
      <c r="D23" s="18"/>
      <c r="E23" s="18"/>
      <c r="F23" s="18"/>
      <c r="G23" s="18"/>
      <c r="H23" s="18"/>
      <c r="I23" s="18"/>
    </row>
    <row r="24" spans="2:9" x14ac:dyDescent="0.2">
      <c r="B24" s="292"/>
      <c r="C24" s="292"/>
      <c r="D24" s="292"/>
      <c r="E24" s="292"/>
      <c r="F24" s="292"/>
      <c r="G24" s="292"/>
      <c r="H24" s="292"/>
      <c r="I24" s="292"/>
    </row>
    <row r="25" spans="2:9" x14ac:dyDescent="0.2">
      <c r="B25" s="293"/>
      <c r="C25" s="293"/>
      <c r="D25" s="293"/>
      <c r="E25" s="293"/>
      <c r="F25" s="293"/>
      <c r="G25" s="293"/>
      <c r="H25" s="293"/>
      <c r="I25" s="293"/>
    </row>
    <row r="26" spans="2:9" x14ac:dyDescent="0.2">
      <c r="B26" s="19"/>
      <c r="C26" s="20"/>
      <c r="D26" s="20"/>
      <c r="E26" s="20"/>
      <c r="F26" s="20"/>
      <c r="G26" s="20"/>
      <c r="H26" s="20"/>
      <c r="I26" s="20"/>
    </row>
  </sheetData>
  <mergeCells count="1">
    <mergeCell ref="B24:I2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0C72F2-A368-4E25-B4C4-889E78CB898B}">
  <dimension ref="B1:O28"/>
  <sheetViews>
    <sheetView topLeftCell="B1" zoomScale="90" zoomScaleNormal="90" workbookViewId="0">
      <selection activeCell="E33" sqref="E33"/>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123</v>
      </c>
      <c r="D1" s="231">
        <f>[1]Inputs!H16</f>
        <v>1</v>
      </c>
      <c r="E1" s="231">
        <f>[1]Inputs!I16</f>
        <v>1</v>
      </c>
      <c r="F1" s="231">
        <f>[1]Inputs!J16</f>
        <v>1.0109999999999999</v>
      </c>
      <c r="G1" s="231">
        <f>[1]Inputs!K16</f>
        <v>1.0231319999999999</v>
      </c>
      <c r="H1" s="231">
        <f>[1]Inputs!L16</f>
        <v>1.0337725727999998</v>
      </c>
      <c r="K1" s="232">
        <f>D1</f>
        <v>1</v>
      </c>
      <c r="L1" s="232">
        <f t="shared" ref="L1:O5" si="0">E1</f>
        <v>1</v>
      </c>
      <c r="M1" s="232">
        <f t="shared" si="0"/>
        <v>1.0109999999999999</v>
      </c>
      <c r="N1" s="232">
        <f t="shared" si="0"/>
        <v>1.0231319999999999</v>
      </c>
      <c r="O1" s="232">
        <f t="shared" si="0"/>
        <v>1.0337725727999998</v>
      </c>
    </row>
    <row r="2" spans="2:15" x14ac:dyDescent="0.25">
      <c r="B2" t="s">
        <v>124</v>
      </c>
      <c r="D2" s="231">
        <f>[1]Inputs!H61</f>
        <v>0.04</v>
      </c>
      <c r="E2" s="231">
        <f>[1]Inputs!I61</f>
        <v>0.04</v>
      </c>
      <c r="F2" s="231">
        <f>[1]Inputs!J61</f>
        <v>0.04</v>
      </c>
      <c r="G2" s="231">
        <f>[1]Inputs!K61</f>
        <v>0.04</v>
      </c>
      <c r="H2" s="231">
        <f>[1]Inputs!L61</f>
        <v>0.04</v>
      </c>
      <c r="K2" s="232"/>
      <c r="L2" s="232"/>
      <c r="M2" s="232"/>
      <c r="N2" s="232"/>
      <c r="O2" s="232"/>
    </row>
    <row r="3" spans="2:15" x14ac:dyDescent="0.25">
      <c r="B3" t="s">
        <v>125</v>
      </c>
      <c r="D3" s="232">
        <f>[1]Inputs!$M$43</f>
        <v>0.46592661151676018</v>
      </c>
      <c r="E3" s="232">
        <f>[1]Inputs!$M$43</f>
        <v>0.46592661151676018</v>
      </c>
      <c r="F3" s="232">
        <f>[1]Inputs!$M$43</f>
        <v>0.46592661151676018</v>
      </c>
      <c r="G3" s="232">
        <f>[1]Inputs!$M$43</f>
        <v>0.46592661151676018</v>
      </c>
      <c r="H3" s="232">
        <f>[1]Inputs!$M$43</f>
        <v>0.46592661151676018</v>
      </c>
      <c r="K3" s="232">
        <f t="shared" ref="K3:K5" si="1">D3</f>
        <v>0.46592661151676018</v>
      </c>
      <c r="L3" s="232">
        <f t="shared" si="0"/>
        <v>0.46592661151676018</v>
      </c>
      <c r="M3" s="232">
        <f t="shared" si="0"/>
        <v>0.46592661151676018</v>
      </c>
      <c r="N3" s="232">
        <f t="shared" si="0"/>
        <v>0.46592661151676018</v>
      </c>
      <c r="O3" s="232">
        <f t="shared" si="0"/>
        <v>0.46592661151676018</v>
      </c>
    </row>
    <row r="4" spans="2:15" x14ac:dyDescent="0.25">
      <c r="B4" t="s">
        <v>126</v>
      </c>
      <c r="D4" s="232">
        <f>[1]Inputs!$M$48</f>
        <v>0.16037758511933414</v>
      </c>
      <c r="E4" s="232">
        <f>[1]Inputs!$M$48</f>
        <v>0.16037758511933414</v>
      </c>
      <c r="F4" s="232">
        <f>[1]Inputs!$M$48</f>
        <v>0.16037758511933414</v>
      </c>
      <c r="G4" s="232">
        <f>[1]Inputs!$M$48</f>
        <v>0.16037758511933414</v>
      </c>
      <c r="H4" s="232">
        <f>[1]Inputs!$M$48</f>
        <v>0.16037758511933414</v>
      </c>
      <c r="K4" s="232">
        <f t="shared" si="1"/>
        <v>0.16037758511933414</v>
      </c>
      <c r="L4" s="232">
        <f t="shared" si="0"/>
        <v>0.16037758511933414</v>
      </c>
      <c r="M4" s="232">
        <f t="shared" si="0"/>
        <v>0.16037758511933414</v>
      </c>
      <c r="N4" s="232">
        <f t="shared" si="0"/>
        <v>0.16037758511933414</v>
      </c>
      <c r="O4" s="232">
        <f t="shared" si="0"/>
        <v>0.16037758511933414</v>
      </c>
    </row>
    <row r="5" spans="2:15" x14ac:dyDescent="0.25">
      <c r="B5" t="s">
        <v>127</v>
      </c>
      <c r="D5" s="232">
        <f>[1]Inputs!$H$13</f>
        <v>6.3420000000000004E-2</v>
      </c>
      <c r="E5" s="232">
        <f>[1]Inputs!$H$13</f>
        <v>6.3420000000000004E-2</v>
      </c>
      <c r="F5" s="232">
        <f>[1]Inputs!$H$13</f>
        <v>6.3420000000000004E-2</v>
      </c>
      <c r="G5" s="232">
        <f>[1]Inputs!$H$13</f>
        <v>6.3420000000000004E-2</v>
      </c>
      <c r="H5" s="232">
        <f>[1]Inputs!$H$13</f>
        <v>6.3420000000000004E-2</v>
      </c>
      <c r="K5" s="232">
        <f t="shared" si="1"/>
        <v>6.3420000000000004E-2</v>
      </c>
      <c r="L5" s="232">
        <f t="shared" si="0"/>
        <v>6.3420000000000004E-2</v>
      </c>
      <c r="M5" s="232">
        <f t="shared" si="0"/>
        <v>6.3420000000000004E-2</v>
      </c>
      <c r="N5" s="232">
        <f t="shared" si="0"/>
        <v>6.3420000000000004E-2</v>
      </c>
      <c r="O5" s="232">
        <f t="shared" si="0"/>
        <v>6.3420000000000004E-2</v>
      </c>
    </row>
    <row r="6" spans="2:15" s="233" customFormat="1" ht="15.75" x14ac:dyDescent="0.25">
      <c r="D6" s="294" t="s">
        <v>128</v>
      </c>
      <c r="E6" s="294"/>
      <c r="F6" s="294"/>
      <c r="G6" s="294"/>
      <c r="H6" s="294"/>
      <c r="J6" s="295" t="s">
        <v>143</v>
      </c>
      <c r="K6" s="295"/>
      <c r="L6" s="295"/>
      <c r="M6" s="295"/>
      <c r="N6" s="295"/>
      <c r="O6" s="295"/>
    </row>
    <row r="7" spans="2:15" x14ac:dyDescent="0.25">
      <c r="B7" s="234" t="s">
        <v>141</v>
      </c>
      <c r="C7" s="235"/>
      <c r="D7" s="235" t="s">
        <v>129</v>
      </c>
      <c r="E7" s="235" t="s">
        <v>130</v>
      </c>
      <c r="F7" s="235" t="s">
        <v>131</v>
      </c>
      <c r="G7" s="235" t="s">
        <v>132</v>
      </c>
      <c r="H7" s="235" t="s">
        <v>133</v>
      </c>
      <c r="J7" s="235"/>
      <c r="K7" s="235" t="s">
        <v>129</v>
      </c>
      <c r="L7" s="235" t="s">
        <v>130</v>
      </c>
      <c r="M7" s="235" t="s">
        <v>131</v>
      </c>
      <c r="N7" s="235" t="s">
        <v>132</v>
      </c>
      <c r="O7" s="235" t="s">
        <v>133</v>
      </c>
    </row>
    <row r="8" spans="2:15" x14ac:dyDescent="0.25">
      <c r="B8" s="236" t="s">
        <v>106</v>
      </c>
      <c r="C8" s="237"/>
      <c r="D8" s="238">
        <f>(D19*D$27)</f>
        <v>48539.0764329597</v>
      </c>
      <c r="E8" s="238">
        <f t="shared" ref="E8:H8" si="2">(E19*E$27)</f>
        <v>48539.0764329597</v>
      </c>
      <c r="F8" s="238">
        <f t="shared" si="2"/>
        <v>49073.006273722247</v>
      </c>
      <c r="G8" s="238">
        <f t="shared" si="2"/>
        <v>50208.163054845994</v>
      </c>
      <c r="H8" s="238">
        <f t="shared" si="2"/>
        <v>51903.82189677003</v>
      </c>
      <c r="J8" s="237"/>
      <c r="K8" s="238">
        <f>(K19*K$27)</f>
        <v>7997.3378793136089</v>
      </c>
      <c r="L8" s="238">
        <f t="shared" ref="L8:O8" si="3">(L19*L$27)</f>
        <v>7997.3378793136089</v>
      </c>
      <c r="M8" s="238">
        <f t="shared" si="3"/>
        <v>8085.3085959860573</v>
      </c>
      <c r="N8" s="238">
        <f t="shared" si="3"/>
        <v>8272.3379544284053</v>
      </c>
      <c r="O8" s="238">
        <f t="shared" si="3"/>
        <v>8551.7160902205396</v>
      </c>
    </row>
    <row r="9" spans="2:15" x14ac:dyDescent="0.25">
      <c r="B9" s="236" t="s">
        <v>107</v>
      </c>
      <c r="C9" s="237"/>
      <c r="D9" s="238">
        <f t="shared" ref="D9:H15" si="4">(D20*D$27)</f>
        <v>8879.5963297558428</v>
      </c>
      <c r="E9" s="238">
        <f t="shared" si="4"/>
        <v>8879.5963297558428</v>
      </c>
      <c r="F9" s="238">
        <f t="shared" si="4"/>
        <v>8879.5963297558428</v>
      </c>
      <c r="G9" s="238">
        <f t="shared" si="4"/>
        <v>8879.5963297558428</v>
      </c>
      <c r="H9" s="238">
        <f t="shared" si="4"/>
        <v>8879.5963297558428</v>
      </c>
      <c r="J9" s="237"/>
      <c r="K9" s="238">
        <f t="shared" ref="K9:O9" si="5">(K20*K$27)</f>
        <v>986.62181441731593</v>
      </c>
      <c r="L9" s="238">
        <f t="shared" si="5"/>
        <v>986.62181441731593</v>
      </c>
      <c r="M9" s="238">
        <f t="shared" si="5"/>
        <v>986.62181441731593</v>
      </c>
      <c r="N9" s="238">
        <f t="shared" si="5"/>
        <v>986.62181441731593</v>
      </c>
      <c r="O9" s="238">
        <f t="shared" si="5"/>
        <v>986.62181441731593</v>
      </c>
    </row>
    <row r="10" spans="2:15" x14ac:dyDescent="0.25">
      <c r="B10" s="236" t="s">
        <v>108</v>
      </c>
      <c r="C10" s="237"/>
      <c r="D10" s="238">
        <f t="shared" si="4"/>
        <v>0</v>
      </c>
      <c r="E10" s="238">
        <f t="shared" si="4"/>
        <v>0</v>
      </c>
      <c r="F10" s="238">
        <f t="shared" si="4"/>
        <v>0</v>
      </c>
      <c r="G10" s="238">
        <f t="shared" si="4"/>
        <v>0</v>
      </c>
      <c r="H10" s="238">
        <f t="shared" si="4"/>
        <v>0</v>
      </c>
      <c r="J10" s="237"/>
      <c r="K10" s="238">
        <f t="shared" ref="K10:O10" si="6">(K21*K$27)</f>
        <v>0</v>
      </c>
      <c r="L10" s="238">
        <f t="shared" si="6"/>
        <v>0</v>
      </c>
      <c r="M10" s="238">
        <f t="shared" si="6"/>
        <v>0</v>
      </c>
      <c r="N10" s="238">
        <f t="shared" si="6"/>
        <v>0</v>
      </c>
      <c r="O10" s="238">
        <f t="shared" si="6"/>
        <v>0</v>
      </c>
    </row>
    <row r="11" spans="2:15" x14ac:dyDescent="0.25">
      <c r="B11" s="239" t="s">
        <v>134</v>
      </c>
      <c r="C11" s="239"/>
      <c r="D11" s="240">
        <f t="shared" si="4"/>
        <v>57418.672762715549</v>
      </c>
      <c r="E11" s="240">
        <f t="shared" si="4"/>
        <v>57418.672762715549</v>
      </c>
      <c r="F11" s="240">
        <f t="shared" si="4"/>
        <v>57952.602603478095</v>
      </c>
      <c r="G11" s="240">
        <f t="shared" si="4"/>
        <v>59087.759384601835</v>
      </c>
      <c r="H11" s="240">
        <f t="shared" si="4"/>
        <v>60783.418226525879</v>
      </c>
      <c r="J11" s="239"/>
      <c r="K11" s="240">
        <f t="shared" ref="K11:O11" si="7">(K22*K$27)</f>
        <v>8983.9596937309252</v>
      </c>
      <c r="L11" s="240">
        <f t="shared" si="7"/>
        <v>8983.9596937309252</v>
      </c>
      <c r="M11" s="240">
        <f t="shared" si="7"/>
        <v>9071.9304104033727</v>
      </c>
      <c r="N11" s="240">
        <f t="shared" si="7"/>
        <v>9258.9597688457216</v>
      </c>
      <c r="O11" s="240">
        <f t="shared" si="7"/>
        <v>9538.3379046378559</v>
      </c>
    </row>
    <row r="12" spans="2:15" x14ac:dyDescent="0.25">
      <c r="B12" s="237" t="s">
        <v>112</v>
      </c>
      <c r="C12" s="237"/>
      <c r="D12" s="238">
        <f t="shared" si="4"/>
        <v>26752.887638121749</v>
      </c>
      <c r="E12" s="238">
        <f t="shared" si="4"/>
        <v>26752.887638121749</v>
      </c>
      <c r="F12" s="238">
        <f t="shared" si="4"/>
        <v>27001.659759615923</v>
      </c>
      <c r="G12" s="238">
        <f t="shared" si="4"/>
        <v>27530.559512185177</v>
      </c>
      <c r="H12" s="238">
        <f t="shared" si="4"/>
        <v>28320.612090691284</v>
      </c>
      <c r="J12" s="237"/>
      <c r="K12" s="238">
        <f t="shared" ref="K12:O12" si="8">(K23*K$27)</f>
        <v>4185.8658981032004</v>
      </c>
      <c r="L12" s="238">
        <f t="shared" si="8"/>
        <v>4185.8658981032004</v>
      </c>
      <c r="M12" s="238">
        <f t="shared" si="8"/>
        <v>4226.853796035095</v>
      </c>
      <c r="N12" s="238">
        <f t="shared" si="8"/>
        <v>4313.9957512682922</v>
      </c>
      <c r="O12" s="238">
        <f t="shared" si="8"/>
        <v>4444.1654594097909</v>
      </c>
    </row>
    <row r="13" spans="2:15" x14ac:dyDescent="0.25">
      <c r="B13" s="237" t="s">
        <v>113</v>
      </c>
      <c r="C13" s="237"/>
      <c r="D13" s="238">
        <f t="shared" si="4"/>
        <v>9208.6680784416058</v>
      </c>
      <c r="E13" s="238">
        <f t="shared" si="4"/>
        <v>9208.6680784416058</v>
      </c>
      <c r="F13" s="238">
        <f t="shared" si="4"/>
        <v>9294.2984569262535</v>
      </c>
      <c r="G13" s="238">
        <f t="shared" si="4"/>
        <v>9476.3521602147157</v>
      </c>
      <c r="H13" s="238">
        <f t="shared" si="4"/>
        <v>9748.2978304687404</v>
      </c>
      <c r="J13" s="237"/>
      <c r="K13" s="238">
        <f t="shared" ref="K13:O13" si="9">(K24*K$27)</f>
        <v>1440.8257604899984</v>
      </c>
      <c r="L13" s="238">
        <f t="shared" si="9"/>
        <v>1440.8257604899984</v>
      </c>
      <c r="M13" s="238">
        <f t="shared" si="9"/>
        <v>1454.9342915911429</v>
      </c>
      <c r="N13" s="238">
        <f t="shared" si="9"/>
        <v>1484.929608444545</v>
      </c>
      <c r="O13" s="238">
        <f t="shared" si="9"/>
        <v>1529.7355991980291</v>
      </c>
    </row>
    <row r="14" spans="2:15" x14ac:dyDescent="0.25">
      <c r="B14" s="237" t="s">
        <v>122</v>
      </c>
      <c r="C14" s="237"/>
      <c r="D14" s="238">
        <f t="shared" si="4"/>
        <v>5922.1740901558678</v>
      </c>
      <c r="E14" s="238">
        <f t="shared" si="4"/>
        <v>5922.1740901558678</v>
      </c>
      <c r="F14" s="238">
        <f t="shared" si="4"/>
        <v>5977.2437272056859</v>
      </c>
      <c r="G14" s="238">
        <f t="shared" si="4"/>
        <v>6094.3240384350502</v>
      </c>
      <c r="H14" s="238">
        <f t="shared" si="4"/>
        <v>6269.2146511262399</v>
      </c>
      <c r="J14" s="237"/>
      <c r="K14" s="238">
        <f t="shared" ref="K14:O14" si="10">(K25*K$27)</f>
        <v>926.60750876439602</v>
      </c>
      <c r="L14" s="238">
        <f t="shared" si="10"/>
        <v>926.60750876439602</v>
      </c>
      <c r="M14" s="238">
        <f t="shared" si="10"/>
        <v>935.68082714503805</v>
      </c>
      <c r="N14" s="238">
        <f t="shared" si="10"/>
        <v>954.97107485318395</v>
      </c>
      <c r="O14" s="238">
        <f t="shared" si="10"/>
        <v>983.786195049041</v>
      </c>
    </row>
    <row r="15" spans="2:15" s="242" customFormat="1" x14ac:dyDescent="0.25">
      <c r="B15" s="241" t="s">
        <v>135</v>
      </c>
      <c r="C15" s="237"/>
      <c r="D15" s="240">
        <f t="shared" si="4"/>
        <v>99302.402569434751</v>
      </c>
      <c r="E15" s="240">
        <f t="shared" si="4"/>
        <v>99302.402569434751</v>
      </c>
      <c r="F15" s="240">
        <f t="shared" si="4"/>
        <v>100225.80454722594</v>
      </c>
      <c r="G15" s="240">
        <f t="shared" si="4"/>
        <v>102188.99509543678</v>
      </c>
      <c r="H15" s="240">
        <f t="shared" si="4"/>
        <v>105121.54279881215</v>
      </c>
      <c r="J15" s="237"/>
      <c r="K15" s="240">
        <f t="shared" ref="K15:O15" si="11">(K26*K$27)</f>
        <v>15537.258861088521</v>
      </c>
      <c r="L15" s="240">
        <f t="shared" si="11"/>
        <v>15537.258861088521</v>
      </c>
      <c r="M15" s="240">
        <f t="shared" si="11"/>
        <v>15689.399325174651</v>
      </c>
      <c r="N15" s="240">
        <f t="shared" si="11"/>
        <v>16012.856203411742</v>
      </c>
      <c r="O15" s="240">
        <f t="shared" si="11"/>
        <v>16496.025158294717</v>
      </c>
    </row>
    <row r="16" spans="2:15" s="227" customFormat="1" x14ac:dyDescent="0.25">
      <c r="B16" s="243" t="s">
        <v>136</v>
      </c>
      <c r="C16" s="239"/>
      <c r="D16" s="240">
        <f>D28-D15</f>
        <v>0</v>
      </c>
      <c r="E16" s="240">
        <f t="shared" ref="E16:H16" si="12">E28-E15</f>
        <v>0</v>
      </c>
      <c r="F16" s="240">
        <f t="shared" si="12"/>
        <v>0</v>
      </c>
      <c r="G16" s="240">
        <f t="shared" si="12"/>
        <v>0</v>
      </c>
      <c r="H16" s="240">
        <f t="shared" si="12"/>
        <v>0</v>
      </c>
      <c r="J16" s="239"/>
      <c r="K16" s="240">
        <f>K28-K15</f>
        <v>0</v>
      </c>
      <c r="L16" s="240">
        <f t="shared" ref="L16" si="13">L28-L15</f>
        <v>0</v>
      </c>
      <c r="M16" s="240">
        <f t="shared" ref="M16" si="14">M28-M15</f>
        <v>0</v>
      </c>
      <c r="N16" s="240">
        <f t="shared" ref="N16" si="15">N28-N15</f>
        <v>0</v>
      </c>
      <c r="O16" s="240">
        <f t="shared" ref="O16" si="16">O28-O15</f>
        <v>0</v>
      </c>
    </row>
    <row r="17" spans="2:15" s="227" customFormat="1" x14ac:dyDescent="0.25">
      <c r="C17" s="244"/>
    </row>
    <row r="18" spans="2:15" x14ac:dyDescent="0.25">
      <c r="B18" s="245" t="s">
        <v>142</v>
      </c>
      <c r="C18" s="228"/>
      <c r="D18" s="296" t="s">
        <v>137</v>
      </c>
      <c r="E18" s="297"/>
      <c r="F18" s="297"/>
      <c r="G18" s="297"/>
      <c r="H18" s="297"/>
      <c r="J18" s="228"/>
      <c r="K18" s="296" t="s">
        <v>137</v>
      </c>
      <c r="L18" s="297"/>
      <c r="M18" s="297"/>
      <c r="N18" s="297"/>
      <c r="O18" s="297"/>
    </row>
    <row r="19" spans="2:15" x14ac:dyDescent="0.25">
      <c r="B19" s="246" t="s">
        <v>106</v>
      </c>
      <c r="C19" s="247">
        <f>'Proposed price'!H20</f>
        <v>1078.64614295466</v>
      </c>
      <c r="D19" s="248">
        <f>C19*D$1</f>
        <v>1078.64614295466</v>
      </c>
      <c r="E19" s="248">
        <f>D19*E1</f>
        <v>1078.64614295466</v>
      </c>
      <c r="F19" s="248">
        <f>E19*F1</f>
        <v>1090.5112505271611</v>
      </c>
      <c r="G19" s="248">
        <f>F19*G1</f>
        <v>1115.7369567743553</v>
      </c>
      <c r="H19" s="248">
        <f>G19*H1</f>
        <v>1153.4182643726674</v>
      </c>
      <c r="J19" s="247">
        <f>'Proposed price'!H40</f>
        <v>1599.4675758627218</v>
      </c>
      <c r="K19" s="248">
        <f>J19*K$1</f>
        <v>1599.4675758627218</v>
      </c>
      <c r="L19" s="248">
        <f>K19*L1</f>
        <v>1599.4675758627218</v>
      </c>
      <c r="M19" s="248">
        <f>L19*M1</f>
        <v>1617.0617191972115</v>
      </c>
      <c r="N19" s="248">
        <f>M19*N1</f>
        <v>1654.4675908856811</v>
      </c>
      <c r="O19" s="248">
        <f>N19*O1</f>
        <v>1710.343218044108</v>
      </c>
    </row>
    <row r="20" spans="2:15" x14ac:dyDescent="0.25">
      <c r="B20" s="246" t="s">
        <v>107</v>
      </c>
      <c r="C20" s="247">
        <f>'Proposed price'!I20</f>
        <v>197.32436288346318</v>
      </c>
      <c r="D20" s="248">
        <f>C20</f>
        <v>197.32436288346318</v>
      </c>
      <c r="E20" s="248">
        <f t="shared" ref="E20:H21" si="17">D20</f>
        <v>197.32436288346318</v>
      </c>
      <c r="F20" s="248">
        <f t="shared" si="17"/>
        <v>197.32436288346318</v>
      </c>
      <c r="G20" s="248">
        <f t="shared" si="17"/>
        <v>197.32436288346318</v>
      </c>
      <c r="H20" s="248">
        <f t="shared" si="17"/>
        <v>197.32436288346318</v>
      </c>
      <c r="J20" s="247">
        <f>'Proposed price'!I40</f>
        <v>197.32436288346318</v>
      </c>
      <c r="K20" s="248">
        <f>J20</f>
        <v>197.32436288346318</v>
      </c>
      <c r="L20" s="248">
        <f t="shared" ref="L20:O21" si="18">K20</f>
        <v>197.32436288346318</v>
      </c>
      <c r="M20" s="248">
        <f t="shared" si="18"/>
        <v>197.32436288346318</v>
      </c>
      <c r="N20" s="248">
        <f t="shared" si="18"/>
        <v>197.32436288346318</v>
      </c>
      <c r="O20" s="248">
        <f t="shared" si="18"/>
        <v>197.32436288346318</v>
      </c>
    </row>
    <row r="21" spans="2:15" x14ac:dyDescent="0.25">
      <c r="B21" s="246" t="s">
        <v>108</v>
      </c>
      <c r="C21" s="247">
        <f>'Proposed price'!J20</f>
        <v>0</v>
      </c>
      <c r="D21" s="248">
        <f>C21</f>
        <v>0</v>
      </c>
      <c r="E21" s="248">
        <f t="shared" si="17"/>
        <v>0</v>
      </c>
      <c r="F21" s="248">
        <f t="shared" si="17"/>
        <v>0</v>
      </c>
      <c r="G21" s="248">
        <f t="shared" si="17"/>
        <v>0</v>
      </c>
      <c r="H21" s="248">
        <f t="shared" si="17"/>
        <v>0</v>
      </c>
      <c r="J21" s="247">
        <f>'Proposed price'!J40</f>
        <v>0</v>
      </c>
      <c r="K21" s="248">
        <f>J21</f>
        <v>0</v>
      </c>
      <c r="L21" s="248">
        <f t="shared" si="18"/>
        <v>0</v>
      </c>
      <c r="M21" s="248">
        <f t="shared" si="18"/>
        <v>0</v>
      </c>
      <c r="N21" s="248">
        <f t="shared" si="18"/>
        <v>0</v>
      </c>
      <c r="O21" s="248">
        <f t="shared" si="18"/>
        <v>0</v>
      </c>
    </row>
    <row r="22" spans="2:15" s="227" customFormat="1" x14ac:dyDescent="0.25">
      <c r="B22" s="249" t="s">
        <v>134</v>
      </c>
      <c r="C22" s="258">
        <f>'Proposed price'!M20</f>
        <v>1275.9705058381232</v>
      </c>
      <c r="D22" s="239">
        <f>SUM(D19:D21)</f>
        <v>1275.9705058381232</v>
      </c>
      <c r="E22" s="239">
        <f t="shared" ref="E22:H22" si="19">SUM(E19:E21)</f>
        <v>1275.9705058381232</v>
      </c>
      <c r="F22" s="239">
        <f t="shared" si="19"/>
        <v>1287.8356134106243</v>
      </c>
      <c r="G22" s="239">
        <f t="shared" si="19"/>
        <v>1313.0613196578186</v>
      </c>
      <c r="H22" s="239">
        <f t="shared" si="19"/>
        <v>1350.7426272561306</v>
      </c>
      <c r="J22" s="258">
        <f>'Proposed price'!M40</f>
        <v>1796.791938746185</v>
      </c>
      <c r="K22" s="239">
        <f>SUM(K19:K21)</f>
        <v>1796.791938746185</v>
      </c>
      <c r="L22" s="239">
        <f t="shared" ref="L22:O22" si="20">SUM(L19:L21)</f>
        <v>1796.791938746185</v>
      </c>
      <c r="M22" s="239">
        <f t="shared" si="20"/>
        <v>1814.3860820806747</v>
      </c>
      <c r="N22" s="239">
        <f t="shared" si="20"/>
        <v>1851.7919537691444</v>
      </c>
      <c r="O22" s="239">
        <f t="shared" si="20"/>
        <v>1907.6675809275712</v>
      </c>
    </row>
    <row r="23" spans="2:15" x14ac:dyDescent="0.25">
      <c r="B23" s="246" t="s">
        <v>112</v>
      </c>
      <c r="C23" s="247">
        <f>'Proposed price'!N20</f>
        <v>594.50861418048328</v>
      </c>
      <c r="D23" s="248">
        <f>D22*D$3</f>
        <v>594.50861418048328</v>
      </c>
      <c r="E23" s="248">
        <f t="shared" ref="E23:H23" si="21">E22*E$3</f>
        <v>594.50861418048328</v>
      </c>
      <c r="F23" s="248">
        <f t="shared" si="21"/>
        <v>600.03688354702047</v>
      </c>
      <c r="G23" s="248">
        <f t="shared" si="21"/>
        <v>611.79021138189285</v>
      </c>
      <c r="H23" s="248">
        <f t="shared" si="21"/>
        <v>629.34693534869518</v>
      </c>
      <c r="J23" s="247">
        <f>'Proposed price'!N40</f>
        <v>837.1731796206401</v>
      </c>
      <c r="K23" s="248">
        <f>K22*K$3</f>
        <v>837.1731796206401</v>
      </c>
      <c r="L23" s="248">
        <f t="shared" ref="L23:O23" si="22">L22*L$3</f>
        <v>837.1731796206401</v>
      </c>
      <c r="M23" s="248">
        <f t="shared" si="22"/>
        <v>845.37075920701909</v>
      </c>
      <c r="N23" s="248">
        <f t="shared" si="22"/>
        <v>862.79915025365847</v>
      </c>
      <c r="O23" s="248">
        <f t="shared" si="22"/>
        <v>888.83309188195813</v>
      </c>
    </row>
    <row r="24" spans="2:15" x14ac:dyDescent="0.25">
      <c r="B24" s="246" t="s">
        <v>113</v>
      </c>
      <c r="C24" s="247">
        <f>'Proposed price'!O20</f>
        <v>204.63706840981345</v>
      </c>
      <c r="D24" s="248">
        <f>D22*D$4</f>
        <v>204.63706840981345</v>
      </c>
      <c r="E24" s="248">
        <f t="shared" ref="E24:H24" si="23">E22*E$4</f>
        <v>204.63706840981345</v>
      </c>
      <c r="F24" s="248">
        <f t="shared" si="23"/>
        <v>206.53996570947231</v>
      </c>
      <c r="G24" s="248">
        <f t="shared" si="23"/>
        <v>210.585603560327</v>
      </c>
      <c r="H24" s="248">
        <f t="shared" si="23"/>
        <v>216.6288406770831</v>
      </c>
      <c r="J24" s="247">
        <f>'Proposed price'!O40</f>
        <v>288.16515209799968</v>
      </c>
      <c r="K24" s="248">
        <f>K22*K$4</f>
        <v>288.16515209799968</v>
      </c>
      <c r="L24" s="248">
        <f t="shared" ref="L24:O24" si="24">L22*L$4</f>
        <v>288.16515209799968</v>
      </c>
      <c r="M24" s="248">
        <f t="shared" si="24"/>
        <v>290.9868583182286</v>
      </c>
      <c r="N24" s="248">
        <f t="shared" si="24"/>
        <v>296.985921688909</v>
      </c>
      <c r="O24" s="248">
        <f t="shared" si="24"/>
        <v>305.94711983960582</v>
      </c>
    </row>
    <row r="25" spans="2:15" x14ac:dyDescent="0.25">
      <c r="B25" s="246" t="s">
        <v>114</v>
      </c>
      <c r="C25" s="247">
        <f>'Proposed price'!P20</f>
        <v>131.60386867013042</v>
      </c>
      <c r="D25" s="248">
        <f>SUM(D22:D24)*D$5</f>
        <v>131.6038686701304</v>
      </c>
      <c r="E25" s="248">
        <f t="shared" ref="E25:H25" si="25">SUM(E22:E24)*E$5</f>
        <v>131.6038686701304</v>
      </c>
      <c r="F25" s="248">
        <f t="shared" si="25"/>
        <v>132.82763838234857</v>
      </c>
      <c r="G25" s="248">
        <f t="shared" si="25"/>
        <v>135.42942307633444</v>
      </c>
      <c r="H25" s="248">
        <f t="shared" si="25"/>
        <v>139.31588113613867</v>
      </c>
      <c r="J25" s="247">
        <f>'Proposed price'!P40</f>
        <v>185.32150175287921</v>
      </c>
      <c r="K25" s="248">
        <f>SUM(K22:K24)*K$5</f>
        <v>185.32150175287921</v>
      </c>
      <c r="L25" s="248">
        <f t="shared" ref="L25:O25" si="26">SUM(L22:L24)*L$5</f>
        <v>185.32150175287921</v>
      </c>
      <c r="M25" s="248">
        <f t="shared" si="26"/>
        <v>187.1361654290076</v>
      </c>
      <c r="N25" s="248">
        <f t="shared" si="26"/>
        <v>190.99421497063679</v>
      </c>
      <c r="O25" s="248">
        <f t="shared" si="26"/>
        <v>196.75723900980819</v>
      </c>
    </row>
    <row r="26" spans="2:15" s="227" customFormat="1" x14ac:dyDescent="0.25">
      <c r="B26" s="250" t="s">
        <v>138</v>
      </c>
      <c r="C26" s="251">
        <f>'Proposed price'!Q20</f>
        <v>2206.7200570985506</v>
      </c>
      <c r="D26" s="252">
        <f>SUM(D22:D25)</f>
        <v>2206.7200570985501</v>
      </c>
      <c r="E26" s="252">
        <f t="shared" ref="E26:H26" si="27">SUM(E22:E25)</f>
        <v>2206.7200570985501</v>
      </c>
      <c r="F26" s="252">
        <f t="shared" si="27"/>
        <v>2227.2401010494655</v>
      </c>
      <c r="G26" s="252">
        <f t="shared" si="27"/>
        <v>2270.8665576763728</v>
      </c>
      <c r="H26" s="252">
        <f t="shared" si="27"/>
        <v>2336.0342844180477</v>
      </c>
      <c r="J26" s="251">
        <f>'Proposed price'!Q40</f>
        <v>3107.4517722177047</v>
      </c>
      <c r="K26" s="252">
        <f>SUM(K22:K25)</f>
        <v>3107.4517722177043</v>
      </c>
      <c r="L26" s="252">
        <f t="shared" ref="L26:O26" si="28">SUM(L22:L25)</f>
        <v>3107.4517722177043</v>
      </c>
      <c r="M26" s="252">
        <f t="shared" si="28"/>
        <v>3137.8798650349299</v>
      </c>
      <c r="N26" s="252">
        <f t="shared" si="28"/>
        <v>3202.5712406823486</v>
      </c>
      <c r="O26" s="252">
        <f t="shared" si="28"/>
        <v>3299.2050316589434</v>
      </c>
    </row>
    <row r="27" spans="2:15" x14ac:dyDescent="0.25">
      <c r="B27" s="253" t="s">
        <v>139</v>
      </c>
      <c r="C27" s="248"/>
      <c r="D27" s="254">
        <f>'Forecast Revenue - Costs'!D12</f>
        <v>45</v>
      </c>
      <c r="E27" s="254">
        <f>'Forecast Revenue - Costs'!E12</f>
        <v>45</v>
      </c>
      <c r="F27" s="254">
        <f>'Forecast Revenue - Costs'!F12</f>
        <v>45</v>
      </c>
      <c r="G27" s="254">
        <f>'Forecast Revenue - Costs'!G12</f>
        <v>45</v>
      </c>
      <c r="H27" s="254">
        <f>'Forecast Revenue - Costs'!H12</f>
        <v>45</v>
      </c>
      <c r="J27" s="248"/>
      <c r="K27" s="254">
        <f>'Forecast Revenue - Costs'!D13</f>
        <v>5</v>
      </c>
      <c r="L27" s="254">
        <f>'Forecast Revenue - Costs'!E13</f>
        <v>5</v>
      </c>
      <c r="M27" s="254">
        <f>'Forecast Revenue - Costs'!F13</f>
        <v>5</v>
      </c>
      <c r="N27" s="254">
        <f>'Forecast Revenue - Costs'!G13</f>
        <v>5</v>
      </c>
      <c r="O27" s="254">
        <f>'Forecast Revenue - Costs'!H13</f>
        <v>5</v>
      </c>
    </row>
    <row r="28" spans="2:15" s="227" customFormat="1" x14ac:dyDescent="0.25">
      <c r="B28" s="241" t="s">
        <v>140</v>
      </c>
      <c r="C28" s="239"/>
      <c r="D28" s="240">
        <f>D26*D27</f>
        <v>99302.402569434751</v>
      </c>
      <c r="E28" s="240">
        <f t="shared" ref="E28:H28" si="29">E26*E27</f>
        <v>99302.402569434751</v>
      </c>
      <c r="F28" s="240">
        <f t="shared" si="29"/>
        <v>100225.80454722594</v>
      </c>
      <c r="G28" s="240">
        <f t="shared" si="29"/>
        <v>102188.99509543678</v>
      </c>
      <c r="H28" s="240">
        <f t="shared" si="29"/>
        <v>105121.54279881215</v>
      </c>
      <c r="J28" s="239"/>
      <c r="K28" s="240">
        <f>K27*K26</f>
        <v>15537.258861088521</v>
      </c>
      <c r="L28" s="240">
        <f t="shared" ref="L28:O28" si="30">L27*L26</f>
        <v>15537.258861088521</v>
      </c>
      <c r="M28" s="240">
        <f t="shared" si="30"/>
        <v>15689.399325174651</v>
      </c>
      <c r="N28" s="240">
        <f t="shared" si="30"/>
        <v>16012.856203411742</v>
      </c>
      <c r="O28" s="240">
        <f t="shared" si="30"/>
        <v>16496.025158294717</v>
      </c>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6"/>
  <sheetViews>
    <sheetView showGridLines="0" workbookViewId="0">
      <selection activeCell="N17" sqref="N17"/>
    </sheetView>
  </sheetViews>
  <sheetFormatPr defaultRowHeight="15" x14ac:dyDescent="0.25"/>
  <cols>
    <col min="1" max="1" width="3.28515625" customWidth="1"/>
    <col min="2" max="2" width="61" customWidth="1"/>
    <col min="3" max="3" width="62" customWidth="1"/>
    <col min="4" max="4" width="11.85546875" customWidth="1"/>
    <col min="5" max="8" width="11.28515625" customWidth="1"/>
    <col min="9" max="9" width="12.7109375" customWidth="1"/>
  </cols>
  <sheetData>
    <row r="2" spans="2:9" x14ac:dyDescent="0.25">
      <c r="B2" s="27" t="s">
        <v>50</v>
      </c>
      <c r="C2" s="28"/>
      <c r="D2" s="28"/>
      <c r="E2" s="28"/>
      <c r="F2" s="28"/>
      <c r="G2" s="28"/>
      <c r="H2" s="28"/>
      <c r="I2" s="28"/>
    </row>
    <row r="3" spans="2:9" x14ac:dyDescent="0.25">
      <c r="B3" s="1"/>
      <c r="C3" s="1"/>
      <c r="D3" s="1"/>
      <c r="E3" s="1"/>
      <c r="F3" s="1"/>
      <c r="G3" s="1"/>
      <c r="H3" s="1"/>
      <c r="I3" s="1"/>
    </row>
    <row r="4" spans="2:9" x14ac:dyDescent="0.25">
      <c r="B4" s="3" t="s">
        <v>89</v>
      </c>
      <c r="C4" s="3" t="s">
        <v>3</v>
      </c>
      <c r="D4" s="43" t="s">
        <v>60</v>
      </c>
      <c r="E4" s="43" t="s">
        <v>61</v>
      </c>
      <c r="F4" s="43" t="s">
        <v>62</v>
      </c>
      <c r="G4" s="43" t="s">
        <v>91</v>
      </c>
      <c r="H4" s="43" t="s">
        <v>63</v>
      </c>
      <c r="I4" s="4" t="s">
        <v>1</v>
      </c>
    </row>
    <row r="5" spans="2:9" x14ac:dyDescent="0.25">
      <c r="B5" s="51" t="s">
        <v>98</v>
      </c>
      <c r="C5" s="5" t="s">
        <v>144</v>
      </c>
      <c r="D5" s="30">
        <f>'Forecasts by year'!D28</f>
        <v>99302.402569434751</v>
      </c>
      <c r="E5" s="30">
        <f>'Forecasts by year'!E28</f>
        <v>99302.402569434751</v>
      </c>
      <c r="F5" s="30">
        <f>'Forecasts by year'!F28</f>
        <v>100225.80454722594</v>
      </c>
      <c r="G5" s="30">
        <f>'Forecasts by year'!G28</f>
        <v>102188.99509543678</v>
      </c>
      <c r="H5" s="30">
        <f>'Forecasts by year'!H28</f>
        <v>105121.54279881215</v>
      </c>
      <c r="I5" s="219">
        <f>SUM(D5:H5)</f>
        <v>506141.14758034435</v>
      </c>
    </row>
    <row r="6" spans="2:9" x14ac:dyDescent="0.25">
      <c r="B6" s="7"/>
      <c r="C6" s="5" t="s">
        <v>145</v>
      </c>
      <c r="D6" s="6">
        <f>'Forecasts by year'!K28</f>
        <v>15537.258861088521</v>
      </c>
      <c r="E6" s="6">
        <f>'Forecasts by year'!L28</f>
        <v>15537.258861088521</v>
      </c>
      <c r="F6" s="6">
        <f>'Forecasts by year'!M28</f>
        <v>15689.399325174651</v>
      </c>
      <c r="G6" s="6">
        <f>'Forecasts by year'!N28</f>
        <v>16012.856203411742</v>
      </c>
      <c r="H6" s="6">
        <f>'Forecasts by year'!O28</f>
        <v>16496.025158294717</v>
      </c>
      <c r="I6" s="219">
        <f>SUM(D6:H6)</f>
        <v>79272.798409058159</v>
      </c>
    </row>
    <row r="7" spans="2:9" x14ac:dyDescent="0.25">
      <c r="B7" s="8" t="s">
        <v>1</v>
      </c>
      <c r="C7" s="9"/>
      <c r="D7" s="10">
        <f t="shared" ref="D7:I7" si="0">SUM(D5:D6)</f>
        <v>114839.66143052327</v>
      </c>
      <c r="E7" s="10">
        <f t="shared" si="0"/>
        <v>114839.66143052327</v>
      </c>
      <c r="F7" s="10">
        <f t="shared" si="0"/>
        <v>115915.2038724006</v>
      </c>
      <c r="G7" s="10">
        <f t="shared" si="0"/>
        <v>118201.85129884852</v>
      </c>
      <c r="H7" s="10">
        <f t="shared" si="0"/>
        <v>121617.56795710686</v>
      </c>
      <c r="I7" s="10">
        <f t="shared" si="0"/>
        <v>585413.94598940248</v>
      </c>
    </row>
    <row r="8" spans="2:9" x14ac:dyDescent="0.25">
      <c r="B8" s="1"/>
      <c r="C8" s="1"/>
      <c r="D8" s="1"/>
      <c r="E8" s="1"/>
      <c r="F8" s="1"/>
      <c r="G8" s="1"/>
      <c r="H8" s="1"/>
      <c r="I8" s="1"/>
    </row>
    <row r="9" spans="2:9" x14ac:dyDescent="0.25">
      <c r="B9" s="27" t="s">
        <v>27</v>
      </c>
      <c r="C9" s="28"/>
      <c r="D9" s="28"/>
      <c r="E9" s="28"/>
      <c r="F9" s="28"/>
      <c r="G9" s="28"/>
      <c r="H9" s="28"/>
      <c r="I9" s="28"/>
    </row>
    <row r="10" spans="2:9" x14ac:dyDescent="0.25">
      <c r="B10" s="1"/>
      <c r="C10" s="1"/>
      <c r="D10" s="1"/>
      <c r="E10" s="1"/>
      <c r="F10" s="1"/>
      <c r="G10" s="1"/>
      <c r="H10" s="1"/>
      <c r="I10" s="1"/>
    </row>
    <row r="11" spans="2:9" x14ac:dyDescent="0.25">
      <c r="B11" s="3" t="s">
        <v>89</v>
      </c>
      <c r="C11" s="3" t="s">
        <v>3</v>
      </c>
      <c r="D11" s="43" t="s">
        <v>60</v>
      </c>
      <c r="E11" s="43" t="s">
        <v>61</v>
      </c>
      <c r="F11" s="43" t="s">
        <v>62</v>
      </c>
      <c r="G11" s="43" t="s">
        <v>91</v>
      </c>
      <c r="H11" s="43" t="s">
        <v>63</v>
      </c>
      <c r="I11" s="4" t="s">
        <v>1</v>
      </c>
    </row>
    <row r="12" spans="2:9" x14ac:dyDescent="0.25">
      <c r="B12" s="51" t="s">
        <v>98</v>
      </c>
      <c r="C12" s="5" t="s">
        <v>144</v>
      </c>
      <c r="D12" s="45">
        <v>45</v>
      </c>
      <c r="E12" s="45">
        <v>45</v>
      </c>
      <c r="F12" s="45">
        <v>45</v>
      </c>
      <c r="G12" s="45">
        <v>45</v>
      </c>
      <c r="H12" s="45">
        <v>45</v>
      </c>
      <c r="I12" s="222">
        <f>SUM(D12:H12)</f>
        <v>225</v>
      </c>
    </row>
    <row r="13" spans="2:9" x14ac:dyDescent="0.25">
      <c r="B13" s="11"/>
      <c r="C13" s="5" t="s">
        <v>145</v>
      </c>
      <c r="D13" s="12">
        <v>5</v>
      </c>
      <c r="E13" s="12">
        <v>5</v>
      </c>
      <c r="F13" s="12">
        <v>5</v>
      </c>
      <c r="G13" s="12">
        <v>5</v>
      </c>
      <c r="H13" s="12">
        <v>5</v>
      </c>
      <c r="I13" s="221">
        <f>SUM(D13:H13)</f>
        <v>25</v>
      </c>
    </row>
    <row r="14" spans="2:9" x14ac:dyDescent="0.25">
      <c r="B14" s="8" t="s">
        <v>17</v>
      </c>
      <c r="C14" s="9"/>
      <c r="D14" s="14">
        <f t="shared" ref="D14:I14" si="1">SUM(D12:D13)</f>
        <v>50</v>
      </c>
      <c r="E14" s="14">
        <f t="shared" si="1"/>
        <v>50</v>
      </c>
      <c r="F14" s="14">
        <f t="shared" si="1"/>
        <v>50</v>
      </c>
      <c r="G14" s="14">
        <f t="shared" si="1"/>
        <v>50</v>
      </c>
      <c r="H14" s="14">
        <f t="shared" si="1"/>
        <v>50</v>
      </c>
      <c r="I14" s="14">
        <f t="shared" si="1"/>
        <v>250</v>
      </c>
    </row>
    <row r="15" spans="2:9" x14ac:dyDescent="0.25">
      <c r="B15" s="1"/>
      <c r="C15" s="1"/>
      <c r="D15" s="15"/>
      <c r="E15" s="15"/>
      <c r="F15" s="15"/>
      <c r="G15" s="15"/>
      <c r="H15" s="15"/>
      <c r="I15" s="15"/>
    </row>
    <row r="16" spans="2:9" x14ac:dyDescent="0.25">
      <c r="B16" s="16" t="s">
        <v>6</v>
      </c>
      <c r="C16" s="1"/>
      <c r="D16" s="15"/>
      <c r="E16" s="15"/>
      <c r="F16" s="15"/>
      <c r="G16" s="15"/>
      <c r="H16" s="15"/>
      <c r="I16" s="15"/>
    </row>
    <row r="17" spans="2:9" x14ac:dyDescent="0.25">
      <c r="B17" s="298" t="s">
        <v>93</v>
      </c>
      <c r="C17" s="299"/>
      <c r="D17" s="299"/>
      <c r="E17" s="299"/>
      <c r="F17" s="299"/>
      <c r="G17" s="299"/>
      <c r="H17" s="299"/>
      <c r="I17" s="299"/>
    </row>
    <row r="18" spans="2:9" x14ac:dyDescent="0.25">
      <c r="B18" s="300"/>
      <c r="C18" s="300"/>
      <c r="D18" s="300"/>
      <c r="E18" s="300"/>
      <c r="F18" s="300"/>
      <c r="G18" s="300"/>
      <c r="H18" s="300"/>
      <c r="I18" s="300"/>
    </row>
    <row r="19" spans="2:9" x14ac:dyDescent="0.25">
      <c r="B19" s="1"/>
      <c r="C19" s="1"/>
      <c r="D19" s="15"/>
      <c r="E19" s="15"/>
      <c r="F19" s="15"/>
      <c r="G19" s="15"/>
      <c r="H19" s="15"/>
      <c r="I19" s="15"/>
    </row>
    <row r="20" spans="2:9" x14ac:dyDescent="0.25">
      <c r="B20" s="27" t="s">
        <v>28</v>
      </c>
      <c r="C20" s="28"/>
      <c r="D20" s="28"/>
      <c r="E20" s="28"/>
      <c r="F20" s="28"/>
      <c r="G20" s="28"/>
      <c r="H20" s="28"/>
      <c r="I20" s="28"/>
    </row>
    <row r="21" spans="2:9" x14ac:dyDescent="0.25">
      <c r="B21" s="1"/>
      <c r="C21" s="1"/>
      <c r="D21" s="1"/>
      <c r="E21" s="1"/>
      <c r="F21" s="1"/>
      <c r="G21" s="1"/>
      <c r="H21" s="1"/>
      <c r="I21" s="1"/>
    </row>
    <row r="22" spans="2:9" x14ac:dyDescent="0.25">
      <c r="B22" s="17" t="s">
        <v>26</v>
      </c>
      <c r="C22" s="18"/>
      <c r="D22" s="18"/>
      <c r="E22" s="18"/>
      <c r="F22" s="18"/>
      <c r="G22" s="18"/>
      <c r="H22" s="18"/>
      <c r="I22" s="18"/>
    </row>
    <row r="23" spans="2:9" x14ac:dyDescent="0.25">
      <c r="B23" s="301" t="s">
        <v>149</v>
      </c>
      <c r="C23" s="292"/>
      <c r="D23" s="292"/>
      <c r="E23" s="292"/>
      <c r="F23" s="292"/>
      <c r="G23" s="292"/>
      <c r="H23" s="292"/>
      <c r="I23" s="292"/>
    </row>
    <row r="24" spans="2:9" x14ac:dyDescent="0.25">
      <c r="B24" s="293"/>
      <c r="C24" s="293"/>
      <c r="D24" s="293"/>
      <c r="E24" s="293"/>
      <c r="F24" s="293"/>
      <c r="G24" s="293"/>
      <c r="H24" s="293"/>
      <c r="I24" s="293"/>
    </row>
    <row r="25" spans="2:9" x14ac:dyDescent="0.25">
      <c r="B25" s="19"/>
      <c r="C25" s="20"/>
      <c r="D25" s="20"/>
      <c r="E25" s="20"/>
      <c r="F25" s="20"/>
      <c r="G25" s="20"/>
      <c r="H25" s="20"/>
      <c r="I25" s="20"/>
    </row>
    <row r="26" spans="2:9" x14ac:dyDescent="0.25">
      <c r="B26" s="1"/>
      <c r="C26" s="1"/>
      <c r="D26" s="1"/>
      <c r="E26" s="1"/>
      <c r="F26" s="1"/>
      <c r="G26" s="1"/>
      <c r="H26" s="1"/>
      <c r="I26" s="1"/>
    </row>
    <row r="27" spans="2:9" x14ac:dyDescent="0.25">
      <c r="B27" s="32" t="s">
        <v>49</v>
      </c>
      <c r="C27" s="33"/>
      <c r="D27" s="302" t="s">
        <v>118</v>
      </c>
      <c r="E27" s="302"/>
      <c r="F27" s="302"/>
      <c r="G27" s="302"/>
      <c r="H27" s="302"/>
      <c r="I27" s="33"/>
    </row>
    <row r="28" spans="2:9" ht="15.75" customHeight="1" x14ac:dyDescent="0.25">
      <c r="B28" s="2" t="s">
        <v>20</v>
      </c>
      <c r="C28" s="21" t="s">
        <v>3</v>
      </c>
      <c r="D28" s="43" t="s">
        <v>60</v>
      </c>
      <c r="E28" s="43" t="s">
        <v>61</v>
      </c>
      <c r="F28" s="43" t="s">
        <v>62</v>
      </c>
      <c r="G28" s="43" t="s">
        <v>91</v>
      </c>
      <c r="H28" s="223" t="s">
        <v>63</v>
      </c>
      <c r="I28" s="22" t="s">
        <v>1</v>
      </c>
    </row>
    <row r="29" spans="2:9" s="227" customFormat="1" x14ac:dyDescent="0.25">
      <c r="B29" s="224" t="s">
        <v>119</v>
      </c>
      <c r="C29" s="225"/>
      <c r="D29" s="44">
        <f>'Forecasts by year'!D8+'Forecasts by year'!K8</f>
        <v>56536.414312273308</v>
      </c>
      <c r="E29" s="44">
        <f>'Forecasts by year'!E8+'Forecasts by year'!L8</f>
        <v>56536.414312273308</v>
      </c>
      <c r="F29" s="44">
        <f>'Forecasts by year'!F8+'Forecasts by year'!M8</f>
        <v>57158.314869708302</v>
      </c>
      <c r="G29" s="44">
        <f>'Forecasts by year'!G8+'Forecasts by year'!N8</f>
        <v>58480.501009274398</v>
      </c>
      <c r="H29" s="44">
        <f>'Forecasts by year'!H8+'Forecasts by year'!O8</f>
        <v>60455.537986990574</v>
      </c>
      <c r="I29" s="226">
        <f t="shared" ref="I29:I31" si="2">SUM(D29:H29)</f>
        <v>289167.18249051989</v>
      </c>
    </row>
    <row r="30" spans="2:9" s="227" customFormat="1" x14ac:dyDescent="0.25">
      <c r="B30" s="224" t="s">
        <v>120</v>
      </c>
      <c r="C30" s="228"/>
      <c r="D30" s="44">
        <f>'Forecasts by year'!D9+'Forecasts by year'!K9</f>
        <v>9866.2181441731591</v>
      </c>
      <c r="E30" s="44">
        <f>'Forecasts by year'!E9+'Forecasts by year'!L9</f>
        <v>9866.2181441731591</v>
      </c>
      <c r="F30" s="44">
        <f>'Forecasts by year'!F9+'Forecasts by year'!M9</f>
        <v>9866.2181441731591</v>
      </c>
      <c r="G30" s="44">
        <f>'Forecasts by year'!G9+'Forecasts by year'!N9</f>
        <v>9866.2181441731591</v>
      </c>
      <c r="H30" s="44">
        <f>'Forecasts by year'!H9+'Forecasts by year'!O9</f>
        <v>9866.2181441731591</v>
      </c>
      <c r="I30" s="226">
        <f t="shared" si="2"/>
        <v>49331.090720865795</v>
      </c>
    </row>
    <row r="31" spans="2:9" s="227" customFormat="1" x14ac:dyDescent="0.25">
      <c r="B31" s="224" t="s">
        <v>108</v>
      </c>
      <c r="C31" s="228"/>
      <c r="D31" s="44">
        <f>'Forecasts by year'!D10+'Forecasts by year'!K10</f>
        <v>0</v>
      </c>
      <c r="E31" s="44">
        <f>'Forecasts by year'!E10+'Forecasts by year'!L10</f>
        <v>0</v>
      </c>
      <c r="F31" s="44">
        <f>'Forecasts by year'!F10+'Forecasts by year'!M10</f>
        <v>0</v>
      </c>
      <c r="G31" s="44">
        <f>'Forecasts by year'!G10+'Forecasts by year'!N10</f>
        <v>0</v>
      </c>
      <c r="H31" s="44">
        <f>'Forecasts by year'!H10+'Forecasts by year'!O10</f>
        <v>0</v>
      </c>
      <c r="I31" s="226">
        <f t="shared" si="2"/>
        <v>0</v>
      </c>
    </row>
    <row r="32" spans="2:9" s="227" customFormat="1" x14ac:dyDescent="0.25">
      <c r="B32" s="229" t="s">
        <v>121</v>
      </c>
      <c r="C32" s="228"/>
      <c r="D32" s="230">
        <f>'Forecasts by year'!D11+'Forecasts by year'!K11</f>
        <v>66402.632456446474</v>
      </c>
      <c r="E32" s="230">
        <f>'Forecasts by year'!E11+'Forecasts by year'!L11</f>
        <v>66402.632456446474</v>
      </c>
      <c r="F32" s="230">
        <f>'Forecasts by year'!F11+'Forecasts by year'!M11</f>
        <v>67024.533013881475</v>
      </c>
      <c r="G32" s="230">
        <f>'Forecasts by year'!G11+'Forecasts by year'!N11</f>
        <v>68346.719153447557</v>
      </c>
      <c r="H32" s="230">
        <f>'Forecasts by year'!H11+'Forecasts by year'!O11</f>
        <v>70321.75613116374</v>
      </c>
      <c r="I32" s="226">
        <f>SUM(D32:H32)</f>
        <v>338498.27321138571</v>
      </c>
    </row>
    <row r="33" spans="2:9" x14ac:dyDescent="0.25">
      <c r="B33" s="7" t="s">
        <v>112</v>
      </c>
      <c r="C33" s="11"/>
      <c r="D33" s="44">
        <f>'Forecasts by year'!D12+'Forecasts by year'!K12</f>
        <v>30938.753536224947</v>
      </c>
      <c r="E33" s="44">
        <f>'Forecasts by year'!E12+'Forecasts by year'!L12</f>
        <v>30938.753536224947</v>
      </c>
      <c r="F33" s="44">
        <f>'Forecasts by year'!F12+'Forecasts by year'!M12</f>
        <v>31228.513555651018</v>
      </c>
      <c r="G33" s="44">
        <f>'Forecasts by year'!G12+'Forecasts by year'!N12</f>
        <v>31844.555263453469</v>
      </c>
      <c r="H33" s="44">
        <f>'Forecasts by year'!H12+'Forecasts by year'!O12</f>
        <v>32764.777550101076</v>
      </c>
      <c r="I33" s="226">
        <f>SUM(D33:H33)</f>
        <v>157715.35344165546</v>
      </c>
    </row>
    <row r="34" spans="2:9" x14ac:dyDescent="0.25">
      <c r="B34" s="7" t="s">
        <v>113</v>
      </c>
      <c r="C34" s="5"/>
      <c r="D34" s="44">
        <f>'Forecasts by year'!D13+'Forecasts by year'!K13</f>
        <v>10649.493838931605</v>
      </c>
      <c r="E34" s="44">
        <f>'Forecasts by year'!E13+'Forecasts by year'!L13</f>
        <v>10649.493838931605</v>
      </c>
      <c r="F34" s="44">
        <f>'Forecasts by year'!F13+'Forecasts by year'!M13</f>
        <v>10749.232748517396</v>
      </c>
      <c r="G34" s="44">
        <f>'Forecasts by year'!G13+'Forecasts by year'!N13</f>
        <v>10961.281768659261</v>
      </c>
      <c r="H34" s="44">
        <f>'Forecasts by year'!H13+'Forecasts by year'!O13</f>
        <v>11278.03342966677</v>
      </c>
      <c r="I34" s="226">
        <f>SUM(D34:H34)</f>
        <v>54287.535624706637</v>
      </c>
    </row>
    <row r="35" spans="2:9" x14ac:dyDescent="0.25">
      <c r="B35" s="7" t="s">
        <v>122</v>
      </c>
      <c r="C35" s="5"/>
      <c r="D35" s="44">
        <f>'Forecasts by year'!D14+'Forecasts by year'!K14</f>
        <v>6848.7815989202636</v>
      </c>
      <c r="E35" s="44">
        <f>'Forecasts by year'!E14+'Forecasts by year'!L14</f>
        <v>6848.7815989202636</v>
      </c>
      <c r="F35" s="44">
        <f>'Forecasts by year'!F14+'Forecasts by year'!M14</f>
        <v>6912.9245543507241</v>
      </c>
      <c r="G35" s="44">
        <f>'Forecasts by year'!G14+'Forecasts by year'!N14</f>
        <v>7049.2951132882345</v>
      </c>
      <c r="H35" s="44">
        <f>'Forecasts by year'!H14+'Forecasts by year'!O14</f>
        <v>7253.0008461752805</v>
      </c>
      <c r="I35" s="226">
        <f>SUM(D35:H35)</f>
        <v>34912.78371165476</v>
      </c>
    </row>
    <row r="36" spans="2:9" x14ac:dyDescent="0.25">
      <c r="B36" s="23" t="s">
        <v>1</v>
      </c>
      <c r="C36" s="24"/>
      <c r="D36" s="25">
        <f>SUM(D32:D35)</f>
        <v>114839.66143052329</v>
      </c>
      <c r="E36" s="25">
        <f t="shared" ref="E36:H36" si="3">SUM(E32:E35)</f>
        <v>114839.66143052329</v>
      </c>
      <c r="F36" s="25">
        <f t="shared" si="3"/>
        <v>115915.20387240063</v>
      </c>
      <c r="G36" s="25">
        <f t="shared" si="3"/>
        <v>118201.85129884852</v>
      </c>
      <c r="H36" s="25">
        <f t="shared" si="3"/>
        <v>121617.56795710686</v>
      </c>
      <c r="I36" s="26">
        <f>SUM(I32:I35)</f>
        <v>585413.94598940248</v>
      </c>
    </row>
  </sheetData>
  <mergeCells count="3">
    <mergeCell ref="B17:I18"/>
    <mergeCell ref="B23:I24"/>
    <mergeCell ref="D27:H27"/>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2018-04-19T04:24:02Z</dcterms:modified>
</cp:coreProperties>
</file>