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5_Customer Requested Lighting Services\"/>
    </mc:Choice>
  </mc:AlternateContent>
  <xr:revisionPtr revIDLastSave="0" documentId="13_ncr:1_{FFFC89AD-2477-4B1A-83FB-BE071350CCD9}" xr6:coauthVersionLast="28" xr6:coauthVersionMax="28" xr10:uidLastSave="{00000000-0000-0000-0000-000000000000}"/>
  <bookViews>
    <workbookView xWindow="120" yWindow="15" windowWidth="19440" windowHeight="11700" tabRatio="570" xr2:uid="{00000000-000D-0000-FFFF-FFFF00000000}"/>
  </bookViews>
  <sheets>
    <sheet name="AER Summary" sheetId="8" r:id="rId1"/>
    <sheet name="Service Description" sheetId="9" r:id="rId2"/>
    <sheet name="Operating Costs" sheetId="15" r:id="rId3"/>
    <sheet name="Historical Revenue" sheetId="13" r:id="rId4"/>
    <sheet name="Proposed price build-up" sheetId="11" r:id="rId5"/>
    <sheet name="Forecasts by year" sheetId="17" r:id="rId6"/>
    <sheet name="Forecast Revenue - Costs" sheetId="16" r:id="rId7"/>
  </sheets>
  <externalReferences>
    <externalReference r:id="rId8"/>
  </externalReferences>
  <calcPr calcId="171027" calcMode="autoNoTable" iterateCount="1000" iterateDelta="9.9999999999999995E-7" calcOnSave="0"/>
  <fileRecoveryPr autoRecover="0"/>
</workbook>
</file>

<file path=xl/calcChain.xml><?xml version="1.0" encoding="utf-8"?>
<calcChain xmlns="http://schemas.openxmlformats.org/spreadsheetml/2006/main">
  <c r="B20" i="9" l="1"/>
  <c r="G16" i="11" l="1"/>
  <c r="H16" i="11"/>
  <c r="T16" i="11"/>
  <c r="E16" i="11" l="1"/>
  <c r="F16" i="11"/>
  <c r="D16" i="11"/>
  <c r="Q16" i="11"/>
  <c r="R16" i="11"/>
  <c r="S16" i="11"/>
  <c r="P16" i="11"/>
  <c r="T8" i="11" l="1"/>
  <c r="T9" i="11"/>
  <c r="T10" i="11"/>
  <c r="T11" i="11"/>
  <c r="T12" i="11"/>
  <c r="T13" i="11"/>
  <c r="T14" i="11"/>
  <c r="T7" i="11"/>
  <c r="H8" i="11"/>
  <c r="H9" i="11"/>
  <c r="H10" i="11"/>
  <c r="H11" i="11"/>
  <c r="H12" i="11"/>
  <c r="H13" i="11"/>
  <c r="H14" i="11"/>
  <c r="H7" i="11"/>
  <c r="I5" i="15"/>
  <c r="I6" i="15"/>
  <c r="I7" i="15"/>
  <c r="I8" i="15"/>
  <c r="P11" i="11" l="1"/>
  <c r="D11" i="11"/>
  <c r="I14" i="15"/>
  <c r="R37" i="11" l="1"/>
  <c r="S14" i="11" s="1"/>
  <c r="O37" i="11"/>
  <c r="S10" i="11" s="1"/>
  <c r="R33" i="11"/>
  <c r="Q12" i="11" s="1"/>
  <c r="O33" i="11"/>
  <c r="R29" i="11"/>
  <c r="O29" i="11"/>
  <c r="O24" i="11"/>
  <c r="O25" i="11" s="1"/>
  <c r="R9" i="11" s="1"/>
  <c r="R23" i="11"/>
  <c r="R24" i="11" s="1"/>
  <c r="Q8" i="11"/>
  <c r="P7" i="11"/>
  <c r="F37" i="11"/>
  <c r="F33" i="11"/>
  <c r="F29" i="11"/>
  <c r="V9" i="11" l="1"/>
  <c r="U9" i="11"/>
  <c r="V14" i="11"/>
  <c r="U14" i="11"/>
  <c r="V12" i="11"/>
  <c r="U12" i="11"/>
  <c r="V8" i="11"/>
  <c r="U8" i="11"/>
  <c r="U7" i="11"/>
  <c r="V7" i="11"/>
  <c r="R13" i="11"/>
  <c r="W8" i="11" l="1"/>
  <c r="X8" i="11" s="1"/>
  <c r="W14" i="11"/>
  <c r="X14" i="11" s="1"/>
  <c r="W12" i="11"/>
  <c r="X12" i="11" s="1"/>
  <c r="W9" i="11"/>
  <c r="X9" i="11" s="1"/>
  <c r="W7" i="11"/>
  <c r="C28" i="17"/>
  <c r="C27" i="17"/>
  <c r="V10" i="11"/>
  <c r="V16" i="11" s="1"/>
  <c r="U10" i="11"/>
  <c r="U13" i="11"/>
  <c r="V13" i="11"/>
  <c r="U11" i="11"/>
  <c r="V11" i="11"/>
  <c r="G14" i="11"/>
  <c r="C37" i="11"/>
  <c r="C33" i="11"/>
  <c r="E8" i="11" s="1"/>
  <c r="J8" i="11" s="1"/>
  <c r="C29" i="11"/>
  <c r="D7" i="11" s="1"/>
  <c r="C25" i="11"/>
  <c r="E12" i="11"/>
  <c r="G10" i="11"/>
  <c r="F23" i="11"/>
  <c r="F24" i="11" s="1"/>
  <c r="C24" i="11"/>
  <c r="U16" i="11" l="1"/>
  <c r="X7" i="11"/>
  <c r="W13" i="11"/>
  <c r="X13" i="11" s="1"/>
  <c r="C29" i="17"/>
  <c r="W11" i="11"/>
  <c r="C30" i="17"/>
  <c r="W10" i="11"/>
  <c r="W16" i="11" s="1"/>
  <c r="F13" i="11"/>
  <c r="F9" i="11"/>
  <c r="J14" i="11"/>
  <c r="I14" i="11"/>
  <c r="I12" i="11"/>
  <c r="J12" i="11"/>
  <c r="J13" i="11"/>
  <c r="I13" i="11"/>
  <c r="I8" i="11"/>
  <c r="X11" i="11" l="1"/>
  <c r="C31" i="17"/>
  <c r="X10" i="11"/>
  <c r="X16" i="11" s="1"/>
  <c r="K13" i="11"/>
  <c r="L13" i="11" s="1"/>
  <c r="K12" i="11"/>
  <c r="L12" i="11" s="1"/>
  <c r="K14" i="11"/>
  <c r="L14" i="11" s="1"/>
  <c r="K8" i="11"/>
  <c r="L8" i="11" s="1"/>
  <c r="C32" i="17" l="1"/>
  <c r="D9" i="8"/>
  <c r="C18" i="17"/>
  <c r="C17" i="17"/>
  <c r="I11" i="11"/>
  <c r="J11" i="11"/>
  <c r="K11" i="11" l="1"/>
  <c r="L11" i="11" l="1"/>
  <c r="J10" i="11"/>
  <c r="I10" i="11" l="1"/>
  <c r="K10" i="11" s="1"/>
  <c r="L10" i="11" l="1"/>
  <c r="J9" i="11"/>
  <c r="I9" i="11" l="1"/>
  <c r="K9" i="11" l="1"/>
  <c r="L9" i="11" s="1"/>
  <c r="H5" i="17"/>
  <c r="G5" i="17"/>
  <c r="F5" i="17"/>
  <c r="E5" i="17"/>
  <c r="D5" i="17"/>
  <c r="H2" i="17"/>
  <c r="G2" i="17"/>
  <c r="F2" i="17"/>
  <c r="E2" i="17"/>
  <c r="D2" i="17"/>
  <c r="H1" i="17"/>
  <c r="G1" i="17"/>
  <c r="F1" i="17"/>
  <c r="E1" i="17"/>
  <c r="D1" i="17"/>
  <c r="D27" i="17" l="1"/>
  <c r="D17" i="17"/>
  <c r="J7" i="11"/>
  <c r="I7" i="11"/>
  <c r="D6" i="16"/>
  <c r="I16" i="11" l="1"/>
  <c r="C19" i="17" s="1"/>
  <c r="J16" i="11"/>
  <c r="C20" i="17" s="1"/>
  <c r="K7" i="11"/>
  <c r="K16" i="11" s="1"/>
  <c r="E33" i="17"/>
  <c r="F33" i="17"/>
  <c r="G33" i="17"/>
  <c r="H33" i="17"/>
  <c r="D33" i="17"/>
  <c r="E23" i="17"/>
  <c r="F23" i="17"/>
  <c r="G23" i="17"/>
  <c r="H23" i="17"/>
  <c r="D23" i="17"/>
  <c r="L7" i="11" l="1"/>
  <c r="C21" i="17"/>
  <c r="K27" i="17"/>
  <c r="L27" i="17" s="1"/>
  <c r="M27" i="17" s="1"/>
  <c r="N27" i="17" s="1"/>
  <c r="O27" i="17" s="1"/>
  <c r="L5" i="17"/>
  <c r="O1" i="17"/>
  <c r="N1" i="17"/>
  <c r="M1" i="17"/>
  <c r="K1" i="17"/>
  <c r="L16" i="11" l="1"/>
  <c r="D8" i="8" s="1"/>
  <c r="C22" i="17"/>
  <c r="L1" i="17"/>
  <c r="M5" i="17"/>
  <c r="K28" i="17"/>
  <c r="K17" i="17"/>
  <c r="N5" i="17"/>
  <c r="K5" i="17"/>
  <c r="O5" i="17"/>
  <c r="E27" i="17" l="1"/>
  <c r="L28" i="17"/>
  <c r="L17" i="17"/>
  <c r="K18" i="17"/>
  <c r="G15" i="15"/>
  <c r="H15" i="15"/>
  <c r="I13" i="15"/>
  <c r="G9" i="15"/>
  <c r="H9" i="15"/>
  <c r="I4" i="15"/>
  <c r="I15" i="13"/>
  <c r="I16" i="13"/>
  <c r="I14" i="13"/>
  <c r="G17" i="13"/>
  <c r="H17" i="13"/>
  <c r="I7" i="13"/>
  <c r="I8" i="13"/>
  <c r="I9" i="13"/>
  <c r="I6" i="13"/>
  <c r="G10" i="13"/>
  <c r="H10" i="13"/>
  <c r="F27" i="17" l="1"/>
  <c r="G27" i="17" s="1"/>
  <c r="H27" i="17" s="1"/>
  <c r="H28" i="17" s="1"/>
  <c r="E28" i="17"/>
  <c r="D28" i="17"/>
  <c r="L18" i="17"/>
  <c r="M17" i="17"/>
  <c r="M28" i="17"/>
  <c r="G28" i="17" l="1"/>
  <c r="D8" i="17"/>
  <c r="D27" i="16" s="1"/>
  <c r="E17" i="17"/>
  <c r="D18" i="17"/>
  <c r="D9" i="17" s="1"/>
  <c r="D28" i="16" s="1"/>
  <c r="C44" i="8" s="1"/>
  <c r="F28" i="17"/>
  <c r="N17" i="17"/>
  <c r="M18" i="17"/>
  <c r="O28" i="17"/>
  <c r="N28" i="17"/>
  <c r="F17" i="17" l="1"/>
  <c r="E8" i="17"/>
  <c r="E27" i="16" s="1"/>
  <c r="E18" i="17"/>
  <c r="E9" i="17" s="1"/>
  <c r="N18" i="17"/>
  <c r="O17" i="17"/>
  <c r="O18" i="17" s="1"/>
  <c r="G14" i="16"/>
  <c r="F60" i="8" s="1"/>
  <c r="I13" i="16"/>
  <c r="I12" i="16"/>
  <c r="E28" i="16" l="1"/>
  <c r="D44" i="8" s="1"/>
  <c r="G17" i="17"/>
  <c r="F8" i="17"/>
  <c r="F27" i="16" s="1"/>
  <c r="F18" i="17"/>
  <c r="F9" i="17" s="1"/>
  <c r="F28" i="16" l="1"/>
  <c r="E44" i="8" s="1"/>
  <c r="H17" i="17"/>
  <c r="G8" i="17"/>
  <c r="G27" i="16" s="1"/>
  <c r="G18" i="17"/>
  <c r="G9" i="17" s="1"/>
  <c r="G28" i="16" s="1"/>
  <c r="F44" i="8" s="1"/>
  <c r="H8" i="17" l="1"/>
  <c r="H18" i="17"/>
  <c r="H9" i="17" s="1"/>
  <c r="H28" i="16" s="1"/>
  <c r="H27" i="16" l="1"/>
  <c r="I27" i="16" s="1"/>
  <c r="G44" i="8"/>
  <c r="H44" i="8" s="1"/>
  <c r="I28" i="16"/>
  <c r="H14" i="16"/>
  <c r="G60" i="8" s="1"/>
  <c r="F15" i="15" l="1"/>
  <c r="E15" i="15"/>
  <c r="D15" i="15"/>
  <c r="I15" i="15" l="1"/>
  <c r="E9" i="15"/>
  <c r="D9" i="15"/>
  <c r="F14" i="16"/>
  <c r="E60" i="8" s="1"/>
  <c r="E14" i="16"/>
  <c r="D60" i="8" s="1"/>
  <c r="D14" i="16"/>
  <c r="C60" i="8" s="1"/>
  <c r="I14" i="16"/>
  <c r="F17" i="13"/>
  <c r="E17" i="13"/>
  <c r="D17" i="13"/>
  <c r="F10" i="13"/>
  <c r="E10" i="13"/>
  <c r="D10" i="13"/>
  <c r="I10" i="13" l="1"/>
  <c r="I17" i="13"/>
  <c r="F9" i="15"/>
  <c r="I9" i="15" l="1"/>
  <c r="D3" i="9" l="1"/>
  <c r="H60" i="8" l="1"/>
  <c r="H4" i="17" l="1"/>
  <c r="D4" i="17"/>
  <c r="G4" i="17"/>
  <c r="F4" i="17"/>
  <c r="E4" i="17"/>
  <c r="M4" i="17" l="1"/>
  <c r="F30" i="17"/>
  <c r="F20" i="17"/>
  <c r="N4" i="17"/>
  <c r="G30" i="17"/>
  <c r="G20" i="17"/>
  <c r="K4" i="17"/>
  <c r="D30" i="17"/>
  <c r="D20" i="17"/>
  <c r="L4" i="17"/>
  <c r="E30" i="17"/>
  <c r="E20" i="17"/>
  <c r="O4" i="17"/>
  <c r="H30" i="17"/>
  <c r="H20" i="17"/>
  <c r="E11" i="17" l="1"/>
  <c r="E30" i="16" s="1"/>
  <c r="D11" i="17"/>
  <c r="D30" i="16" s="1"/>
  <c r="O30" i="17"/>
  <c r="O20" i="17"/>
  <c r="G11" i="17"/>
  <c r="G30" i="16" s="1"/>
  <c r="M30" i="17"/>
  <c r="M20" i="17"/>
  <c r="K30" i="17"/>
  <c r="K20" i="17"/>
  <c r="H11" i="17"/>
  <c r="H30" i="16" s="1"/>
  <c r="N30" i="17"/>
  <c r="N20" i="17"/>
  <c r="F11" i="17"/>
  <c r="F30" i="16" s="1"/>
  <c r="L30" i="17"/>
  <c r="L20" i="17"/>
  <c r="I30" i="16" l="1"/>
  <c r="E3" i="17"/>
  <c r="H3" i="17"/>
  <c r="D3" i="17"/>
  <c r="G3" i="17"/>
  <c r="F3" i="17"/>
  <c r="N3" i="17" l="1"/>
  <c r="G19" i="17"/>
  <c r="G29" i="17"/>
  <c r="G31" i="17" s="1"/>
  <c r="G32" i="17" s="1"/>
  <c r="K3" i="17"/>
  <c r="D29" i="17"/>
  <c r="D31" i="17" s="1"/>
  <c r="D32" i="17" s="1"/>
  <c r="D19" i="17"/>
  <c r="O3" i="17"/>
  <c r="H29" i="17"/>
  <c r="H31" i="17" s="1"/>
  <c r="H32" i="17" s="1"/>
  <c r="H19" i="17"/>
  <c r="M3" i="17"/>
  <c r="F19" i="17"/>
  <c r="F29" i="17"/>
  <c r="F31" i="17" s="1"/>
  <c r="F32" i="17" s="1"/>
  <c r="L3" i="17"/>
  <c r="E29" i="17"/>
  <c r="E31" i="17" s="1"/>
  <c r="E32" i="17" s="1"/>
  <c r="E19" i="17"/>
  <c r="F34" i="17" l="1"/>
  <c r="G6" i="16" s="1"/>
  <c r="H34" i="17"/>
  <c r="G34" i="17"/>
  <c r="H6" i="16" s="1"/>
  <c r="E34" i="17"/>
  <c r="F6" i="16" s="1"/>
  <c r="D34" i="17"/>
  <c r="E6" i="16" s="1"/>
  <c r="E10" i="17"/>
  <c r="E29" i="16" s="1"/>
  <c r="E21" i="17"/>
  <c r="E12" i="17" s="1"/>
  <c r="F21" i="17"/>
  <c r="F12" i="17" s="1"/>
  <c r="F31" i="16" s="1"/>
  <c r="F10" i="17"/>
  <c r="F29" i="16" s="1"/>
  <c r="K19" i="17"/>
  <c r="K21" i="17" s="1"/>
  <c r="K22" i="17" s="1"/>
  <c r="K29" i="17"/>
  <c r="K31" i="17" s="1"/>
  <c r="K32" i="17" s="1"/>
  <c r="G10" i="17"/>
  <c r="G29" i="16" s="1"/>
  <c r="G21" i="17"/>
  <c r="G12" i="17" s="1"/>
  <c r="G31" i="16" s="1"/>
  <c r="M19" i="17"/>
  <c r="M21" i="17" s="1"/>
  <c r="M22" i="17" s="1"/>
  <c r="M29" i="17"/>
  <c r="M31" i="17" s="1"/>
  <c r="M32" i="17" s="1"/>
  <c r="H10" i="17"/>
  <c r="H29" i="16" s="1"/>
  <c r="H21" i="17"/>
  <c r="N19" i="17"/>
  <c r="N21" i="17" s="1"/>
  <c r="N22" i="17" s="1"/>
  <c r="N29" i="17"/>
  <c r="N31" i="17" s="1"/>
  <c r="N32" i="17" s="1"/>
  <c r="L29" i="17"/>
  <c r="L31" i="17" s="1"/>
  <c r="L32" i="17" s="1"/>
  <c r="L19" i="17"/>
  <c r="L21" i="17" s="1"/>
  <c r="L22" i="17" s="1"/>
  <c r="D21" i="17"/>
  <c r="D12" i="17" s="1"/>
  <c r="D31" i="16" s="1"/>
  <c r="D10" i="17"/>
  <c r="D29" i="16" s="1"/>
  <c r="O29" i="17"/>
  <c r="O31" i="17" s="1"/>
  <c r="O32" i="17" s="1"/>
  <c r="O19" i="17"/>
  <c r="O21" i="17" s="1"/>
  <c r="O22" i="17" s="1"/>
  <c r="I6" i="16" l="1"/>
  <c r="E31" i="16"/>
  <c r="D46" i="8" s="1"/>
  <c r="D48" i="8" s="1"/>
  <c r="G32" i="16"/>
  <c r="F22" i="17"/>
  <c r="F24" i="17" s="1"/>
  <c r="F5" i="16" s="1"/>
  <c r="F7" i="16" s="1"/>
  <c r="E22" i="17"/>
  <c r="E13" i="17" s="1"/>
  <c r="D22" i="17"/>
  <c r="F32" i="16"/>
  <c r="D32" i="16"/>
  <c r="H22" i="17"/>
  <c r="H12" i="17"/>
  <c r="F46" i="8"/>
  <c r="F48" i="8" s="1"/>
  <c r="I29" i="16"/>
  <c r="C46" i="8"/>
  <c r="G22" i="17"/>
  <c r="E46" i="8"/>
  <c r="E48" i="8" s="1"/>
  <c r="C48" i="8" l="1"/>
  <c r="E32" i="16"/>
  <c r="E24" i="17"/>
  <c r="E14" i="17" s="1"/>
  <c r="F13" i="17"/>
  <c r="F14" i="17" s="1"/>
  <c r="D24" i="17"/>
  <c r="D5" i="16" s="1"/>
  <c r="D13" i="17"/>
  <c r="H31" i="16"/>
  <c r="H32" i="16" s="1"/>
  <c r="G13" i="17"/>
  <c r="G24" i="17"/>
  <c r="H24" i="17"/>
  <c r="H13" i="17"/>
  <c r="E5" i="16" l="1"/>
  <c r="E7" i="16" s="1"/>
  <c r="D14" i="17"/>
  <c r="I31" i="16"/>
  <c r="I32" i="16" s="1"/>
  <c r="G46" i="8"/>
  <c r="H14" i="17"/>
  <c r="H5" i="16"/>
  <c r="H7" i="16" s="1"/>
  <c r="G14" i="17"/>
  <c r="G5" i="16"/>
  <c r="G7" i="16" s="1"/>
  <c r="D7" i="16"/>
  <c r="G48" i="8" l="1"/>
  <c r="H46" i="8"/>
  <c r="H48" i="8" s="1"/>
  <c r="I5" i="16"/>
  <c r="I7" i="16" s="1"/>
</calcChain>
</file>

<file path=xl/sharedStrings.xml><?xml version="1.0" encoding="utf-8"?>
<sst xmlns="http://schemas.openxmlformats.org/spreadsheetml/2006/main" count="335" uniqueCount="157">
  <si>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</si>
  <si>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</si>
  <si>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</si>
  <si>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</si>
  <si>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</si>
  <si>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</si>
  <si>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</si>
  <si>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</si>
  <si>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</si>
  <si>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</si>
  <si>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</si>
  <si>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</si>
  <si>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</si>
  <si>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</si>
  <si>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</si>
  <si>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</si>
  <si>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</si>
  <si>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</si>
  <si>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</si>
  <si>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</si>
  <si>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</si>
  <si>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</si>
  <si>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</si>
  <si>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</si>
  <si>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</si>
  <si>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</si>
  <si>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</si>
  <si>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</si>
  <si>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</si>
  <si>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</si>
  <si>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</si>
  <si>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2019-2024 Pricing Methodology for Service (Summary)</t>
  </si>
  <si>
    <t>Projected Costs for FY2019-24 Regulatory Period</t>
  </si>
  <si>
    <t>FY2020</t>
  </si>
  <si>
    <t>FY2021</t>
  </si>
  <si>
    <t>FY2022</t>
  </si>
  <si>
    <t>FY2024</t>
  </si>
  <si>
    <t>FY2023</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</si>
  <si>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</si>
  <si>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</si>
  <si>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</si>
  <si>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</si>
  <si>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</si>
  <si>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</si>
  <si>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</si>
  <si>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</si>
  <si>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</si>
  <si>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</si>
  <si>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</si>
  <si>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</si>
  <si>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</si>
  <si>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</si>
  <si>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</si>
  <si>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</si>
  <si>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</si>
  <si>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</si>
  <si>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</si>
  <si>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</si>
  <si>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Security Light (NEW)</t>
  </si>
  <si>
    <t>Bottom Up Estimation</t>
  </si>
  <si>
    <t>New Service</t>
  </si>
  <si>
    <t xml:space="preserve">Existing Service Description (2014 - 19) </t>
  </si>
  <si>
    <t>Projected Volumes for FY2019-24 Regulatory Period</t>
  </si>
  <si>
    <t>Operating Costs (on IO's, work orders, cost objects, cost centres)</t>
  </si>
  <si>
    <t>Project Code</t>
  </si>
  <si>
    <t>FY22/23</t>
  </si>
  <si>
    <t>Field Officer</t>
  </si>
  <si>
    <t xml:space="preserve">Operating Costs - </t>
  </si>
  <si>
    <t>New Service - Security Lighting</t>
  </si>
  <si>
    <t>FY17/18</t>
  </si>
  <si>
    <t>FY18/19</t>
  </si>
  <si>
    <t>Private security lighting was previously Unclassified distribution service. No historical operating costs available as form part of wider S/L maintenance program.</t>
  </si>
  <si>
    <t>No historical revenue available.</t>
  </si>
  <si>
    <t>Capex Recovery</t>
  </si>
  <si>
    <t>Nightwatch Lights</t>
  </si>
  <si>
    <t>Proposed Fee ($2018/19 - Excl GST)</t>
  </si>
  <si>
    <t>Total Direct Costs $2018/19</t>
  </si>
  <si>
    <t>Total Indirect Costs $2018/19</t>
  </si>
  <si>
    <t>TOTAL COSTS $2018/19</t>
  </si>
  <si>
    <t>Real 2018-19 (including labour escalation)</t>
  </si>
  <si>
    <t>Total costs before OHDs, non-system and margin</t>
  </si>
  <si>
    <t>Overheads</t>
  </si>
  <si>
    <t>Non-system charge</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</si>
  <si>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</si>
  <si>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</si>
  <si>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</si>
  <si>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</si>
  <si>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</si>
  <si>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</si>
  <si>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</si>
  <si>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</si>
  <si>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</si>
  <si>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</si>
  <si>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</si>
  <si>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</si>
  <si>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</si>
  <si>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</si>
  <si>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</si>
  <si>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</si>
  <si>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</si>
  <si>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Profit margin (WACC FY20) per service</t>
  </si>
  <si>
    <t>Fully Loaded Cost per service</t>
  </si>
  <si>
    <t>Forecast volumes</t>
  </si>
  <si>
    <t>Forecast revenue</t>
  </si>
  <si>
    <t>15.1 Security Lights</t>
  </si>
  <si>
    <t>Service previously  Unclassifed Service</t>
  </si>
  <si>
    <t>Nightwatch Lighting Rate</t>
  </si>
  <si>
    <t>Customer requested lighting services
Customer requested ighting services, such as flood lighting (night watch) and installation of luminere glare sheilds.</t>
  </si>
  <si>
    <t>Usage - As per Tariff</t>
  </si>
  <si>
    <t>Nightwatch Lights 250W - Fixed Fee / month</t>
  </si>
  <si>
    <t>250W</t>
  </si>
  <si>
    <t>400W</t>
  </si>
  <si>
    <t xml:space="preserve"> - </t>
  </si>
  <si>
    <r>
      <t xml:space="preserve">
</t>
    </r>
    <r>
      <rPr>
        <b/>
        <sz val="11"/>
        <color theme="1"/>
        <rFont val="Calibri"/>
        <family val="2"/>
        <scheme val="minor"/>
      </rPr>
      <t>Security Light</t>
    </r>
    <r>
      <rPr>
        <sz val="11"/>
        <color theme="1"/>
        <rFont val="Calibri"/>
        <family val="2"/>
        <scheme val="minor"/>
      </rPr>
      <t xml:space="preserve">
Provision of security flood lighting (night watch) as requested of a customer to provide lighting to a private property.</t>
    </r>
  </si>
  <si>
    <t>Fixed Fee (Monthly)</t>
  </si>
  <si>
    <t>Materials</t>
  </si>
  <si>
    <t>Security Lights - 400W</t>
  </si>
  <si>
    <t>Security Lights - 250W</t>
  </si>
  <si>
    <t>Direct Labour Rate (incl on-costs)</t>
  </si>
  <si>
    <t>Fleet rate</t>
  </si>
  <si>
    <t>Total Material Cost</t>
  </si>
  <si>
    <t>Direct cost per service</t>
  </si>
  <si>
    <t>FY2019 Fully Loaded Costs</t>
  </si>
  <si>
    <t>Contractor (T/C)</t>
  </si>
  <si>
    <t>Opex Recovery</t>
  </si>
  <si>
    <t>Installation - Labour</t>
  </si>
  <si>
    <t>Repairs - Labour</t>
  </si>
  <si>
    <t>Usage</t>
  </si>
  <si>
    <t>As per S/L Tariff</t>
  </si>
  <si>
    <t>Nightvision Bracket</t>
  </si>
  <si>
    <t>Misc Parts</t>
  </si>
  <si>
    <t>Luminaire</t>
  </si>
  <si>
    <t>Monthy materials recovery (10yrs)</t>
  </si>
  <si>
    <t>Labour</t>
  </si>
  <si>
    <t>Labour - Installation</t>
  </si>
  <si>
    <t>Labour (Inc Oncosts)</t>
  </si>
  <si>
    <t>Plant</t>
  </si>
  <si>
    <t>Plant (Inc Oncosts)</t>
  </si>
  <si>
    <t>Traffic Control</t>
  </si>
  <si>
    <t>Fleet</t>
  </si>
  <si>
    <t>CAPEX RECOVERY</t>
  </si>
  <si>
    <t>Spot Replacement</t>
  </si>
  <si>
    <t>Bulk Replacement</t>
  </si>
  <si>
    <t>Labour Repairs - Bulk</t>
  </si>
  <si>
    <t>Labour Repairs - Spot</t>
  </si>
  <si>
    <t>Plant - Installation</t>
  </si>
  <si>
    <t>Labour - Repairs</t>
  </si>
  <si>
    <t>Contractor - Repairs</t>
  </si>
  <si>
    <t>Contractor - Installation</t>
  </si>
  <si>
    <t>OPEX  RECOVERY</t>
  </si>
  <si>
    <t>Material Cost (Inc Oncost )</t>
  </si>
  <si>
    <t>Material Cost (lnc Oncosts)</t>
  </si>
  <si>
    <t>Nightwatch Lights 400W - Fixed Fee / month</t>
  </si>
  <si>
    <t>Nightwatch inputs from Streetlighting model</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</si>
  <si>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</si>
  <si>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Current Fee ($2017/2018 - Excl GST) - </t>
  </si>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</sst>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5"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1"/>
      <color theme="1"/>
      <name val="Calibri"/>
      <family val="2"/>
      <scheme val="minor"/>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
      <b/>
      <sz val="8"/>
      <color theme="1"/>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s>
  <fills count="14">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5"/>
        <bgColor indexed="64"/>
      </patternFill>
    </fill>
    <fill>
      <patternFill patternType="solid">
        <fgColor theme="1" tint="0.499984740745262"/>
        <bgColor indexed="64"/>
      </patternFill>
    </fill>
  </fills>
  <borders count="18">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theme="0"/>
      </bottom>
      <diagonal/>
    </border>
    <border>
      <left/>
      <right style="thin">
        <color theme="0"/>
      </right>
      <top style="thin">
        <color theme="0"/>
      </top>
      <bottom/>
      <diagonal/>
    </border>
    <border>
      <left/>
      <right style="thin">
        <color theme="0"/>
      </right>
      <top/>
      <bottom style="thin">
        <color theme="0"/>
      </bottom>
      <diagonal/>
    </border>
    <border>
      <left/>
      <right/>
      <top/>
      <bottom style="thin">
        <color auto="1"/>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80">
    <xf numFmtId="0" fontId="0" fillId="0" borderId="0" xfId="0"/>
    <xf numFmtId="0" fontId="2" fillId="0" borderId="0" xfId="0" applyFont="1"/>
    <xf numFmtId="0" fontId="7" fillId="5" borderId="3" xfId="0" applyFont="1" applyFill="1" applyBorder="1"/>
    <xf numFmtId="0" fontId="7" fillId="5" borderId="8" xfId="0" applyFont="1" applyFill="1" applyBorder="1" applyAlignment="1">
      <alignment horizontal="right"/>
    </xf>
    <xf numFmtId="0" fontId="2" fillId="4" borderId="4" xfId="0" applyFont="1" applyFill="1" applyBorder="1"/>
    <xf numFmtId="167" fontId="2" fillId="4" borderId="4" xfId="2" applyNumberFormat="1" applyFont="1" applyFill="1" applyBorder="1"/>
    <xf numFmtId="0" fontId="2" fillId="4" borderId="3" xfId="0" applyFont="1" applyFill="1" applyBorder="1"/>
    <xf numFmtId="0" fontId="7" fillId="5" borderId="0" xfId="0"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169" fontId="5" fillId="8" borderId="4" xfId="0" applyNumberFormat="1" applyFont="1" applyFill="1" applyBorder="1" applyAlignment="1">
      <alignment horizontal="center" vertical="center" wrapText="1"/>
    </xf>
    <xf numFmtId="169" fontId="4" fillId="10" borderId="4" xfId="0" applyNumberFormat="1" applyFont="1" applyFill="1" applyBorder="1" applyAlignment="1">
      <alignment horizontal="center"/>
    </xf>
    <xf numFmtId="0" fontId="8" fillId="0" borderId="0" xfId="0" applyFont="1"/>
    <xf numFmtId="169"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2" fillId="0" borderId="6"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4"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left" vertic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5" fillId="8" borderId="4" xfId="0" applyNumberFormat="1" applyFont="1" applyFill="1" applyBorder="1" applyAlignment="1">
      <alignment horizontal="center" vertical="center" wrapText="1"/>
    </xf>
    <xf numFmtId="1" fontId="8" fillId="0" borderId="0" xfId="0" applyNumberFormat="1" applyFont="1"/>
    <xf numFmtId="1" fontId="2" fillId="0" borderId="0" xfId="0" applyNumberFormat="1" applyFont="1"/>
    <xf numFmtId="2" fontId="5" fillId="8" borderId="4" xfId="0" applyNumberFormat="1" applyFont="1" applyFill="1" applyBorder="1" applyAlignment="1">
      <alignment horizontal="center" vertical="center" wrapText="1"/>
    </xf>
    <xf numFmtId="2" fontId="8" fillId="0" borderId="0" xfId="0" applyNumberFormat="1" applyFont="1" applyBorder="1"/>
    <xf numFmtId="2" fontId="2" fillId="0" borderId="0" xfId="0" applyNumberFormat="1" applyFont="1"/>
    <xf numFmtId="2" fontId="4" fillId="10" borderId="4" xfId="3" applyNumberFormat="1"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0" fontId="9" fillId="4" borderId="4" xfId="0" applyFont="1" applyFill="1" applyBorder="1" applyAlignment="1">
      <alignment horizontal="left"/>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13" fillId="8" borderId="11" xfId="0" applyFont="1" applyFill="1" applyBorder="1"/>
    <xf numFmtId="0" fontId="14" fillId="8" borderId="0" xfId="0" applyFont="1" applyFill="1"/>
    <xf numFmtId="0" fontId="15" fillId="0" borderId="0" xfId="0" applyFont="1"/>
    <xf numFmtId="0" fontId="15" fillId="0" borderId="0" xfId="0" applyFont="1" applyFill="1"/>
    <xf numFmtId="0" fontId="16" fillId="9" borderId="4" xfId="0" applyFont="1" applyFill="1" applyBorder="1"/>
    <xf numFmtId="0" fontId="15" fillId="6" borderId="0" xfId="0" applyFont="1" applyFill="1"/>
    <xf numFmtId="0" fontId="16" fillId="9" borderId="10" xfId="0" applyFont="1" applyFill="1" applyBorder="1"/>
    <xf numFmtId="0" fontId="15" fillId="2" borderId="4" xfId="0" applyFont="1" applyFill="1" applyBorder="1" applyAlignment="1"/>
    <xf numFmtId="0" fontId="15" fillId="7" borderId="0" xfId="0" applyFont="1" applyFill="1" applyBorder="1" applyAlignment="1"/>
    <xf numFmtId="0" fontId="18" fillId="7" borderId="0" xfId="0" applyFont="1" applyFill="1" applyBorder="1" applyAlignment="1">
      <alignment horizontal="center" vertical="center" wrapText="1"/>
    </xf>
    <xf numFmtId="0" fontId="16" fillId="9" borderId="5" xfId="0" applyFont="1" applyFill="1" applyBorder="1"/>
    <xf numFmtId="0" fontId="18" fillId="2" borderId="4" xfId="0" applyFont="1" applyFill="1" applyBorder="1" applyAlignment="1">
      <alignment vertical="center"/>
    </xf>
    <xf numFmtId="0" fontId="18" fillId="7" borderId="0" xfId="0" applyFont="1" applyFill="1" applyBorder="1" applyAlignment="1">
      <alignment horizontal="center" vertical="center"/>
    </xf>
    <xf numFmtId="0" fontId="19" fillId="7" borderId="0" xfId="0" applyFont="1" applyFill="1" applyBorder="1" applyAlignment="1">
      <alignment horizontal="center" vertical="center"/>
    </xf>
    <xf numFmtId="169" fontId="15" fillId="3" borderId="4" xfId="0" applyNumberFormat="1" applyFont="1" applyFill="1" applyBorder="1" applyAlignment="1">
      <alignment horizontal="center"/>
    </xf>
    <xf numFmtId="0" fontId="16" fillId="9" borderId="4" xfId="0" applyFont="1" applyFill="1" applyBorder="1" applyAlignment="1">
      <alignment horizontal="left" vertical="center"/>
    </xf>
    <xf numFmtId="0" fontId="17" fillId="7" borderId="0" xfId="0" applyFont="1" applyFill="1" applyBorder="1" applyAlignment="1">
      <alignment horizontal="left"/>
    </xf>
    <xf numFmtId="0" fontId="13" fillId="8" borderId="5" xfId="0" applyFont="1" applyFill="1" applyBorder="1"/>
    <xf numFmtId="0" fontId="14" fillId="8" borderId="2" xfId="0" applyFont="1" applyFill="1" applyBorder="1"/>
    <xf numFmtId="0" fontId="14" fillId="8" borderId="3" xfId="0" applyFont="1" applyFill="1" applyBorder="1"/>
    <xf numFmtId="0" fontId="15" fillId="7" borderId="0" xfId="0" applyFont="1" applyFill="1" applyBorder="1" applyAlignment="1">
      <alignment horizontal="left" vertical="top" wrapText="1"/>
    </xf>
    <xf numFmtId="0" fontId="13" fillId="8" borderId="0" xfId="0" applyFont="1" applyFill="1"/>
    <xf numFmtId="0" fontId="15" fillId="7" borderId="0" xfId="0" applyFont="1" applyFill="1" applyBorder="1" applyAlignment="1">
      <alignment horizontal="left" wrapText="1"/>
    </xf>
    <xf numFmtId="0" fontId="15" fillId="7" borderId="0" xfId="0" applyFont="1" applyFill="1" applyBorder="1" applyAlignment="1">
      <alignment horizontal="left"/>
    </xf>
    <xf numFmtId="0" fontId="15" fillId="0" borderId="0" xfId="0" applyFont="1" applyAlignment="1">
      <alignment horizontal="left"/>
    </xf>
    <xf numFmtId="0" fontId="15" fillId="0" borderId="0" xfId="0" applyFont="1" applyFill="1" applyBorder="1" applyAlignment="1">
      <alignment horizontal="left"/>
    </xf>
    <xf numFmtId="0" fontId="16" fillId="2" borderId="3" xfId="0" applyFont="1" applyFill="1" applyBorder="1"/>
    <xf numFmtId="0" fontId="15" fillId="7" borderId="0" xfId="0" applyFont="1" applyFill="1" applyAlignment="1">
      <alignment horizontal="left"/>
    </xf>
    <xf numFmtId="0" fontId="16" fillId="2" borderId="1" xfId="0" applyFont="1" applyFill="1" applyBorder="1"/>
    <xf numFmtId="0" fontId="16" fillId="9" borderId="6" xfId="0" applyFont="1" applyFill="1" applyBorder="1" applyAlignment="1">
      <alignment horizontal="left"/>
    </xf>
    <xf numFmtId="0" fontId="16" fillId="9" borderId="7" xfId="0" applyFont="1" applyFill="1" applyBorder="1" applyAlignment="1">
      <alignment horizontal="right"/>
    </xf>
    <xf numFmtId="0" fontId="16" fillId="9" borderId="8" xfId="0" applyFont="1" applyFill="1" applyBorder="1" applyAlignment="1">
      <alignment horizontal="right"/>
    </xf>
    <xf numFmtId="167" fontId="20" fillId="0" borderId="0" xfId="2" applyNumberFormat="1" applyFont="1"/>
    <xf numFmtId="167" fontId="16" fillId="2" borderId="7" xfId="2" applyNumberFormat="1" applyFont="1" applyFill="1" applyBorder="1"/>
    <xf numFmtId="10" fontId="15" fillId="0" borderId="0" xfId="1" applyNumberFormat="1" applyFont="1"/>
    <xf numFmtId="10" fontId="15" fillId="0" borderId="0" xfId="0" applyNumberFormat="1" applyFont="1"/>
    <xf numFmtId="170" fontId="15" fillId="0" borderId="0" xfId="1" applyNumberFormat="1" applyFont="1"/>
    <xf numFmtId="0" fontId="13" fillId="8" borderId="6" xfId="0" applyFont="1" applyFill="1" applyBorder="1" applyAlignment="1">
      <alignment horizontal="left"/>
    </xf>
    <xf numFmtId="0" fontId="17" fillId="0" borderId="0" xfId="0" applyFont="1"/>
    <xf numFmtId="0" fontId="16" fillId="2" borderId="6" xfId="0" applyFont="1" applyFill="1" applyBorder="1" applyAlignment="1">
      <alignment horizontal="left"/>
    </xf>
    <xf numFmtId="0" fontId="16" fillId="2" borderId="7" xfId="0" applyFont="1" applyFill="1" applyBorder="1" applyAlignment="1">
      <alignment horizontal="right"/>
    </xf>
    <xf numFmtId="0" fontId="16" fillId="2" borderId="8" xfId="0" applyFont="1" applyFill="1" applyBorder="1" applyAlignment="1">
      <alignment horizontal="right"/>
    </xf>
    <xf numFmtId="168" fontId="20" fillId="0" borderId="0" xfId="3" applyNumberFormat="1" applyFont="1" applyAlignment="1"/>
    <xf numFmtId="171" fontId="16" fillId="2" borderId="7" xfId="2" applyNumberFormat="1" applyFont="1" applyFill="1" applyBorder="1" applyAlignment="1"/>
    <xf numFmtId="168" fontId="21" fillId="0" borderId="0" xfId="3" applyNumberFormat="1" applyFont="1" applyAlignment="1">
      <alignment horizontal="right"/>
    </xf>
    <xf numFmtId="168" fontId="21" fillId="0" borderId="0" xfId="3" applyNumberFormat="1" applyFont="1" applyAlignment="1">
      <alignment horizontal="center" vertical="center"/>
    </xf>
    <xf numFmtId="169" fontId="4" fillId="10" borderId="4" xfId="3" applyNumberFormat="1" applyFont="1" applyFill="1" applyBorder="1" applyAlignment="1">
      <alignment horizontal="center"/>
    </xf>
    <xf numFmtId="1" fontId="4" fillId="10" borderId="4" xfId="0" applyNumberFormat="1" applyFont="1" applyFill="1" applyBorder="1" applyAlignment="1">
      <alignment horizontal="center"/>
    </xf>
    <xf numFmtId="0" fontId="7" fillId="2" borderId="6" xfId="0" applyFont="1" applyFill="1" applyBorder="1"/>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12"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0" fontId="5" fillId="8" borderId="8" xfId="0" applyFont="1" applyFill="1" applyBorder="1" applyAlignment="1"/>
    <xf numFmtId="0" fontId="5" fillId="8" borderId="0" xfId="0" applyFont="1" applyFill="1" applyBorder="1" applyAlignment="1"/>
    <xf numFmtId="10" fontId="0" fillId="0" borderId="0" xfId="1" applyNumberFormat="1" applyFont="1"/>
    <xf numFmtId="10" fontId="0" fillId="0" borderId="0" xfId="0" applyNumberFormat="1"/>
    <xf numFmtId="0" fontId="22" fillId="0" borderId="0" xfId="0" applyFont="1"/>
    <xf numFmtId="166" fontId="5" fillId="13" borderId="4" xfId="3" applyFont="1" applyFill="1" applyBorder="1" applyAlignment="1">
      <alignment horizontal="left"/>
    </xf>
    <xf numFmtId="166" fontId="5" fillId="13"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23" fillId="4" borderId="5" xfId="0" applyFont="1" applyFill="1" applyBorder="1"/>
    <xf numFmtId="0" fontId="2" fillId="4" borderId="4" xfId="0" applyFont="1" applyFill="1" applyBorder="1" applyAlignment="1">
      <alignment horizontal="left"/>
    </xf>
    <xf numFmtId="166" fontId="24"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24" fillId="5" borderId="4" xfId="3" applyFont="1" applyFill="1" applyBorder="1"/>
    <xf numFmtId="0" fontId="6" fillId="4" borderId="4" xfId="0" applyFont="1" applyFill="1" applyBorder="1" applyAlignment="1">
      <alignment horizontal="left"/>
    </xf>
    <xf numFmtId="166" fontId="25"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26" fillId="2" borderId="4" xfId="0" applyFont="1" applyFill="1" applyBorder="1" applyAlignment="1">
      <alignment horizontal="center" vertical="center"/>
    </xf>
    <xf numFmtId="169" fontId="2" fillId="7" borderId="4" xfId="0" applyNumberFormat="1" applyFont="1" applyFill="1" applyBorder="1" applyAlignment="1">
      <alignment horizontal="left"/>
    </xf>
    <xf numFmtId="0" fontId="27" fillId="8" borderId="0" xfId="0" applyFont="1" applyFill="1"/>
    <xf numFmtId="0" fontId="28" fillId="8" borderId="0" xfId="0" applyFont="1" applyFill="1"/>
    <xf numFmtId="0" fontId="29" fillId="0" borderId="0" xfId="0" applyFont="1"/>
    <xf numFmtId="0" fontId="30" fillId="0" borderId="0" xfId="0" applyFont="1"/>
    <xf numFmtId="0" fontId="32" fillId="10" borderId="4" xfId="0" applyFont="1" applyFill="1" applyBorder="1" applyAlignment="1">
      <alignment horizontal="left"/>
    </xf>
    <xf numFmtId="0" fontId="30" fillId="10" borderId="4" xfId="0" applyFont="1" applyFill="1" applyBorder="1" applyAlignment="1">
      <alignment wrapText="1"/>
    </xf>
    <xf numFmtId="167" fontId="30" fillId="10" borderId="4" xfId="2" applyNumberFormat="1" applyFont="1" applyFill="1" applyBorder="1"/>
    <xf numFmtId="167" fontId="33" fillId="11" borderId="5" xfId="2" applyNumberFormat="1" applyFont="1" applyFill="1" applyBorder="1"/>
    <xf numFmtId="0" fontId="30" fillId="4" borderId="3" xfId="0" applyFont="1" applyFill="1" applyBorder="1"/>
    <xf numFmtId="0" fontId="30" fillId="10" borderId="4" xfId="0" applyFont="1" applyFill="1" applyBorder="1"/>
    <xf numFmtId="0" fontId="31" fillId="5" borderId="8" xfId="0" applyFont="1" applyFill="1" applyBorder="1"/>
    <xf numFmtId="0" fontId="31" fillId="5" borderId="0" xfId="0" applyFont="1" applyFill="1" applyBorder="1"/>
    <xf numFmtId="167" fontId="31" fillId="5" borderId="8" xfId="2" applyNumberFormat="1" applyFont="1" applyFill="1" applyBorder="1"/>
    <xf numFmtId="0" fontId="31" fillId="11" borderId="7" xfId="0" applyFont="1" applyFill="1" applyBorder="1" applyAlignment="1">
      <alignment horizontal="left"/>
    </xf>
    <xf numFmtId="0" fontId="31" fillId="11" borderId="11" xfId="0" applyFont="1" applyFill="1" applyBorder="1" applyAlignment="1">
      <alignment horizontal="left"/>
    </xf>
    <xf numFmtId="0" fontId="31" fillId="11" borderId="7" xfId="0" applyFont="1" applyFill="1" applyBorder="1" applyAlignment="1">
      <alignment horizontal="center"/>
    </xf>
    <xf numFmtId="0" fontId="31" fillId="11" borderId="8" xfId="0" applyFont="1" applyFill="1" applyBorder="1" applyAlignment="1">
      <alignment horizontal="center"/>
    </xf>
    <xf numFmtId="0" fontId="31" fillId="11" borderId="8" xfId="0" applyFont="1" applyFill="1" applyBorder="1" applyAlignment="1">
      <alignment horizontal="right"/>
    </xf>
    <xf numFmtId="0" fontId="30" fillId="4" borderId="5" xfId="0" applyFont="1" applyFill="1" applyBorder="1"/>
    <xf numFmtId="3" fontId="30" fillId="10" borderId="4" xfId="0" applyNumberFormat="1" applyFont="1" applyFill="1" applyBorder="1"/>
    <xf numFmtId="3" fontId="33" fillId="11" borderId="10" xfId="0" applyNumberFormat="1" applyFont="1" applyFill="1" applyBorder="1"/>
    <xf numFmtId="0" fontId="30" fillId="4" borderId="5" xfId="0" quotePrefix="1" applyFont="1" applyFill="1" applyBorder="1"/>
    <xf numFmtId="3" fontId="30" fillId="4" borderId="4" xfId="0" applyNumberFormat="1" applyFont="1" applyFill="1" applyBorder="1"/>
    <xf numFmtId="3" fontId="33" fillId="11" borderId="5" xfId="0" applyNumberFormat="1" applyFont="1" applyFill="1" applyBorder="1"/>
    <xf numFmtId="0" fontId="31" fillId="11" borderId="8" xfId="0" applyFont="1" applyFill="1" applyBorder="1"/>
    <xf numFmtId="3" fontId="31" fillId="5" borderId="8" xfId="0" applyNumberFormat="1" applyFont="1" applyFill="1" applyBorder="1"/>
    <xf numFmtId="0" fontId="33" fillId="0" borderId="0" xfId="0" applyFont="1"/>
    <xf numFmtId="0" fontId="31" fillId="5" borderId="6" xfId="0" applyFont="1" applyFill="1" applyBorder="1" applyAlignment="1">
      <alignment horizontal="left"/>
    </xf>
    <xf numFmtId="0" fontId="31" fillId="5" borderId="12" xfId="0" applyFont="1" applyFill="1" applyBorder="1"/>
    <xf numFmtId="0" fontId="34" fillId="5" borderId="12" xfId="0" applyFont="1" applyFill="1" applyBorder="1"/>
    <xf numFmtId="0" fontId="30" fillId="4" borderId="0" xfId="0" quotePrefix="1" applyFont="1" applyFill="1" applyBorder="1" applyAlignment="1">
      <alignment vertical="top"/>
    </xf>
    <xf numFmtId="0" fontId="30" fillId="4" borderId="0" xfId="0" applyFont="1" applyFill="1" applyBorder="1" applyAlignment="1">
      <alignment vertical="top"/>
    </xf>
    <xf numFmtId="0" fontId="15" fillId="7" borderId="0" xfId="0" applyFont="1" applyFill="1" applyBorder="1" applyAlignment="1">
      <alignment horizontal="center" vertical="center"/>
    </xf>
    <xf numFmtId="0" fontId="16" fillId="9" borderId="7" xfId="0" applyFont="1" applyFill="1" applyBorder="1" applyAlignment="1">
      <alignment horizontal="left" vertical="center"/>
    </xf>
    <xf numFmtId="0" fontId="7" fillId="10" borderId="4" xfId="0" applyFont="1" applyFill="1" applyBorder="1" applyAlignment="1">
      <alignment horizontal="left" vertical="center"/>
    </xf>
    <xf numFmtId="0" fontId="2" fillId="7" borderId="4" xfId="0" applyFont="1" applyFill="1" applyBorder="1" applyAlignment="1">
      <alignment vertical="center"/>
    </xf>
    <xf numFmtId="169" fontId="2" fillId="7" borderId="4" xfId="0" applyNumberFormat="1" applyFont="1" applyFill="1" applyBorder="1" applyAlignment="1">
      <alignment horizontal="center" vertical="center"/>
    </xf>
    <xf numFmtId="0" fontId="5" fillId="8" borderId="0" xfId="0" applyFont="1" applyFill="1" applyAlignment="1">
      <alignment horizontal="left"/>
    </xf>
    <xf numFmtId="0" fontId="2" fillId="11" borderId="0" xfId="0" applyFont="1" applyFill="1" applyBorder="1"/>
    <xf numFmtId="0" fontId="4" fillId="10" borderId="14" xfId="0" applyFont="1" applyFill="1" applyBorder="1" applyAlignment="1">
      <alignment horizontal="left" vertical="center"/>
    </xf>
    <xf numFmtId="169" fontId="7" fillId="11" borderId="0" xfId="0" applyNumberFormat="1" applyFont="1" applyFill="1" applyBorder="1" applyAlignment="1"/>
    <xf numFmtId="0" fontId="5" fillId="8" borderId="4" xfId="0" applyFont="1" applyFill="1" applyBorder="1" applyAlignment="1">
      <alignment horizontal="center" vertical="center"/>
    </xf>
    <xf numFmtId="169" fontId="2" fillId="3" borderId="4" xfId="0" applyNumberFormat="1" applyFont="1" applyFill="1" applyBorder="1" applyAlignment="1">
      <alignment horizontal="center"/>
    </xf>
    <xf numFmtId="4" fontId="4" fillId="10" borderId="14" xfId="0" applyNumberFormat="1" applyFont="1" applyFill="1" applyBorder="1" applyAlignment="1">
      <alignment horizontal="center"/>
    </xf>
    <xf numFmtId="4" fontId="7" fillId="10" borderId="14" xfId="0" applyNumberFormat="1" applyFont="1" applyFill="1" applyBorder="1" applyAlignment="1">
      <alignment horizontal="center"/>
    </xf>
    <xf numFmtId="2" fontId="4" fillId="10" borderId="10" xfId="0" applyNumberFormat="1" applyFont="1" applyFill="1" applyBorder="1" applyAlignment="1">
      <alignment horizontal="center"/>
    </xf>
    <xf numFmtId="2" fontId="4" fillId="10" borderId="4" xfId="0" applyNumberFormat="1" applyFont="1" applyFill="1" applyBorder="1" applyAlignment="1">
      <alignment horizontal="center"/>
    </xf>
    <xf numFmtId="2" fontId="7" fillId="11" borderId="4" xfId="0" applyNumberFormat="1" applyFont="1" applyFill="1" applyBorder="1" applyAlignment="1">
      <alignment horizontal="center" vertical="center"/>
    </xf>
    <xf numFmtId="2" fontId="4" fillId="10" borderId="8" xfId="0" applyNumberFormat="1" applyFont="1" applyFill="1" applyBorder="1" applyAlignment="1">
      <alignment horizontal="center"/>
    </xf>
    <xf numFmtId="4" fontId="4" fillId="10" borderId="16" xfId="0" applyNumberFormat="1" applyFont="1" applyFill="1" applyBorder="1" applyAlignment="1">
      <alignment horizontal="center"/>
    </xf>
    <xf numFmtId="169" fontId="8" fillId="0" borderId="0" xfId="0" applyNumberFormat="1" applyFont="1" applyBorder="1" applyAlignment="1">
      <alignment horizontal="center"/>
    </xf>
    <xf numFmtId="0" fontId="5" fillId="8" borderId="0" xfId="0" applyFont="1" applyFill="1" applyAlignment="1">
      <alignment horizontal="left"/>
    </xf>
    <xf numFmtId="0" fontId="5" fillId="8" borderId="8" xfId="0" applyNumberFormat="1" applyFont="1" applyFill="1" applyBorder="1" applyAlignment="1">
      <alignment horizontal="left"/>
    </xf>
    <xf numFmtId="0" fontId="6" fillId="0" borderId="13" xfId="0" applyFont="1" applyBorder="1"/>
    <xf numFmtId="165" fontId="2" fillId="0" borderId="13" xfId="2" applyFont="1" applyBorder="1"/>
    <xf numFmtId="0" fontId="2" fillId="0" borderId="13" xfId="0" applyFont="1" applyBorder="1"/>
    <xf numFmtId="0" fontId="6" fillId="0" borderId="13" xfId="0" applyFont="1" applyBorder="1" applyAlignment="1">
      <alignment horizontal="right"/>
    </xf>
    <xf numFmtId="4" fontId="4" fillId="10" borderId="4" xfId="3" applyNumberFormat="1" applyFont="1" applyFill="1" applyBorder="1" applyAlignment="1">
      <alignment horizontal="center"/>
    </xf>
    <xf numFmtId="3" fontId="6" fillId="11" borderId="4" xfId="0" applyNumberFormat="1" applyFont="1" applyFill="1" applyBorder="1"/>
    <xf numFmtId="3" fontId="7" fillId="5" borderId="4" xfId="0" applyNumberFormat="1" applyFont="1" applyFill="1" applyBorder="1"/>
    <xf numFmtId="0" fontId="15" fillId="7" borderId="1" xfId="0" applyFont="1" applyFill="1" applyBorder="1" applyAlignment="1">
      <alignment horizontal="left" wrapText="1"/>
    </xf>
    <xf numFmtId="0" fontId="15" fillId="7" borderId="0" xfId="0" applyFont="1" applyFill="1" applyBorder="1" applyAlignment="1">
      <alignment horizontal="left" wrapText="1"/>
    </xf>
    <xf numFmtId="0" fontId="9" fillId="7" borderId="0" xfId="0" applyFont="1" applyFill="1" applyBorder="1" applyAlignment="1">
      <alignment horizontal="left" wrapText="1"/>
    </xf>
    <xf numFmtId="0" fontId="15" fillId="7" borderId="0" xfId="0" quotePrefix="1" applyFont="1" applyFill="1" applyBorder="1" applyAlignment="1">
      <alignment horizontal="left" vertical="top" wrapText="1"/>
    </xf>
    <xf numFmtId="0" fontId="15" fillId="7" borderId="0" xfId="0" applyFont="1" applyFill="1" applyBorder="1" applyAlignment="1">
      <alignment horizontal="left" vertical="top" wrapText="1"/>
    </xf>
    <xf numFmtId="0" fontId="17" fillId="7" borderId="10" xfId="0" applyNumberFormat="1" applyFont="1" applyFill="1" applyBorder="1" applyAlignment="1">
      <alignment horizontal="left" wrapText="1"/>
    </xf>
    <xf numFmtId="0" fontId="17" fillId="7" borderId="1"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15"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15" fillId="7" borderId="0" xfId="0" applyFont="1" applyFill="1" applyBorder="1" applyAlignment="1">
      <alignment horizontal="center" vertical="center"/>
    </xf>
    <xf numFmtId="169" fontId="20" fillId="7" borderId="4" xfId="0" applyNumberFormat="1" applyFont="1" applyFill="1" applyBorder="1" applyAlignment="1">
      <alignment horizontal="left"/>
    </xf>
    <xf numFmtId="0" fontId="7" fillId="9" borderId="7" xfId="0" applyFont="1" applyFill="1" applyBorder="1" applyAlignment="1">
      <alignment horizontal="left" vertical="center"/>
    </xf>
    <xf numFmtId="0" fontId="16" fillId="9" borderId="7" xfId="0" applyFont="1" applyFill="1" applyBorder="1" applyAlignment="1">
      <alignment horizontal="left" vertical="center"/>
    </xf>
    <xf numFmtId="0" fontId="7" fillId="9" borderId="9" xfId="0" applyFont="1" applyFill="1" applyBorder="1" applyAlignment="1">
      <alignment horizontal="left" vertical="center" wrapText="1"/>
    </xf>
    <xf numFmtId="0" fontId="16" fillId="9" borderId="14" xfId="0" applyFont="1" applyFill="1" applyBorder="1" applyAlignment="1">
      <alignment horizontal="left" vertical="center"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6" fillId="10" borderId="9" xfId="0" applyFont="1" applyFill="1" applyBorder="1" applyAlignment="1">
      <alignment horizontal="center" vertical="center"/>
    </xf>
    <xf numFmtId="0" fontId="6" fillId="10" borderId="7" xfId="0" applyFont="1" applyFill="1" applyBorder="1" applyAlignment="1">
      <alignment horizontal="center" vertical="center"/>
    </xf>
    <xf numFmtId="0" fontId="6" fillId="10" borderId="14" xfId="0" applyFont="1" applyFill="1" applyBorder="1" applyAlignment="1">
      <alignment horizontal="center" vertical="center"/>
    </xf>
    <xf numFmtId="0" fontId="6" fillId="10" borderId="15" xfId="0" applyFont="1" applyFill="1" applyBorder="1" applyAlignment="1">
      <alignment horizontal="center" vertical="center" wrapText="1"/>
    </xf>
    <xf numFmtId="0" fontId="6" fillId="10" borderId="6" xfId="0" applyFont="1" applyFill="1" applyBorder="1" applyAlignment="1">
      <alignment horizontal="center" vertical="center" wrapText="1"/>
    </xf>
    <xf numFmtId="0" fontId="6" fillId="10" borderId="16" xfId="0" applyFont="1" applyFill="1" applyBorder="1" applyAlignment="1">
      <alignment horizontal="center" vertical="center" wrapText="1"/>
    </xf>
    <xf numFmtId="0" fontId="7" fillId="11" borderId="4" xfId="0" applyFont="1" applyFill="1" applyBorder="1" applyAlignment="1">
      <alignment horizontal="left" vertical="center"/>
    </xf>
    <xf numFmtId="0" fontId="6" fillId="0" borderId="17" xfId="0" applyFont="1" applyBorder="1" applyAlignment="1">
      <alignment horizontal="center"/>
    </xf>
    <xf numFmtId="0" fontId="32" fillId="4" borderId="1" xfId="0" applyFont="1" applyFill="1" applyBorder="1" applyAlignment="1">
      <alignment horizontal="left" vertical="top" wrapText="1"/>
    </xf>
    <xf numFmtId="0" fontId="32" fillId="4" borderId="0" xfId="0" applyFont="1" applyFill="1" applyBorder="1" applyAlignment="1">
      <alignment horizontal="left" vertical="top" wrapText="1"/>
    </xf>
    <xf numFmtId="0" fontId="30" fillId="4" borderId="1" xfId="0" quotePrefix="1" applyFont="1" applyFill="1" applyBorder="1" applyAlignment="1">
      <alignment horizontal="left" vertical="top" wrapText="1"/>
    </xf>
    <xf numFmtId="0" fontId="30" fillId="4" borderId="0" xfId="0" quotePrefix="1" applyFont="1" applyFill="1" applyBorder="1" applyAlignment="1">
      <alignment horizontal="left" vertical="top" wrapText="1"/>
    </xf>
    <xf numFmtId="10" fontId="22" fillId="12" borderId="12" xfId="0" applyNumberFormat="1" applyFont="1" applyFill="1" applyBorder="1" applyAlignment="1">
      <alignment horizontal="center"/>
    </xf>
    <xf numFmtId="10" fontId="22" fillId="12"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166" fontId="25" fillId="5" borderId="4" xfId="3" applyFont="1" applyFill="1" applyBorder="1"/>
    <xf numFmtId="0" fontId="7" fillId="5" borderId="4" xfId="0" applyFont="1" applyFill="1" applyBorder="1" applyAlignment="1">
      <alignment horizontal="left"/>
    </xf>
    <xf numFmtId="0" fontId="7" fillId="5" borderId="4" xfId="0" applyFont="1" applyFill="1" applyBorder="1" applyAlignment="1">
      <alignment horizontal="right"/>
    </xf>
    <xf numFmtId="167" fontId="6" fillId="11" borderId="4" xfId="2" applyNumberFormat="1" applyFont="1" applyFill="1" applyBorder="1"/>
    <xf numFmtId="167" fontId="7" fillId="5" borderId="4" xfId="2" applyNumberFormat="1"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43">
          <cell r="M43">
            <v>0.46592661151676018</v>
          </cell>
        </row>
        <row r="48">
          <cell r="M48">
            <v>0.16037758511933414</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1"/>
  <sheetViews>
    <sheetView showGridLines="0" tabSelected="1" zoomScale="90" zoomScaleNormal="90" workbookViewId="0">
      <selection activeCell="H60" sqref="H60"/>
    </sheetView>
  </sheetViews>
  <sheetFormatPr defaultRowHeight="12.75" x14ac:dyDescent="0.2"/>
  <cols>
    <col min="1" max="1" width="2.42578125" style="77" customWidth="1"/>
    <col min="2" max="2" width="41.85546875" style="77" customWidth="1"/>
    <col min="3" max="3" width="24.85546875" style="77" customWidth="1"/>
    <col min="4" max="4" width="25.85546875" style="77" bestFit="1" customWidth="1"/>
    <col min="5" max="5" width="13.85546875" style="77" customWidth="1"/>
    <col min="6" max="6" width="14" style="77" customWidth="1"/>
    <col min="7" max="7" width="12.85546875" style="77" customWidth="1"/>
    <col min="8" max="8" width="13.28515625" style="77" customWidth="1"/>
    <col min="9" max="9" width="11.5703125" style="77" customWidth="1"/>
    <col min="10" max="16384" width="9.140625" style="77"/>
  </cols>
  <sheetData>
    <row r="2" spans="2:19" x14ac:dyDescent="0.2">
      <c r="B2" s="75" t="s">
        <v>7</v>
      </c>
      <c r="C2" s="76"/>
      <c r="D2" s="76"/>
      <c r="E2" s="76"/>
      <c r="F2" s="76"/>
      <c r="G2" s="76"/>
      <c r="H2" s="76"/>
      <c r="O2" s="78"/>
      <c r="P2" s="78"/>
      <c r="Q2" s="78"/>
      <c r="R2" s="78"/>
      <c r="S2" s="78"/>
    </row>
    <row r="3" spans="2:19" ht="75.75" customHeight="1" x14ac:dyDescent="0.2">
      <c r="B3" s="79" t="s">
        <v>50</v>
      </c>
      <c r="C3" s="228" t="s">
        <v>58</v>
      </c>
      <c r="D3" s="229"/>
      <c r="E3" s="229"/>
      <c r="F3" s="229"/>
      <c r="G3" s="229"/>
      <c r="H3" s="229"/>
      <c r="M3" s="80"/>
      <c r="N3" s="80"/>
      <c r="O3" s="78"/>
      <c r="P3" s="78"/>
      <c r="Q3" s="78"/>
      <c r="R3" s="78"/>
      <c r="S3" s="78"/>
    </row>
    <row r="4" spans="2:19" ht="55.5" customHeight="1" x14ac:dyDescent="0.2">
      <c r="B4" s="81"/>
      <c r="C4" s="82"/>
      <c r="D4" s="82"/>
      <c r="E4" s="83"/>
      <c r="F4" s="84"/>
      <c r="G4" s="84"/>
      <c r="H4" s="84"/>
      <c r="M4" s="80"/>
      <c r="N4" s="80"/>
      <c r="O4" s="78"/>
      <c r="P4" s="78"/>
      <c r="Q4" s="78"/>
      <c r="R4" s="78"/>
      <c r="S4" s="78"/>
    </row>
    <row r="5" spans="2:19" x14ac:dyDescent="0.2">
      <c r="B5" s="85" t="s">
        <v>13</v>
      </c>
      <c r="C5" s="86"/>
      <c r="D5" s="161" t="s">
        <v>114</v>
      </c>
      <c r="E5" s="87"/>
      <c r="F5" s="88"/>
      <c r="G5" s="88"/>
      <c r="H5" s="88"/>
      <c r="M5" s="80"/>
      <c r="N5" s="80"/>
      <c r="O5" s="78"/>
      <c r="P5" s="78"/>
      <c r="Q5" s="78"/>
      <c r="R5" s="78"/>
      <c r="S5" s="78"/>
    </row>
    <row r="6" spans="2:19" ht="15" customHeight="1" x14ac:dyDescent="0.2">
      <c r="B6" s="237" t="s">
        <v>155</v>
      </c>
      <c r="C6" s="198" t="s">
        <v>110</v>
      </c>
      <c r="D6" s="199" t="s">
        <v>112</v>
      </c>
      <c r="E6" s="87"/>
      <c r="F6" s="88"/>
      <c r="G6" s="88"/>
      <c r="H6" s="88"/>
      <c r="M6" s="80"/>
      <c r="N6" s="80"/>
      <c r="O6" s="78"/>
      <c r="P6" s="78"/>
      <c r="Q6" s="78"/>
      <c r="R6" s="78"/>
      <c r="S6" s="78"/>
    </row>
    <row r="7" spans="2:19" x14ac:dyDescent="0.2">
      <c r="B7" s="238"/>
      <c r="C7" s="198" t="s">
        <v>111</v>
      </c>
      <c r="D7" s="199" t="s">
        <v>112</v>
      </c>
      <c r="E7" s="87"/>
      <c r="F7" s="88"/>
      <c r="G7" s="88"/>
      <c r="H7" s="88"/>
      <c r="M7" s="80"/>
      <c r="N7" s="80"/>
      <c r="O7" s="78"/>
      <c r="P7" s="78"/>
      <c r="Q7" s="78"/>
      <c r="R7" s="78"/>
      <c r="S7" s="78"/>
    </row>
    <row r="8" spans="2:19" x14ac:dyDescent="0.2">
      <c r="B8" s="235" t="s">
        <v>75</v>
      </c>
      <c r="C8" s="162" t="s">
        <v>110</v>
      </c>
      <c r="D8" s="89">
        <f>'Proposed price build-up'!L16</f>
        <v>25.417788596306345</v>
      </c>
      <c r="E8" s="233"/>
      <c r="F8" s="233"/>
      <c r="G8" s="233"/>
      <c r="H8" s="233"/>
      <c r="O8" s="78"/>
      <c r="P8" s="78"/>
      <c r="Q8" s="78"/>
      <c r="R8" s="78"/>
      <c r="S8" s="78"/>
    </row>
    <row r="9" spans="2:19" x14ac:dyDescent="0.2">
      <c r="B9" s="236"/>
      <c r="C9" s="162" t="s">
        <v>111</v>
      </c>
      <c r="D9" s="89">
        <f>'Proposed price build-up'!X16</f>
        <v>26.420001631198268</v>
      </c>
      <c r="E9" s="233"/>
      <c r="F9" s="233"/>
      <c r="G9" s="233"/>
      <c r="H9" s="233"/>
      <c r="O9" s="78"/>
      <c r="P9" s="78"/>
      <c r="Q9" s="78"/>
      <c r="R9" s="78"/>
      <c r="S9" s="78"/>
    </row>
    <row r="10" spans="2:19" x14ac:dyDescent="0.2">
      <c r="B10" s="196"/>
      <c r="C10" s="162" t="s">
        <v>127</v>
      </c>
      <c r="D10" s="205" t="s">
        <v>128</v>
      </c>
      <c r="E10" s="195"/>
      <c r="F10" s="195"/>
      <c r="G10" s="195"/>
      <c r="H10" s="195"/>
      <c r="O10" s="78"/>
      <c r="P10" s="78"/>
      <c r="Q10" s="78"/>
      <c r="R10" s="78"/>
      <c r="S10" s="78"/>
    </row>
    <row r="11" spans="2:19" x14ac:dyDescent="0.2">
      <c r="B11" s="90" t="s">
        <v>43</v>
      </c>
      <c r="C11" s="234" t="s">
        <v>59</v>
      </c>
      <c r="D11" s="234"/>
      <c r="E11" s="91"/>
      <c r="F11" s="91"/>
      <c r="G11" s="91"/>
      <c r="H11" s="91"/>
      <c r="O11" s="78"/>
      <c r="P11" s="78"/>
      <c r="Q11" s="78"/>
      <c r="R11" s="78"/>
      <c r="S11" s="78"/>
    </row>
    <row r="12" spans="2:19" x14ac:dyDescent="0.2">
      <c r="B12" s="92" t="s">
        <v>5</v>
      </c>
      <c r="C12" s="93"/>
      <c r="D12" s="93"/>
      <c r="E12" s="93"/>
      <c r="F12" s="93"/>
      <c r="G12" s="93"/>
      <c r="H12" s="94"/>
      <c r="O12" s="78"/>
      <c r="P12" s="78"/>
      <c r="Q12" s="78"/>
      <c r="R12" s="78"/>
      <c r="S12" s="78"/>
    </row>
    <row r="13" spans="2:19" ht="89.25" customHeight="1" x14ac:dyDescent="0.2">
      <c r="B13" s="230" t="s">
        <v>113</v>
      </c>
      <c r="C13" s="231"/>
      <c r="D13" s="231"/>
      <c r="E13" s="231"/>
      <c r="F13" s="231"/>
      <c r="G13" s="231"/>
      <c r="H13" s="231"/>
      <c r="O13" s="78"/>
      <c r="P13" s="78"/>
      <c r="Q13" s="78"/>
      <c r="R13" s="78"/>
      <c r="S13" s="78"/>
    </row>
    <row r="14" spans="2:19" x14ac:dyDescent="0.2">
      <c r="B14" s="95"/>
      <c r="C14" s="95"/>
      <c r="D14" s="95"/>
      <c r="E14" s="95"/>
      <c r="F14" s="95"/>
      <c r="G14" s="95"/>
      <c r="H14" s="95"/>
      <c r="O14" s="78"/>
      <c r="P14" s="78"/>
      <c r="Q14" s="78"/>
      <c r="R14" s="78"/>
      <c r="S14" s="78"/>
    </row>
    <row r="15" spans="2:19" x14ac:dyDescent="0.2">
      <c r="O15" s="78"/>
      <c r="P15" s="78"/>
      <c r="Q15" s="78"/>
      <c r="R15" s="78"/>
      <c r="S15" s="78"/>
    </row>
    <row r="16" spans="2:19" x14ac:dyDescent="0.2">
      <c r="B16" s="96" t="s">
        <v>31</v>
      </c>
      <c r="C16" s="76"/>
      <c r="D16" s="76"/>
      <c r="E16" s="76"/>
      <c r="F16" s="76"/>
      <c r="G16" s="76"/>
      <c r="H16" s="76"/>
      <c r="O16" s="78"/>
      <c r="P16" s="78"/>
      <c r="Q16" s="78"/>
      <c r="R16" s="78"/>
      <c r="S16" s="78"/>
    </row>
    <row r="17" spans="2:9" x14ac:dyDescent="0.2">
      <c r="B17" s="224"/>
      <c r="C17" s="224"/>
      <c r="D17" s="224"/>
      <c r="E17" s="224"/>
      <c r="F17" s="224"/>
      <c r="G17" s="224"/>
      <c r="H17" s="224"/>
    </row>
    <row r="18" spans="2:9" ht="112.5" customHeight="1" x14ac:dyDescent="0.2">
      <c r="B18" s="232" t="s">
        <v>154</v>
      </c>
      <c r="C18" s="232"/>
      <c r="D18" s="232"/>
      <c r="E18" s="232"/>
      <c r="F18" s="232"/>
      <c r="G18" s="232"/>
      <c r="H18" s="232"/>
      <c r="I18" s="78"/>
    </row>
    <row r="19" spans="2:9" x14ac:dyDescent="0.2">
      <c r="B19" s="98"/>
      <c r="C19" s="98"/>
      <c r="D19" s="98"/>
      <c r="E19" s="98"/>
      <c r="F19" s="98"/>
      <c r="G19" s="98"/>
      <c r="H19" s="98"/>
    </row>
    <row r="20" spans="2:9" x14ac:dyDescent="0.2">
      <c r="B20" s="99"/>
      <c r="C20" s="99"/>
      <c r="D20" s="99"/>
      <c r="E20" s="99"/>
      <c r="F20" s="99"/>
      <c r="G20" s="99"/>
      <c r="H20" s="99"/>
    </row>
    <row r="21" spans="2:9" x14ac:dyDescent="0.2">
      <c r="B21" s="96" t="s">
        <v>38</v>
      </c>
      <c r="C21" s="76"/>
      <c r="D21" s="76"/>
      <c r="E21" s="76"/>
      <c r="F21" s="76"/>
      <c r="G21" s="76"/>
      <c r="H21" s="76"/>
    </row>
    <row r="22" spans="2:9" x14ac:dyDescent="0.2">
      <c r="B22" s="225" t="s">
        <v>105</v>
      </c>
      <c r="C22" s="225"/>
      <c r="D22" s="225"/>
      <c r="E22" s="225"/>
      <c r="F22" s="225"/>
      <c r="G22" s="225"/>
      <c r="H22" s="225"/>
    </row>
    <row r="23" spans="2:9" x14ac:dyDescent="0.2">
      <c r="B23" s="226"/>
      <c r="C23" s="226"/>
      <c r="D23" s="226"/>
      <c r="E23" s="226"/>
      <c r="F23" s="226"/>
      <c r="G23" s="226"/>
      <c r="H23" s="226"/>
    </row>
    <row r="24" spans="2:9" x14ac:dyDescent="0.2">
      <c r="B24" s="226"/>
      <c r="C24" s="226"/>
      <c r="D24" s="226"/>
      <c r="E24" s="226"/>
      <c r="F24" s="226"/>
      <c r="G24" s="226"/>
      <c r="H24" s="226"/>
    </row>
    <row r="25" spans="2:9" x14ac:dyDescent="0.2">
      <c r="B25" s="226"/>
      <c r="C25" s="227"/>
      <c r="D25" s="227"/>
      <c r="E25" s="227"/>
      <c r="F25" s="227"/>
      <c r="G25" s="227"/>
      <c r="H25" s="227"/>
    </row>
    <row r="26" spans="2:9" x14ac:dyDescent="0.2">
      <c r="B26" s="97"/>
      <c r="C26" s="97"/>
      <c r="D26" s="97"/>
      <c r="E26" s="97"/>
      <c r="F26" s="97"/>
      <c r="G26" s="97"/>
      <c r="H26" s="97"/>
    </row>
    <row r="27" spans="2:9" x14ac:dyDescent="0.2">
      <c r="B27" s="224"/>
      <c r="C27" s="224"/>
      <c r="D27" s="224"/>
      <c r="E27" s="224"/>
      <c r="F27" s="224"/>
      <c r="G27" s="224"/>
      <c r="H27" s="224"/>
    </row>
    <row r="28" spans="2:9" x14ac:dyDescent="0.2">
      <c r="B28" s="98"/>
      <c r="C28" s="98"/>
      <c r="D28" s="98"/>
      <c r="E28" s="98"/>
      <c r="F28" s="98"/>
      <c r="G28" s="98"/>
      <c r="H28" s="98"/>
    </row>
    <row r="29" spans="2:9" x14ac:dyDescent="0.2">
      <c r="B29" s="98"/>
      <c r="C29" s="98"/>
      <c r="D29" s="98"/>
      <c r="E29" s="98"/>
      <c r="F29" s="98"/>
      <c r="G29" s="98"/>
      <c r="H29" s="98"/>
    </row>
    <row r="30" spans="2:9" x14ac:dyDescent="0.2">
      <c r="B30" s="98"/>
      <c r="C30" s="98"/>
      <c r="D30" s="98"/>
      <c r="E30" s="98"/>
      <c r="F30" s="98"/>
      <c r="G30" s="98"/>
      <c r="H30" s="98"/>
    </row>
    <row r="31" spans="2:9" x14ac:dyDescent="0.2">
      <c r="B31" s="98"/>
      <c r="C31" s="98"/>
      <c r="D31" s="98"/>
      <c r="E31" s="98"/>
      <c r="F31" s="98"/>
      <c r="G31" s="98"/>
      <c r="H31" s="98"/>
    </row>
    <row r="32" spans="2:9" x14ac:dyDescent="0.2">
      <c r="B32" s="100"/>
      <c r="C32" s="100"/>
      <c r="D32" s="100"/>
      <c r="E32" s="100"/>
      <c r="F32" s="100"/>
      <c r="G32" s="100"/>
      <c r="H32" s="100"/>
      <c r="I32" s="78"/>
    </row>
    <row r="33" spans="2:8" x14ac:dyDescent="0.2">
      <c r="B33" s="96" t="s">
        <v>6</v>
      </c>
    </row>
    <row r="34" spans="2:8" x14ac:dyDescent="0.2">
      <c r="B34" s="101" t="s">
        <v>14</v>
      </c>
      <c r="C34" s="102" t="s">
        <v>29</v>
      </c>
      <c r="D34" s="102"/>
      <c r="E34" s="102"/>
      <c r="F34" s="102"/>
      <c r="G34" s="102"/>
      <c r="H34" s="102"/>
    </row>
    <row r="35" spans="2:8" x14ac:dyDescent="0.2">
      <c r="B35" s="103" t="s">
        <v>41</v>
      </c>
      <c r="C35" s="102" t="s">
        <v>46</v>
      </c>
      <c r="D35" s="102"/>
      <c r="E35" s="102"/>
      <c r="F35" s="102"/>
      <c r="G35" s="102"/>
      <c r="H35" s="102"/>
    </row>
    <row r="36" spans="2:8" x14ac:dyDescent="0.2">
      <c r="B36" s="103" t="s">
        <v>42</v>
      </c>
      <c r="C36" s="102" t="s">
        <v>47</v>
      </c>
      <c r="D36" s="102"/>
      <c r="E36" s="102"/>
      <c r="F36" s="102"/>
      <c r="G36" s="102"/>
      <c r="H36" s="102"/>
    </row>
    <row r="37" spans="2:8" x14ac:dyDescent="0.2">
      <c r="B37" s="103" t="s">
        <v>15</v>
      </c>
      <c r="C37" s="102" t="s">
        <v>30</v>
      </c>
      <c r="D37" s="102"/>
      <c r="E37" s="102"/>
      <c r="F37" s="102"/>
      <c r="G37" s="102"/>
      <c r="H37" s="102"/>
    </row>
    <row r="40" spans="2:8" x14ac:dyDescent="0.2">
      <c r="B40" s="96" t="s">
        <v>32</v>
      </c>
      <c r="C40" s="76"/>
      <c r="D40" s="76"/>
      <c r="E40" s="76"/>
      <c r="F40" s="76"/>
      <c r="G40" s="76"/>
      <c r="H40" s="76"/>
    </row>
    <row r="42" spans="2:8" x14ac:dyDescent="0.2">
      <c r="B42" s="104"/>
      <c r="C42" s="105" t="s">
        <v>33</v>
      </c>
      <c r="D42" s="105" t="s">
        <v>34</v>
      </c>
      <c r="E42" s="105" t="s">
        <v>35</v>
      </c>
      <c r="F42" s="105" t="s">
        <v>37</v>
      </c>
      <c r="G42" s="105" t="s">
        <v>36</v>
      </c>
      <c r="H42" s="106" t="s">
        <v>1</v>
      </c>
    </row>
    <row r="43" spans="2:8" x14ac:dyDescent="0.2">
      <c r="C43" s="107"/>
      <c r="D43" s="107"/>
      <c r="E43" s="107"/>
      <c r="F43" s="107"/>
      <c r="G43" s="107"/>
      <c r="H43" s="107"/>
    </row>
    <row r="44" spans="2:8" x14ac:dyDescent="0.2">
      <c r="B44" s="123" t="s">
        <v>76</v>
      </c>
      <c r="C44" s="108">
        <f>'Forecast Revenue - Costs'!D28</f>
        <v>2997.3666666666668</v>
      </c>
      <c r="D44" s="108">
        <f>'Forecast Revenue - Costs'!E28</f>
        <v>2997.3666666666668</v>
      </c>
      <c r="E44" s="108">
        <f>'Forecast Revenue - Costs'!F28</f>
        <v>3030.3377</v>
      </c>
      <c r="F44" s="108">
        <f>'Forecast Revenue - Costs'!G28</f>
        <v>3100.4354716764001</v>
      </c>
      <c r="G44" s="108">
        <f>'Forecast Revenue - Costs'!H28</f>
        <v>3205.145154355293</v>
      </c>
      <c r="H44" s="108">
        <f>SUM(C44:G44)</f>
        <v>15330.651659365027</v>
      </c>
    </row>
    <row r="45" spans="2:8" x14ac:dyDescent="0.2">
      <c r="C45" s="109"/>
      <c r="D45" s="110"/>
      <c r="E45" s="109"/>
      <c r="F45" s="109"/>
      <c r="G45" s="109"/>
    </row>
    <row r="46" spans="2:8" x14ac:dyDescent="0.2">
      <c r="B46" s="123" t="s">
        <v>77</v>
      </c>
      <c r="C46" s="108">
        <f>SUM('Forecast Revenue - Costs'!D29:D31)</f>
        <v>2186.4123560837943</v>
      </c>
      <c r="D46" s="108">
        <f>SUM('Forecast Revenue - Costs'!E29:E31)</f>
        <v>2186.4123560837943</v>
      </c>
      <c r="E46" s="108">
        <f>SUM('Forecast Revenue - Costs'!F29:F31)</f>
        <v>2210.4628920007162</v>
      </c>
      <c r="F46" s="108">
        <f>SUM('Forecast Revenue - Costs'!G29:G31)</f>
        <v>2261.5953196184769</v>
      </c>
      <c r="G46" s="108">
        <f>SUM('Forecast Revenue - Costs'!H29:H31)</f>
        <v>2337.9752121944302</v>
      </c>
      <c r="H46" s="108">
        <f>SUM(C46:G46)</f>
        <v>11182.858135981212</v>
      </c>
    </row>
    <row r="47" spans="2:8" x14ac:dyDescent="0.2">
      <c r="C47" s="109"/>
      <c r="D47" s="110"/>
      <c r="E47" s="109"/>
      <c r="F47" s="109"/>
      <c r="G47" s="109"/>
    </row>
    <row r="48" spans="2:8" x14ac:dyDescent="0.2">
      <c r="B48" s="123" t="s">
        <v>78</v>
      </c>
      <c r="C48" s="108">
        <f t="shared" ref="C48:H48" si="0">+C44+C46</f>
        <v>5183.7790227504611</v>
      </c>
      <c r="D48" s="108">
        <f t="shared" si="0"/>
        <v>5183.7790227504611</v>
      </c>
      <c r="E48" s="108">
        <f t="shared" si="0"/>
        <v>5240.8005920007163</v>
      </c>
      <c r="F48" s="108">
        <f t="shared" si="0"/>
        <v>5362.0307912948774</v>
      </c>
      <c r="G48" s="108">
        <f t="shared" si="0"/>
        <v>5543.1203665497233</v>
      </c>
      <c r="H48" s="108">
        <f t="shared" si="0"/>
        <v>26513.509795346239</v>
      </c>
    </row>
    <row r="49" spans="2:9" x14ac:dyDescent="0.2">
      <c r="C49" s="111"/>
      <c r="D49" s="111"/>
      <c r="E49" s="111"/>
      <c r="F49" s="111"/>
      <c r="G49" s="111"/>
    </row>
    <row r="50" spans="2:9" x14ac:dyDescent="0.2">
      <c r="B50" s="112" t="s">
        <v>6</v>
      </c>
    </row>
    <row r="51" spans="2:9" ht="14.25" customHeight="1" x14ac:dyDescent="0.2">
      <c r="B51" s="223"/>
      <c r="C51" s="223"/>
      <c r="D51" s="223"/>
      <c r="E51" s="223"/>
      <c r="F51" s="223"/>
      <c r="G51" s="223"/>
      <c r="H51" s="223"/>
    </row>
    <row r="52" spans="2:9" x14ac:dyDescent="0.2">
      <c r="B52" s="224"/>
      <c r="C52" s="224"/>
      <c r="D52" s="224"/>
      <c r="E52" s="224"/>
      <c r="F52" s="224"/>
      <c r="G52" s="224"/>
      <c r="H52" s="224"/>
      <c r="I52" s="78"/>
    </row>
    <row r="53" spans="2:9" ht="27.75" customHeight="1" x14ac:dyDescent="0.2">
      <c r="B53" s="224"/>
      <c r="C53" s="224"/>
      <c r="D53" s="224"/>
      <c r="E53" s="224"/>
      <c r="F53" s="224"/>
      <c r="G53" s="224"/>
      <c r="H53" s="224"/>
    </row>
    <row r="56" spans="2:9" x14ac:dyDescent="0.2">
      <c r="B56" s="96" t="s">
        <v>62</v>
      </c>
      <c r="C56" s="76"/>
      <c r="D56" s="76"/>
      <c r="E56" s="76"/>
      <c r="F56" s="76"/>
      <c r="G56" s="76"/>
      <c r="H56" s="76"/>
    </row>
    <row r="57" spans="2:9" x14ac:dyDescent="0.2">
      <c r="B57" s="113"/>
    </row>
    <row r="58" spans="2:9" x14ac:dyDescent="0.2">
      <c r="B58" s="114"/>
      <c r="C58" s="115" t="s">
        <v>33</v>
      </c>
      <c r="D58" s="115" t="s">
        <v>34</v>
      </c>
      <c r="E58" s="115" t="s">
        <v>35</v>
      </c>
      <c r="F58" s="115" t="s">
        <v>37</v>
      </c>
      <c r="G58" s="115" t="s">
        <v>36</v>
      </c>
      <c r="H58" s="116" t="s">
        <v>1</v>
      </c>
    </row>
    <row r="59" spans="2:9" x14ac:dyDescent="0.2">
      <c r="C59" s="117"/>
      <c r="D59" s="117"/>
      <c r="E59" s="117"/>
      <c r="F59" s="117"/>
      <c r="G59" s="117"/>
      <c r="H59" s="117"/>
    </row>
    <row r="60" spans="2:9" x14ac:dyDescent="0.2">
      <c r="B60" s="114" t="s">
        <v>12</v>
      </c>
      <c r="C60" s="118">
        <f>'Forecast Revenue - Costs'!D$14</f>
        <v>200</v>
      </c>
      <c r="D60" s="118">
        <f>'Forecast Revenue - Costs'!E$14</f>
        <v>200</v>
      </c>
      <c r="E60" s="118">
        <f>'Forecast Revenue - Costs'!F$14</f>
        <v>200</v>
      </c>
      <c r="F60" s="118">
        <f>'Forecast Revenue - Costs'!G$14</f>
        <v>200</v>
      </c>
      <c r="G60" s="118">
        <f>'Forecast Revenue - Costs'!H$14</f>
        <v>200</v>
      </c>
      <c r="H60" s="118">
        <f>SUM(C60:G60)</f>
        <v>1000</v>
      </c>
    </row>
    <row r="61" spans="2:9" x14ac:dyDescent="0.2">
      <c r="C61" s="119"/>
      <c r="D61" s="119"/>
      <c r="E61" s="119"/>
      <c r="F61" s="119"/>
      <c r="G61" s="119"/>
      <c r="H61" s="120"/>
    </row>
  </sheetData>
  <mergeCells count="17">
    <mergeCell ref="C3:H3"/>
    <mergeCell ref="B17:H17"/>
    <mergeCell ref="B13:H13"/>
    <mergeCell ref="B18:H18"/>
    <mergeCell ref="E8:E9"/>
    <mergeCell ref="F8:F9"/>
    <mergeCell ref="G8:G9"/>
    <mergeCell ref="H8:H9"/>
    <mergeCell ref="C11:D11"/>
    <mergeCell ref="B8:B9"/>
    <mergeCell ref="B6:B7"/>
    <mergeCell ref="B51:H53"/>
    <mergeCell ref="B22:H22"/>
    <mergeCell ref="B23:H23"/>
    <mergeCell ref="B24:H24"/>
    <mergeCell ref="B25:H25"/>
    <mergeCell ref="B27:H27"/>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D26" sqref="D26"/>
    </sheetView>
  </sheetViews>
  <sheetFormatPr defaultRowHeight="12.75" x14ac:dyDescent="0.2"/>
  <cols>
    <col min="1" max="1" width="2.28515625" style="1" customWidth="1"/>
    <col min="2" max="2" width="2.42578125" style="42" customWidth="1"/>
    <col min="3" max="3" width="10.140625" style="42" customWidth="1"/>
    <col min="4" max="9" width="13.140625" style="42" customWidth="1"/>
    <col min="10" max="11" width="9.140625" style="42"/>
    <col min="12" max="12" width="5.28515625" style="42" customWidth="1"/>
    <col min="13" max="13" width="2.42578125" style="1" customWidth="1"/>
    <col min="14" max="16384" width="9.140625" style="1"/>
  </cols>
  <sheetData>
    <row r="1" spans="2:14" ht="9" customHeight="1" x14ac:dyDescent="0.2"/>
    <row r="2" spans="2:14" ht="18" customHeight="1" x14ac:dyDescent="0.2">
      <c r="B2" s="39" t="s">
        <v>16</v>
      </c>
      <c r="C2" s="39"/>
      <c r="D2" s="39"/>
      <c r="E2" s="39"/>
      <c r="F2" s="39"/>
      <c r="G2" s="39"/>
      <c r="H2" s="39"/>
      <c r="I2" s="39"/>
      <c r="J2" s="39"/>
      <c r="K2" s="39"/>
    </row>
    <row r="3" spans="2:14" x14ac:dyDescent="0.2">
      <c r="B3" s="33" t="s">
        <v>0</v>
      </c>
      <c r="C3" s="40"/>
      <c r="D3" s="241" t="str">
        <f>'AER Summary'!C3</f>
        <v>Security Light (NEW)</v>
      </c>
      <c r="E3" s="242"/>
      <c r="F3" s="242"/>
      <c r="G3" s="242"/>
      <c r="H3" s="242"/>
      <c r="I3" s="242"/>
      <c r="J3" s="242"/>
      <c r="K3" s="242"/>
      <c r="N3" s="31"/>
    </row>
    <row r="4" spans="2:14" x14ac:dyDescent="0.2">
      <c r="N4" s="31"/>
    </row>
    <row r="5" spans="2:14" x14ac:dyDescent="0.2">
      <c r="B5" s="243" t="s">
        <v>61</v>
      </c>
      <c r="C5" s="243"/>
      <c r="D5" s="243"/>
      <c r="E5" s="243"/>
      <c r="F5" s="243"/>
      <c r="G5" s="243"/>
      <c r="H5" s="243"/>
      <c r="I5" s="243"/>
      <c r="J5" s="243"/>
      <c r="K5" s="243"/>
      <c r="N5" s="31"/>
    </row>
    <row r="6" spans="2:14" ht="22.5" customHeight="1" x14ac:dyDescent="0.2">
      <c r="B6" s="244" t="s">
        <v>60</v>
      </c>
      <c r="C6" s="245"/>
      <c r="D6" s="245"/>
      <c r="E6" s="245"/>
      <c r="F6" s="245"/>
      <c r="G6" s="245"/>
      <c r="H6" s="245"/>
      <c r="I6" s="245"/>
      <c r="J6" s="245"/>
      <c r="K6" s="245"/>
      <c r="N6" s="31"/>
    </row>
    <row r="9" spans="2:14" x14ac:dyDescent="0.2">
      <c r="B9" s="243" t="s">
        <v>39</v>
      </c>
      <c r="C9" s="243"/>
      <c r="D9" s="243"/>
      <c r="E9" s="243"/>
      <c r="F9" s="243"/>
      <c r="G9" s="243"/>
      <c r="H9" s="243"/>
      <c r="I9" s="243"/>
      <c r="J9" s="243"/>
      <c r="K9" s="243"/>
    </row>
    <row r="10" spans="2:14" ht="15" customHeight="1" x14ac:dyDescent="0.2">
      <c r="B10" s="240" t="s">
        <v>107</v>
      </c>
      <c r="C10" s="240"/>
      <c r="D10" s="240"/>
      <c r="E10" s="240"/>
      <c r="F10" s="240"/>
      <c r="G10" s="240"/>
      <c r="H10" s="240"/>
      <c r="I10" s="240"/>
      <c r="J10" s="240"/>
      <c r="K10" s="240"/>
    </row>
    <row r="11" spans="2:14" ht="24.75" customHeight="1" x14ac:dyDescent="0.2">
      <c r="B11" s="246"/>
      <c r="C11" s="246"/>
      <c r="D11" s="246"/>
      <c r="E11" s="246"/>
      <c r="F11" s="246"/>
      <c r="G11" s="246"/>
      <c r="H11" s="246"/>
      <c r="I11" s="246"/>
      <c r="J11" s="246"/>
      <c r="K11" s="246"/>
      <c r="L11" s="43"/>
      <c r="M11" s="32"/>
      <c r="N11" s="32"/>
    </row>
    <row r="12" spans="2:14" x14ac:dyDescent="0.2">
      <c r="B12" s="246"/>
      <c r="C12" s="246"/>
      <c r="D12" s="246"/>
      <c r="E12" s="246"/>
      <c r="F12" s="246"/>
      <c r="G12" s="246"/>
      <c r="H12" s="246"/>
      <c r="I12" s="246"/>
      <c r="J12" s="246"/>
      <c r="K12" s="246"/>
      <c r="L12" s="43"/>
      <c r="M12" s="32"/>
      <c r="N12" s="32"/>
    </row>
    <row r="13" spans="2:14" x14ac:dyDescent="0.2">
      <c r="B13" s="246"/>
      <c r="C13" s="246"/>
      <c r="D13" s="246"/>
      <c r="E13" s="246"/>
      <c r="F13" s="246"/>
      <c r="G13" s="246"/>
      <c r="H13" s="246"/>
      <c r="I13" s="246"/>
      <c r="J13" s="246"/>
      <c r="K13" s="246"/>
      <c r="L13" s="43"/>
      <c r="M13" s="32"/>
      <c r="N13" s="32"/>
    </row>
    <row r="14" spans="2:14" ht="12.75" customHeight="1" x14ac:dyDescent="0.2">
      <c r="B14" s="246"/>
      <c r="C14" s="246"/>
      <c r="D14" s="246"/>
      <c r="E14" s="246"/>
      <c r="F14" s="246"/>
      <c r="G14" s="246"/>
      <c r="H14" s="246"/>
      <c r="I14" s="246"/>
      <c r="J14" s="246"/>
      <c r="K14" s="246"/>
      <c r="L14" s="43"/>
      <c r="M14" s="32"/>
      <c r="N14" s="32"/>
    </row>
    <row r="15" spans="2:14" x14ac:dyDescent="0.2">
      <c r="B15" s="246"/>
      <c r="C15" s="246"/>
      <c r="D15" s="246"/>
      <c r="E15" s="246"/>
      <c r="F15" s="246"/>
      <c r="G15" s="246"/>
      <c r="H15" s="246"/>
      <c r="I15" s="246"/>
      <c r="J15" s="246"/>
      <c r="K15" s="246"/>
      <c r="L15" s="43"/>
      <c r="M15" s="32"/>
      <c r="N15" s="32"/>
    </row>
    <row r="16" spans="2:14" x14ac:dyDescent="0.2">
      <c r="B16" s="246"/>
      <c r="C16" s="246"/>
      <c r="D16" s="246"/>
      <c r="E16" s="246"/>
      <c r="F16" s="246"/>
      <c r="G16" s="246"/>
      <c r="H16" s="246"/>
      <c r="I16" s="246"/>
      <c r="J16" s="246"/>
      <c r="K16" s="246"/>
      <c r="L16" s="43"/>
      <c r="M16" s="32"/>
      <c r="N16" s="32"/>
    </row>
    <row r="17" spans="2:14" x14ac:dyDescent="0.2">
      <c r="L17" s="43"/>
      <c r="M17" s="32"/>
      <c r="N17" s="32"/>
    </row>
    <row r="18" spans="2:14" x14ac:dyDescent="0.2">
      <c r="L18" s="43"/>
      <c r="M18" s="32"/>
      <c r="N18" s="32"/>
    </row>
    <row r="19" spans="2:14" x14ac:dyDescent="0.2">
      <c r="B19" s="243" t="s">
        <v>40</v>
      </c>
      <c r="C19" s="243"/>
      <c r="D19" s="243"/>
      <c r="E19" s="243"/>
      <c r="F19" s="243"/>
      <c r="G19" s="243"/>
      <c r="H19" s="243"/>
      <c r="I19" s="243"/>
      <c r="J19" s="243"/>
      <c r="K19" s="243"/>
      <c r="L19" s="43"/>
      <c r="M19" s="32"/>
      <c r="N19" s="32"/>
    </row>
    <row r="20" spans="2:14" ht="73.5" customHeight="1" x14ac:dyDescent="0.2">
      <c r="B20" s="240" t="str">
        <f>'AER Summary'!B13:H13</f>
        <v xml:space="preserve">
Security Light
Provision of security flood lighting (night watch) as requested of a customer to provide lighting to a private property.</v>
      </c>
      <c r="C20" s="240"/>
      <c r="D20" s="240"/>
      <c r="E20" s="240"/>
      <c r="F20" s="240"/>
      <c r="G20" s="240"/>
      <c r="H20" s="240"/>
      <c r="I20" s="240"/>
      <c r="J20" s="240"/>
      <c r="K20" s="240"/>
    </row>
    <row r="21" spans="2:14" x14ac:dyDescent="0.2">
      <c r="B21" s="239"/>
      <c r="C21" s="239"/>
      <c r="D21" s="239"/>
      <c r="E21" s="239"/>
      <c r="F21" s="239"/>
      <c r="G21" s="239"/>
      <c r="H21" s="239"/>
      <c r="I21" s="239"/>
      <c r="J21" s="239"/>
      <c r="K21" s="239"/>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5" sqref="B35"/>
    </sheetView>
  </sheetViews>
  <sheetFormatPr defaultRowHeight="12.75" x14ac:dyDescent="0.2"/>
  <cols>
    <col min="1" max="1" width="3.5703125" style="44" customWidth="1"/>
    <col min="2" max="2" width="58.7109375" style="44" customWidth="1"/>
    <col min="3" max="3" width="65.140625" style="44" customWidth="1"/>
    <col min="4" max="4" width="12.85546875" style="44" customWidth="1"/>
    <col min="5" max="8" width="11.28515625" style="44" customWidth="1"/>
    <col min="9" max="9" width="12.7109375" style="44" customWidth="1"/>
    <col min="10" max="16384" width="9.140625" style="44"/>
  </cols>
  <sheetData>
    <row r="2" spans="1:9" x14ac:dyDescent="0.2">
      <c r="B2" s="41" t="s">
        <v>63</v>
      </c>
      <c r="C2" s="29"/>
      <c r="D2" s="29"/>
      <c r="E2" s="29"/>
      <c r="F2" s="29"/>
      <c r="G2" s="29"/>
      <c r="H2" s="29"/>
      <c r="I2" s="29"/>
    </row>
    <row r="3" spans="1:9" x14ac:dyDescent="0.2">
      <c r="B3" s="19" t="s">
        <v>20</v>
      </c>
      <c r="C3" s="19" t="s">
        <v>3</v>
      </c>
      <c r="D3" s="57" t="s">
        <v>53</v>
      </c>
      <c r="E3" s="57" t="s">
        <v>52</v>
      </c>
      <c r="F3" s="57" t="s">
        <v>51</v>
      </c>
      <c r="G3" s="73" t="s">
        <v>69</v>
      </c>
      <c r="H3" s="73" t="s">
        <v>70</v>
      </c>
      <c r="I3" s="20" t="s">
        <v>1</v>
      </c>
    </row>
    <row r="4" spans="1:9" x14ac:dyDescent="0.2">
      <c r="B4" s="4" t="s">
        <v>21</v>
      </c>
      <c r="C4" s="4" t="s">
        <v>66</v>
      </c>
      <c r="D4" s="69"/>
      <c r="E4" s="69"/>
      <c r="F4" s="69"/>
      <c r="G4" s="69"/>
      <c r="H4" s="69"/>
      <c r="I4" s="124">
        <f>SUM(D4:H4)</f>
        <v>0</v>
      </c>
    </row>
    <row r="5" spans="1:9" x14ac:dyDescent="0.2">
      <c r="B5" s="4" t="s">
        <v>23</v>
      </c>
      <c r="C5" s="9"/>
      <c r="D5" s="69"/>
      <c r="E5" s="69"/>
      <c r="F5" s="69"/>
      <c r="G5" s="69"/>
      <c r="H5" s="69"/>
      <c r="I5" s="124">
        <f t="shared" ref="I5:I8" si="0">SUM(D5:H5)</f>
        <v>0</v>
      </c>
    </row>
    <row r="6" spans="1:9" x14ac:dyDescent="0.2">
      <c r="B6" s="4" t="s">
        <v>24</v>
      </c>
      <c r="C6" s="4"/>
      <c r="D6" s="69">
        <v>0</v>
      </c>
      <c r="E6" s="69">
        <v>0</v>
      </c>
      <c r="F6" s="69">
        <v>0</v>
      </c>
      <c r="G6" s="69">
        <v>0</v>
      </c>
      <c r="H6" s="69">
        <v>0</v>
      </c>
      <c r="I6" s="124">
        <f t="shared" si="0"/>
        <v>0</v>
      </c>
    </row>
    <row r="7" spans="1:9" x14ac:dyDescent="0.2">
      <c r="B7" s="4" t="s">
        <v>25</v>
      </c>
      <c r="C7" s="4"/>
      <c r="D7" s="69"/>
      <c r="E7" s="69"/>
      <c r="F7" s="69"/>
      <c r="G7" s="69"/>
      <c r="H7" s="69"/>
      <c r="I7" s="124">
        <f t="shared" si="0"/>
        <v>0</v>
      </c>
    </row>
    <row r="8" spans="1:9" x14ac:dyDescent="0.2">
      <c r="B8" s="4" t="s">
        <v>22</v>
      </c>
      <c r="C8" s="4"/>
      <c r="D8" s="69"/>
      <c r="E8" s="69"/>
      <c r="F8" s="69"/>
      <c r="G8" s="69"/>
      <c r="H8" s="69"/>
      <c r="I8" s="124">
        <f t="shared" si="0"/>
        <v>0</v>
      </c>
    </row>
    <row r="9" spans="1:9" x14ac:dyDescent="0.2">
      <c r="B9" s="50" t="s">
        <v>1</v>
      </c>
      <c r="C9" s="22"/>
      <c r="D9" s="23">
        <f t="shared" ref="D9:I9" si="1">SUM(D4:D8)</f>
        <v>0</v>
      </c>
      <c r="E9" s="23">
        <f t="shared" si="1"/>
        <v>0</v>
      </c>
      <c r="F9" s="23">
        <f t="shared" si="1"/>
        <v>0</v>
      </c>
      <c r="G9" s="23">
        <f t="shared" ref="G9:H9" si="2">SUM(G4:G8)</f>
        <v>0</v>
      </c>
      <c r="H9" s="23">
        <f t="shared" si="2"/>
        <v>0</v>
      </c>
      <c r="I9" s="24">
        <f t="shared" si="1"/>
        <v>0</v>
      </c>
    </row>
    <row r="10" spans="1:9" x14ac:dyDescent="0.2">
      <c r="B10" s="46"/>
      <c r="C10" s="47"/>
      <c r="D10" s="48"/>
      <c r="E10" s="48"/>
      <c r="F10" s="48"/>
      <c r="G10" s="48"/>
      <c r="H10" s="48"/>
      <c r="I10" s="48"/>
    </row>
    <row r="11" spans="1:9" x14ac:dyDescent="0.2">
      <c r="B11" s="49" t="s">
        <v>10</v>
      </c>
      <c r="C11" s="26"/>
      <c r="D11" s="26"/>
      <c r="E11" s="26"/>
      <c r="F11" s="26"/>
      <c r="G11" s="26"/>
      <c r="H11" s="26"/>
      <c r="I11" s="26"/>
    </row>
    <row r="12" spans="1:9" x14ac:dyDescent="0.2">
      <c r="B12" s="51" t="s">
        <v>4</v>
      </c>
      <c r="C12" s="8" t="s">
        <v>9</v>
      </c>
      <c r="D12" s="58" t="s">
        <v>53</v>
      </c>
      <c r="E12" s="58" t="s">
        <v>52</v>
      </c>
      <c r="F12" s="58" t="s">
        <v>51</v>
      </c>
      <c r="G12" s="74" t="s">
        <v>69</v>
      </c>
      <c r="H12" s="74" t="s">
        <v>70</v>
      </c>
      <c r="I12" s="3" t="s">
        <v>1</v>
      </c>
    </row>
    <row r="13" spans="1:9" x14ac:dyDescent="0.2">
      <c r="B13" s="4" t="s">
        <v>19</v>
      </c>
      <c r="C13" s="9"/>
      <c r="D13" s="70"/>
      <c r="E13" s="70"/>
      <c r="F13" s="70"/>
      <c r="G13" s="70"/>
      <c r="H13" s="70"/>
      <c r="I13" s="125">
        <f>SUM(D13:H13)</f>
        <v>0</v>
      </c>
    </row>
    <row r="14" spans="1:9" x14ac:dyDescent="0.2">
      <c r="B14" s="9"/>
      <c r="C14" s="11"/>
      <c r="D14" s="10"/>
      <c r="E14" s="10"/>
      <c r="F14" s="10"/>
      <c r="G14" s="10"/>
      <c r="H14" s="10"/>
      <c r="I14" s="126">
        <f>SUM(D14:H14)</f>
        <v>0</v>
      </c>
    </row>
    <row r="15" spans="1:9" x14ac:dyDescent="0.2">
      <c r="A15" s="52"/>
      <c r="B15" s="53" t="s">
        <v>48</v>
      </c>
      <c r="C15" s="7"/>
      <c r="D15" s="12">
        <f t="shared" ref="D15:I15" si="3">SUM(D13:D14)</f>
        <v>0</v>
      </c>
      <c r="E15" s="12">
        <f t="shared" si="3"/>
        <v>0</v>
      </c>
      <c r="F15" s="12">
        <f t="shared" si="3"/>
        <v>0</v>
      </c>
      <c r="G15" s="12">
        <f t="shared" ref="G15:H15" si="4">SUM(G13:G14)</f>
        <v>0</v>
      </c>
      <c r="H15" s="12">
        <f t="shared" si="4"/>
        <v>0</v>
      </c>
      <c r="I15" s="12">
        <f t="shared" si="3"/>
        <v>0</v>
      </c>
    </row>
    <row r="17" spans="1:9" x14ac:dyDescent="0.2">
      <c r="A17" s="52"/>
      <c r="B17" s="14" t="s">
        <v>6</v>
      </c>
      <c r="C17" s="1"/>
      <c r="D17" s="13"/>
      <c r="E17" s="13"/>
      <c r="F17" s="13"/>
      <c r="G17" s="13"/>
      <c r="H17" s="13"/>
      <c r="I17" s="13"/>
    </row>
    <row r="18" spans="1:9" x14ac:dyDescent="0.2">
      <c r="B18" s="247" t="s">
        <v>71</v>
      </c>
      <c r="C18" s="248"/>
      <c r="D18" s="248"/>
      <c r="E18" s="248"/>
      <c r="F18" s="248"/>
      <c r="G18" s="248"/>
      <c r="H18" s="248"/>
      <c r="I18" s="248"/>
    </row>
    <row r="19" spans="1:9" x14ac:dyDescent="0.2">
      <c r="B19" s="249"/>
      <c r="C19" s="250"/>
      <c r="D19" s="250"/>
      <c r="E19" s="250"/>
      <c r="F19" s="250"/>
      <c r="G19" s="250"/>
      <c r="H19" s="250"/>
      <c r="I19" s="250"/>
    </row>
    <row r="20" spans="1:9" x14ac:dyDescent="0.2">
      <c r="B20" s="54"/>
      <c r="C20" s="30"/>
      <c r="D20" s="30"/>
      <c r="E20" s="30"/>
      <c r="F20" s="30"/>
      <c r="G20" s="72"/>
      <c r="H20" s="72"/>
      <c r="I20" s="30"/>
    </row>
    <row r="21" spans="1:9" x14ac:dyDescent="0.2">
      <c r="B21" s="1"/>
      <c r="C21" s="1"/>
      <c r="D21" s="13"/>
      <c r="E21" s="13"/>
      <c r="F21" s="13"/>
      <c r="G21" s="13"/>
      <c r="H21" s="13"/>
      <c r="I21" s="13"/>
    </row>
    <row r="22" spans="1:9" x14ac:dyDescent="0.2">
      <c r="B22" s="49" t="s">
        <v>67</v>
      </c>
      <c r="C22" s="26"/>
      <c r="D22" s="26"/>
      <c r="E22" s="26"/>
      <c r="F22" s="26"/>
      <c r="G22" s="26"/>
      <c r="H22" s="26"/>
      <c r="I22" s="26"/>
    </row>
    <row r="23" spans="1:9" x14ac:dyDescent="0.2">
      <c r="B23" s="55" t="s">
        <v>11</v>
      </c>
      <c r="C23" s="16"/>
      <c r="D23" s="16"/>
      <c r="E23" s="16"/>
      <c r="F23" s="16"/>
      <c r="G23" s="16"/>
      <c r="H23" s="16"/>
      <c r="I23" s="16"/>
    </row>
    <row r="24" spans="1:9" x14ac:dyDescent="0.2">
      <c r="B24" s="251"/>
      <c r="C24" s="252"/>
      <c r="D24" s="252"/>
      <c r="E24" s="252"/>
      <c r="F24" s="252"/>
      <c r="G24" s="252"/>
      <c r="H24" s="252"/>
      <c r="I24" s="252"/>
    </row>
    <row r="25" spans="1:9" x14ac:dyDescent="0.2">
      <c r="B25" s="253"/>
      <c r="C25" s="254"/>
      <c r="D25" s="254"/>
      <c r="E25" s="254"/>
      <c r="F25" s="254"/>
      <c r="G25" s="254"/>
      <c r="H25" s="254"/>
      <c r="I25" s="254"/>
    </row>
    <row r="26" spans="1:9" x14ac:dyDescent="0.2">
      <c r="B26" s="56"/>
      <c r="C26" s="18"/>
      <c r="D26" s="18"/>
      <c r="E26" s="18"/>
      <c r="F26" s="18"/>
      <c r="G26" s="18"/>
      <c r="H26" s="18"/>
      <c r="I26" s="18"/>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I15" sqref="I15"/>
    </sheetView>
  </sheetViews>
  <sheetFormatPr defaultRowHeight="12.75" x14ac:dyDescent="0.2"/>
  <cols>
    <col min="1" max="1" width="3.140625" style="165" customWidth="1"/>
    <col min="2" max="2" width="61.42578125" style="165" customWidth="1"/>
    <col min="3" max="3" width="45.140625" style="165" customWidth="1"/>
    <col min="4" max="4" width="12.85546875" style="165" customWidth="1"/>
    <col min="5" max="8" width="11.28515625" style="165" customWidth="1"/>
    <col min="9" max="9" width="12.7109375" style="165" customWidth="1"/>
    <col min="10" max="16384" width="9.140625" style="165"/>
  </cols>
  <sheetData>
    <row r="2" spans="2:9" x14ac:dyDescent="0.2">
      <c r="B2" s="163" t="s">
        <v>8</v>
      </c>
      <c r="C2" s="164"/>
      <c r="D2" s="164"/>
      <c r="E2" s="164"/>
      <c r="F2" s="164"/>
      <c r="G2" s="164"/>
      <c r="H2" s="164"/>
      <c r="I2" s="164"/>
    </row>
    <row r="3" spans="2:9" x14ac:dyDescent="0.2">
      <c r="B3" s="166"/>
      <c r="C3" s="166"/>
      <c r="D3" s="166"/>
      <c r="E3" s="166"/>
      <c r="F3" s="166"/>
      <c r="G3" s="166"/>
      <c r="H3" s="166"/>
      <c r="I3" s="166"/>
    </row>
    <row r="4" spans="2:9" x14ac:dyDescent="0.2">
      <c r="B4" s="163" t="s">
        <v>2</v>
      </c>
      <c r="C4" s="164"/>
      <c r="D4" s="164"/>
      <c r="E4" s="164"/>
      <c r="F4" s="164"/>
      <c r="G4" s="164"/>
      <c r="H4" s="164"/>
      <c r="I4" s="164"/>
    </row>
    <row r="5" spans="2:9" x14ac:dyDescent="0.2">
      <c r="B5" s="176" t="s">
        <v>64</v>
      </c>
      <c r="C5" s="176" t="s">
        <v>9</v>
      </c>
      <c r="D5" s="178" t="s">
        <v>53</v>
      </c>
      <c r="E5" s="178" t="s">
        <v>52</v>
      </c>
      <c r="F5" s="178" t="s">
        <v>51</v>
      </c>
      <c r="G5" s="179" t="s">
        <v>69</v>
      </c>
      <c r="H5" s="179" t="s">
        <v>70</v>
      </c>
      <c r="I5" s="180" t="s">
        <v>1</v>
      </c>
    </row>
    <row r="6" spans="2:9" ht="12.75" customHeight="1" x14ac:dyDescent="0.2">
      <c r="B6" s="167" t="s">
        <v>60</v>
      </c>
      <c r="C6" s="168"/>
      <c r="D6" s="169"/>
      <c r="E6" s="169"/>
      <c r="F6" s="169"/>
      <c r="G6" s="169"/>
      <c r="H6" s="169"/>
      <c r="I6" s="170">
        <f>SUM(D6:H6)</f>
        <v>0</v>
      </c>
    </row>
    <row r="7" spans="2:9" x14ac:dyDescent="0.2">
      <c r="B7" s="171"/>
      <c r="C7" s="172"/>
      <c r="D7" s="169"/>
      <c r="E7" s="169"/>
      <c r="F7" s="169"/>
      <c r="G7" s="169"/>
      <c r="H7" s="169"/>
      <c r="I7" s="170">
        <f t="shared" ref="I7:I9" si="0">SUM(D7:H7)</f>
        <v>0</v>
      </c>
    </row>
    <row r="8" spans="2:9" x14ac:dyDescent="0.2">
      <c r="B8" s="171"/>
      <c r="C8" s="172"/>
      <c r="D8" s="169"/>
      <c r="E8" s="169"/>
      <c r="F8" s="169"/>
      <c r="G8" s="169"/>
      <c r="H8" s="169"/>
      <c r="I8" s="170">
        <f t="shared" si="0"/>
        <v>0</v>
      </c>
    </row>
    <row r="9" spans="2:9" x14ac:dyDescent="0.2">
      <c r="B9" s="171"/>
      <c r="C9" s="172"/>
      <c r="D9" s="169"/>
      <c r="E9" s="169"/>
      <c r="F9" s="169"/>
      <c r="G9" s="169"/>
      <c r="H9" s="169"/>
      <c r="I9" s="170">
        <f t="shared" si="0"/>
        <v>0</v>
      </c>
    </row>
    <row r="10" spans="2:9" x14ac:dyDescent="0.2">
      <c r="B10" s="173" t="s">
        <v>1</v>
      </c>
      <c r="C10" s="174"/>
      <c r="D10" s="175">
        <f t="shared" ref="D10:I10" si="1">SUM(D6:D9)</f>
        <v>0</v>
      </c>
      <c r="E10" s="175">
        <f t="shared" si="1"/>
        <v>0</v>
      </c>
      <c r="F10" s="175">
        <f t="shared" si="1"/>
        <v>0</v>
      </c>
      <c r="G10" s="175">
        <f t="shared" ref="G10:H10" si="2">SUM(G6:G9)</f>
        <v>0</v>
      </c>
      <c r="H10" s="175">
        <f t="shared" si="2"/>
        <v>0</v>
      </c>
      <c r="I10" s="175">
        <f t="shared" si="1"/>
        <v>0</v>
      </c>
    </row>
    <row r="11" spans="2:9" x14ac:dyDescent="0.2">
      <c r="B11" s="166"/>
      <c r="C11" s="166"/>
      <c r="D11" s="166"/>
      <c r="E11" s="166"/>
      <c r="F11" s="166"/>
      <c r="G11" s="166"/>
      <c r="H11" s="166"/>
      <c r="I11" s="166"/>
    </row>
    <row r="12" spans="2:9" x14ac:dyDescent="0.2">
      <c r="B12" s="163" t="s">
        <v>10</v>
      </c>
      <c r="C12" s="164"/>
      <c r="D12" s="164"/>
      <c r="E12" s="164"/>
      <c r="F12" s="164"/>
      <c r="G12" s="164"/>
      <c r="H12" s="164"/>
      <c r="I12" s="164"/>
    </row>
    <row r="13" spans="2:9" x14ac:dyDescent="0.2">
      <c r="B13" s="176" t="s">
        <v>4</v>
      </c>
      <c r="C13" s="177" t="s">
        <v>9</v>
      </c>
      <c r="D13" s="178" t="s">
        <v>53</v>
      </c>
      <c r="E13" s="178" t="s">
        <v>52</v>
      </c>
      <c r="F13" s="178" t="s">
        <v>51</v>
      </c>
      <c r="G13" s="179" t="s">
        <v>69</v>
      </c>
      <c r="H13" s="179" t="s">
        <v>70</v>
      </c>
      <c r="I13" s="180" t="s">
        <v>1</v>
      </c>
    </row>
    <row r="14" spans="2:9" x14ac:dyDescent="0.2">
      <c r="B14" s="181" t="s">
        <v>19</v>
      </c>
      <c r="C14" s="181"/>
      <c r="D14" s="182"/>
      <c r="E14" s="182"/>
      <c r="F14" s="182"/>
      <c r="G14" s="182"/>
      <c r="H14" s="182"/>
      <c r="I14" s="183">
        <f>SUM(D14:H14)</f>
        <v>0</v>
      </c>
    </row>
    <row r="15" spans="2:9" x14ac:dyDescent="0.2">
      <c r="B15" s="181"/>
      <c r="C15" s="184"/>
      <c r="D15" s="185"/>
      <c r="E15" s="185"/>
      <c r="F15" s="185"/>
      <c r="G15" s="185"/>
      <c r="H15" s="185"/>
      <c r="I15" s="183">
        <f t="shared" ref="I15:I16" si="3">SUM(D15:H15)</f>
        <v>0</v>
      </c>
    </row>
    <row r="16" spans="2:9" x14ac:dyDescent="0.2">
      <c r="B16" s="181"/>
      <c r="C16" s="181"/>
      <c r="D16" s="185"/>
      <c r="E16" s="185"/>
      <c r="F16" s="185"/>
      <c r="G16" s="185"/>
      <c r="H16" s="185"/>
      <c r="I16" s="186">
        <f t="shared" si="3"/>
        <v>0</v>
      </c>
    </row>
    <row r="17" spans="2:9" x14ac:dyDescent="0.2">
      <c r="B17" s="187" t="s">
        <v>17</v>
      </c>
      <c r="C17" s="174"/>
      <c r="D17" s="188">
        <f t="shared" ref="D17:F17" si="4">SUM(D14:D16)</f>
        <v>0</v>
      </c>
      <c r="E17" s="188">
        <f t="shared" si="4"/>
        <v>0</v>
      </c>
      <c r="F17" s="188">
        <f t="shared" si="4"/>
        <v>0</v>
      </c>
      <c r="G17" s="188">
        <f t="shared" ref="G17:H17" si="5">SUM(G14:G16)</f>
        <v>0</v>
      </c>
      <c r="H17" s="188">
        <f t="shared" si="5"/>
        <v>0</v>
      </c>
      <c r="I17" s="188">
        <f>SUM(I14:I16)</f>
        <v>0</v>
      </c>
    </row>
    <row r="18" spans="2:9" x14ac:dyDescent="0.2">
      <c r="B18" s="166"/>
      <c r="C18" s="166"/>
      <c r="D18" s="189"/>
      <c r="E18" s="189"/>
      <c r="F18" s="189"/>
      <c r="G18" s="189"/>
      <c r="H18" s="189"/>
      <c r="I18" s="189"/>
    </row>
    <row r="19" spans="2:9" x14ac:dyDescent="0.2">
      <c r="B19" s="190" t="s">
        <v>6</v>
      </c>
      <c r="C19" s="166"/>
      <c r="D19" s="189"/>
      <c r="E19" s="189"/>
      <c r="F19" s="189"/>
      <c r="G19" s="189"/>
      <c r="H19" s="189"/>
      <c r="I19" s="189"/>
    </row>
    <row r="20" spans="2:9" x14ac:dyDescent="0.2">
      <c r="B20" s="263" t="s">
        <v>72</v>
      </c>
      <c r="C20" s="263"/>
      <c r="D20" s="263"/>
      <c r="E20" s="263"/>
      <c r="F20" s="263"/>
      <c r="G20" s="263"/>
      <c r="H20" s="263"/>
      <c r="I20" s="263"/>
    </row>
    <row r="21" spans="2:9" x14ac:dyDescent="0.2">
      <c r="B21" s="264"/>
      <c r="C21" s="264"/>
      <c r="D21" s="264"/>
      <c r="E21" s="264"/>
      <c r="F21" s="264"/>
      <c r="G21" s="264"/>
      <c r="H21" s="264"/>
      <c r="I21" s="264"/>
    </row>
    <row r="22" spans="2:9" x14ac:dyDescent="0.2">
      <c r="B22" s="166"/>
      <c r="C22" s="166"/>
      <c r="D22" s="189"/>
      <c r="E22" s="189"/>
      <c r="F22" s="189"/>
      <c r="G22" s="189"/>
      <c r="H22" s="189"/>
      <c r="I22" s="189"/>
    </row>
    <row r="23" spans="2:9" x14ac:dyDescent="0.2">
      <c r="B23" s="163" t="s">
        <v>2</v>
      </c>
      <c r="C23" s="164"/>
      <c r="D23" s="164"/>
      <c r="E23" s="164"/>
      <c r="F23" s="164"/>
      <c r="G23" s="164"/>
      <c r="H23" s="164"/>
      <c r="I23" s="164"/>
    </row>
    <row r="24" spans="2:9" x14ac:dyDescent="0.2">
      <c r="B24" s="191" t="s">
        <v>11</v>
      </c>
      <c r="C24" s="192"/>
      <c r="D24" s="192"/>
      <c r="E24" s="192"/>
      <c r="F24" s="192"/>
      <c r="G24" s="192"/>
      <c r="H24" s="192"/>
      <c r="I24" s="192"/>
    </row>
    <row r="25" spans="2:9" x14ac:dyDescent="0.2">
      <c r="B25" s="265"/>
      <c r="C25" s="265"/>
      <c r="D25" s="265"/>
      <c r="E25" s="265"/>
      <c r="F25" s="265"/>
      <c r="G25" s="265"/>
      <c r="H25" s="265"/>
      <c r="I25" s="265"/>
    </row>
    <row r="26" spans="2:9" x14ac:dyDescent="0.2">
      <c r="B26" s="266"/>
      <c r="C26" s="266"/>
      <c r="D26" s="266"/>
      <c r="E26" s="266"/>
      <c r="F26" s="266"/>
      <c r="G26" s="266"/>
      <c r="H26" s="266"/>
      <c r="I26" s="266"/>
    </row>
    <row r="27" spans="2:9" x14ac:dyDescent="0.2">
      <c r="B27" s="193"/>
      <c r="C27" s="194"/>
      <c r="D27" s="194"/>
      <c r="E27" s="194"/>
      <c r="F27" s="194"/>
      <c r="G27" s="194"/>
      <c r="H27" s="194"/>
      <c r="I27" s="194"/>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X41"/>
  <sheetViews>
    <sheetView showGridLines="0" zoomScaleNormal="100" workbookViewId="0">
      <selection activeCell="U26" sqref="U26"/>
    </sheetView>
  </sheetViews>
  <sheetFormatPr defaultRowHeight="12.75" x14ac:dyDescent="0.2"/>
  <cols>
    <col min="1" max="1" width="2.28515625" style="1" customWidth="1"/>
    <col min="2" max="2" width="30.7109375" style="1" customWidth="1"/>
    <col min="3" max="3" width="25" style="64" customWidth="1"/>
    <col min="4" max="4" width="12.85546875" style="64" customWidth="1"/>
    <col min="5" max="5" width="30.5703125" style="64" bestFit="1" customWidth="1"/>
    <col min="6" max="6" width="24.42578125" style="64" customWidth="1"/>
    <col min="7" max="7" width="15.140625" style="67" customWidth="1"/>
    <col min="8" max="13" width="13" style="1" customWidth="1"/>
    <col min="14" max="14" width="30.7109375" style="38" customWidth="1"/>
    <col min="15" max="15" width="25.5703125" style="1" customWidth="1"/>
    <col min="16" max="16" width="12.85546875" style="1" customWidth="1"/>
    <col min="17" max="17" width="30.5703125" style="1" bestFit="1" customWidth="1"/>
    <col min="18" max="18" width="23.7109375" style="1" bestFit="1" customWidth="1"/>
    <col min="19" max="19" width="15.140625" style="1" customWidth="1"/>
    <col min="20" max="24" width="13" style="1" customWidth="1"/>
    <col min="25" max="16384" width="9.140625" style="1"/>
  </cols>
  <sheetData>
    <row r="1" spans="1:24" x14ac:dyDescent="0.2">
      <c r="H1" s="38"/>
      <c r="I1" s="38"/>
      <c r="J1" s="38"/>
      <c r="K1" s="38"/>
      <c r="L1" s="38"/>
      <c r="M1" s="38"/>
    </row>
    <row r="2" spans="1:24" x14ac:dyDescent="0.2">
      <c r="B2" s="134" t="s">
        <v>49</v>
      </c>
      <c r="C2" s="135"/>
      <c r="D2" s="135"/>
      <c r="E2" s="135"/>
      <c r="F2" s="135"/>
      <c r="G2" s="135"/>
      <c r="H2" s="135"/>
      <c r="I2" s="135"/>
      <c r="J2" s="135"/>
      <c r="K2" s="135"/>
      <c r="L2" s="135"/>
      <c r="N2" s="134" t="s">
        <v>49</v>
      </c>
      <c r="O2" s="135"/>
      <c r="P2" s="135"/>
      <c r="Q2" s="135"/>
      <c r="R2" s="135"/>
      <c r="S2" s="135"/>
      <c r="T2" s="135"/>
      <c r="U2" s="135"/>
      <c r="V2" s="135"/>
      <c r="W2" s="135"/>
      <c r="X2" s="135"/>
    </row>
    <row r="3" spans="1:24" x14ac:dyDescent="0.2">
      <c r="B3" s="215" t="s">
        <v>74</v>
      </c>
      <c r="C3" s="60"/>
      <c r="D3" s="60"/>
      <c r="E3" s="60"/>
      <c r="F3" s="200"/>
      <c r="G3" s="200"/>
      <c r="H3" s="200"/>
      <c r="I3" s="200"/>
      <c r="J3" s="200"/>
      <c r="K3" s="200"/>
      <c r="L3" s="200"/>
      <c r="N3" s="215" t="s">
        <v>74</v>
      </c>
      <c r="O3" s="60"/>
      <c r="P3" s="60"/>
      <c r="Q3" s="60"/>
      <c r="R3" s="214"/>
      <c r="S3" s="214"/>
      <c r="T3" s="214"/>
      <c r="U3" s="214"/>
      <c r="V3" s="214"/>
      <c r="W3" s="214"/>
      <c r="X3" s="214"/>
    </row>
    <row r="4" spans="1:24" s="32" customFormat="1" ht="3" customHeight="1" x14ac:dyDescent="0.2">
      <c r="B4" s="34"/>
      <c r="C4" s="61"/>
      <c r="D4" s="61"/>
      <c r="E4" s="61"/>
      <c r="F4" s="34"/>
      <c r="G4" s="34"/>
      <c r="H4" s="34"/>
      <c r="I4" s="34"/>
      <c r="J4" s="34"/>
      <c r="K4" s="34"/>
      <c r="L4" s="34"/>
      <c r="N4" s="34"/>
      <c r="O4" s="61"/>
      <c r="P4" s="61"/>
      <c r="Q4" s="61"/>
      <c r="R4" s="34"/>
      <c r="S4" s="34"/>
      <c r="T4" s="34"/>
      <c r="U4" s="34"/>
      <c r="V4" s="34"/>
      <c r="W4" s="34"/>
      <c r="X4" s="34"/>
    </row>
    <row r="5" spans="1:24" ht="50.25" customHeight="1" x14ac:dyDescent="0.2">
      <c r="B5" s="204"/>
      <c r="C5" s="204" t="s">
        <v>18</v>
      </c>
      <c r="D5" s="62" t="s">
        <v>118</v>
      </c>
      <c r="E5" s="62" t="s">
        <v>119</v>
      </c>
      <c r="F5" s="65" t="s">
        <v>120</v>
      </c>
      <c r="G5" s="65" t="s">
        <v>123</v>
      </c>
      <c r="H5" s="35" t="s">
        <v>121</v>
      </c>
      <c r="I5" s="35" t="s">
        <v>81</v>
      </c>
      <c r="J5" s="35" t="s">
        <v>82</v>
      </c>
      <c r="K5" s="35" t="s">
        <v>100</v>
      </c>
      <c r="L5" s="35" t="s">
        <v>122</v>
      </c>
      <c r="N5" s="204"/>
      <c r="O5" s="204" t="s">
        <v>18</v>
      </c>
      <c r="P5" s="62" t="s">
        <v>118</v>
      </c>
      <c r="Q5" s="62" t="s">
        <v>119</v>
      </c>
      <c r="R5" s="65" t="s">
        <v>120</v>
      </c>
      <c r="S5" s="65" t="s">
        <v>123</v>
      </c>
      <c r="T5" s="35" t="s">
        <v>121</v>
      </c>
      <c r="U5" s="35" t="s">
        <v>81</v>
      </c>
      <c r="V5" s="35" t="s">
        <v>82</v>
      </c>
      <c r="W5" s="35" t="s">
        <v>100</v>
      </c>
      <c r="X5" s="35" t="s">
        <v>122</v>
      </c>
    </row>
    <row r="6" spans="1:24" ht="18" customHeight="1" x14ac:dyDescent="0.2">
      <c r="B6" s="203" t="s">
        <v>109</v>
      </c>
      <c r="C6" s="203"/>
      <c r="D6" s="203"/>
      <c r="E6" s="203"/>
      <c r="F6" s="203"/>
      <c r="G6" s="203"/>
      <c r="H6" s="203"/>
      <c r="I6" s="203"/>
      <c r="J6" s="203"/>
      <c r="K6" s="203"/>
      <c r="L6" s="201"/>
      <c r="N6" s="203" t="s">
        <v>152</v>
      </c>
      <c r="O6" s="203"/>
      <c r="P6" s="203"/>
      <c r="Q6" s="203"/>
      <c r="R6" s="203"/>
      <c r="S6" s="203"/>
      <c r="T6" s="203"/>
      <c r="U6" s="203"/>
      <c r="V6" s="203"/>
      <c r="W6" s="203"/>
      <c r="X6" s="201"/>
    </row>
    <row r="7" spans="1:24" x14ac:dyDescent="0.2">
      <c r="B7" s="255" t="s">
        <v>73</v>
      </c>
      <c r="C7" s="202" t="s">
        <v>125</v>
      </c>
      <c r="D7" s="208">
        <f>C29</f>
        <v>2.3446666666666669</v>
      </c>
      <c r="E7" s="208"/>
      <c r="F7" s="208"/>
      <c r="G7" s="209"/>
      <c r="H7" s="212">
        <f>F7+E7+D7+G7</f>
        <v>2.3446666666666669</v>
      </c>
      <c r="I7" s="206">
        <f>[1]Inputs!$M$43*H7</f>
        <v>1.092442595136297</v>
      </c>
      <c r="J7" s="206">
        <f>[1]Inputs!$M$48*H7</f>
        <v>0.37603197790979881</v>
      </c>
      <c r="K7" s="206">
        <f>[1]Inputs!$H$13*SUM(H7:J7)</f>
        <v>0.2418294174225834</v>
      </c>
      <c r="L7" s="207">
        <f>SUM(H7:K7)</f>
        <v>4.0549706571353461</v>
      </c>
      <c r="N7" s="255" t="s">
        <v>73</v>
      </c>
      <c r="O7" s="202" t="s">
        <v>125</v>
      </c>
      <c r="P7" s="208">
        <f>O29</f>
        <v>2.3446666666666669</v>
      </c>
      <c r="Q7" s="208"/>
      <c r="R7" s="208"/>
      <c r="S7" s="209"/>
      <c r="T7" s="212">
        <f>R7+Q7+P7+S7</f>
        <v>2.3446666666666669</v>
      </c>
      <c r="U7" s="206">
        <f>[1]Inputs!$M$43*T7</f>
        <v>1.092442595136297</v>
      </c>
      <c r="V7" s="206">
        <f>[1]Inputs!$M$48*T7</f>
        <v>0.37603197790979881</v>
      </c>
      <c r="W7" s="206">
        <f>[1]Inputs!$H$13*SUM(T7:V7)</f>
        <v>0.2418294174225834</v>
      </c>
      <c r="X7" s="207">
        <f>SUM(T7:W7)</f>
        <v>4.0549706571353461</v>
      </c>
    </row>
    <row r="8" spans="1:24" x14ac:dyDescent="0.2">
      <c r="B8" s="256"/>
      <c r="C8" s="202" t="s">
        <v>139</v>
      </c>
      <c r="D8" s="208"/>
      <c r="E8" s="208">
        <f>C33</f>
        <v>0.87650000000000006</v>
      </c>
      <c r="F8" s="208"/>
      <c r="G8" s="209"/>
      <c r="H8" s="212">
        <f t="shared" ref="H8:H14" si="0">F8+E8+D8+G8</f>
        <v>0.87650000000000006</v>
      </c>
      <c r="I8" s="206">
        <f>[1]Inputs!$M$43*H8</f>
        <v>0.40838467499444031</v>
      </c>
      <c r="J8" s="206">
        <f>[1]Inputs!$M$48*H8</f>
        <v>0.14057095335709638</v>
      </c>
      <c r="K8" s="206">
        <f>[1]Inputs!$H$13*SUM(H8:J8)</f>
        <v>9.0402395950054462E-2</v>
      </c>
      <c r="L8" s="207">
        <f>SUM(H8:K8)</f>
        <v>1.5158580243015911</v>
      </c>
      <c r="N8" s="256"/>
      <c r="O8" s="202" t="s">
        <v>139</v>
      </c>
      <c r="P8" s="208"/>
      <c r="Q8" s="208">
        <f>O33</f>
        <v>0.87650000000000006</v>
      </c>
      <c r="R8" s="208"/>
      <c r="S8" s="209"/>
      <c r="T8" s="212">
        <f t="shared" ref="T8:T14" si="1">R8+Q8+P8+S8</f>
        <v>0.87650000000000006</v>
      </c>
      <c r="U8" s="206">
        <f>[1]Inputs!$M$43*T8</f>
        <v>0.40838467499444031</v>
      </c>
      <c r="V8" s="206">
        <f>[1]Inputs!$M$48*T8</f>
        <v>0.14057095335709638</v>
      </c>
      <c r="W8" s="206">
        <f>[1]Inputs!$H$13*SUM(T8:V8)</f>
        <v>9.0402395950054462E-2</v>
      </c>
      <c r="X8" s="207">
        <f>SUM(T8:W8)</f>
        <v>1.5158580243015911</v>
      </c>
    </row>
    <row r="9" spans="1:24" x14ac:dyDescent="0.2">
      <c r="B9" s="256"/>
      <c r="C9" s="59" t="s">
        <v>115</v>
      </c>
      <c r="D9" s="208"/>
      <c r="E9" s="208"/>
      <c r="F9" s="208">
        <f>C25</f>
        <v>4.7120000000000006</v>
      </c>
      <c r="G9" s="209"/>
      <c r="H9" s="212">
        <f t="shared" si="0"/>
        <v>4.7120000000000006</v>
      </c>
      <c r="I9" s="206">
        <f>[1]Inputs!$M$43*H9</f>
        <v>2.1954461934669744</v>
      </c>
      <c r="J9" s="206">
        <f>[1]Inputs!$M$48*H9</f>
        <v>0.75569918108230261</v>
      </c>
      <c r="K9" s="206">
        <f>[1]Inputs!$H$13*SUM(H9:J9)</f>
        <v>0.48599667965391524</v>
      </c>
      <c r="L9" s="207">
        <f>SUM(H9:K9)</f>
        <v>8.1491420542031925</v>
      </c>
      <c r="N9" s="256"/>
      <c r="O9" s="59" t="s">
        <v>115</v>
      </c>
      <c r="P9" s="208"/>
      <c r="Q9" s="208"/>
      <c r="R9" s="208">
        <f>O25</f>
        <v>4.8615000000000004</v>
      </c>
      <c r="S9" s="209"/>
      <c r="T9" s="212">
        <f t="shared" si="1"/>
        <v>4.8615000000000004</v>
      </c>
      <c r="U9" s="206">
        <f>[1]Inputs!$M$43*T9</f>
        <v>2.2651022218887298</v>
      </c>
      <c r="V9" s="206">
        <f>[1]Inputs!$M$48*T9</f>
        <v>0.77967563005764295</v>
      </c>
      <c r="W9" s="206">
        <f>[1]Inputs!$H$13*SUM(T9:V9)</f>
        <v>0.50141614137043899</v>
      </c>
      <c r="X9" s="207">
        <f>SUM(T9:W9)</f>
        <v>8.407693993316812</v>
      </c>
    </row>
    <row r="10" spans="1:24" x14ac:dyDescent="0.2">
      <c r="B10" s="257"/>
      <c r="C10" s="59" t="s">
        <v>123</v>
      </c>
      <c r="D10" s="36"/>
      <c r="E10" s="36"/>
      <c r="F10" s="208"/>
      <c r="G10" s="211">
        <f>C37</f>
        <v>2.2230833333333333</v>
      </c>
      <c r="H10" s="212">
        <f t="shared" si="0"/>
        <v>2.2230833333333333</v>
      </c>
      <c r="I10" s="206">
        <f>[1]Inputs!$M$43*H10</f>
        <v>1.0357936846193843</v>
      </c>
      <c r="J10" s="206">
        <f>[1]Inputs!$M$48*H10</f>
        <v>0.35653273651903972</v>
      </c>
      <c r="K10" s="206">
        <f>[1]Inputs!$H$13*SUM(H10:J10)</f>
        <v>0.22928928662859885</v>
      </c>
      <c r="L10" s="207">
        <f>SUM(H10:K10)</f>
        <v>3.8446990411003559</v>
      </c>
      <c r="N10" s="257"/>
      <c r="O10" s="59" t="s">
        <v>123</v>
      </c>
      <c r="P10" s="36"/>
      <c r="Q10" s="36"/>
      <c r="R10" s="208"/>
      <c r="S10" s="211">
        <f>O37</f>
        <v>2.2230833333333333</v>
      </c>
      <c r="T10" s="212">
        <f t="shared" si="1"/>
        <v>2.2230833333333333</v>
      </c>
      <c r="U10" s="206">
        <f>[1]Inputs!$M$43*T10</f>
        <v>1.0357936846193843</v>
      </c>
      <c r="V10" s="206">
        <f>[1]Inputs!$M$48*T10</f>
        <v>0.35653273651903972</v>
      </c>
      <c r="W10" s="206">
        <f>[1]Inputs!$H$13*SUM(T10:V10)</f>
        <v>0.22928928662859885</v>
      </c>
      <c r="X10" s="207">
        <f>SUM(T10:W10)</f>
        <v>3.8446990411003559</v>
      </c>
    </row>
    <row r="11" spans="1:24" x14ac:dyDescent="0.2">
      <c r="B11" s="258" t="s">
        <v>124</v>
      </c>
      <c r="C11" s="202" t="s">
        <v>126</v>
      </c>
      <c r="D11" s="208">
        <f>F29</f>
        <v>1.7474999999999998</v>
      </c>
      <c r="E11" s="208"/>
      <c r="F11" s="208"/>
      <c r="G11" s="209"/>
      <c r="H11" s="212">
        <f t="shared" si="0"/>
        <v>1.7474999999999998</v>
      </c>
      <c r="I11" s="206">
        <f>[1]Inputs!$M$43*H11</f>
        <v>0.81420675362553829</v>
      </c>
      <c r="J11" s="206">
        <f>[1]Inputs!$M$48*H11</f>
        <v>0.28025982999603638</v>
      </c>
      <c r="K11" s="206">
        <f>[1]Inputs!$H$13*SUM(H11:J11)</f>
        <v>0.18023752073328025</v>
      </c>
      <c r="L11" s="207">
        <f>SUM(H11:K11)</f>
        <v>3.0222041043548549</v>
      </c>
      <c r="N11" s="258" t="s">
        <v>124</v>
      </c>
      <c r="O11" s="202" t="s">
        <v>126</v>
      </c>
      <c r="P11" s="208">
        <f>R29</f>
        <v>1.7041666666666666</v>
      </c>
      <c r="Q11" s="208"/>
      <c r="R11" s="208"/>
      <c r="S11" s="209"/>
      <c r="T11" s="212">
        <f t="shared" si="1"/>
        <v>1.7041666666666666</v>
      </c>
      <c r="U11" s="206">
        <f>[1]Inputs!$M$43*T11</f>
        <v>0.79401660045981215</v>
      </c>
      <c r="V11" s="206">
        <f>[1]Inputs!$M$48*T11</f>
        <v>0.27331013464086523</v>
      </c>
      <c r="W11" s="206">
        <f>[1]Inputs!$H$13*SUM(T11:V11)</f>
        <v>0.17576811154008495</v>
      </c>
      <c r="X11" s="207">
        <f>SUM(T11:W11)</f>
        <v>2.9472615133074287</v>
      </c>
    </row>
    <row r="12" spans="1:24" x14ac:dyDescent="0.2">
      <c r="B12" s="259"/>
      <c r="C12" s="202" t="s">
        <v>139</v>
      </c>
      <c r="D12" s="208"/>
      <c r="E12" s="208">
        <f>F33</f>
        <v>0.20750000000000002</v>
      </c>
      <c r="F12" s="208"/>
      <c r="G12" s="209"/>
      <c r="H12" s="212">
        <f t="shared" si="0"/>
        <v>0.20750000000000002</v>
      </c>
      <c r="I12" s="206">
        <f>[1]Inputs!$M$43*H12</f>
        <v>9.6679771889727747E-2</v>
      </c>
      <c r="J12" s="206">
        <f>[1]Inputs!$M$48*H12</f>
        <v>3.3278348912261835E-2</v>
      </c>
      <c r="K12" s="206">
        <f>[1]Inputs!$H$13*SUM(H12:J12)</f>
        <v>2.1401594021262182E-2</v>
      </c>
      <c r="L12" s="207">
        <f t="shared" ref="L12:L14" si="2">SUM(H12:K12)</f>
        <v>0.3588597148232518</v>
      </c>
      <c r="N12" s="259"/>
      <c r="O12" s="202" t="s">
        <v>139</v>
      </c>
      <c r="P12" s="208"/>
      <c r="Q12" s="208">
        <f>R33</f>
        <v>0.20750000000000002</v>
      </c>
      <c r="R12" s="208"/>
      <c r="S12" s="209"/>
      <c r="T12" s="212">
        <f t="shared" si="1"/>
        <v>0.20750000000000002</v>
      </c>
      <c r="U12" s="206">
        <f>[1]Inputs!$M$43*T12</f>
        <v>9.6679771889727747E-2</v>
      </c>
      <c r="V12" s="206">
        <f>[1]Inputs!$M$48*T12</f>
        <v>3.3278348912261835E-2</v>
      </c>
      <c r="W12" s="206">
        <f>[1]Inputs!$H$13*SUM(T12:V12)</f>
        <v>2.1401594021262182E-2</v>
      </c>
      <c r="X12" s="207">
        <f t="shared" ref="X12:X14" si="3">SUM(T12:W12)</f>
        <v>0.3588597148232518</v>
      </c>
    </row>
    <row r="13" spans="1:24" x14ac:dyDescent="0.2">
      <c r="B13" s="259"/>
      <c r="C13" s="59" t="s">
        <v>115</v>
      </c>
      <c r="D13" s="36"/>
      <c r="E13" s="36"/>
      <c r="F13" s="208">
        <f>F24</f>
        <v>1.3108333333333333</v>
      </c>
      <c r="G13" s="121"/>
      <c r="H13" s="212">
        <f t="shared" si="0"/>
        <v>1.3108333333333333</v>
      </c>
      <c r="I13" s="206">
        <f>[1]Inputs!$M$43*H13</f>
        <v>0.61075213326321975</v>
      </c>
      <c r="J13" s="206">
        <f>[1]Inputs!$M$48*H13</f>
        <v>0.21022828449392716</v>
      </c>
      <c r="K13" s="206">
        <f>[1]Inputs!$H$13*SUM(H13:J13)</f>
        <v>0.13519962809415825</v>
      </c>
      <c r="L13" s="207">
        <f t="shared" si="2"/>
        <v>2.2670133791846383</v>
      </c>
      <c r="N13" s="259"/>
      <c r="O13" s="59" t="s">
        <v>115</v>
      </c>
      <c r="P13" s="36"/>
      <c r="Q13" s="36"/>
      <c r="R13" s="208">
        <f>R24</f>
        <v>1.8683333333333334</v>
      </c>
      <c r="S13" s="121"/>
      <c r="T13" s="212">
        <f t="shared" si="1"/>
        <v>1.8683333333333334</v>
      </c>
      <c r="U13" s="206">
        <f>[1]Inputs!$M$43*T13</f>
        <v>0.87050621918381366</v>
      </c>
      <c r="V13" s="206">
        <f>[1]Inputs!$M$48*T13</f>
        <v>0.29963878819795597</v>
      </c>
      <c r="W13" s="206">
        <f>[1]Inputs!$H$13*SUM(T13:V13)</f>
        <v>0.19270029636815186</v>
      </c>
      <c r="X13" s="207">
        <f t="shared" si="3"/>
        <v>3.2311786370832549</v>
      </c>
    </row>
    <row r="14" spans="1:24" x14ac:dyDescent="0.2">
      <c r="B14" s="260"/>
      <c r="C14" s="59" t="s">
        <v>123</v>
      </c>
      <c r="D14" s="36"/>
      <c r="E14" s="36"/>
      <c r="F14" s="121"/>
      <c r="G14" s="220">
        <f>F37</f>
        <v>1.2750000000000001</v>
      </c>
      <c r="H14" s="212">
        <f t="shared" si="0"/>
        <v>1.2750000000000001</v>
      </c>
      <c r="I14" s="206">
        <f>[1]Inputs!$M$43*H14</f>
        <v>0.59405642968386929</v>
      </c>
      <c r="J14" s="206">
        <f>[1]Inputs!$M$48*H14</f>
        <v>0.20448142102715106</v>
      </c>
      <c r="K14" s="206">
        <f>[1]Inputs!$H$13*SUM(H14:J14)</f>
        <v>0.13150377049209294</v>
      </c>
      <c r="L14" s="207">
        <f t="shared" si="2"/>
        <v>2.2050416212031134</v>
      </c>
      <c r="N14" s="260"/>
      <c r="O14" s="59" t="s">
        <v>123</v>
      </c>
      <c r="P14" s="36"/>
      <c r="Q14" s="36"/>
      <c r="R14" s="121"/>
      <c r="S14" s="220">
        <f>R37</f>
        <v>1.1908333333333332</v>
      </c>
      <c r="T14" s="212">
        <f t="shared" si="1"/>
        <v>1.1908333333333332</v>
      </c>
      <c r="U14" s="206">
        <f>[1]Inputs!$M$43*T14</f>
        <v>0.55484093988120853</v>
      </c>
      <c r="V14" s="206">
        <f>[1]Inputs!$M$48*T14</f>
        <v>0.19098297427960706</v>
      </c>
      <c r="W14" s="206">
        <f>[1]Inputs!$H$13*SUM(T14:V14)</f>
        <v>0.12282280263607892</v>
      </c>
      <c r="X14" s="207">
        <f t="shared" si="3"/>
        <v>2.0594800501302277</v>
      </c>
    </row>
    <row r="15" spans="1:24" x14ac:dyDescent="0.2">
      <c r="A15" s="45"/>
      <c r="B15" s="197" t="s">
        <v>108</v>
      </c>
      <c r="C15" s="197"/>
      <c r="D15" s="122"/>
      <c r="E15" s="122"/>
      <c r="F15" s="68"/>
      <c r="G15" s="68"/>
      <c r="H15" s="36"/>
      <c r="I15" s="36"/>
      <c r="J15" s="36"/>
      <c r="K15" s="36"/>
      <c r="L15" s="36"/>
      <c r="N15" s="197" t="s">
        <v>108</v>
      </c>
      <c r="O15" s="197"/>
      <c r="P15" s="122"/>
      <c r="Q15" s="122"/>
      <c r="R15" s="68"/>
      <c r="S15" s="68"/>
      <c r="T15" s="36"/>
      <c r="U15" s="36"/>
      <c r="V15" s="36"/>
      <c r="W15" s="36"/>
      <c r="X15" s="36"/>
    </row>
    <row r="16" spans="1:24" x14ac:dyDescent="0.2">
      <c r="B16" s="261" t="s">
        <v>48</v>
      </c>
      <c r="C16" s="261"/>
      <c r="D16" s="210">
        <f>SUM(D7:D15)</f>
        <v>4.0921666666666665</v>
      </c>
      <c r="E16" s="210">
        <f t="shared" ref="E16:F16" si="4">SUM(E7:E15)</f>
        <v>1.0840000000000001</v>
      </c>
      <c r="F16" s="210">
        <f t="shared" si="4"/>
        <v>6.0228333333333337</v>
      </c>
      <c r="G16" s="210">
        <f t="shared" ref="G16" si="5">SUM(G7:G15)</f>
        <v>3.4980833333333337</v>
      </c>
      <c r="H16" s="210">
        <f t="shared" ref="H16" si="6">SUM(H7:H15)</f>
        <v>14.697083333333333</v>
      </c>
      <c r="I16" s="210">
        <f t="shared" ref="I16" si="7">SUM(I7:I15)</f>
        <v>6.8477622366794515</v>
      </c>
      <c r="J16" s="210">
        <f t="shared" ref="J16" si="8">SUM(J7:J15)</f>
        <v>2.3570827332976139</v>
      </c>
      <c r="K16" s="210">
        <f t="shared" ref="K16" si="9">SUM(K7:K15)</f>
        <v>1.5158602929959457</v>
      </c>
      <c r="L16" s="210">
        <f>SUM(L7:L15)</f>
        <v>25.417788596306345</v>
      </c>
      <c r="N16" s="261" t="s">
        <v>48</v>
      </c>
      <c r="O16" s="261"/>
      <c r="P16" s="210">
        <f>SUM(P7:P15)</f>
        <v>4.0488333333333335</v>
      </c>
      <c r="Q16" s="210">
        <f>SUM(Q7:Q15)</f>
        <v>1.0840000000000001</v>
      </c>
      <c r="R16" s="210">
        <f>SUM(R7:R15)</f>
        <v>6.7298333333333336</v>
      </c>
      <c r="S16" s="210">
        <f>SUM(S7:S15)</f>
        <v>3.4139166666666663</v>
      </c>
      <c r="T16" s="210">
        <f t="shared" ref="T16:W16" si="10">SUM(T7:T15)</f>
        <v>15.276583333333337</v>
      </c>
      <c r="U16" s="210">
        <f t="shared" si="10"/>
        <v>7.1177667080534155</v>
      </c>
      <c r="V16" s="210">
        <f t="shared" si="10"/>
        <v>2.4500215438742678</v>
      </c>
      <c r="W16" s="210">
        <f t="shared" si="10"/>
        <v>1.5756300459372536</v>
      </c>
      <c r="X16" s="210">
        <f>SUM(X7:X15)</f>
        <v>26.420001631198268</v>
      </c>
    </row>
    <row r="17" spans="2:24" ht="15" customHeight="1" x14ac:dyDescent="0.2">
      <c r="B17" s="37"/>
      <c r="C17" s="63"/>
      <c r="D17" s="63"/>
      <c r="E17" s="63"/>
      <c r="F17" s="63"/>
      <c r="G17" s="66"/>
      <c r="H17" s="213"/>
      <c r="I17" s="213"/>
      <c r="J17" s="213"/>
      <c r="K17" s="213"/>
      <c r="L17" s="213"/>
      <c r="M17" s="213"/>
      <c r="N17" s="37"/>
      <c r="O17" s="63"/>
      <c r="P17" s="63"/>
      <c r="Q17" s="63"/>
      <c r="R17" s="63"/>
      <c r="S17" s="66"/>
      <c r="T17" s="213"/>
      <c r="U17" s="213"/>
      <c r="V17" s="213"/>
      <c r="W17" s="213"/>
      <c r="X17" s="213"/>
    </row>
    <row r="18" spans="2:24" ht="15" customHeight="1" x14ac:dyDescent="0.2">
      <c r="B18" s="37"/>
      <c r="C18" s="63"/>
      <c r="D18" s="63"/>
      <c r="E18" s="63"/>
      <c r="F18" s="63"/>
      <c r="G18" s="66"/>
      <c r="H18" s="213"/>
      <c r="I18" s="213"/>
      <c r="J18" s="213"/>
      <c r="K18" s="213"/>
      <c r="L18" s="213"/>
      <c r="M18" s="213"/>
      <c r="N18" s="37"/>
      <c r="O18" s="63"/>
      <c r="P18" s="63"/>
      <c r="Q18" s="63"/>
      <c r="R18" s="63"/>
      <c r="S18" s="66"/>
      <c r="T18" s="213"/>
      <c r="U18" s="213"/>
      <c r="V18" s="213"/>
      <c r="W18" s="213"/>
      <c r="X18" s="213"/>
    </row>
    <row r="19" spans="2:24" x14ac:dyDescent="0.2">
      <c r="B19" s="262" t="s">
        <v>140</v>
      </c>
      <c r="C19" s="262"/>
      <c r="E19" s="262" t="s">
        <v>149</v>
      </c>
      <c r="F19" s="262"/>
      <c r="N19" s="262" t="s">
        <v>140</v>
      </c>
      <c r="O19" s="262"/>
      <c r="P19" s="64"/>
      <c r="Q19" s="262" t="s">
        <v>149</v>
      </c>
      <c r="R19" s="262"/>
      <c r="S19" s="67"/>
    </row>
    <row r="20" spans="2:24" ht="12.75" customHeight="1" x14ac:dyDescent="0.2">
      <c r="B20" s="216" t="s">
        <v>115</v>
      </c>
      <c r="C20" s="219" t="s">
        <v>151</v>
      </c>
      <c r="E20" s="216" t="s">
        <v>115</v>
      </c>
      <c r="F20" s="219" t="s">
        <v>150</v>
      </c>
      <c r="N20" s="216" t="s">
        <v>115</v>
      </c>
      <c r="O20" s="219" t="s">
        <v>151</v>
      </c>
      <c r="P20" s="64"/>
      <c r="Q20" s="216" t="s">
        <v>115</v>
      </c>
      <c r="R20" s="219" t="s">
        <v>150</v>
      </c>
      <c r="S20" s="67"/>
    </row>
    <row r="21" spans="2:24" ht="12.75" customHeight="1" x14ac:dyDescent="0.2">
      <c r="B21" s="218" t="s">
        <v>129</v>
      </c>
      <c r="C21" s="217">
        <v>33.29</v>
      </c>
      <c r="E21" s="218" t="s">
        <v>141</v>
      </c>
      <c r="F21" s="217">
        <v>10.29</v>
      </c>
      <c r="N21" s="218" t="s">
        <v>129</v>
      </c>
      <c r="O21" s="217">
        <v>33.29</v>
      </c>
      <c r="P21" s="64"/>
      <c r="Q21" s="218" t="s">
        <v>141</v>
      </c>
      <c r="R21" s="217">
        <v>11.2</v>
      </c>
      <c r="S21" s="67"/>
    </row>
    <row r="22" spans="2:24" x14ac:dyDescent="0.2">
      <c r="B22" s="218" t="s">
        <v>130</v>
      </c>
      <c r="C22" s="217">
        <v>80.760000000000005</v>
      </c>
      <c r="E22" s="218" t="s">
        <v>142</v>
      </c>
      <c r="F22" s="217">
        <v>5.44</v>
      </c>
      <c r="N22" s="218" t="s">
        <v>130</v>
      </c>
      <c r="O22" s="217">
        <v>80.760000000000005</v>
      </c>
      <c r="P22" s="64"/>
      <c r="Q22" s="218" t="s">
        <v>142</v>
      </c>
      <c r="R22" s="217">
        <v>11.22</v>
      </c>
      <c r="S22" s="67"/>
    </row>
    <row r="23" spans="2:24" x14ac:dyDescent="0.2">
      <c r="B23" s="218" t="s">
        <v>131</v>
      </c>
      <c r="C23" s="217">
        <v>451.39</v>
      </c>
      <c r="E23" s="218" t="s">
        <v>1</v>
      </c>
      <c r="F23" s="217">
        <f>SUM(F21:F22)</f>
        <v>15.73</v>
      </c>
      <c r="N23" s="218" t="s">
        <v>131</v>
      </c>
      <c r="O23" s="217">
        <v>469.33</v>
      </c>
      <c r="P23" s="64"/>
      <c r="Q23" s="218" t="s">
        <v>1</v>
      </c>
      <c r="R23" s="217">
        <f>SUM(R21:R22)</f>
        <v>22.42</v>
      </c>
      <c r="S23" s="67"/>
    </row>
    <row r="24" spans="2:24" x14ac:dyDescent="0.2">
      <c r="B24" s="218" t="s">
        <v>1</v>
      </c>
      <c r="C24" s="217">
        <f>SUM(C21:C23)</f>
        <v>565.44000000000005</v>
      </c>
      <c r="E24" s="218" t="s">
        <v>132</v>
      </c>
      <c r="F24" s="217">
        <f>F23/12</f>
        <v>1.3108333333333333</v>
      </c>
      <c r="N24" s="218" t="s">
        <v>1</v>
      </c>
      <c r="O24" s="217">
        <f>SUM(O21:O23)</f>
        <v>583.38</v>
      </c>
      <c r="P24" s="64"/>
      <c r="Q24" s="218" t="s">
        <v>132</v>
      </c>
      <c r="R24" s="217">
        <f>R23/12</f>
        <v>1.8683333333333334</v>
      </c>
      <c r="S24" s="67"/>
    </row>
    <row r="25" spans="2:24" x14ac:dyDescent="0.2">
      <c r="B25" s="218" t="s">
        <v>132</v>
      </c>
      <c r="C25" s="217">
        <f>C24/10/12</f>
        <v>4.7120000000000006</v>
      </c>
      <c r="N25" s="218" t="s">
        <v>132</v>
      </c>
      <c r="O25" s="217">
        <f>O24/10/12</f>
        <v>4.8615000000000004</v>
      </c>
      <c r="P25" s="64"/>
      <c r="Q25" s="64"/>
      <c r="R25" s="64"/>
      <c r="S25" s="67"/>
    </row>
    <row r="26" spans="2:24" x14ac:dyDescent="0.2">
      <c r="E26" s="216" t="s">
        <v>133</v>
      </c>
      <c r="F26" s="219" t="s">
        <v>135</v>
      </c>
      <c r="N26" s="1"/>
      <c r="O26" s="64"/>
      <c r="P26" s="64"/>
      <c r="Q26" s="216" t="s">
        <v>133</v>
      </c>
      <c r="R26" s="219" t="s">
        <v>135</v>
      </c>
      <c r="S26" s="67"/>
    </row>
    <row r="27" spans="2:24" x14ac:dyDescent="0.2">
      <c r="B27" s="216" t="s">
        <v>133</v>
      </c>
      <c r="C27" s="219" t="s">
        <v>135</v>
      </c>
      <c r="E27" s="218" t="s">
        <v>144</v>
      </c>
      <c r="F27" s="217">
        <v>7.89</v>
      </c>
      <c r="N27" s="216" t="s">
        <v>133</v>
      </c>
      <c r="O27" s="219" t="s">
        <v>135</v>
      </c>
      <c r="P27" s="64"/>
      <c r="Q27" s="218" t="s">
        <v>144</v>
      </c>
      <c r="R27" s="217">
        <v>7.37</v>
      </c>
      <c r="S27" s="67"/>
    </row>
    <row r="28" spans="2:24" x14ac:dyDescent="0.2">
      <c r="B28" s="218" t="s">
        <v>134</v>
      </c>
      <c r="C28" s="217">
        <v>281.36</v>
      </c>
      <c r="E28" s="218" t="s">
        <v>143</v>
      </c>
      <c r="F28" s="217">
        <v>13.08</v>
      </c>
      <c r="N28" s="218" t="s">
        <v>134</v>
      </c>
      <c r="O28" s="217">
        <v>281.36</v>
      </c>
      <c r="P28" s="64"/>
      <c r="Q28" s="218" t="s">
        <v>143</v>
      </c>
      <c r="R28" s="217">
        <v>13.08</v>
      </c>
      <c r="S28" s="67"/>
    </row>
    <row r="29" spans="2:24" x14ac:dyDescent="0.2">
      <c r="B29" s="218" t="s">
        <v>132</v>
      </c>
      <c r="C29" s="217">
        <f>C28/10/12</f>
        <v>2.3446666666666669</v>
      </c>
      <c r="E29" s="218" t="s">
        <v>132</v>
      </c>
      <c r="F29" s="217">
        <f>SUM(F27:F28)/12</f>
        <v>1.7474999999999998</v>
      </c>
      <c r="N29" s="218" t="s">
        <v>132</v>
      </c>
      <c r="O29" s="217">
        <f>O28/10/12</f>
        <v>2.3446666666666669</v>
      </c>
      <c r="P29" s="64"/>
      <c r="Q29" s="218" t="s">
        <v>132</v>
      </c>
      <c r="R29" s="217">
        <f>SUM(R27:R28)/12</f>
        <v>1.7041666666666666</v>
      </c>
      <c r="S29" s="67"/>
    </row>
    <row r="30" spans="2:24" x14ac:dyDescent="0.2">
      <c r="N30" s="1"/>
      <c r="O30" s="64"/>
      <c r="P30" s="64"/>
      <c r="Q30" s="64"/>
      <c r="R30" s="64"/>
      <c r="S30" s="67"/>
    </row>
    <row r="31" spans="2:24" x14ac:dyDescent="0.2">
      <c r="B31" s="216" t="s">
        <v>136</v>
      </c>
      <c r="C31" s="219" t="s">
        <v>135</v>
      </c>
      <c r="E31" s="216" t="s">
        <v>136</v>
      </c>
      <c r="F31" s="219" t="s">
        <v>135</v>
      </c>
      <c r="N31" s="216" t="s">
        <v>136</v>
      </c>
      <c r="O31" s="219" t="s">
        <v>135</v>
      </c>
      <c r="P31" s="64"/>
      <c r="Q31" s="216" t="s">
        <v>136</v>
      </c>
      <c r="R31" s="219" t="s">
        <v>135</v>
      </c>
      <c r="S31" s="67"/>
    </row>
    <row r="32" spans="2:24" x14ac:dyDescent="0.2">
      <c r="B32" s="218" t="s">
        <v>145</v>
      </c>
      <c r="C32" s="217">
        <v>105.18</v>
      </c>
      <c r="E32" s="218" t="s">
        <v>146</v>
      </c>
      <c r="F32" s="217">
        <v>2.4900000000000002</v>
      </c>
      <c r="N32" s="218" t="s">
        <v>145</v>
      </c>
      <c r="O32" s="217">
        <v>105.18</v>
      </c>
      <c r="P32" s="64"/>
      <c r="Q32" s="218" t="s">
        <v>146</v>
      </c>
      <c r="R32" s="217">
        <v>2.4900000000000002</v>
      </c>
      <c r="S32" s="67"/>
    </row>
    <row r="33" spans="2:19" x14ac:dyDescent="0.2">
      <c r="B33" s="218" t="s">
        <v>132</v>
      </c>
      <c r="C33" s="217">
        <f>C32/10/12</f>
        <v>0.87650000000000006</v>
      </c>
      <c r="E33" s="218" t="s">
        <v>132</v>
      </c>
      <c r="F33" s="217">
        <f>F32/12</f>
        <v>0.20750000000000002</v>
      </c>
      <c r="N33" s="218" t="s">
        <v>132</v>
      </c>
      <c r="O33" s="217">
        <f>O32/10/12</f>
        <v>0.87650000000000006</v>
      </c>
      <c r="P33" s="64"/>
      <c r="Q33" s="218" t="s">
        <v>132</v>
      </c>
      <c r="R33" s="217">
        <f>R32/12</f>
        <v>0.20750000000000002</v>
      </c>
      <c r="S33" s="67"/>
    </row>
    <row r="34" spans="2:19" x14ac:dyDescent="0.2">
      <c r="N34" s="1"/>
      <c r="O34" s="64"/>
      <c r="P34" s="64"/>
      <c r="Q34" s="64"/>
      <c r="R34" s="64"/>
      <c r="S34" s="67"/>
    </row>
    <row r="35" spans="2:19" x14ac:dyDescent="0.2">
      <c r="B35" s="216" t="s">
        <v>138</v>
      </c>
      <c r="C35" s="219" t="s">
        <v>137</v>
      </c>
      <c r="E35" s="216" t="s">
        <v>138</v>
      </c>
      <c r="F35" s="219" t="s">
        <v>137</v>
      </c>
      <c r="N35" s="216" t="s">
        <v>138</v>
      </c>
      <c r="O35" s="219" t="s">
        <v>137</v>
      </c>
      <c r="P35" s="64"/>
      <c r="Q35" s="216" t="s">
        <v>138</v>
      </c>
      <c r="R35" s="219" t="s">
        <v>137</v>
      </c>
      <c r="S35" s="67"/>
    </row>
    <row r="36" spans="2:19" x14ac:dyDescent="0.2">
      <c r="B36" s="218" t="s">
        <v>148</v>
      </c>
      <c r="C36" s="217">
        <v>266.77</v>
      </c>
      <c r="E36" s="218" t="s">
        <v>147</v>
      </c>
      <c r="F36" s="217">
        <v>15.3</v>
      </c>
      <c r="N36" s="218" t="s">
        <v>148</v>
      </c>
      <c r="O36" s="217">
        <v>266.77</v>
      </c>
      <c r="P36" s="64"/>
      <c r="Q36" s="218" t="s">
        <v>147</v>
      </c>
      <c r="R36" s="217">
        <v>14.29</v>
      </c>
      <c r="S36" s="67"/>
    </row>
    <row r="37" spans="2:19" x14ac:dyDescent="0.2">
      <c r="B37" s="218" t="s">
        <v>132</v>
      </c>
      <c r="C37" s="217">
        <f>C36/10/12</f>
        <v>2.2230833333333333</v>
      </c>
      <c r="E37" s="218" t="s">
        <v>132</v>
      </c>
      <c r="F37" s="217">
        <f>F36/12</f>
        <v>1.2750000000000001</v>
      </c>
      <c r="N37" s="218" t="s">
        <v>132</v>
      </c>
      <c r="O37" s="217">
        <f>O36/10/12</f>
        <v>2.2230833333333333</v>
      </c>
      <c r="P37" s="64"/>
      <c r="Q37" s="218" t="s">
        <v>132</v>
      </c>
      <c r="R37" s="217">
        <f>R36/12</f>
        <v>1.1908333333333332</v>
      </c>
      <c r="S37" s="67"/>
    </row>
    <row r="41" spans="2:19" x14ac:dyDescent="0.2">
      <c r="B41" s="1" t="s">
        <v>153</v>
      </c>
      <c r="N41" s="1"/>
    </row>
  </sheetData>
  <mergeCells count="10">
    <mergeCell ref="B7:B10"/>
    <mergeCell ref="B11:B14"/>
    <mergeCell ref="B16:C16"/>
    <mergeCell ref="B19:C19"/>
    <mergeCell ref="E19:F19"/>
    <mergeCell ref="N7:N10"/>
    <mergeCell ref="N11:N14"/>
    <mergeCell ref="N16:O16"/>
    <mergeCell ref="N19:O19"/>
    <mergeCell ref="Q19:R19"/>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58961-A9DA-4E87-91A6-DF36922A83C0}">
  <dimension ref="B1:O34"/>
  <sheetViews>
    <sheetView workbookViewId="0">
      <selection activeCell="C28" sqref="C28:H28"/>
    </sheetView>
  </sheetViews>
  <sheetFormatPr defaultRowHeight="15" x14ac:dyDescent="0.25"/>
  <cols>
    <col min="1" max="1" width="4.42578125" customWidth="1"/>
    <col min="2" max="2" width="64" customWidth="1"/>
    <col min="3" max="3" width="13.28515625" customWidth="1"/>
    <col min="4" max="8" width="12.7109375" bestFit="1" customWidth="1"/>
    <col min="10" max="15" width="10" bestFit="1" customWidth="1"/>
  </cols>
  <sheetData>
    <row r="1" spans="2:15" x14ac:dyDescent="0.25">
      <c r="B1" t="s">
        <v>84</v>
      </c>
      <c r="D1" s="136">
        <f>[1]Inputs!H16</f>
        <v>1</v>
      </c>
      <c r="E1" s="136">
        <f>[1]Inputs!I16</f>
        <v>1</v>
      </c>
      <c r="F1" s="136">
        <f>[1]Inputs!J16</f>
        <v>1.0109999999999999</v>
      </c>
      <c r="G1" s="136">
        <f>[1]Inputs!K16</f>
        <v>1.0231319999999999</v>
      </c>
      <c r="H1" s="136">
        <f>[1]Inputs!L16</f>
        <v>1.0337725727999998</v>
      </c>
      <c r="K1" s="137">
        <f>D1</f>
        <v>1</v>
      </c>
      <c r="L1" s="137">
        <f t="shared" ref="L1:O5" si="0">E1</f>
        <v>1</v>
      </c>
      <c r="M1" s="137">
        <f t="shared" si="0"/>
        <v>1.0109999999999999</v>
      </c>
      <c r="N1" s="137">
        <f t="shared" si="0"/>
        <v>1.0231319999999999</v>
      </c>
      <c r="O1" s="137">
        <f t="shared" si="0"/>
        <v>1.0337725727999998</v>
      </c>
    </row>
    <row r="2" spans="2:15" x14ac:dyDescent="0.25">
      <c r="B2" t="s">
        <v>85</v>
      </c>
      <c r="D2" s="136">
        <f>[1]Inputs!H61</f>
        <v>0.04</v>
      </c>
      <c r="E2" s="136">
        <f>[1]Inputs!I61</f>
        <v>0.04</v>
      </c>
      <c r="F2" s="136">
        <f>[1]Inputs!J61</f>
        <v>0.04</v>
      </c>
      <c r="G2" s="136">
        <f>[1]Inputs!K61</f>
        <v>0.04</v>
      </c>
      <c r="H2" s="136">
        <f>[1]Inputs!L61</f>
        <v>0.04</v>
      </c>
      <c r="K2" s="137"/>
      <c r="L2" s="137"/>
      <c r="M2" s="137"/>
      <c r="N2" s="137"/>
      <c r="O2" s="137"/>
    </row>
    <row r="3" spans="2:15" x14ac:dyDescent="0.25">
      <c r="B3" t="s">
        <v>86</v>
      </c>
      <c r="D3" s="137">
        <f>[1]Inputs!$M$43</f>
        <v>0.46592661151676018</v>
      </c>
      <c r="E3" s="137">
        <f>[1]Inputs!$M$43</f>
        <v>0.46592661151676018</v>
      </c>
      <c r="F3" s="137">
        <f>[1]Inputs!$M$43</f>
        <v>0.46592661151676018</v>
      </c>
      <c r="G3" s="137">
        <f>[1]Inputs!$M$43</f>
        <v>0.46592661151676018</v>
      </c>
      <c r="H3" s="137">
        <f>[1]Inputs!$M$43</f>
        <v>0.46592661151676018</v>
      </c>
      <c r="K3" s="137">
        <f t="shared" ref="K3:K5" si="1">D3</f>
        <v>0.46592661151676018</v>
      </c>
      <c r="L3" s="137">
        <f t="shared" si="0"/>
        <v>0.46592661151676018</v>
      </c>
      <c r="M3" s="137">
        <f t="shared" si="0"/>
        <v>0.46592661151676018</v>
      </c>
      <c r="N3" s="137">
        <f t="shared" si="0"/>
        <v>0.46592661151676018</v>
      </c>
      <c r="O3" s="137">
        <f t="shared" si="0"/>
        <v>0.46592661151676018</v>
      </c>
    </row>
    <row r="4" spans="2:15" x14ac:dyDescent="0.25">
      <c r="B4" t="s">
        <v>87</v>
      </c>
      <c r="D4" s="137">
        <f>[1]Inputs!$M$48</f>
        <v>0.16037758511933414</v>
      </c>
      <c r="E4" s="137">
        <f>[1]Inputs!$M$48</f>
        <v>0.16037758511933414</v>
      </c>
      <c r="F4" s="137">
        <f>[1]Inputs!$M$48</f>
        <v>0.16037758511933414</v>
      </c>
      <c r="G4" s="137">
        <f>[1]Inputs!$M$48</f>
        <v>0.16037758511933414</v>
      </c>
      <c r="H4" s="137">
        <f>[1]Inputs!$M$48</f>
        <v>0.16037758511933414</v>
      </c>
      <c r="K4" s="137">
        <f t="shared" si="1"/>
        <v>0.16037758511933414</v>
      </c>
      <c r="L4" s="137">
        <f t="shared" si="0"/>
        <v>0.16037758511933414</v>
      </c>
      <c r="M4" s="137">
        <f t="shared" si="0"/>
        <v>0.16037758511933414</v>
      </c>
      <c r="N4" s="137">
        <f t="shared" si="0"/>
        <v>0.16037758511933414</v>
      </c>
      <c r="O4" s="137">
        <f t="shared" si="0"/>
        <v>0.16037758511933414</v>
      </c>
    </row>
    <row r="5" spans="2:15" x14ac:dyDescent="0.25">
      <c r="B5" t="s">
        <v>88</v>
      </c>
      <c r="D5" s="137">
        <f>[1]Inputs!$H$13</f>
        <v>6.3420000000000004E-2</v>
      </c>
      <c r="E5" s="137">
        <f>[1]Inputs!$H$13</f>
        <v>6.3420000000000004E-2</v>
      </c>
      <c r="F5" s="137">
        <f>[1]Inputs!$H$13</f>
        <v>6.3420000000000004E-2</v>
      </c>
      <c r="G5" s="137">
        <f>[1]Inputs!$H$13</f>
        <v>6.3420000000000004E-2</v>
      </c>
      <c r="H5" s="137">
        <f>[1]Inputs!$H$13</f>
        <v>6.3420000000000004E-2</v>
      </c>
      <c r="K5" s="137">
        <f t="shared" si="1"/>
        <v>6.3420000000000004E-2</v>
      </c>
      <c r="L5" s="137">
        <f t="shared" si="0"/>
        <v>6.3420000000000004E-2</v>
      </c>
      <c r="M5" s="137">
        <f t="shared" si="0"/>
        <v>6.3420000000000004E-2</v>
      </c>
      <c r="N5" s="137">
        <f t="shared" si="0"/>
        <v>6.3420000000000004E-2</v>
      </c>
      <c r="O5" s="137">
        <f t="shared" si="0"/>
        <v>6.3420000000000004E-2</v>
      </c>
    </row>
    <row r="6" spans="2:15" s="138" customFormat="1" ht="15.75" x14ac:dyDescent="0.25">
      <c r="D6" s="267" t="s">
        <v>89</v>
      </c>
      <c r="E6" s="267"/>
      <c r="F6" s="267"/>
      <c r="G6" s="267"/>
      <c r="H6" s="267"/>
      <c r="J6" s="268" t="s">
        <v>90</v>
      </c>
      <c r="K6" s="268"/>
      <c r="L6" s="268"/>
      <c r="M6" s="268"/>
      <c r="N6" s="268"/>
      <c r="O6" s="268"/>
    </row>
    <row r="7" spans="2:15" x14ac:dyDescent="0.25">
      <c r="B7" s="139" t="s">
        <v>104</v>
      </c>
      <c r="C7" s="140"/>
      <c r="D7" s="140" t="s">
        <v>91</v>
      </c>
      <c r="E7" s="140" t="s">
        <v>92</v>
      </c>
      <c r="F7" s="140" t="s">
        <v>93</v>
      </c>
      <c r="G7" s="140" t="s">
        <v>94</v>
      </c>
      <c r="H7" s="140" t="s">
        <v>95</v>
      </c>
    </row>
    <row r="8" spans="2:15" x14ac:dyDescent="0.25">
      <c r="B8" s="141" t="s">
        <v>106</v>
      </c>
      <c r="C8" s="142"/>
      <c r="D8" s="143">
        <f>(D17*D$23)+(D27*D$33)</f>
        <v>2997.3666666666668</v>
      </c>
      <c r="E8" s="143">
        <f t="shared" ref="E8:H8" si="2">(E17*E$23)+(E27*E$33)</f>
        <v>2997.3666666666668</v>
      </c>
      <c r="F8" s="143">
        <f t="shared" si="2"/>
        <v>3030.3377</v>
      </c>
      <c r="G8" s="143">
        <f t="shared" si="2"/>
        <v>3100.4354716764001</v>
      </c>
      <c r="H8" s="143">
        <f t="shared" si="2"/>
        <v>3205.145154355293</v>
      </c>
    </row>
    <row r="9" spans="2:15" x14ac:dyDescent="0.25">
      <c r="B9" s="144" t="s">
        <v>96</v>
      </c>
      <c r="C9" s="144"/>
      <c r="D9" s="145">
        <f t="shared" ref="D9:H9" si="3">(D18*D$23)+(D28*D$33)</f>
        <v>2997.3666666666668</v>
      </c>
      <c r="E9" s="145">
        <f t="shared" si="3"/>
        <v>2997.3666666666668</v>
      </c>
      <c r="F9" s="145">
        <f t="shared" si="3"/>
        <v>3030.3377</v>
      </c>
      <c r="G9" s="145">
        <f t="shared" si="3"/>
        <v>3100.4354716764001</v>
      </c>
      <c r="H9" s="145">
        <f t="shared" si="3"/>
        <v>3205.145154355293</v>
      </c>
    </row>
    <row r="10" spans="2:15" x14ac:dyDescent="0.25">
      <c r="B10" s="142" t="s">
        <v>81</v>
      </c>
      <c r="C10" s="142"/>
      <c r="D10" s="143">
        <f t="shared" ref="D10:H10" si="4">(D19*D$23)+(D29*D$33)</f>
        <v>1396.5528944732864</v>
      </c>
      <c r="E10" s="143">
        <f t="shared" si="4"/>
        <v>1396.5528944732864</v>
      </c>
      <c r="F10" s="143">
        <f t="shared" si="4"/>
        <v>1411.9149763124926</v>
      </c>
      <c r="G10" s="143">
        <f t="shared" si="4"/>
        <v>1444.5753935445532</v>
      </c>
      <c r="H10" s="143">
        <f t="shared" si="4"/>
        <v>1493.3624211881247</v>
      </c>
    </row>
    <row r="11" spans="2:15" x14ac:dyDescent="0.25">
      <c r="B11" s="142" t="s">
        <v>82</v>
      </c>
      <c r="C11" s="142"/>
      <c r="D11" s="143">
        <f t="shared" ref="D11:H11" si="5">(D20*D$23)+(D30*D$33)</f>
        <v>480.71042771718822</v>
      </c>
      <c r="E11" s="143">
        <f t="shared" si="5"/>
        <v>480.71042771718822</v>
      </c>
      <c r="F11" s="143">
        <f t="shared" si="5"/>
        <v>485.99824242207728</v>
      </c>
      <c r="G11" s="143">
        <f t="shared" si="5"/>
        <v>497.24035376578468</v>
      </c>
      <c r="H11" s="143">
        <f t="shared" si="5"/>
        <v>514.03343981243734</v>
      </c>
    </row>
    <row r="12" spans="2:15" x14ac:dyDescent="0.25">
      <c r="B12" s="142" t="s">
        <v>83</v>
      </c>
      <c r="C12" s="142"/>
      <c r="D12" s="143">
        <f t="shared" ref="D12:H12" si="6">(D21*D$23)+(D31*D$33)</f>
        <v>309.14903389331994</v>
      </c>
      <c r="E12" s="143">
        <f t="shared" si="6"/>
        <v>309.14903389331994</v>
      </c>
      <c r="F12" s="143">
        <f t="shared" si="6"/>
        <v>312.54967326614644</v>
      </c>
      <c r="G12" s="143">
        <f t="shared" si="6"/>
        <v>319.77957230813888</v>
      </c>
      <c r="H12" s="143">
        <f t="shared" si="6"/>
        <v>330.57935119386832</v>
      </c>
    </row>
    <row r="13" spans="2:15" s="147" customFormat="1" x14ac:dyDescent="0.25">
      <c r="B13" s="146" t="s">
        <v>97</v>
      </c>
      <c r="C13" s="142"/>
      <c r="D13" s="145">
        <f t="shared" ref="D13:H13" si="7">(D22*D$23)+(D32*D$33)</f>
        <v>5183.7790227504611</v>
      </c>
      <c r="E13" s="145">
        <f t="shared" si="7"/>
        <v>5183.7790227504611</v>
      </c>
      <c r="F13" s="145">
        <f t="shared" si="7"/>
        <v>5240.8005920007163</v>
      </c>
      <c r="G13" s="145">
        <f t="shared" si="7"/>
        <v>5362.0307912948756</v>
      </c>
      <c r="H13" s="145">
        <f t="shared" si="7"/>
        <v>5543.1203665497233</v>
      </c>
    </row>
    <row r="14" spans="2:15" s="130" customFormat="1" x14ac:dyDescent="0.25">
      <c r="B14" s="148" t="s">
        <v>98</v>
      </c>
      <c r="C14" s="144"/>
      <c r="D14" s="145">
        <f>D24+D34-D13</f>
        <v>0</v>
      </c>
      <c r="E14" s="145">
        <f>E24+E34-E13</f>
        <v>0</v>
      </c>
      <c r="F14" s="145">
        <f>F24+F34-F13</f>
        <v>0</v>
      </c>
      <c r="G14" s="145">
        <f>G24+G34-G13</f>
        <v>0</v>
      </c>
      <c r="H14" s="145">
        <f>H24+H34-H13</f>
        <v>0</v>
      </c>
    </row>
    <row r="15" spans="2:15" s="130" customFormat="1" x14ac:dyDescent="0.25">
      <c r="C15" s="149"/>
    </row>
    <row r="16" spans="2:15" x14ac:dyDescent="0.25">
      <c r="B16" s="150" t="s">
        <v>117</v>
      </c>
      <c r="C16" s="131"/>
      <c r="D16" s="269" t="s">
        <v>99</v>
      </c>
      <c r="E16" s="270"/>
      <c r="F16" s="270"/>
      <c r="G16" s="270"/>
      <c r="H16" s="270"/>
      <c r="J16" s="131"/>
      <c r="K16" s="269" t="s">
        <v>99</v>
      </c>
      <c r="L16" s="270"/>
      <c r="M16" s="270"/>
      <c r="N16" s="270"/>
      <c r="O16" s="270"/>
    </row>
    <row r="17" spans="2:15" x14ac:dyDescent="0.25">
      <c r="B17" s="151" t="s">
        <v>106</v>
      </c>
      <c r="C17" s="152">
        <f>'Proposed price build-up'!H16</f>
        <v>14.697083333333333</v>
      </c>
      <c r="D17" s="153">
        <f>C17*D1</f>
        <v>14.697083333333333</v>
      </c>
      <c r="E17" s="153">
        <f>D17*E1</f>
        <v>14.697083333333333</v>
      </c>
      <c r="F17" s="153">
        <f>E17*F1</f>
        <v>14.858751249999999</v>
      </c>
      <c r="G17" s="153">
        <f>F17*G1</f>
        <v>15.202463883914998</v>
      </c>
      <c r="H17" s="153">
        <f>G17*H1</f>
        <v>15.715890202173885</v>
      </c>
      <c r="J17" s="152"/>
      <c r="K17" s="153">
        <f>J17*K$1</f>
        <v>0</v>
      </c>
      <c r="L17" s="153">
        <f>K17*L1</f>
        <v>0</v>
      </c>
      <c r="M17" s="153">
        <f>L17*M1</f>
        <v>0</v>
      </c>
      <c r="N17" s="153">
        <f>M17*N1</f>
        <v>0</v>
      </c>
      <c r="O17" s="153">
        <f>N17*O1</f>
        <v>0</v>
      </c>
    </row>
    <row r="18" spans="2:15" s="130" customFormat="1" x14ac:dyDescent="0.25">
      <c r="B18" s="154" t="s">
        <v>96</v>
      </c>
      <c r="C18" s="274">
        <f>'Proposed price build-up'!H16</f>
        <v>14.697083333333333</v>
      </c>
      <c r="D18" s="144">
        <f>SUM(D17:D17)</f>
        <v>14.697083333333333</v>
      </c>
      <c r="E18" s="144">
        <f>SUM(E17:E17)</f>
        <v>14.697083333333333</v>
      </c>
      <c r="F18" s="144">
        <f>SUM(F17:F17)</f>
        <v>14.858751249999999</v>
      </c>
      <c r="G18" s="144">
        <f>SUM(G17:G17)</f>
        <v>15.202463883914998</v>
      </c>
      <c r="H18" s="144">
        <f>SUM(H17:H17)</f>
        <v>15.715890202173885</v>
      </c>
      <c r="J18" s="155"/>
      <c r="K18" s="142">
        <f>SUM(K17:K17)</f>
        <v>0</v>
      </c>
      <c r="L18" s="142">
        <f>SUM(L17:L17)</f>
        <v>0</v>
      </c>
      <c r="M18" s="142">
        <f>SUM(M17:M17)</f>
        <v>0</v>
      </c>
      <c r="N18" s="142">
        <f>SUM(N17:N17)</f>
        <v>0</v>
      </c>
      <c r="O18" s="142">
        <f>SUM(O17:O17)</f>
        <v>0</v>
      </c>
    </row>
    <row r="19" spans="2:15" x14ac:dyDescent="0.25">
      <c r="B19" s="151" t="s">
        <v>81</v>
      </c>
      <c r="C19" s="152">
        <f>'Proposed price build-up'!I16</f>
        <v>6.8477622366794515</v>
      </c>
      <c r="D19" s="153">
        <f>D18*D$3</f>
        <v>6.8477622366794506</v>
      </c>
      <c r="E19" s="153">
        <f t="shared" ref="E19:H19" si="8">E18*E$3</f>
        <v>6.8477622366794506</v>
      </c>
      <c r="F19" s="153">
        <f t="shared" si="8"/>
        <v>6.9230876212829244</v>
      </c>
      <c r="G19" s="153">
        <f t="shared" si="8"/>
        <v>7.0832324841384402</v>
      </c>
      <c r="H19" s="153">
        <f t="shared" si="8"/>
        <v>7.3224514688683291</v>
      </c>
      <c r="J19" s="152"/>
      <c r="K19" s="153">
        <f>K18*K$3</f>
        <v>0</v>
      </c>
      <c r="L19" s="153">
        <f t="shared" ref="L19:O19" si="9">L18*L$3</f>
        <v>0</v>
      </c>
      <c r="M19" s="153">
        <f t="shared" si="9"/>
        <v>0</v>
      </c>
      <c r="N19" s="153">
        <f t="shared" si="9"/>
        <v>0</v>
      </c>
      <c r="O19" s="153">
        <f t="shared" si="9"/>
        <v>0</v>
      </c>
    </row>
    <row r="20" spans="2:15" x14ac:dyDescent="0.25">
      <c r="B20" s="151" t="s">
        <v>82</v>
      </c>
      <c r="C20" s="152">
        <f>'Proposed price build-up'!J16</f>
        <v>2.3570827332976139</v>
      </c>
      <c r="D20" s="153">
        <f>D18*D$4</f>
        <v>2.3570827332976139</v>
      </c>
      <c r="E20" s="153">
        <f t="shared" ref="E20:H20" si="10">E18*E$4</f>
        <v>2.3570827332976139</v>
      </c>
      <c r="F20" s="153">
        <f t="shared" si="10"/>
        <v>2.3830106433638876</v>
      </c>
      <c r="G20" s="153">
        <f t="shared" si="10"/>
        <v>2.4381344455661806</v>
      </c>
      <c r="H20" s="153">
        <f t="shared" si="10"/>
        <v>2.5204765186252516</v>
      </c>
      <c r="J20" s="152"/>
      <c r="K20" s="153">
        <f>K18*K$4</f>
        <v>0</v>
      </c>
      <c r="L20" s="153">
        <f t="shared" ref="L20:O20" si="11">L18*L$4</f>
        <v>0</v>
      </c>
      <c r="M20" s="153">
        <f t="shared" si="11"/>
        <v>0</v>
      </c>
      <c r="N20" s="153">
        <f t="shared" si="11"/>
        <v>0</v>
      </c>
      <c r="O20" s="153">
        <f t="shared" si="11"/>
        <v>0</v>
      </c>
    </row>
    <row r="21" spans="2:15" x14ac:dyDescent="0.25">
      <c r="B21" s="151" t="s">
        <v>100</v>
      </c>
      <c r="C21" s="152">
        <f>'Proposed price build-up'!K16</f>
        <v>1.5158602929959457</v>
      </c>
      <c r="D21" s="153">
        <f>SUM(D18:D20)*D$5</f>
        <v>1.5158602929959453</v>
      </c>
      <c r="E21" s="153">
        <f t="shared" ref="E21:H21" si="12">SUM(E18:E20)*E$5</f>
        <v>1.5158602929959453</v>
      </c>
      <c r="F21" s="153">
        <f t="shared" si="12"/>
        <v>1.5325347562189009</v>
      </c>
      <c r="G21" s="153">
        <f t="shared" si="12"/>
        <v>1.5679853501997563</v>
      </c>
      <c r="H21" s="153">
        <f t="shared" si="12"/>
        <v>1.6209402495887109</v>
      </c>
      <c r="J21" s="152"/>
      <c r="K21" s="153">
        <f>SUM(K18:K20)*K$5</f>
        <v>0</v>
      </c>
      <c r="L21" s="153">
        <f t="shared" ref="L21:O21" si="13">SUM(L18:L20)*L$5</f>
        <v>0</v>
      </c>
      <c r="M21" s="153">
        <f t="shared" si="13"/>
        <v>0</v>
      </c>
      <c r="N21" s="153">
        <f t="shared" si="13"/>
        <v>0</v>
      </c>
      <c r="O21" s="153">
        <f t="shared" si="13"/>
        <v>0</v>
      </c>
    </row>
    <row r="22" spans="2:15" s="130" customFormat="1" x14ac:dyDescent="0.25">
      <c r="B22" s="156" t="s">
        <v>101</v>
      </c>
      <c r="C22" s="157">
        <f>'Proposed price build-up'!L16</f>
        <v>25.417788596306345</v>
      </c>
      <c r="D22" s="158">
        <f>SUM(D18:D21)</f>
        <v>25.417788596306341</v>
      </c>
      <c r="E22" s="158">
        <f t="shared" ref="E22:H22" si="14">SUM(E18:E21)</f>
        <v>25.417788596306341</v>
      </c>
      <c r="F22" s="158">
        <f t="shared" si="14"/>
        <v>25.697384270865712</v>
      </c>
      <c r="G22" s="158">
        <f t="shared" si="14"/>
        <v>26.291816163819373</v>
      </c>
      <c r="H22" s="158">
        <f t="shared" si="14"/>
        <v>27.179758439256176</v>
      </c>
      <c r="J22" s="157"/>
      <c r="K22" s="158">
        <f>SUM(K18:K21)</f>
        <v>0</v>
      </c>
      <c r="L22" s="158">
        <f t="shared" ref="L22:O22" si="15">SUM(L18:L21)</f>
        <v>0</v>
      </c>
      <c r="M22" s="158">
        <f t="shared" si="15"/>
        <v>0</v>
      </c>
      <c r="N22" s="158">
        <f t="shared" si="15"/>
        <v>0</v>
      </c>
      <c r="O22" s="158">
        <f t="shared" si="15"/>
        <v>0</v>
      </c>
    </row>
    <row r="23" spans="2:15" x14ac:dyDescent="0.25">
      <c r="B23" s="159" t="s">
        <v>102</v>
      </c>
      <c r="C23" s="153"/>
      <c r="D23" s="160">
        <f>'Forecast Revenue - Costs'!D12</f>
        <v>100</v>
      </c>
      <c r="E23" s="160">
        <f>'Forecast Revenue - Costs'!E12</f>
        <v>100</v>
      </c>
      <c r="F23" s="160">
        <f>'Forecast Revenue - Costs'!F12</f>
        <v>100</v>
      </c>
      <c r="G23" s="160">
        <f>'Forecast Revenue - Costs'!G12</f>
        <v>100</v>
      </c>
      <c r="H23" s="160">
        <f>'Forecast Revenue - Costs'!H12</f>
        <v>100</v>
      </c>
      <c r="J23" s="153"/>
      <c r="K23" s="160"/>
      <c r="L23" s="160"/>
      <c r="M23" s="160"/>
      <c r="N23" s="160"/>
      <c r="O23" s="160"/>
    </row>
    <row r="24" spans="2:15" s="130" customFormat="1" x14ac:dyDescent="0.25">
      <c r="B24" s="146" t="s">
        <v>103</v>
      </c>
      <c r="C24" s="144"/>
      <c r="D24" s="145">
        <f>D22*D23</f>
        <v>2541.7788596306341</v>
      </c>
      <c r="E24" s="145">
        <f t="shared" ref="E24:H24" si="16">E22*E23</f>
        <v>2541.7788596306341</v>
      </c>
      <c r="F24" s="145">
        <f t="shared" si="16"/>
        <v>2569.7384270865714</v>
      </c>
      <c r="G24" s="145">
        <f t="shared" si="16"/>
        <v>2629.1816163819371</v>
      </c>
      <c r="H24" s="145">
        <f t="shared" si="16"/>
        <v>2717.9758439256175</v>
      </c>
      <c r="J24" s="144"/>
      <c r="K24" s="145"/>
      <c r="L24" s="145"/>
      <c r="M24" s="145"/>
      <c r="N24" s="145"/>
      <c r="O24" s="145"/>
    </row>
    <row r="26" spans="2:15" x14ac:dyDescent="0.25">
      <c r="B26" s="150" t="s">
        <v>116</v>
      </c>
      <c r="C26" s="152"/>
      <c r="D26" s="269" t="s">
        <v>99</v>
      </c>
      <c r="E26" s="270"/>
      <c r="F26" s="270"/>
      <c r="G26" s="270"/>
      <c r="H26" s="270"/>
      <c r="J26" s="131"/>
      <c r="K26" s="269" t="s">
        <v>99</v>
      </c>
      <c r="L26" s="270"/>
      <c r="M26" s="270"/>
      <c r="N26" s="270"/>
      <c r="O26" s="270"/>
    </row>
    <row r="27" spans="2:15" x14ac:dyDescent="0.25">
      <c r="B27" s="151" t="s">
        <v>106</v>
      </c>
      <c r="C27" s="152">
        <f>'Proposed price build-up'!T16</f>
        <v>15.276583333333337</v>
      </c>
      <c r="D27" s="153">
        <f>C27*D1</f>
        <v>15.276583333333337</v>
      </c>
      <c r="E27" s="153">
        <f>D27*E1</f>
        <v>15.276583333333337</v>
      </c>
      <c r="F27" s="153">
        <f t="shared" ref="F27:H27" si="17">E27*F1</f>
        <v>15.444625750000002</v>
      </c>
      <c r="G27" s="153">
        <f t="shared" si="17"/>
        <v>15.801890832849001</v>
      </c>
      <c r="H27" s="153">
        <f t="shared" si="17"/>
        <v>16.335561341379044</v>
      </c>
      <c r="J27" s="152"/>
      <c r="K27" s="153">
        <f>J27</f>
        <v>0</v>
      </c>
      <c r="L27" s="153">
        <f t="shared" ref="L27:O27" si="18">K27</f>
        <v>0</v>
      </c>
      <c r="M27" s="153">
        <f t="shared" si="18"/>
        <v>0</v>
      </c>
      <c r="N27" s="153">
        <f t="shared" si="18"/>
        <v>0</v>
      </c>
      <c r="O27" s="153">
        <f t="shared" si="18"/>
        <v>0</v>
      </c>
    </row>
    <row r="28" spans="2:15" x14ac:dyDescent="0.25">
      <c r="B28" s="154" t="s">
        <v>96</v>
      </c>
      <c r="C28" s="274">
        <f>'Proposed price build-up'!T16</f>
        <v>15.276583333333337</v>
      </c>
      <c r="D28" s="144">
        <f>SUM(D27:D27)</f>
        <v>15.276583333333337</v>
      </c>
      <c r="E28" s="144">
        <f>SUM(E27:E27)</f>
        <v>15.276583333333337</v>
      </c>
      <c r="F28" s="144">
        <f>SUM(F27:F27)</f>
        <v>15.444625750000002</v>
      </c>
      <c r="G28" s="144">
        <f>SUM(G27:G27)</f>
        <v>15.801890832849001</v>
      </c>
      <c r="H28" s="144">
        <f>SUM(H27:H27)</f>
        <v>16.335561341379044</v>
      </c>
      <c r="J28" s="155"/>
      <c r="K28" s="142">
        <f>SUM(K27:K27)</f>
        <v>0</v>
      </c>
      <c r="L28" s="142">
        <f>SUM(L27:L27)</f>
        <v>0</v>
      </c>
      <c r="M28" s="142">
        <f>SUM(M27:M27)</f>
        <v>0</v>
      </c>
      <c r="N28" s="142">
        <f>SUM(N27:N27)</f>
        <v>0</v>
      </c>
      <c r="O28" s="142">
        <f>SUM(O27:O27)</f>
        <v>0</v>
      </c>
    </row>
    <row r="29" spans="2:15" x14ac:dyDescent="0.25">
      <c r="B29" s="151" t="s">
        <v>81</v>
      </c>
      <c r="C29" s="152">
        <f>'Proposed price build-up'!U16</f>
        <v>7.1177667080534155</v>
      </c>
      <c r="D29" s="153">
        <f>D28*D$3</f>
        <v>7.1177667080534146</v>
      </c>
      <c r="E29" s="153">
        <f t="shared" ref="E29:H29" si="19">E28*E$3</f>
        <v>7.1177667080534146</v>
      </c>
      <c r="F29" s="153">
        <f t="shared" si="19"/>
        <v>7.1960621418420017</v>
      </c>
      <c r="G29" s="153">
        <f t="shared" si="19"/>
        <v>7.3625214513070905</v>
      </c>
      <c r="H29" s="153">
        <f t="shared" si="19"/>
        <v>7.6111727430129195</v>
      </c>
      <c r="J29" s="152"/>
      <c r="K29" s="153">
        <f>K28*K$3</f>
        <v>0</v>
      </c>
      <c r="L29" s="153">
        <f t="shared" ref="L29:O29" si="20">L28*L$3</f>
        <v>0</v>
      </c>
      <c r="M29" s="153">
        <f t="shared" si="20"/>
        <v>0</v>
      </c>
      <c r="N29" s="153">
        <f t="shared" si="20"/>
        <v>0</v>
      </c>
      <c r="O29" s="153">
        <f t="shared" si="20"/>
        <v>0</v>
      </c>
    </row>
    <row r="30" spans="2:15" x14ac:dyDescent="0.25">
      <c r="B30" s="151" t="s">
        <v>82</v>
      </c>
      <c r="C30" s="152">
        <f>'Proposed price build-up'!V16</f>
        <v>2.4500215438742678</v>
      </c>
      <c r="D30" s="153">
        <f>D28*D$4</f>
        <v>2.4500215438742683</v>
      </c>
      <c r="E30" s="153">
        <f t="shared" ref="E30:H30" si="21">E28*E$4</f>
        <v>2.4500215438742683</v>
      </c>
      <c r="F30" s="153">
        <f t="shared" si="21"/>
        <v>2.4769717808568852</v>
      </c>
      <c r="G30" s="153">
        <f t="shared" si="21"/>
        <v>2.5342690920916664</v>
      </c>
      <c r="H30" s="153">
        <f t="shared" si="21"/>
        <v>2.6198578794991221</v>
      </c>
      <c r="J30" s="152"/>
      <c r="K30" s="153">
        <f>K28*K$4</f>
        <v>0</v>
      </c>
      <c r="L30" s="153">
        <f t="shared" ref="L30:O30" si="22">L28*L$4</f>
        <v>0</v>
      </c>
      <c r="M30" s="153">
        <f t="shared" si="22"/>
        <v>0</v>
      </c>
      <c r="N30" s="153">
        <f t="shared" si="22"/>
        <v>0</v>
      </c>
      <c r="O30" s="153">
        <f t="shared" si="22"/>
        <v>0</v>
      </c>
    </row>
    <row r="31" spans="2:15" x14ac:dyDescent="0.25">
      <c r="B31" s="151" t="s">
        <v>100</v>
      </c>
      <c r="C31" s="152">
        <f>'Proposed price build-up'!W16</f>
        <v>1.5756300459372536</v>
      </c>
      <c r="D31" s="153">
        <f>SUM(D28:D30)*D$5</f>
        <v>1.5756300459372539</v>
      </c>
      <c r="E31" s="153">
        <f t="shared" ref="E31:H31" si="23">SUM(E28:E30)*E$5</f>
        <v>1.5756300459372539</v>
      </c>
      <c r="F31" s="153">
        <f t="shared" si="23"/>
        <v>1.5929619764425635</v>
      </c>
      <c r="G31" s="153">
        <f t="shared" si="23"/>
        <v>1.6298103728816329</v>
      </c>
      <c r="H31" s="153">
        <f t="shared" si="23"/>
        <v>1.6848532623499728</v>
      </c>
      <c r="J31" s="152"/>
      <c r="K31" s="153">
        <f>SUM(K28:K30)*K$5</f>
        <v>0</v>
      </c>
      <c r="L31" s="153">
        <f t="shared" ref="L31:O31" si="24">SUM(L28:L30)*L$5</f>
        <v>0</v>
      </c>
      <c r="M31" s="153">
        <f t="shared" si="24"/>
        <v>0</v>
      </c>
      <c r="N31" s="153">
        <f t="shared" si="24"/>
        <v>0</v>
      </c>
      <c r="O31" s="153">
        <f t="shared" si="24"/>
        <v>0</v>
      </c>
    </row>
    <row r="32" spans="2:15" s="130" customFormat="1" x14ac:dyDescent="0.25">
      <c r="B32" s="156" t="s">
        <v>101</v>
      </c>
      <c r="C32" s="157">
        <f>'Proposed price build-up'!X16</f>
        <v>26.420001631198268</v>
      </c>
      <c r="D32" s="158">
        <f>SUM(D28:D31)</f>
        <v>26.420001631198271</v>
      </c>
      <c r="E32" s="158">
        <f t="shared" ref="E32:H32" si="25">SUM(E28:E31)</f>
        <v>26.420001631198271</v>
      </c>
      <c r="F32" s="158">
        <f t="shared" si="25"/>
        <v>26.710621649141451</v>
      </c>
      <c r="G32" s="158">
        <f t="shared" si="25"/>
        <v>27.328491749129391</v>
      </c>
      <c r="H32" s="158">
        <f t="shared" si="25"/>
        <v>28.251445226241056</v>
      </c>
      <c r="J32" s="157"/>
      <c r="K32" s="158">
        <f>SUM(K28:K31)</f>
        <v>0</v>
      </c>
      <c r="L32" s="158">
        <f t="shared" ref="L32:O32" si="26">SUM(L28:L31)</f>
        <v>0</v>
      </c>
      <c r="M32" s="158">
        <f t="shared" si="26"/>
        <v>0</v>
      </c>
      <c r="N32" s="158">
        <f t="shared" si="26"/>
        <v>0</v>
      </c>
      <c r="O32" s="158">
        <f t="shared" si="26"/>
        <v>0</v>
      </c>
    </row>
    <row r="33" spans="2:15" x14ac:dyDescent="0.25">
      <c r="B33" s="159" t="s">
        <v>102</v>
      </c>
      <c r="C33" s="153"/>
      <c r="D33" s="160">
        <f>'Forecast Revenue - Costs'!D13</f>
        <v>100</v>
      </c>
      <c r="E33" s="160">
        <f>'Forecast Revenue - Costs'!E13</f>
        <v>100</v>
      </c>
      <c r="F33" s="160">
        <f>'Forecast Revenue - Costs'!F13</f>
        <v>100</v>
      </c>
      <c r="G33" s="160">
        <f>'Forecast Revenue - Costs'!G13</f>
        <v>100</v>
      </c>
      <c r="H33" s="160">
        <f>'Forecast Revenue - Costs'!H13</f>
        <v>100</v>
      </c>
      <c r="J33" s="153"/>
      <c r="K33" s="160"/>
      <c r="L33" s="160"/>
      <c r="M33" s="160"/>
      <c r="N33" s="160"/>
      <c r="O33" s="160"/>
    </row>
    <row r="34" spans="2:15" s="130" customFormat="1" x14ac:dyDescent="0.25">
      <c r="B34" s="146" t="s">
        <v>103</v>
      </c>
      <c r="C34" s="144"/>
      <c r="D34" s="145">
        <f>D32*D33</f>
        <v>2642.000163119827</v>
      </c>
      <c r="E34" s="145">
        <f t="shared" ref="E34:H34" si="27">E32*E33</f>
        <v>2642.000163119827</v>
      </c>
      <c r="F34" s="145">
        <f t="shared" si="27"/>
        <v>2671.0621649141453</v>
      </c>
      <c r="G34" s="145">
        <f t="shared" si="27"/>
        <v>2732.8491749129389</v>
      </c>
      <c r="H34" s="145">
        <f t="shared" si="27"/>
        <v>2825.1445226241058</v>
      </c>
      <c r="J34" s="144"/>
      <c r="K34" s="145"/>
      <c r="L34" s="145"/>
      <c r="M34" s="145"/>
      <c r="N34" s="145"/>
      <c r="O34" s="145"/>
    </row>
  </sheetData>
  <mergeCells count="6">
    <mergeCell ref="D6:H6"/>
    <mergeCell ref="J6:O6"/>
    <mergeCell ref="D16:H16"/>
    <mergeCell ref="K16:O16"/>
    <mergeCell ref="D26:H26"/>
    <mergeCell ref="K26:O26"/>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2"/>
  <sheetViews>
    <sheetView showGridLines="0" workbookViewId="0">
      <selection activeCell="B35" sqref="B35"/>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5" t="s">
        <v>45</v>
      </c>
      <c r="C2" s="26"/>
      <c r="D2" s="26"/>
      <c r="E2" s="26"/>
      <c r="F2" s="26"/>
      <c r="G2" s="26"/>
      <c r="H2" s="26"/>
      <c r="I2" s="26"/>
    </row>
    <row r="3" spans="2:9" x14ac:dyDescent="0.25">
      <c r="B3" s="1"/>
      <c r="C3" s="1"/>
      <c r="D3" s="1"/>
      <c r="E3" s="1"/>
      <c r="F3" s="1"/>
      <c r="G3" s="1"/>
      <c r="H3" s="1"/>
      <c r="I3" s="1"/>
    </row>
    <row r="4" spans="2:9" x14ac:dyDescent="0.25">
      <c r="B4" s="275" t="s">
        <v>64</v>
      </c>
      <c r="C4" s="275" t="s">
        <v>3</v>
      </c>
      <c r="D4" s="57" t="s">
        <v>54</v>
      </c>
      <c r="E4" s="57" t="s">
        <v>55</v>
      </c>
      <c r="F4" s="57" t="s">
        <v>56</v>
      </c>
      <c r="G4" s="57" t="s">
        <v>65</v>
      </c>
      <c r="H4" s="57" t="s">
        <v>57</v>
      </c>
      <c r="I4" s="276" t="s">
        <v>1</v>
      </c>
    </row>
    <row r="5" spans="2:9" x14ac:dyDescent="0.25">
      <c r="B5" s="71" t="s">
        <v>68</v>
      </c>
      <c r="C5" s="4" t="s">
        <v>110</v>
      </c>
      <c r="D5" s="27">
        <f>'Forecasts by year'!D24</f>
        <v>2541.7788596306341</v>
      </c>
      <c r="E5" s="27">
        <f>'Forecasts by year'!E24</f>
        <v>2541.7788596306341</v>
      </c>
      <c r="F5" s="27">
        <f>'Forecasts by year'!F24</f>
        <v>2569.7384270865714</v>
      </c>
      <c r="G5" s="27">
        <f>'Forecasts by year'!G24</f>
        <v>2629.1816163819371</v>
      </c>
      <c r="H5" s="27">
        <f>'Forecasts by year'!H24</f>
        <v>2717.9758439256175</v>
      </c>
      <c r="I5" s="277">
        <f>SUM(D5:H5)</f>
        <v>13000.453606655396</v>
      </c>
    </row>
    <row r="6" spans="2:9" x14ac:dyDescent="0.25">
      <c r="B6" s="4"/>
      <c r="C6" s="4" t="s">
        <v>111</v>
      </c>
      <c r="D6" s="5">
        <f>'Forecasts by year'!C34</f>
        <v>0</v>
      </c>
      <c r="E6" s="5">
        <f>'Forecasts by year'!D34</f>
        <v>2642.000163119827</v>
      </c>
      <c r="F6" s="5">
        <f>'Forecasts by year'!E34</f>
        <v>2642.000163119827</v>
      </c>
      <c r="G6" s="5">
        <f>'Forecasts by year'!F34</f>
        <v>2671.0621649141453</v>
      </c>
      <c r="H6" s="5">
        <f>'Forecasts by year'!G34</f>
        <v>2732.8491749129389</v>
      </c>
      <c r="I6" s="277">
        <f t="shared" ref="I6" si="0">SUM(D6:H6)</f>
        <v>10687.911666066739</v>
      </c>
    </row>
    <row r="7" spans="2:9" x14ac:dyDescent="0.25">
      <c r="B7" s="19" t="s">
        <v>1</v>
      </c>
      <c r="C7" s="19"/>
      <c r="D7" s="278">
        <f t="shared" ref="D7:I7" si="1">SUM(D5:D6)</f>
        <v>2541.7788596306341</v>
      </c>
      <c r="E7" s="278">
        <f t="shared" si="1"/>
        <v>5183.7790227504611</v>
      </c>
      <c r="F7" s="278">
        <f t="shared" si="1"/>
        <v>5211.7385902063979</v>
      </c>
      <c r="G7" s="278">
        <f t="shared" si="1"/>
        <v>5300.2437812960825</v>
      </c>
      <c r="H7" s="278">
        <f t="shared" si="1"/>
        <v>5450.8250188385564</v>
      </c>
      <c r="I7" s="278">
        <f t="shared" si="1"/>
        <v>23688.365272722134</v>
      </c>
    </row>
    <row r="8" spans="2:9" x14ac:dyDescent="0.25">
      <c r="B8" s="1"/>
      <c r="C8" s="1"/>
      <c r="D8" s="1"/>
      <c r="E8" s="1"/>
      <c r="F8" s="1"/>
      <c r="G8" s="1"/>
      <c r="H8" s="1"/>
      <c r="I8" s="1"/>
    </row>
    <row r="9" spans="2:9" x14ac:dyDescent="0.25">
      <c r="B9" s="25" t="s">
        <v>27</v>
      </c>
      <c r="C9" s="26"/>
      <c r="D9" s="26"/>
      <c r="E9" s="26"/>
      <c r="F9" s="26"/>
      <c r="G9" s="26"/>
      <c r="H9" s="26"/>
      <c r="I9" s="26"/>
    </row>
    <row r="10" spans="2:9" x14ac:dyDescent="0.25">
      <c r="B10" s="1"/>
      <c r="C10" s="1"/>
      <c r="D10" s="1"/>
      <c r="E10" s="1"/>
      <c r="F10" s="1"/>
      <c r="G10" s="1"/>
      <c r="H10" s="1"/>
      <c r="I10" s="1"/>
    </row>
    <row r="11" spans="2:9" x14ac:dyDescent="0.25">
      <c r="B11" s="275" t="s">
        <v>64</v>
      </c>
      <c r="C11" s="275" t="s">
        <v>3</v>
      </c>
      <c r="D11" s="57" t="s">
        <v>54</v>
      </c>
      <c r="E11" s="57" t="s">
        <v>55</v>
      </c>
      <c r="F11" s="57" t="s">
        <v>56</v>
      </c>
      <c r="G11" s="57" t="s">
        <v>65</v>
      </c>
      <c r="H11" s="57" t="s">
        <v>57</v>
      </c>
      <c r="I11" s="276" t="s">
        <v>1</v>
      </c>
    </row>
    <row r="12" spans="2:9" x14ac:dyDescent="0.25">
      <c r="B12" s="71" t="s">
        <v>68</v>
      </c>
      <c r="C12" s="4" t="s">
        <v>110</v>
      </c>
      <c r="D12" s="70">
        <v>100</v>
      </c>
      <c r="E12" s="70">
        <v>100</v>
      </c>
      <c r="F12" s="70">
        <v>100</v>
      </c>
      <c r="G12" s="70">
        <v>100</v>
      </c>
      <c r="H12" s="70">
        <v>100</v>
      </c>
      <c r="I12" s="221">
        <f>SUM(D12:H12)</f>
        <v>500</v>
      </c>
    </row>
    <row r="13" spans="2:9" x14ac:dyDescent="0.25">
      <c r="B13" s="4"/>
      <c r="C13" s="4" t="s">
        <v>111</v>
      </c>
      <c r="D13" s="70">
        <v>100</v>
      </c>
      <c r="E13" s="70">
        <v>100</v>
      </c>
      <c r="F13" s="70">
        <v>100</v>
      </c>
      <c r="G13" s="70">
        <v>100</v>
      </c>
      <c r="H13" s="70">
        <v>100</v>
      </c>
      <c r="I13" s="221">
        <f t="shared" ref="I13" si="2">SUM(D13:H13)</f>
        <v>500</v>
      </c>
    </row>
    <row r="14" spans="2:9" x14ac:dyDescent="0.25">
      <c r="B14" s="19" t="s">
        <v>17</v>
      </c>
      <c r="C14" s="19"/>
      <c r="D14" s="222">
        <f t="shared" ref="D14:I14" si="3">SUM(D12:D13)</f>
        <v>200</v>
      </c>
      <c r="E14" s="222">
        <f t="shared" si="3"/>
        <v>200</v>
      </c>
      <c r="F14" s="222">
        <f t="shared" si="3"/>
        <v>200</v>
      </c>
      <c r="G14" s="222">
        <f t="shared" si="3"/>
        <v>200</v>
      </c>
      <c r="H14" s="222">
        <f t="shared" si="3"/>
        <v>200</v>
      </c>
      <c r="I14" s="222">
        <f t="shared" si="3"/>
        <v>1000</v>
      </c>
    </row>
    <row r="15" spans="2:9" x14ac:dyDescent="0.25">
      <c r="B15" s="1"/>
      <c r="C15" s="1"/>
      <c r="D15" s="13"/>
      <c r="E15" s="13"/>
      <c r="F15" s="13"/>
      <c r="G15" s="13"/>
      <c r="H15" s="13"/>
      <c r="I15" s="13"/>
    </row>
    <row r="16" spans="2:9" x14ac:dyDescent="0.25">
      <c r="B16" s="14" t="s">
        <v>6</v>
      </c>
      <c r="C16" s="1"/>
      <c r="D16" s="13"/>
      <c r="E16" s="13"/>
      <c r="F16" s="13"/>
      <c r="G16" s="13"/>
      <c r="H16" s="13"/>
      <c r="I16" s="13"/>
    </row>
    <row r="17" spans="2:9" x14ac:dyDescent="0.25">
      <c r="B17" s="271"/>
      <c r="C17" s="271"/>
      <c r="D17" s="271"/>
      <c r="E17" s="271"/>
      <c r="F17" s="271"/>
      <c r="G17" s="271"/>
      <c r="H17" s="271"/>
      <c r="I17" s="271"/>
    </row>
    <row r="18" spans="2:9" x14ac:dyDescent="0.25">
      <c r="B18" s="272"/>
      <c r="C18" s="272"/>
      <c r="D18" s="272"/>
      <c r="E18" s="272"/>
      <c r="F18" s="272"/>
      <c r="G18" s="272"/>
      <c r="H18" s="272"/>
      <c r="I18" s="272"/>
    </row>
    <row r="19" spans="2:9" x14ac:dyDescent="0.25">
      <c r="B19" s="1"/>
      <c r="C19" s="1"/>
      <c r="D19" s="13"/>
      <c r="E19" s="13"/>
      <c r="F19" s="13"/>
      <c r="G19" s="13"/>
      <c r="H19" s="13"/>
      <c r="I19" s="13"/>
    </row>
    <row r="20" spans="2:9" x14ac:dyDescent="0.25">
      <c r="B20" s="25" t="s">
        <v>28</v>
      </c>
      <c r="C20" s="26"/>
      <c r="D20" s="26"/>
      <c r="E20" s="26"/>
      <c r="F20" s="26"/>
      <c r="G20" s="26"/>
      <c r="H20" s="26"/>
      <c r="I20" s="26"/>
    </row>
    <row r="21" spans="2:9" x14ac:dyDescent="0.25">
      <c r="B21" s="15" t="s">
        <v>26</v>
      </c>
      <c r="C21" s="16"/>
      <c r="D21" s="16"/>
      <c r="E21" s="16"/>
      <c r="F21" s="16"/>
      <c r="G21" s="16"/>
      <c r="H21" s="16"/>
      <c r="I21" s="16"/>
    </row>
    <row r="22" spans="2:9" x14ac:dyDescent="0.25">
      <c r="B22" s="279" t="s">
        <v>156</v>
      </c>
      <c r="C22" s="252"/>
      <c r="D22" s="252"/>
      <c r="E22" s="252"/>
      <c r="F22" s="252"/>
      <c r="G22" s="252"/>
      <c r="H22" s="252"/>
      <c r="I22" s="252"/>
    </row>
    <row r="23" spans="2:9" x14ac:dyDescent="0.25">
      <c r="B23" s="17"/>
      <c r="C23" s="18"/>
      <c r="D23" s="18"/>
      <c r="E23" s="18"/>
      <c r="F23" s="18"/>
      <c r="G23" s="18"/>
      <c r="H23" s="18"/>
      <c r="I23" s="18"/>
    </row>
    <row r="24" spans="2:9" x14ac:dyDescent="0.25">
      <c r="B24" s="1"/>
      <c r="C24" s="1"/>
      <c r="D24" s="1"/>
      <c r="E24" s="1"/>
      <c r="F24" s="1"/>
      <c r="G24" s="1"/>
      <c r="H24" s="1"/>
      <c r="I24" s="1"/>
    </row>
    <row r="25" spans="2:9" x14ac:dyDescent="0.25">
      <c r="B25" s="28" t="s">
        <v>44</v>
      </c>
      <c r="C25" s="29"/>
      <c r="D25" s="273" t="s">
        <v>79</v>
      </c>
      <c r="E25" s="273"/>
      <c r="F25" s="273"/>
      <c r="G25" s="273"/>
      <c r="H25" s="273"/>
      <c r="I25" s="29"/>
    </row>
    <row r="26" spans="2:9" ht="15.75" customHeight="1" x14ac:dyDescent="0.25">
      <c r="B26" s="2" t="s">
        <v>20</v>
      </c>
      <c r="C26" s="19" t="s">
        <v>3</v>
      </c>
      <c r="D26" s="58" t="s">
        <v>54</v>
      </c>
      <c r="E26" s="58" t="s">
        <v>55</v>
      </c>
      <c r="F26" s="58" t="s">
        <v>56</v>
      </c>
      <c r="G26" s="58" t="s">
        <v>65</v>
      </c>
      <c r="H26" s="74" t="s">
        <v>57</v>
      </c>
      <c r="I26" s="20" t="s">
        <v>1</v>
      </c>
    </row>
    <row r="27" spans="2:9" s="130" customFormat="1" x14ac:dyDescent="0.25">
      <c r="B27" s="127" t="s">
        <v>106</v>
      </c>
      <c r="C27" s="128"/>
      <c r="D27" s="69">
        <f>'Forecasts by year'!D$8</f>
        <v>2997.3666666666668</v>
      </c>
      <c r="E27" s="69">
        <f>'Forecasts by year'!E$8</f>
        <v>2997.3666666666668</v>
      </c>
      <c r="F27" s="69">
        <f>'Forecasts by year'!F$8</f>
        <v>3030.3377</v>
      </c>
      <c r="G27" s="69">
        <f>'Forecasts by year'!G$8</f>
        <v>3100.4354716764001</v>
      </c>
      <c r="H27" s="69">
        <f>'Forecasts by year'!H$8</f>
        <v>3205.145154355293</v>
      </c>
      <c r="I27" s="129">
        <f t="shared" ref="I27" si="4">SUM(D27:H27)</f>
        <v>15330.651659365027</v>
      </c>
    </row>
    <row r="28" spans="2:9" s="130" customFormat="1" x14ac:dyDescent="0.25">
      <c r="B28" s="132" t="s">
        <v>80</v>
      </c>
      <c r="C28" s="131"/>
      <c r="D28" s="133">
        <f>'Forecasts by year'!D9</f>
        <v>2997.3666666666668</v>
      </c>
      <c r="E28" s="133">
        <f>'Forecasts by year'!E9</f>
        <v>2997.3666666666668</v>
      </c>
      <c r="F28" s="133">
        <f>'Forecasts by year'!F9</f>
        <v>3030.3377</v>
      </c>
      <c r="G28" s="133">
        <f>'Forecasts by year'!G9</f>
        <v>3100.4354716764001</v>
      </c>
      <c r="H28" s="133">
        <f>'Forecasts by year'!H9</f>
        <v>3205.145154355293</v>
      </c>
      <c r="I28" s="129">
        <f>SUM(D28:H28)</f>
        <v>15330.651659365027</v>
      </c>
    </row>
    <row r="29" spans="2:9" x14ac:dyDescent="0.25">
      <c r="B29" s="6" t="s">
        <v>81</v>
      </c>
      <c r="C29" s="9"/>
      <c r="D29" s="69">
        <f>'Forecasts by year'!D10</f>
        <v>1396.5528944732864</v>
      </c>
      <c r="E29" s="69">
        <f>'Forecasts by year'!E10</f>
        <v>1396.5528944732864</v>
      </c>
      <c r="F29" s="69">
        <f>'Forecasts by year'!F10</f>
        <v>1411.9149763124926</v>
      </c>
      <c r="G29" s="69">
        <f>'Forecasts by year'!G10</f>
        <v>1444.5753935445532</v>
      </c>
      <c r="H29" s="69">
        <f>'Forecasts by year'!H10</f>
        <v>1493.3624211881247</v>
      </c>
      <c r="I29" s="129">
        <f>SUM(D29:H29)</f>
        <v>7142.958579991744</v>
      </c>
    </row>
    <row r="30" spans="2:9" x14ac:dyDescent="0.25">
      <c r="B30" s="6" t="s">
        <v>82</v>
      </c>
      <c r="C30" s="4"/>
      <c r="D30" s="69">
        <f>'Forecasts by year'!D11</f>
        <v>480.71042771718822</v>
      </c>
      <c r="E30" s="69">
        <f>'Forecasts by year'!E11</f>
        <v>480.71042771718822</v>
      </c>
      <c r="F30" s="69">
        <f>'Forecasts by year'!F11</f>
        <v>485.99824242207728</v>
      </c>
      <c r="G30" s="69">
        <f>'Forecasts by year'!G11</f>
        <v>497.24035376578468</v>
      </c>
      <c r="H30" s="69">
        <f>'Forecasts by year'!H11</f>
        <v>514.03343981243734</v>
      </c>
      <c r="I30" s="129">
        <f>SUM(D30:H30)</f>
        <v>2458.6928914346759</v>
      </c>
    </row>
    <row r="31" spans="2:9" x14ac:dyDescent="0.25">
      <c r="B31" s="6" t="s">
        <v>83</v>
      </c>
      <c r="C31" s="4"/>
      <c r="D31" s="69">
        <f>'Forecasts by year'!D12</f>
        <v>309.14903389331994</v>
      </c>
      <c r="E31" s="69">
        <f>'Forecasts by year'!E12</f>
        <v>309.14903389331994</v>
      </c>
      <c r="F31" s="69">
        <f>'Forecasts by year'!F12</f>
        <v>312.54967326614644</v>
      </c>
      <c r="G31" s="69">
        <f>'Forecasts by year'!G12</f>
        <v>319.77957230813888</v>
      </c>
      <c r="H31" s="69">
        <f>'Forecasts by year'!H12</f>
        <v>330.57935119386832</v>
      </c>
      <c r="I31" s="129">
        <f>SUM(D31:H31)</f>
        <v>1581.2066645547934</v>
      </c>
    </row>
    <row r="32" spans="2:9" x14ac:dyDescent="0.25">
      <c r="B32" s="21" t="s">
        <v>1</v>
      </c>
      <c r="C32" s="22"/>
      <c r="D32" s="23">
        <f>SUM(D28:D31)</f>
        <v>5183.779022750462</v>
      </c>
      <c r="E32" s="23">
        <f t="shared" ref="E32:H32" si="5">SUM(E28:E31)</f>
        <v>5183.779022750462</v>
      </c>
      <c r="F32" s="23">
        <f t="shared" si="5"/>
        <v>5240.8005920007163</v>
      </c>
      <c r="G32" s="23">
        <f t="shared" si="5"/>
        <v>5362.0307912948765</v>
      </c>
      <c r="H32" s="23">
        <f t="shared" si="5"/>
        <v>5543.1203665497233</v>
      </c>
      <c r="I32" s="24">
        <f>SUM(I28:I31)</f>
        <v>26513.509795346239</v>
      </c>
    </row>
  </sheetData>
  <mergeCells count="3">
    <mergeCell ref="B17:I18"/>
    <mergeCell ref="B22:I22"/>
    <mergeCell ref="D25:H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 build-up</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2018-04-17T22:19:21Z</dcterms:modified>
</cp:coreProperties>
</file>