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1_Special Meter Reading - Test\"/>
    </mc:Choice>
  </mc:AlternateContent>
  <xr:revisionPtr revIDLastSave="0" documentId="13_ncr:1_{9E9CE2F8-8A62-4DDE-B256-90BD2A159E37}"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5" i="13" l="1"/>
  <c r="I16" i="13"/>
  <c r="I7" i="13"/>
  <c r="I8" i="13"/>
  <c r="I9" i="13"/>
  <c r="I14" i="15"/>
  <c r="I5" i="15"/>
  <c r="I6" i="15"/>
  <c r="I7" i="15"/>
  <c r="I8" i="15"/>
  <c r="B20" i="9"/>
  <c r="H5" i="17" l="1"/>
  <c r="G5" i="17"/>
  <c r="F5" i="17"/>
  <c r="E5" i="17"/>
  <c r="D5" i="17"/>
  <c r="H2" i="17"/>
  <c r="G2" i="17"/>
  <c r="F2" i="17"/>
  <c r="E2" i="17"/>
  <c r="D2" i="17"/>
  <c r="H1" i="17"/>
  <c r="G1" i="17"/>
  <c r="F1" i="17"/>
  <c r="E1" i="17"/>
  <c r="D1" i="17"/>
  <c r="I14" i="11"/>
  <c r="H14" i="11"/>
  <c r="I13" i="11"/>
  <c r="H13" i="11"/>
  <c r="I12" i="11"/>
  <c r="H12" i="11"/>
  <c r="I11" i="11"/>
  <c r="H11" i="11"/>
  <c r="I10" i="11"/>
  <c r="H10" i="11"/>
  <c r="I9" i="11"/>
  <c r="H9" i="11"/>
  <c r="I8" i="11"/>
  <c r="H8" i="11"/>
  <c r="I7" i="11"/>
  <c r="H7" i="11"/>
  <c r="D27" i="17" l="1"/>
  <c r="K21" i="17"/>
  <c r="L21" i="17" s="1"/>
  <c r="M21" i="17" s="1"/>
  <c r="N21" i="17" s="1"/>
  <c r="O21" i="17" s="1"/>
  <c r="K20" i="17"/>
  <c r="L20" i="17" s="1"/>
  <c r="M20" i="17" s="1"/>
  <c r="N20" i="17" s="1"/>
  <c r="O20" i="17" s="1"/>
  <c r="L5" i="17"/>
  <c r="O5" i="17"/>
  <c r="N5" i="17"/>
  <c r="K5" i="17"/>
  <c r="O1" i="17"/>
  <c r="K1" i="17"/>
  <c r="K19" i="17" s="1"/>
  <c r="N1" i="17"/>
  <c r="M1" i="17"/>
  <c r="L1" i="17"/>
  <c r="G15" i="11"/>
  <c r="H15" i="11"/>
  <c r="C19" i="17" s="1"/>
  <c r="D19" i="17" s="1"/>
  <c r="I15" i="11"/>
  <c r="C20" i="17" s="1"/>
  <c r="D20" i="17" s="1"/>
  <c r="J15" i="11"/>
  <c r="C21" i="17" s="1"/>
  <c r="D21" i="17" s="1"/>
  <c r="D10" i="17" s="1"/>
  <c r="D27" i="16" s="1"/>
  <c r="K15" i="11"/>
  <c r="L15" i="11"/>
  <c r="M8" i="11"/>
  <c r="M9" i="11"/>
  <c r="M10" i="11"/>
  <c r="M11" i="11"/>
  <c r="M12" i="11"/>
  <c r="M13" i="11"/>
  <c r="M14" i="11"/>
  <c r="M7" i="11"/>
  <c r="M15" i="11" l="1"/>
  <c r="C22" i="17" s="1"/>
  <c r="D22" i="17"/>
  <c r="E19" i="17"/>
  <c r="D8" i="17"/>
  <c r="D25" i="16" s="1"/>
  <c r="E20" i="17"/>
  <c r="D9" i="17"/>
  <c r="D26" i="16" s="1"/>
  <c r="K22" i="17"/>
  <c r="L19" i="17"/>
  <c r="M5" i="17"/>
  <c r="E21" i="17"/>
  <c r="E10" i="16"/>
  <c r="E27" i="17" s="1"/>
  <c r="I14" i="13"/>
  <c r="G17" i="13"/>
  <c r="H17" i="13"/>
  <c r="I10" i="13"/>
  <c r="I6" i="13"/>
  <c r="G10" i="13"/>
  <c r="H10" i="13"/>
  <c r="I13" i="15"/>
  <c r="G15" i="15"/>
  <c r="H15" i="15"/>
  <c r="G9" i="15"/>
  <c r="H9" i="15"/>
  <c r="I4" i="15"/>
  <c r="F10" i="16" l="1"/>
  <c r="M19" i="17"/>
  <c r="L22" i="17"/>
  <c r="E9" i="17"/>
  <c r="E26" i="16" s="1"/>
  <c r="F20" i="17"/>
  <c r="E8" i="17"/>
  <c r="E25" i="16" s="1"/>
  <c r="F19" i="17"/>
  <c r="E22" i="17"/>
  <c r="F21" i="17"/>
  <c r="E10" i="17"/>
  <c r="E27" i="16" s="1"/>
  <c r="D11" i="17"/>
  <c r="D28" i="16" s="1"/>
  <c r="C10" i="16"/>
  <c r="F27" i="17" l="1"/>
  <c r="F10" i="17" s="1"/>
  <c r="F27" i="16" s="1"/>
  <c r="G10" i="16"/>
  <c r="G11" i="16" s="1"/>
  <c r="F57" i="8" s="1"/>
  <c r="C41" i="8"/>
  <c r="G21" i="17"/>
  <c r="E11" i="17"/>
  <c r="E28" i="16" s="1"/>
  <c r="F9" i="17"/>
  <c r="F26" i="16" s="1"/>
  <c r="G20" i="17"/>
  <c r="F8" i="17"/>
  <c r="F25" i="16" s="1"/>
  <c r="F22" i="17"/>
  <c r="G19" i="17"/>
  <c r="M22" i="17"/>
  <c r="N19" i="17"/>
  <c r="H10" i="16" l="1"/>
  <c r="G27" i="17"/>
  <c r="G9" i="17" s="1"/>
  <c r="G26" i="16" s="1"/>
  <c r="D41" i="8"/>
  <c r="N22" i="17"/>
  <c r="O19" i="17"/>
  <c r="O22" i="17" s="1"/>
  <c r="H21" i="17"/>
  <c r="H20" i="17"/>
  <c r="G22" i="17"/>
  <c r="H19" i="17"/>
  <c r="F11" i="17"/>
  <c r="F28" i="16" s="1"/>
  <c r="F8" i="11"/>
  <c r="F9" i="11"/>
  <c r="F10" i="11"/>
  <c r="F11" i="11"/>
  <c r="F12" i="11"/>
  <c r="F13" i="11"/>
  <c r="F14" i="11"/>
  <c r="F7" i="11"/>
  <c r="G10" i="17" l="1"/>
  <c r="G27" i="16" s="1"/>
  <c r="G8" i="17"/>
  <c r="G25" i="16" s="1"/>
  <c r="H27" i="17"/>
  <c r="H9" i="17" s="1"/>
  <c r="H26" i="16" s="1"/>
  <c r="I26" i="16" s="1"/>
  <c r="I10" i="16"/>
  <c r="E41" i="8"/>
  <c r="H22" i="17"/>
  <c r="G11" i="17"/>
  <c r="G28" i="16" s="1"/>
  <c r="F15" i="11"/>
  <c r="H8" i="17" l="1"/>
  <c r="H25" i="16" s="1"/>
  <c r="I25" i="16" s="1"/>
  <c r="H10" i="17"/>
  <c r="H27" i="16" s="1"/>
  <c r="I27" i="16" s="1"/>
  <c r="F41" i="8"/>
  <c r="H11" i="17"/>
  <c r="H28" i="16" s="1"/>
  <c r="I28" i="16" s="1"/>
  <c r="H11" i="16"/>
  <c r="G57" i="8" s="1"/>
  <c r="G41" i="8" l="1"/>
  <c r="F15" i="15" l="1"/>
  <c r="E15" i="15"/>
  <c r="D15" i="15"/>
  <c r="I15" i="15" l="1"/>
  <c r="E9" i="15"/>
  <c r="D9" i="15"/>
  <c r="F11" i="16"/>
  <c r="E57" i="8" s="1"/>
  <c r="E11" i="16"/>
  <c r="D57" i="8" s="1"/>
  <c r="D11" i="16"/>
  <c r="C57" i="8" s="1"/>
  <c r="I11" i="16"/>
  <c r="C5" i="16"/>
  <c r="F17" i="13"/>
  <c r="E17" i="13"/>
  <c r="D17" i="13"/>
  <c r="F10" i="13"/>
  <c r="E10" i="13"/>
  <c r="D10" i="13"/>
  <c r="I17" i="13" l="1"/>
  <c r="F9" i="15"/>
  <c r="I9" i="15" l="1"/>
  <c r="D3" i="9" l="1"/>
  <c r="H57" i="8" l="1"/>
  <c r="H41" i="8" l="1"/>
  <c r="E3" i="17" l="1"/>
  <c r="N12" i="11"/>
  <c r="N8" i="11"/>
  <c r="H3" i="17"/>
  <c r="D3" i="17"/>
  <c r="N13" i="11"/>
  <c r="N9" i="11"/>
  <c r="G3" i="17"/>
  <c r="N14" i="11"/>
  <c r="N10" i="11"/>
  <c r="F3" i="17"/>
  <c r="N11" i="11"/>
  <c r="N7" i="11"/>
  <c r="N3" i="17" l="1"/>
  <c r="N23" i="17" s="1"/>
  <c r="G23" i="17"/>
  <c r="H23" i="17"/>
  <c r="O3" i="17"/>
  <c r="O23" i="17" s="1"/>
  <c r="F23" i="17"/>
  <c r="M3" i="17"/>
  <c r="M23" i="17" s="1"/>
  <c r="N15" i="11"/>
  <c r="C23" i="17" s="1"/>
  <c r="K3" i="17"/>
  <c r="K23" i="17" s="1"/>
  <c r="D23" i="17"/>
  <c r="L3" i="17"/>
  <c r="L23" i="17" s="1"/>
  <c r="E23" i="17"/>
  <c r="G12" i="17" l="1"/>
  <c r="G29" i="16" s="1"/>
  <c r="E12" i="17"/>
  <c r="E29" i="16" s="1"/>
  <c r="F12" i="17"/>
  <c r="F29" i="16" s="1"/>
  <c r="D12" i="17"/>
  <c r="D29" i="16" s="1"/>
  <c r="H12" i="17"/>
  <c r="H29" i="16" s="1"/>
  <c r="I29" i="16" l="1"/>
  <c r="H4" i="17" l="1"/>
  <c r="D4" i="17"/>
  <c r="O13" i="11"/>
  <c r="O9" i="11"/>
  <c r="G4" i="17"/>
  <c r="O14" i="11"/>
  <c r="O10" i="11"/>
  <c r="F4" i="17"/>
  <c r="O11" i="11"/>
  <c r="O7" i="11"/>
  <c r="E4" i="17"/>
  <c r="O12" i="11"/>
  <c r="O8" i="11"/>
  <c r="P14" i="11" l="1"/>
  <c r="Q14" i="11" s="1"/>
  <c r="P12" i="11"/>
  <c r="Q12" i="11" s="1"/>
  <c r="M4" i="17"/>
  <c r="M24" i="17" s="1"/>
  <c r="M25" i="17" s="1"/>
  <c r="M26" i="17" s="1"/>
  <c r="F24" i="17"/>
  <c r="P9" i="11"/>
  <c r="Q9" i="11" s="1"/>
  <c r="L4" i="17"/>
  <c r="L24" i="17" s="1"/>
  <c r="L25" i="17" s="1"/>
  <c r="L26" i="17" s="1"/>
  <c r="E24" i="17"/>
  <c r="P10" i="11"/>
  <c r="Q10" i="11" s="1"/>
  <c r="P13" i="11"/>
  <c r="Q13" i="11" s="1"/>
  <c r="O15" i="11"/>
  <c r="C24" i="17" s="1"/>
  <c r="P7" i="11"/>
  <c r="Q7" i="11" s="1"/>
  <c r="K4" i="17"/>
  <c r="K24" i="17" s="1"/>
  <c r="K25" i="17" s="1"/>
  <c r="K26" i="17" s="1"/>
  <c r="D24" i="17"/>
  <c r="P8" i="11"/>
  <c r="Q8" i="11" s="1"/>
  <c r="P11" i="11"/>
  <c r="Q11" i="11" s="1"/>
  <c r="N4" i="17"/>
  <c r="N24" i="17" s="1"/>
  <c r="N25" i="17" s="1"/>
  <c r="N26" i="17" s="1"/>
  <c r="G24" i="17"/>
  <c r="O4" i="17"/>
  <c r="O24" i="17" s="1"/>
  <c r="O25" i="17" s="1"/>
  <c r="O26" i="17" s="1"/>
  <c r="H24" i="17"/>
  <c r="Q15" i="11" l="1"/>
  <c r="H13" i="17"/>
  <c r="H30" i="16" s="1"/>
  <c r="H25" i="17"/>
  <c r="H14" i="17" s="1"/>
  <c r="H31" i="16" s="1"/>
  <c r="H26" i="17"/>
  <c r="D13" i="17"/>
  <c r="D30" i="16" s="1"/>
  <c r="D25" i="17"/>
  <c r="D14" i="17" s="1"/>
  <c r="D31" i="16" s="1"/>
  <c r="E13" i="17"/>
  <c r="E30" i="16" s="1"/>
  <c r="E25" i="17"/>
  <c r="E14" i="17" s="1"/>
  <c r="E31" i="16" s="1"/>
  <c r="F13" i="17"/>
  <c r="F30" i="16" s="1"/>
  <c r="F25" i="17"/>
  <c r="F14" i="17" s="1"/>
  <c r="F31" i="16" s="1"/>
  <c r="G13" i="17"/>
  <c r="G30" i="16" s="1"/>
  <c r="G25" i="17"/>
  <c r="G14" i="17" s="1"/>
  <c r="G31" i="16" s="1"/>
  <c r="P15" i="11"/>
  <c r="C25" i="17" s="1"/>
  <c r="E26" i="17" l="1"/>
  <c r="I31" i="16"/>
  <c r="H15" i="17"/>
  <c r="H28" i="17"/>
  <c r="G26" i="17"/>
  <c r="G32" i="16"/>
  <c r="F43" i="8"/>
  <c r="F45" i="8" s="1"/>
  <c r="E15" i="17"/>
  <c r="E28" i="17"/>
  <c r="D26" i="17"/>
  <c r="I30" i="16"/>
  <c r="I32" i="16" s="1"/>
  <c r="G43" i="8"/>
  <c r="G45" i="8" s="1"/>
  <c r="H32" i="16"/>
  <c r="D43" i="8"/>
  <c r="D45" i="8" s="1"/>
  <c r="E32" i="16"/>
  <c r="E43" i="8"/>
  <c r="E45" i="8" s="1"/>
  <c r="F32" i="16"/>
  <c r="F26" i="17"/>
  <c r="C43" i="8"/>
  <c r="D32" i="16"/>
  <c r="C26" i="17"/>
  <c r="D7" i="8"/>
  <c r="F15" i="17" l="1"/>
  <c r="F28" i="17"/>
  <c r="E5" i="16"/>
  <c r="E6" i="16" s="1"/>
  <c r="E16" i="17"/>
  <c r="G15" i="17"/>
  <c r="G28" i="17"/>
  <c r="H5" i="16"/>
  <c r="H6" i="16" s="1"/>
  <c r="H16" i="17"/>
  <c r="C45" i="8"/>
  <c r="H43" i="8"/>
  <c r="H45" i="8" s="1"/>
  <c r="D15" i="17"/>
  <c r="D28" i="17"/>
  <c r="D5" i="16" l="1"/>
  <c r="D16" i="17"/>
  <c r="G5" i="16"/>
  <c r="G6" i="16" s="1"/>
  <c r="G16" i="17"/>
  <c r="F5" i="16"/>
  <c r="F6" i="16" s="1"/>
  <c r="F16" i="17"/>
  <c r="D6" i="16" l="1"/>
  <c r="I5" i="16"/>
  <c r="I6" i="16" s="1"/>
</calcChain>
</file>

<file path=xl/sharedStrings.xml><?xml version="1.0" encoding="utf-8"?>
<sst xmlns="http://schemas.openxmlformats.org/spreadsheetml/2006/main" count="229" uniqueCount="140">
  <si>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</si>
  <si>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</si>
  <si>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</si>
  <si>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</si>
  <si>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</si>
  <si>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</si>
  <si>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</si>
  <si>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</si>
  <si>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</si>
  <si>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</si>
  <si>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</si>
  <si>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</si>
  <si>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</si>
  <si>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</si>
  <si>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</si>
  <si>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</si>
  <si>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</si>
  <si>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</si>
  <si>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</si>
  <si>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</si>
  <si>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</si>
  <si>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</si>
  <si>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</si>
  <si>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</si>
  <si>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</si>
  <si>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</si>
  <si>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</si>
  <si>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</si>
  <si>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</si>
  <si>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</si>
  <si>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</si>
  <si>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</si>
  <si>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</si>
  <si>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</si>
  <si>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</si>
  <si>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</si>
  <si>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</si>
  <si>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</si>
  <si>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</si>
  <si>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</si>
  <si>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</si>
  <si>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</si>
  <si>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</si>
  <si>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</si>
  <si>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</si>
  <si>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</si>
  <si>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</si>
  <si>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</si>
  <si>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</si>
  <si>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</si>
  <si>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</si>
  <si>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</si>
  <si>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</si>
  <si>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</si>
  <si>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</si>
  <si>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</si>
  <si>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</si>
  <si>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</si>
  <si>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</si>
  <si>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</si>
  <si>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</si>
  <si>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</si>
  <si>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</si>
  <si>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</si>
  <si>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Bottom Up Estimation</t>
  </si>
  <si>
    <t xml:space="preserve">Existing Service Description (2014 - 19) </t>
  </si>
  <si>
    <t>Special meter reading and testing services include:
 - Special meter reading for type 5 and 6 meters and move in and move out metering reading (type 5 and 6 meters)
 - Type 5 meter final read on removed type 5 metering equipment
 - Special meter test (for type 5 and 6 meters)
 - Type 5 and 6 non-standard meter data services
 - Type 5 and 6 current transformer testing.</t>
  </si>
  <si>
    <t>Travel to / from site</t>
  </si>
  <si>
    <t>R2b</t>
  </si>
  <si>
    <t>Site entry</t>
  </si>
  <si>
    <t>Test Meter</t>
  </si>
  <si>
    <t>Remove test equipment</t>
  </si>
  <si>
    <t>Remove supply and isolate load</t>
  </si>
  <si>
    <t>Re-energise and connect load</t>
  </si>
  <si>
    <t>Exit site</t>
  </si>
  <si>
    <t>Special Meter Test - CT Meter</t>
  </si>
  <si>
    <t>Each CT Meter</t>
  </si>
  <si>
    <t xml:space="preserve">
The testing of a single CT  Essential Energy meter in accordance with AEMO Metrology Procedure: Part A National
Electricity Market. Essential Energy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&gt; if the meter test reveals that all of the meters associated with the NMI are operating satisfactorily, Essential
Energy will charge for each meter that a test was requested for; and
&gt; if the meter test reveals that one or more of the meters associated with the NMI are not operating
satisfactorily, Essential Energy will not levy any charge for the provision of the service.
Test results will be provided to the party requesting the meter tests in a standard Essential Energy format.</t>
  </si>
  <si>
    <t>Special Meter Test - CT Meter (NEW)</t>
  </si>
  <si>
    <t>Special Meter Test - CT Meter  (fixed fee)</t>
  </si>
  <si>
    <t>Install CT test equipment</t>
  </si>
  <si>
    <t xml:space="preserve"> - </t>
  </si>
  <si>
    <t>FY22/23</t>
  </si>
  <si>
    <t>Project Code</t>
  </si>
  <si>
    <t>New Service</t>
  </si>
  <si>
    <t>Operating Costs (on IO's, work orders, cost objects, cost centres)</t>
  </si>
  <si>
    <t>Projected Volumes for FY2019-24 Regulatory Period</t>
  </si>
  <si>
    <t>Metering Officer</t>
  </si>
  <si>
    <t xml:space="preserve">Operating Costs - </t>
  </si>
  <si>
    <t>New Service - Special Meter Tests - CT Meter</t>
  </si>
  <si>
    <t>New Service. No historical revenue available.</t>
  </si>
  <si>
    <t>New Service. No historical operating costs available.</t>
  </si>
  <si>
    <t>FY17/18</t>
  </si>
  <si>
    <t>FY18/19</t>
  </si>
  <si>
    <t>Reduction each year by 4% based on meter replacement values.</t>
  </si>
  <si>
    <r>
      <t xml:space="preserve">
</t>
    </r>
    <r>
      <rPr>
        <b/>
        <sz val="10"/>
        <color theme="1"/>
        <rFont val="Arial"/>
        <family val="2"/>
      </rPr>
      <t>Special Meter Test</t>
    </r>
    <r>
      <rPr>
        <sz val="10"/>
        <color theme="1"/>
        <rFont val="Arial"/>
        <family val="2"/>
      </rPr>
      <t xml:space="preserve">
The testing of a single CT Essential Energy meter in accordance with AEMO Metrology Procedure: Part A National
Electricity Market. Essential Energy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&gt; if the meter test reveals that all of the meters associated with the NMI are operating satisfactorily, Essential
Energy will charge for each meter that a test was requested for; and
&gt; if the meter test reveals that one or more of the meters associated with the NMI are not operating
satisfactorily, Essential Energy will not levy any charge for the provision of the service.
Test results will be provided to the party requesting the meter tests in a standard Essential Energy format.
</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</si>
  <si>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</si>
  <si>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</si>
  <si>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</si>
  <si>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</si>
  <si>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</si>
  <si>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</si>
  <si>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</si>
  <si>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</si>
  <si>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</si>
  <si>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</si>
  <si>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</si>
  <si>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</si>
  <si>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</si>
  <si>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</si>
  <si>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</si>
  <si>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</si>
  <si>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</si>
  <si>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</si>
  <si>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</si>
  <si>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</si>
  <si>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</si>
  <si>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</si>
  <si>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</si>
  <si>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</si>
  <si>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</si>
  <si>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</si>
  <si>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</si>
  <si>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</si>
  <si>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</si>
  <si>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</si>
  <si>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</si>
  <si>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</si>
  <si>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</si>
  <si>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</si>
  <si>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</si>
  <si>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</si>
  <si>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</si>
  <si>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</si>
  <si>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</si>
  <si>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</si>
  <si>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</si>
  <si>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1.5 Special Meter Test - CT Meter</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</si>
  <si>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</si>
  <si>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cost breakup based on cost breakup from Meter 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</si>
</sst>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77">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7" fillId="11" borderId="8"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12" fillId="8" borderId="8" xfId="0" applyNumberFormat="1" applyFont="1" applyFill="1" applyBorder="1" applyAlignment="1">
      <alignment horizontal="left"/>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9" fillId="4" borderId="4" xfId="0" applyFont="1" applyFill="1" applyBorder="1" applyAlignment="1">
      <alignment horizontal="left"/>
    </xf>
    <xf numFmtId="0" fontId="9" fillId="10" borderId="4" xfId="0" applyFont="1" applyFill="1" applyBorder="1" applyAlignment="1">
      <alignment horizontal="left"/>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13" fillId="0" borderId="0" xfId="0" applyFont="1"/>
    <xf numFmtId="0" fontId="14" fillId="8" borderId="11" xfId="0" applyFont="1" applyFill="1" applyBorder="1"/>
    <xf numFmtId="0" fontId="15" fillId="8" borderId="12" xfId="0" applyFont="1" applyFill="1" applyBorder="1"/>
    <xf numFmtId="0" fontId="16" fillId="5" borderId="4" xfId="0" applyFont="1" applyFill="1" applyBorder="1"/>
    <xf numFmtId="0" fontId="16" fillId="5" borderId="4" xfId="0" applyFont="1" applyFill="1" applyBorder="1" applyAlignment="1">
      <alignment horizontal="center"/>
    </xf>
    <xf numFmtId="0" fontId="16" fillId="5" borderId="5" xfId="0" applyFont="1" applyFill="1" applyBorder="1" applyAlignment="1">
      <alignment horizontal="right"/>
    </xf>
    <xf numFmtId="0" fontId="17" fillId="4" borderId="4" xfId="0" applyFont="1" applyFill="1" applyBorder="1"/>
    <xf numFmtId="168" fontId="17" fillId="10" borderId="5" xfId="2" applyNumberFormat="1" applyFont="1" applyFill="1" applyBorder="1" applyAlignment="1">
      <alignment horizontal="center"/>
    </xf>
    <xf numFmtId="0" fontId="17" fillId="4" borderId="5" xfId="0" applyFont="1" applyFill="1" applyBorder="1"/>
    <xf numFmtId="168" fontId="17" fillId="4" borderId="5" xfId="2" applyNumberFormat="1" applyFont="1" applyFill="1" applyBorder="1" applyAlignment="1">
      <alignment horizontal="center"/>
    </xf>
    <xf numFmtId="0" fontId="16" fillId="5" borderId="10" xfId="0" applyFont="1" applyFill="1" applyBorder="1"/>
    <xf numFmtId="0" fontId="19" fillId="5" borderId="1" xfId="0" applyFont="1" applyFill="1" applyBorder="1"/>
    <xf numFmtId="168" fontId="16" fillId="5" borderId="9" xfId="2" applyNumberFormat="1" applyFont="1" applyFill="1" applyBorder="1"/>
    <xf numFmtId="168" fontId="16" fillId="5" borderId="10" xfId="2" applyNumberFormat="1" applyFont="1" applyFill="1" applyBorder="1"/>
    <xf numFmtId="0" fontId="16" fillId="0" borderId="0" xfId="0" applyFont="1" applyFill="1" applyBorder="1"/>
    <xf numFmtId="0" fontId="19" fillId="0" borderId="0" xfId="0" applyFont="1" applyFill="1" applyBorder="1"/>
    <xf numFmtId="168" fontId="16" fillId="0" borderId="0" xfId="2" applyNumberFormat="1" applyFont="1" applyFill="1" applyBorder="1"/>
    <xf numFmtId="0" fontId="14" fillId="8" borderId="8" xfId="0" applyFont="1" applyFill="1" applyBorder="1"/>
    <xf numFmtId="0" fontId="15" fillId="8" borderId="0" xfId="0" applyFont="1" applyFill="1"/>
    <xf numFmtId="3" fontId="17" fillId="10" borderId="4" xfId="0" applyNumberFormat="1" applyFont="1" applyFill="1" applyBorder="1"/>
    <xf numFmtId="0" fontId="13" fillId="0" borderId="6" xfId="0" applyFont="1" applyBorder="1"/>
    <xf numFmtId="0" fontId="16" fillId="5" borderId="6" xfId="0" applyFont="1" applyFill="1" applyBorder="1" applyAlignment="1">
      <alignment horizontal="left"/>
    </xf>
    <xf numFmtId="0" fontId="17" fillId="0" borderId="0" xfId="0" applyFont="1"/>
    <xf numFmtId="0" fontId="18" fillId="0" borderId="0" xfId="0" applyFont="1"/>
    <xf numFmtId="0" fontId="20" fillId="4" borderId="8" xfId="0" applyFont="1" applyFill="1" applyBorder="1" applyAlignment="1">
      <alignment horizontal="left" vertical="top" wrapText="1"/>
    </xf>
    <xf numFmtId="0" fontId="20" fillId="4" borderId="0" xfId="0" applyFont="1" applyFill="1" applyBorder="1" applyAlignment="1">
      <alignment horizontal="left" vertical="top" wrapText="1"/>
    </xf>
    <xf numFmtId="0" fontId="16" fillId="5" borderId="11" xfId="0" applyFont="1" applyFill="1" applyBorder="1"/>
    <xf numFmtId="0" fontId="19" fillId="5" borderId="12" xfId="0" applyFont="1" applyFill="1" applyBorder="1"/>
    <xf numFmtId="0" fontId="17" fillId="4" borderId="8" xfId="0" quotePrefix="1" applyFont="1" applyFill="1" applyBorder="1" applyAlignment="1">
      <alignment vertical="top"/>
    </xf>
    <xf numFmtId="0" fontId="17" fillId="4" borderId="0" xfId="0" applyFont="1" applyFill="1" applyBorder="1" applyAlignment="1">
      <alignment vertical="top"/>
    </xf>
    <xf numFmtId="0" fontId="20" fillId="4" borderId="0" xfId="0" applyFont="1" applyFill="1" applyBorder="1" applyAlignment="1">
      <alignment horizontal="left" vertical="top" wrapText="1"/>
    </xf>
    <xf numFmtId="0" fontId="7" fillId="5" borderId="4" xfId="0" applyFont="1" applyFill="1" applyBorder="1" applyAlignment="1">
      <alignment horizontal="center"/>
    </xf>
    <xf numFmtId="0" fontId="16" fillId="5" borderId="4" xfId="0" applyFont="1" applyFill="1" applyBorder="1" applyAlignment="1">
      <alignment horizontal="left"/>
    </xf>
    <xf numFmtId="0" fontId="16" fillId="5" borderId="4" xfId="0" applyFont="1" applyFill="1" applyBorder="1" applyAlignment="1">
      <alignment horizontal="right"/>
    </xf>
    <xf numFmtId="0" fontId="17" fillId="4" borderId="4" xfId="0" quotePrefix="1" applyFont="1" applyFill="1" applyBorder="1"/>
    <xf numFmtId="0" fontId="16" fillId="11" borderId="4" xfId="0" applyFont="1" applyFill="1" applyBorder="1"/>
    <xf numFmtId="3" fontId="16" fillId="5" borderId="4" xfId="0" applyNumberFormat="1" applyFont="1" applyFill="1" applyBorder="1"/>
    <xf numFmtId="0" fontId="7" fillId="11" borderId="8" xfId="0" applyFont="1" applyFill="1" applyBorder="1" applyAlignment="1">
      <alignment horizontal="center"/>
    </xf>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9" xfId="0" applyFont="1" applyFill="1" applyBorder="1"/>
    <xf numFmtId="0" fontId="26" fillId="7" borderId="0" xfId="0" applyFont="1" applyFill="1" applyBorder="1" applyAlignment="1">
      <alignment horizontal="center" vertical="center" wrapText="1"/>
    </xf>
    <xf numFmtId="0" fontId="23" fillId="2" borderId="1" xfId="0" applyFont="1" applyFill="1" applyBorder="1" applyAlignment="1">
      <alignment horizontal="center"/>
    </xf>
    <xf numFmtId="0" fontId="27" fillId="7" borderId="0" xfId="0" applyFont="1" applyFill="1" applyBorder="1" applyAlignment="1">
      <alignment horizontal="center" vertical="center"/>
    </xf>
    <xf numFmtId="0" fontId="24" fillId="9" borderId="9" xfId="0" applyFont="1" applyFill="1" applyBorder="1" applyAlignment="1">
      <alignment horizontal="left" vertical="center"/>
    </xf>
    <xf numFmtId="170" fontId="23" fillId="7" borderId="5" xfId="0" applyNumberFormat="1" applyFont="1" applyFill="1" applyBorder="1" applyAlignment="1">
      <alignment horizontal="left"/>
    </xf>
    <xf numFmtId="170" fontId="23" fillId="7" borderId="10" xfId="0" applyNumberFormat="1" applyFont="1" applyFill="1" applyBorder="1" applyAlignment="1">
      <alignment horizontal="center"/>
    </xf>
    <xf numFmtId="0" fontId="23" fillId="7" borderId="0" xfId="0" applyFont="1" applyFill="1" applyBorder="1" applyAlignment="1">
      <alignment horizontal="center" vertical="center"/>
    </xf>
    <xf numFmtId="170" fontId="23" fillId="3" borderId="2" xfId="0" applyNumberFormat="1" applyFont="1" applyFill="1" applyBorder="1" applyAlignment="1">
      <alignment horizontal="center"/>
    </xf>
    <xf numFmtId="0" fontId="24" fillId="9" borderId="8" xfId="0" applyFont="1" applyFill="1" applyBorder="1" applyAlignment="1">
      <alignment horizontal="left" vertical="center"/>
    </xf>
    <xf numFmtId="0" fontId="25" fillId="7" borderId="8" xfId="0" applyFont="1" applyFill="1" applyBorder="1" applyAlignment="1">
      <alignment horizontal="left"/>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8"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8" fillId="0" borderId="0" xfId="3" applyNumberFormat="1" applyFont="1" applyAlignment="1"/>
    <xf numFmtId="172" fontId="24"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0" fontId="32" fillId="2" borderId="5"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8" fontId="18" fillId="11" borderId="5" xfId="2" applyNumberFormat="1" applyFont="1" applyFill="1" applyBorder="1"/>
    <xf numFmtId="3" fontId="18"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7" fillId="11" borderId="5" xfId="0" applyFont="1" applyFill="1" applyBorder="1" applyAlignment="1">
      <alignment vertical="center"/>
    </xf>
    <xf numFmtId="0" fontId="7" fillId="11" borderId="2" xfId="0" applyFont="1" applyFill="1" applyBorder="1" applyAlignment="1">
      <alignment vertical="center"/>
    </xf>
    <xf numFmtId="0" fontId="7" fillId="11" borderId="3" xfId="0" applyFont="1" applyFill="1" applyBorder="1" applyAlignment="1">
      <alignment vertical="center"/>
    </xf>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7" fillId="9" borderId="2" xfId="0" applyNumberFormat="1" applyFont="1" applyFill="1" applyBorder="1" applyAlignment="1"/>
    <xf numFmtId="170" fontId="7" fillId="9" borderId="3" xfId="0" applyNumberFormat="1" applyFont="1" applyFill="1" applyBorder="1" applyAlignment="1">
      <alignment horizontal="left"/>
    </xf>
    <xf numFmtId="1" fontId="5" fillId="8" borderId="9" xfId="0" applyNumberFormat="1"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170" fontId="7" fillId="9" borderId="5" xfId="0" applyNumberFormat="1" applyFont="1" applyFill="1" applyBorder="1" applyAlignment="1"/>
    <xf numFmtId="0" fontId="2" fillId="0" borderId="12" xfId="0" applyFont="1" applyBorder="1"/>
    <xf numFmtId="3" fontId="4" fillId="10" borderId="4" xfId="3" applyNumberFormat="1" applyFont="1" applyFill="1" applyBorder="1" applyAlignment="1">
      <alignment horizontal="center"/>
    </xf>
    <xf numFmtId="168"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7" fontId="35"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5" fillId="5" borderId="4" xfId="3" applyFont="1" applyFill="1" applyBorder="1"/>
    <xf numFmtId="0" fontId="6" fillId="4" borderId="4" xfId="0" applyFont="1" applyFill="1" applyBorder="1" applyAlignment="1">
      <alignment horizontal="left"/>
    </xf>
    <xf numFmtId="167" fontId="36"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2" fillId="7" borderId="0" xfId="0" quotePrefix="1" applyFont="1" applyFill="1" applyBorder="1" applyAlignment="1">
      <alignment horizontal="left" vertical="top" wrapText="1"/>
    </xf>
    <xf numFmtId="0" fontId="23" fillId="7" borderId="1" xfId="0" applyFont="1" applyFill="1" applyBorder="1" applyAlignment="1">
      <alignment horizontal="left" wrapText="1"/>
    </xf>
    <xf numFmtId="0" fontId="23" fillId="7" borderId="0" xfId="0" applyFont="1" applyFill="1" applyBorder="1" applyAlignment="1">
      <alignment horizontal="left" wrapText="1"/>
    </xf>
    <xf numFmtId="0" fontId="2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170" fontId="28" fillId="7" borderId="2" xfId="0" applyNumberFormat="1" applyFont="1" applyFill="1" applyBorder="1" applyAlignment="1">
      <alignment horizontal="left"/>
    </xf>
    <xf numFmtId="170" fontId="28" fillId="7" borderId="3" xfId="0" applyNumberFormat="1" applyFont="1" applyFill="1" applyBorder="1" applyAlignment="1">
      <alignment horizontal="left"/>
    </xf>
    <xf numFmtId="0" fontId="23" fillId="2" borderId="5" xfId="0" applyFont="1" applyFill="1" applyBorder="1" applyAlignment="1">
      <alignment horizontal="center"/>
    </xf>
    <xf numFmtId="0" fontId="23" fillId="2" borderId="2" xfId="0" applyFont="1" applyFill="1" applyBorder="1" applyAlignment="1">
      <alignment horizontal="center"/>
    </xf>
    <xf numFmtId="0" fontId="25" fillId="7" borderId="5" xfId="0" applyNumberFormat="1" applyFont="1" applyFill="1" applyBorder="1" applyAlignment="1">
      <alignment horizontal="left" wrapText="1"/>
    </xf>
    <xf numFmtId="0" fontId="25" fillId="7" borderId="2"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1"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0" fillId="4" borderId="10" xfId="0" applyFont="1" applyFill="1" applyBorder="1" applyAlignment="1">
      <alignment horizontal="left" vertical="top" wrapText="1"/>
    </xf>
    <xf numFmtId="0" fontId="20" fillId="4" borderId="1" xfId="0" applyFont="1" applyFill="1" applyBorder="1" applyAlignment="1">
      <alignment horizontal="left" vertical="top" wrapText="1"/>
    </xf>
    <xf numFmtId="0" fontId="20" fillId="4" borderId="8" xfId="0" applyFont="1" applyFill="1" applyBorder="1" applyAlignment="1">
      <alignment horizontal="left" vertical="top" wrapText="1"/>
    </xf>
    <xf numFmtId="0" fontId="20" fillId="4" borderId="0" xfId="0" applyFont="1" applyFill="1" applyBorder="1" applyAlignment="1">
      <alignment horizontal="left" vertical="top" wrapText="1"/>
    </xf>
    <xf numFmtId="0" fontId="17" fillId="4" borderId="10" xfId="0" quotePrefix="1" applyFont="1" applyFill="1" applyBorder="1" applyAlignment="1">
      <alignment horizontal="left" vertical="top" wrapText="1"/>
    </xf>
    <xf numFmtId="0" fontId="17" fillId="4" borderId="1" xfId="0" quotePrefix="1" applyFont="1" applyFill="1" applyBorder="1" applyAlignment="1">
      <alignment horizontal="left" vertical="top" wrapText="1"/>
    </xf>
    <xf numFmtId="0" fontId="17" fillId="4" borderId="8"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9" fillId="4" borderId="1"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167" fontId="36"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EAEAEA"/>
      <color rgb="FFA6A6A6"/>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RowHeight="12.75" x14ac:dyDescent="0.2"/>
  <cols>
    <col min="1" max="1" width="2.42578125" style="129" customWidth="1"/>
    <col min="2" max="2" width="41.85546875" style="129" customWidth="1"/>
    <col min="3" max="3" width="22" style="129" customWidth="1"/>
    <col min="4" max="4" width="16.28515625" style="129" customWidth="1"/>
    <col min="5" max="5" width="13.85546875" style="129" customWidth="1"/>
    <col min="6" max="6" width="14" style="129" customWidth="1"/>
    <col min="7" max="7" width="12.85546875" style="129" customWidth="1"/>
    <col min="8" max="8" width="13.28515625" style="129" customWidth="1"/>
    <col min="9" max="9" width="11.5703125" style="129" customWidth="1"/>
    <col min="10" max="16384" width="9.140625" style="129"/>
  </cols>
  <sheetData>
    <row r="2" spans="2:19" x14ac:dyDescent="0.2">
      <c r="B2" s="127" t="s">
        <v>7</v>
      </c>
      <c r="C2" s="128"/>
      <c r="D2" s="128"/>
      <c r="E2" s="128"/>
      <c r="F2" s="128"/>
      <c r="G2" s="128"/>
      <c r="H2" s="128"/>
      <c r="O2" s="130"/>
      <c r="P2" s="130"/>
      <c r="Q2" s="130"/>
      <c r="R2" s="130"/>
      <c r="S2" s="130"/>
    </row>
    <row r="3" spans="2:19" ht="75.75" customHeight="1" x14ac:dyDescent="0.2">
      <c r="B3" s="131" t="s">
        <v>55</v>
      </c>
      <c r="C3" s="242" t="s">
        <v>78</v>
      </c>
      <c r="D3" s="243"/>
      <c r="E3" s="244"/>
      <c r="F3" s="244"/>
      <c r="G3" s="244"/>
      <c r="H3" s="244"/>
      <c r="M3" s="132"/>
      <c r="N3" s="132"/>
      <c r="O3" s="130"/>
      <c r="P3" s="130"/>
      <c r="Q3" s="130"/>
      <c r="R3" s="130"/>
      <c r="S3" s="130"/>
    </row>
    <row r="4" spans="2:19" ht="55.5" customHeight="1" x14ac:dyDescent="0.2">
      <c r="B4" s="133"/>
      <c r="C4" s="240"/>
      <c r="D4" s="241"/>
      <c r="E4" s="134"/>
      <c r="F4" s="134"/>
      <c r="G4" s="134"/>
      <c r="H4" s="134"/>
      <c r="M4" s="132"/>
      <c r="N4" s="132"/>
      <c r="O4" s="130"/>
      <c r="P4" s="130"/>
      <c r="Q4" s="130"/>
      <c r="R4" s="130"/>
      <c r="S4" s="130"/>
    </row>
    <row r="5" spans="2:19" x14ac:dyDescent="0.2">
      <c r="B5" s="131" t="s">
        <v>13</v>
      </c>
      <c r="C5" s="135"/>
      <c r="D5" s="174" t="s">
        <v>47</v>
      </c>
      <c r="E5" s="136"/>
      <c r="F5" s="136"/>
      <c r="G5" s="136"/>
      <c r="H5" s="136"/>
      <c r="M5" s="132"/>
      <c r="N5" s="132"/>
      <c r="O5" s="130"/>
      <c r="P5" s="130"/>
      <c r="Q5" s="130"/>
      <c r="R5" s="130"/>
      <c r="S5" s="130"/>
    </row>
    <row r="6" spans="2:19" x14ac:dyDescent="0.2">
      <c r="B6" s="137" t="s">
        <v>41</v>
      </c>
      <c r="C6" s="138" t="s">
        <v>76</v>
      </c>
      <c r="D6" s="139" t="s">
        <v>81</v>
      </c>
      <c r="E6" s="140"/>
      <c r="F6" s="140"/>
      <c r="G6" s="140"/>
      <c r="H6" s="140"/>
      <c r="M6" s="132"/>
      <c r="N6" s="132"/>
      <c r="O6" s="130"/>
      <c r="P6" s="130"/>
      <c r="Q6" s="130"/>
      <c r="R6" s="130"/>
      <c r="S6" s="130"/>
    </row>
    <row r="7" spans="2:19" x14ac:dyDescent="0.2">
      <c r="B7" s="175" t="s">
        <v>96</v>
      </c>
      <c r="C7" s="138" t="s">
        <v>76</v>
      </c>
      <c r="D7" s="141">
        <f>'Proposed Fee'!Q15</f>
        <v>872.10942073231649</v>
      </c>
      <c r="E7" s="140"/>
      <c r="F7" s="140"/>
      <c r="G7" s="140"/>
      <c r="H7" s="140"/>
      <c r="O7" s="130"/>
      <c r="P7" s="130"/>
      <c r="Q7" s="130"/>
      <c r="R7" s="130"/>
      <c r="S7" s="130"/>
    </row>
    <row r="8" spans="2:19" x14ac:dyDescent="0.2">
      <c r="B8" s="142" t="s">
        <v>48</v>
      </c>
      <c r="C8" s="238" t="s">
        <v>64</v>
      </c>
      <c r="D8" s="239"/>
      <c r="E8" s="143"/>
      <c r="F8" s="144"/>
      <c r="G8" s="144"/>
      <c r="H8" s="144"/>
      <c r="O8" s="130"/>
      <c r="P8" s="130"/>
      <c r="Q8" s="130"/>
      <c r="R8" s="130"/>
      <c r="S8" s="130"/>
    </row>
    <row r="9" spans="2:19" x14ac:dyDescent="0.2">
      <c r="B9" s="145" t="s">
        <v>5</v>
      </c>
      <c r="C9" s="146"/>
      <c r="D9" s="146"/>
      <c r="E9" s="147"/>
      <c r="F9" s="147"/>
      <c r="G9" s="147"/>
      <c r="H9" s="147"/>
      <c r="O9" s="130"/>
      <c r="P9" s="130"/>
      <c r="Q9" s="130"/>
      <c r="R9" s="130"/>
      <c r="S9" s="130"/>
    </row>
    <row r="10" spans="2:19" ht="208.5" customHeight="1" x14ac:dyDescent="0.2">
      <c r="B10" s="245" t="s">
        <v>95</v>
      </c>
      <c r="C10" s="245"/>
      <c r="D10" s="245"/>
      <c r="E10" s="245"/>
      <c r="F10" s="245"/>
      <c r="G10" s="245"/>
      <c r="H10" s="245"/>
      <c r="O10" s="130"/>
      <c r="P10" s="130"/>
      <c r="Q10" s="130"/>
      <c r="R10" s="130"/>
      <c r="S10" s="130"/>
    </row>
    <row r="11" spans="2:19" x14ac:dyDescent="0.2">
      <c r="B11" s="148"/>
      <c r="C11" s="148"/>
      <c r="D11" s="148"/>
      <c r="E11" s="148"/>
      <c r="F11" s="148"/>
      <c r="G11" s="148"/>
      <c r="H11" s="148"/>
      <c r="O11" s="130"/>
      <c r="P11" s="130"/>
      <c r="Q11" s="130"/>
      <c r="R11" s="130"/>
      <c r="S11" s="130"/>
    </row>
    <row r="12" spans="2:19" x14ac:dyDescent="0.2">
      <c r="O12" s="130"/>
      <c r="P12" s="130"/>
      <c r="Q12" s="130"/>
      <c r="R12" s="130"/>
      <c r="S12" s="130"/>
    </row>
    <row r="13" spans="2:19" x14ac:dyDescent="0.2">
      <c r="B13" s="149" t="s">
        <v>34</v>
      </c>
      <c r="C13" s="128"/>
      <c r="D13" s="128"/>
      <c r="E13" s="128"/>
      <c r="F13" s="128"/>
      <c r="G13" s="128"/>
      <c r="H13" s="128"/>
      <c r="O13" s="130"/>
      <c r="P13" s="130"/>
      <c r="Q13" s="130"/>
      <c r="R13" s="130"/>
      <c r="S13" s="130"/>
    </row>
    <row r="14" spans="2:19" x14ac:dyDescent="0.2">
      <c r="B14" s="234"/>
      <c r="C14" s="234"/>
      <c r="D14" s="234"/>
      <c r="E14" s="234"/>
      <c r="F14" s="234"/>
      <c r="G14" s="234"/>
      <c r="H14" s="234"/>
    </row>
    <row r="15" spans="2:19" ht="129" customHeight="1" x14ac:dyDescent="0.2">
      <c r="B15" s="232" t="s">
        <v>138</v>
      </c>
      <c r="C15" s="232"/>
      <c r="D15" s="232"/>
      <c r="E15" s="232"/>
      <c r="F15" s="232"/>
      <c r="G15" s="232"/>
      <c r="H15" s="232"/>
      <c r="I15" s="130"/>
    </row>
    <row r="16" spans="2:19" x14ac:dyDescent="0.2">
      <c r="B16" s="150"/>
      <c r="C16" s="150"/>
      <c r="D16" s="150"/>
      <c r="E16" s="150"/>
      <c r="F16" s="150"/>
      <c r="G16" s="150"/>
      <c r="H16" s="150"/>
    </row>
    <row r="17" spans="2:9" x14ac:dyDescent="0.2">
      <c r="B17" s="151"/>
      <c r="C17" s="151"/>
      <c r="D17" s="151"/>
      <c r="E17" s="151"/>
      <c r="F17" s="151"/>
      <c r="G17" s="151"/>
      <c r="H17" s="151"/>
    </row>
    <row r="18" spans="2:9" x14ac:dyDescent="0.2">
      <c r="B18" s="149" t="s">
        <v>42</v>
      </c>
      <c r="C18" s="128"/>
      <c r="D18" s="128"/>
      <c r="E18" s="128"/>
      <c r="F18" s="128"/>
      <c r="G18" s="128"/>
      <c r="H18" s="128"/>
    </row>
    <row r="19" spans="2:9" x14ac:dyDescent="0.2">
      <c r="B19" s="234"/>
      <c r="C19" s="234"/>
      <c r="D19" s="234"/>
      <c r="E19" s="234"/>
      <c r="F19" s="234"/>
      <c r="G19" s="234"/>
      <c r="H19" s="234"/>
    </row>
    <row r="20" spans="2:9" x14ac:dyDescent="0.2">
      <c r="B20" s="235" t="s">
        <v>84</v>
      </c>
      <c r="C20" s="235"/>
      <c r="D20" s="235"/>
      <c r="E20" s="235"/>
      <c r="F20" s="235"/>
      <c r="G20" s="235"/>
      <c r="H20" s="235"/>
    </row>
    <row r="21" spans="2:9" x14ac:dyDescent="0.2">
      <c r="B21" s="236"/>
      <c r="C21" s="236"/>
      <c r="D21" s="236"/>
      <c r="E21" s="236"/>
      <c r="F21" s="236"/>
      <c r="G21" s="236"/>
      <c r="H21" s="236"/>
    </row>
    <row r="22" spans="2:9" x14ac:dyDescent="0.2">
      <c r="B22" s="236"/>
      <c r="C22" s="237"/>
      <c r="D22" s="237"/>
      <c r="E22" s="237"/>
      <c r="F22" s="237"/>
      <c r="G22" s="237"/>
      <c r="H22" s="237"/>
    </row>
    <row r="23" spans="2:9" x14ac:dyDescent="0.2">
      <c r="B23" s="152"/>
      <c r="C23" s="152"/>
      <c r="D23" s="152"/>
      <c r="E23" s="152"/>
      <c r="F23" s="152"/>
      <c r="G23" s="152"/>
      <c r="H23" s="152"/>
    </row>
    <row r="24" spans="2:9" x14ac:dyDescent="0.2">
      <c r="B24" s="234"/>
      <c r="C24" s="234"/>
      <c r="D24" s="234"/>
      <c r="E24" s="234"/>
      <c r="F24" s="234"/>
      <c r="G24" s="234"/>
      <c r="H24" s="234"/>
    </row>
    <row r="25" spans="2:9" x14ac:dyDescent="0.2">
      <c r="B25" s="150"/>
      <c r="C25" s="150"/>
      <c r="D25" s="150"/>
      <c r="E25" s="150"/>
      <c r="F25" s="150"/>
      <c r="G25" s="150"/>
      <c r="H25" s="150"/>
    </row>
    <row r="26" spans="2:9" x14ac:dyDescent="0.2">
      <c r="B26" s="150"/>
      <c r="C26" s="150"/>
      <c r="D26" s="150"/>
      <c r="E26" s="150"/>
      <c r="F26" s="150"/>
      <c r="G26" s="150"/>
      <c r="H26" s="150"/>
    </row>
    <row r="27" spans="2:9" x14ac:dyDescent="0.2">
      <c r="B27" s="150"/>
      <c r="C27" s="150"/>
      <c r="D27" s="150"/>
      <c r="E27" s="150"/>
      <c r="F27" s="150"/>
      <c r="G27" s="150"/>
      <c r="H27" s="150"/>
    </row>
    <row r="28" spans="2:9" x14ac:dyDescent="0.2">
      <c r="B28" s="150"/>
      <c r="C28" s="150"/>
      <c r="D28" s="150"/>
      <c r="E28" s="150"/>
      <c r="F28" s="150"/>
      <c r="G28" s="150"/>
      <c r="H28" s="150"/>
    </row>
    <row r="29" spans="2:9" x14ac:dyDescent="0.2">
      <c r="B29" s="153"/>
      <c r="C29" s="153"/>
      <c r="D29" s="153"/>
      <c r="E29" s="153"/>
      <c r="F29" s="153"/>
      <c r="G29" s="153"/>
      <c r="H29" s="153"/>
      <c r="I29" s="130"/>
    </row>
    <row r="30" spans="2:9" x14ac:dyDescent="0.2">
      <c r="B30" s="149" t="s">
        <v>6</v>
      </c>
    </row>
    <row r="31" spans="2:9" x14ac:dyDescent="0.2">
      <c r="B31" s="154" t="s">
        <v>14</v>
      </c>
      <c r="C31" s="155" t="s">
        <v>29</v>
      </c>
      <c r="D31" s="155"/>
      <c r="E31" s="155"/>
      <c r="F31" s="155"/>
      <c r="G31" s="155"/>
      <c r="H31" s="155"/>
    </row>
    <row r="32" spans="2:9" x14ac:dyDescent="0.2">
      <c r="B32" s="156" t="s">
        <v>45</v>
      </c>
      <c r="C32" s="155" t="s">
        <v>51</v>
      </c>
      <c r="D32" s="155"/>
      <c r="E32" s="155"/>
      <c r="F32" s="155"/>
      <c r="G32" s="155"/>
      <c r="H32" s="155"/>
    </row>
    <row r="33" spans="2:8" x14ac:dyDescent="0.2">
      <c r="B33" s="156" t="s">
        <v>46</v>
      </c>
      <c r="C33" s="155" t="s">
        <v>52</v>
      </c>
      <c r="D33" s="155"/>
      <c r="E33" s="155"/>
      <c r="F33" s="155"/>
      <c r="G33" s="155"/>
      <c r="H33" s="155"/>
    </row>
    <row r="34" spans="2:8" x14ac:dyDescent="0.2">
      <c r="B34" s="156" t="s">
        <v>15</v>
      </c>
      <c r="C34" s="155" t="s">
        <v>30</v>
      </c>
      <c r="D34" s="155"/>
      <c r="E34" s="155"/>
      <c r="F34" s="155"/>
      <c r="G34" s="155"/>
      <c r="H34" s="155"/>
    </row>
    <row r="37" spans="2:8" x14ac:dyDescent="0.2">
      <c r="B37" s="149" t="s">
        <v>35</v>
      </c>
      <c r="C37" s="128"/>
      <c r="D37" s="128"/>
      <c r="E37" s="128"/>
      <c r="F37" s="128"/>
      <c r="G37" s="128"/>
      <c r="H37" s="128"/>
    </row>
    <row r="39" spans="2:8" x14ac:dyDescent="0.2">
      <c r="B39" s="157"/>
      <c r="C39" s="158" t="s">
        <v>36</v>
      </c>
      <c r="D39" s="158" t="s">
        <v>37</v>
      </c>
      <c r="E39" s="158" t="s">
        <v>38</v>
      </c>
      <c r="F39" s="158" t="s">
        <v>40</v>
      </c>
      <c r="G39" s="158" t="s">
        <v>39</v>
      </c>
      <c r="H39" s="159" t="s">
        <v>1</v>
      </c>
    </row>
    <row r="40" spans="2:8" x14ac:dyDescent="0.2">
      <c r="C40" s="160"/>
      <c r="D40" s="160"/>
      <c r="E40" s="160"/>
      <c r="F40" s="160"/>
      <c r="G40" s="160"/>
      <c r="H40" s="160"/>
    </row>
    <row r="41" spans="2:8" x14ac:dyDescent="0.2">
      <c r="B41" s="176" t="s">
        <v>97</v>
      </c>
      <c r="C41" s="161">
        <f>'Forecast Revenue - Costs'!D28</f>
        <v>5042.7143902481439</v>
      </c>
      <c r="D41" s="161">
        <f>'Forecast Revenue - Costs'!E28</f>
        <v>4841.005814638218</v>
      </c>
      <c r="E41" s="161">
        <f>'Forecast Revenue - Costs'!F28</f>
        <v>4690.2849820644815</v>
      </c>
      <c r="F41" s="161">
        <f>'Forecast Revenue - Costs'!G28</f>
        <v>4590.27205448325</v>
      </c>
      <c r="G41" s="161">
        <f>'Forecast Revenue - Costs'!H28</f>
        <v>4532.2787438389141</v>
      </c>
      <c r="H41" s="161">
        <f>SUM(C41:G41)</f>
        <v>23696.555985273008</v>
      </c>
    </row>
    <row r="42" spans="2:8" x14ac:dyDescent="0.2">
      <c r="C42" s="162"/>
      <c r="D42" s="163"/>
      <c r="E42" s="162"/>
      <c r="F42" s="162"/>
      <c r="G42" s="162"/>
    </row>
    <row r="43" spans="2:8" x14ac:dyDescent="0.2">
      <c r="B43" s="176" t="s">
        <v>98</v>
      </c>
      <c r="C43" s="161">
        <f>SUM('Forecast Revenue - Costs'!D29:D31)</f>
        <v>3678.3798170750219</v>
      </c>
      <c r="D43" s="161">
        <f>SUM('Forecast Revenue - Costs'!E29:E31)</f>
        <v>3531.2446243920203</v>
      </c>
      <c r="E43" s="161">
        <f>SUM('Forecast Revenue - Costs'!F29:F31)</f>
        <v>3421.3021557834236</v>
      </c>
      <c r="F43" s="161">
        <f>SUM('Forecast Revenue - Costs'!G29:G31)</f>
        <v>3348.3482849528996</v>
      </c>
      <c r="G43" s="161">
        <f>SUM('Forecast Revenue - Costs'!H29:H31)</f>
        <v>3306.0453887563558</v>
      </c>
      <c r="H43" s="161">
        <f>SUM(C43:G43)</f>
        <v>17285.320270959721</v>
      </c>
    </row>
    <row r="44" spans="2:8" x14ac:dyDescent="0.2">
      <c r="C44" s="162"/>
      <c r="D44" s="163"/>
      <c r="E44" s="162"/>
      <c r="F44" s="162"/>
      <c r="G44" s="162"/>
    </row>
    <row r="45" spans="2:8" x14ac:dyDescent="0.2">
      <c r="B45" s="176" t="s">
        <v>99</v>
      </c>
      <c r="C45" s="161">
        <f t="shared" ref="C45:H45" si="0">+C41+C43</f>
        <v>8721.0942073231654</v>
      </c>
      <c r="D45" s="161">
        <f t="shared" si="0"/>
        <v>8372.2504390302383</v>
      </c>
      <c r="E45" s="161">
        <f t="shared" si="0"/>
        <v>8111.5871378479051</v>
      </c>
      <c r="F45" s="161">
        <f t="shared" si="0"/>
        <v>7938.6203394361492</v>
      </c>
      <c r="G45" s="161">
        <f t="shared" si="0"/>
        <v>7838.3241325952695</v>
      </c>
      <c r="H45" s="161">
        <f t="shared" si="0"/>
        <v>40981.876256232732</v>
      </c>
    </row>
    <row r="46" spans="2:8" x14ac:dyDescent="0.2">
      <c r="C46" s="164"/>
      <c r="D46" s="164"/>
      <c r="E46" s="164"/>
      <c r="F46" s="164"/>
      <c r="G46" s="164"/>
    </row>
    <row r="47" spans="2:8" x14ac:dyDescent="0.2">
      <c r="B47" s="165" t="s">
        <v>6</v>
      </c>
    </row>
    <row r="48" spans="2:8" ht="14.25" customHeight="1" x14ac:dyDescent="0.2">
      <c r="B48" s="233"/>
      <c r="C48" s="233"/>
      <c r="D48" s="233"/>
      <c r="E48" s="233"/>
      <c r="F48" s="233"/>
      <c r="G48" s="233"/>
      <c r="H48" s="233"/>
    </row>
    <row r="49" spans="2:9" x14ac:dyDescent="0.2">
      <c r="B49" s="234"/>
      <c r="C49" s="234"/>
      <c r="D49" s="234"/>
      <c r="E49" s="234"/>
      <c r="F49" s="234"/>
      <c r="G49" s="234"/>
      <c r="H49" s="234"/>
      <c r="I49" s="130"/>
    </row>
    <row r="50" spans="2:9" ht="27.75" customHeight="1" x14ac:dyDescent="0.2">
      <c r="B50" s="234"/>
      <c r="C50" s="234"/>
      <c r="D50" s="234"/>
      <c r="E50" s="234"/>
      <c r="F50" s="234"/>
      <c r="G50" s="234"/>
      <c r="H50" s="234"/>
    </row>
    <row r="53" spans="2:9" x14ac:dyDescent="0.2">
      <c r="B53" s="149" t="s">
        <v>86</v>
      </c>
      <c r="C53" s="128"/>
      <c r="D53" s="128"/>
      <c r="E53" s="128"/>
      <c r="F53" s="128"/>
      <c r="G53" s="128"/>
      <c r="H53" s="128"/>
    </row>
    <row r="54" spans="2:9" x14ac:dyDescent="0.2">
      <c r="B54" s="166"/>
    </row>
    <row r="55" spans="2:9" x14ac:dyDescent="0.2">
      <c r="B55" s="167"/>
      <c r="C55" s="168" t="s">
        <v>36</v>
      </c>
      <c r="D55" s="168" t="s">
        <v>37</v>
      </c>
      <c r="E55" s="168" t="s">
        <v>38</v>
      </c>
      <c r="F55" s="168" t="s">
        <v>40</v>
      </c>
      <c r="G55" s="168" t="s">
        <v>39</v>
      </c>
      <c r="H55" s="169" t="s">
        <v>1</v>
      </c>
    </row>
    <row r="56" spans="2:9" x14ac:dyDescent="0.2">
      <c r="C56" s="170"/>
      <c r="D56" s="170"/>
      <c r="E56" s="170"/>
      <c r="F56" s="170"/>
      <c r="G56" s="170"/>
      <c r="H56" s="170"/>
    </row>
    <row r="57" spans="2:9" x14ac:dyDescent="0.2">
      <c r="B57" s="167" t="s">
        <v>12</v>
      </c>
      <c r="C57" s="171">
        <f>'Forecast Revenue - Costs'!D11</f>
        <v>10</v>
      </c>
      <c r="D57" s="171">
        <f>'Forecast Revenue - Costs'!E11</f>
        <v>9.6</v>
      </c>
      <c r="E57" s="171">
        <f>'Forecast Revenue - Costs'!F11</f>
        <v>9.2159999999999993</v>
      </c>
      <c r="F57" s="171">
        <f>'Forecast Revenue - Costs'!G11</f>
        <v>8.8473600000000001</v>
      </c>
      <c r="G57" s="171">
        <f>'Forecast Revenue - Costs'!H11</f>
        <v>8.4934656000000004</v>
      </c>
      <c r="H57" s="171">
        <f>SUM(C57:G57)</f>
        <v>46.156825600000005</v>
      </c>
    </row>
    <row r="58" spans="2:9" x14ac:dyDescent="0.2">
      <c r="C58" s="172"/>
      <c r="D58" s="172"/>
      <c r="E58" s="172"/>
      <c r="F58" s="172"/>
      <c r="G58" s="172"/>
      <c r="H58" s="173"/>
    </row>
  </sheetData>
  <mergeCells count="12">
    <mergeCell ref="C8:D8"/>
    <mergeCell ref="C4:D4"/>
    <mergeCell ref="C3:H3"/>
    <mergeCell ref="B14:H14"/>
    <mergeCell ref="B10:H10"/>
    <mergeCell ref="B15:H15"/>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B21" sqref="B21:K21"/>
    </sheetView>
  </sheetViews>
  <sheetFormatPr defaultRowHeight="12.75" x14ac:dyDescent="0.2"/>
  <cols>
    <col min="1" max="1" width="2.28515625" style="1" customWidth="1"/>
    <col min="2" max="2" width="2.42578125" style="46" customWidth="1"/>
    <col min="3" max="3" width="10.140625" style="46" customWidth="1"/>
    <col min="4" max="9" width="13.140625" style="46" customWidth="1"/>
    <col min="10" max="11" width="9.140625" style="46"/>
    <col min="12" max="12" width="5.28515625" style="46" customWidth="1"/>
    <col min="13" max="13" width="2.42578125" style="1" customWidth="1"/>
    <col min="14" max="16384" width="9.140625" style="1"/>
  </cols>
  <sheetData>
    <row r="1" spans="2:14" ht="9" customHeight="1" x14ac:dyDescent="0.2"/>
    <row r="2" spans="2:14" ht="18" customHeight="1" x14ac:dyDescent="0.2">
      <c r="B2" s="44" t="s">
        <v>16</v>
      </c>
      <c r="C2" s="44"/>
      <c r="D2" s="44"/>
      <c r="E2" s="44"/>
      <c r="F2" s="44"/>
      <c r="G2" s="44"/>
      <c r="H2" s="44"/>
      <c r="I2" s="44"/>
      <c r="J2" s="44"/>
      <c r="K2" s="44"/>
    </row>
    <row r="3" spans="2:14" x14ac:dyDescent="0.2">
      <c r="B3" s="37" t="s">
        <v>0</v>
      </c>
      <c r="C3" s="45"/>
      <c r="D3" s="248" t="str">
        <f>'AER Summary'!C3</f>
        <v>Special Meter Test - CT Meter (NEW)</v>
      </c>
      <c r="E3" s="249"/>
      <c r="F3" s="249"/>
      <c r="G3" s="249"/>
      <c r="H3" s="249"/>
      <c r="I3" s="249"/>
      <c r="J3" s="249"/>
      <c r="K3" s="249"/>
      <c r="N3" s="35"/>
    </row>
    <row r="4" spans="2:14" x14ac:dyDescent="0.2">
      <c r="N4" s="35"/>
    </row>
    <row r="5" spans="2:14" x14ac:dyDescent="0.2">
      <c r="B5" s="250" t="s">
        <v>65</v>
      </c>
      <c r="C5" s="250"/>
      <c r="D5" s="250"/>
      <c r="E5" s="250"/>
      <c r="F5" s="250"/>
      <c r="G5" s="250"/>
      <c r="H5" s="250"/>
      <c r="I5" s="250"/>
      <c r="J5" s="250"/>
      <c r="K5" s="250"/>
      <c r="N5" s="35"/>
    </row>
    <row r="6" spans="2:14" ht="186.75" customHeight="1" x14ac:dyDescent="0.2">
      <c r="B6" s="251" t="s">
        <v>77</v>
      </c>
      <c r="C6" s="252"/>
      <c r="D6" s="252"/>
      <c r="E6" s="252"/>
      <c r="F6" s="252"/>
      <c r="G6" s="252"/>
      <c r="H6" s="252"/>
      <c r="I6" s="252"/>
      <c r="J6" s="252"/>
      <c r="K6" s="252"/>
      <c r="N6" s="35"/>
    </row>
    <row r="9" spans="2:14" x14ac:dyDescent="0.2">
      <c r="B9" s="250" t="s">
        <v>43</v>
      </c>
      <c r="C9" s="250"/>
      <c r="D9" s="250"/>
      <c r="E9" s="250"/>
      <c r="F9" s="250"/>
      <c r="G9" s="250"/>
      <c r="H9" s="250"/>
      <c r="I9" s="250"/>
      <c r="J9" s="250"/>
      <c r="K9" s="250"/>
    </row>
    <row r="10" spans="2:14" ht="15" customHeight="1" x14ac:dyDescent="0.2">
      <c r="B10" s="247" t="s">
        <v>66</v>
      </c>
      <c r="C10" s="247"/>
      <c r="D10" s="247"/>
      <c r="E10" s="247"/>
      <c r="F10" s="247"/>
      <c r="G10" s="247"/>
      <c r="H10" s="247"/>
      <c r="I10" s="247"/>
      <c r="J10" s="247"/>
      <c r="K10" s="247"/>
    </row>
    <row r="11" spans="2:14" ht="24.75" customHeight="1" x14ac:dyDescent="0.2">
      <c r="B11" s="253"/>
      <c r="C11" s="253"/>
      <c r="D11" s="253"/>
      <c r="E11" s="253"/>
      <c r="F11" s="253"/>
      <c r="G11" s="253"/>
      <c r="H11" s="253"/>
      <c r="I11" s="253"/>
      <c r="J11" s="253"/>
      <c r="K11" s="253"/>
      <c r="L11" s="48"/>
      <c r="M11" s="36"/>
      <c r="N11" s="36"/>
    </row>
    <row r="12" spans="2:14" x14ac:dyDescent="0.2">
      <c r="B12" s="253"/>
      <c r="C12" s="253"/>
      <c r="D12" s="253"/>
      <c r="E12" s="253"/>
      <c r="F12" s="253"/>
      <c r="G12" s="253"/>
      <c r="H12" s="253"/>
      <c r="I12" s="253"/>
      <c r="J12" s="253"/>
      <c r="K12" s="253"/>
      <c r="L12" s="48"/>
      <c r="M12" s="36"/>
      <c r="N12" s="36"/>
    </row>
    <row r="13" spans="2:14" x14ac:dyDescent="0.2">
      <c r="B13" s="253"/>
      <c r="C13" s="253"/>
      <c r="D13" s="253"/>
      <c r="E13" s="253"/>
      <c r="F13" s="253"/>
      <c r="G13" s="253"/>
      <c r="H13" s="253"/>
      <c r="I13" s="253"/>
      <c r="J13" s="253"/>
      <c r="K13" s="253"/>
      <c r="L13" s="48"/>
      <c r="M13" s="36"/>
      <c r="N13" s="36"/>
    </row>
    <row r="14" spans="2:14" ht="48" customHeight="1" x14ac:dyDescent="0.2">
      <c r="B14" s="253"/>
      <c r="C14" s="253"/>
      <c r="D14" s="253"/>
      <c r="E14" s="253"/>
      <c r="F14" s="253"/>
      <c r="G14" s="253"/>
      <c r="H14" s="253"/>
      <c r="I14" s="253"/>
      <c r="J14" s="253"/>
      <c r="K14" s="253"/>
      <c r="L14" s="48"/>
      <c r="M14" s="36"/>
      <c r="N14" s="36"/>
    </row>
    <row r="15" spans="2:14" x14ac:dyDescent="0.2">
      <c r="B15" s="253"/>
      <c r="C15" s="253"/>
      <c r="D15" s="253"/>
      <c r="E15" s="253"/>
      <c r="F15" s="253"/>
      <c r="G15" s="253"/>
      <c r="H15" s="253"/>
      <c r="I15" s="253"/>
      <c r="J15" s="253"/>
      <c r="K15" s="253"/>
      <c r="L15" s="48"/>
      <c r="M15" s="36"/>
      <c r="N15" s="36"/>
    </row>
    <row r="16" spans="2:14" x14ac:dyDescent="0.2">
      <c r="B16" s="253"/>
      <c r="C16" s="253"/>
      <c r="D16" s="253"/>
      <c r="E16" s="253"/>
      <c r="F16" s="253"/>
      <c r="G16" s="253"/>
      <c r="H16" s="253"/>
      <c r="I16" s="253"/>
      <c r="J16" s="253"/>
      <c r="K16" s="253"/>
      <c r="L16" s="48"/>
      <c r="M16" s="36"/>
      <c r="N16" s="36"/>
    </row>
    <row r="17" spans="2:14" x14ac:dyDescent="0.2">
      <c r="L17" s="48"/>
      <c r="M17" s="36"/>
      <c r="N17" s="36"/>
    </row>
    <row r="18" spans="2:14" x14ac:dyDescent="0.2">
      <c r="L18" s="48"/>
      <c r="M18" s="36"/>
      <c r="N18" s="36"/>
    </row>
    <row r="19" spans="2:14" x14ac:dyDescent="0.2">
      <c r="B19" s="250" t="s">
        <v>44</v>
      </c>
      <c r="C19" s="250"/>
      <c r="D19" s="250"/>
      <c r="E19" s="250"/>
      <c r="F19" s="250"/>
      <c r="G19" s="250"/>
      <c r="H19" s="250"/>
      <c r="I19" s="250"/>
      <c r="J19" s="250"/>
      <c r="K19" s="250"/>
      <c r="L19" s="48"/>
      <c r="M19" s="36"/>
      <c r="N19" s="36"/>
    </row>
    <row r="20" spans="2:14" ht="197.25" customHeight="1" x14ac:dyDescent="0.2">
      <c r="B20" s="247" t="str">
        <f>'AER Summary'!B10:H10</f>
        <v xml:space="preserve">
Special Meter Test
The testing of a single CT Essential Energy meter in accordance with AEMO Metrology Procedure: Part A National
Electricity Market. Essential Energy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&gt; if the meter test reveals that all of the meters associated with the NMI are operating satisfactorily, Essential
Energy will charge for each meter that a test was requested for; and
&gt; if the meter test reveals that one or more of the meters associated with the NMI are not operating
satisfactorily, Essential Energy will not levy any charge for the provision of the service.
Test results will be provided to the party requesting the meter tests in a standard Essential Energy format.
</v>
      </c>
      <c r="C20" s="247"/>
      <c r="D20" s="247"/>
      <c r="E20" s="247"/>
      <c r="F20" s="247"/>
      <c r="G20" s="247"/>
      <c r="H20" s="247"/>
      <c r="I20" s="247"/>
      <c r="J20" s="247"/>
      <c r="K20" s="247"/>
    </row>
    <row r="21" spans="2:14" x14ac:dyDescent="0.2">
      <c r="B21" s="246"/>
      <c r="C21" s="246"/>
      <c r="D21" s="246"/>
      <c r="E21" s="246"/>
      <c r="F21" s="246"/>
      <c r="G21" s="246"/>
      <c r="H21" s="246"/>
      <c r="I21" s="246"/>
      <c r="J21" s="246"/>
      <c r="K21" s="246"/>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15" sqref="I15"/>
    </sheetView>
  </sheetViews>
  <sheetFormatPr defaultRowHeight="12.75" x14ac:dyDescent="0.2"/>
  <cols>
    <col min="1" max="1" width="3.5703125" style="88" customWidth="1"/>
    <col min="2" max="2" width="58.7109375" style="88" customWidth="1"/>
    <col min="3" max="3" width="65.140625" style="88" customWidth="1"/>
    <col min="4" max="4" width="12.85546875" style="88" customWidth="1"/>
    <col min="5" max="8" width="11.28515625" style="88" customWidth="1"/>
    <col min="9" max="9" width="12.7109375" style="88" customWidth="1"/>
    <col min="10" max="16384" width="9.140625" style="88"/>
  </cols>
  <sheetData>
    <row r="2" spans="1:9" x14ac:dyDescent="0.2">
      <c r="B2" s="89" t="s">
        <v>85</v>
      </c>
      <c r="C2" s="90"/>
      <c r="D2" s="90"/>
      <c r="E2" s="90"/>
      <c r="F2" s="90"/>
      <c r="G2" s="90"/>
      <c r="H2" s="90"/>
      <c r="I2" s="90"/>
    </row>
    <row r="3" spans="1:9" x14ac:dyDescent="0.2">
      <c r="B3" s="91" t="s">
        <v>20</v>
      </c>
      <c r="C3" s="91" t="s">
        <v>3</v>
      </c>
      <c r="D3" s="92" t="s">
        <v>58</v>
      </c>
      <c r="E3" s="92" t="s">
        <v>57</v>
      </c>
      <c r="F3" s="92" t="s">
        <v>56</v>
      </c>
      <c r="G3" s="119" t="s">
        <v>92</v>
      </c>
      <c r="H3" s="119" t="s">
        <v>93</v>
      </c>
      <c r="I3" s="93" t="s">
        <v>1</v>
      </c>
    </row>
    <row r="4" spans="1:9" x14ac:dyDescent="0.2">
      <c r="B4" s="94" t="s">
        <v>21</v>
      </c>
      <c r="C4" s="94" t="s">
        <v>87</v>
      </c>
      <c r="D4" s="95"/>
      <c r="E4" s="95"/>
      <c r="F4" s="95"/>
      <c r="G4" s="95"/>
      <c r="H4" s="95"/>
      <c r="I4" s="177">
        <f>SUM(D4:H4)</f>
        <v>0</v>
      </c>
    </row>
    <row r="5" spans="1:9" x14ac:dyDescent="0.2">
      <c r="B5" s="94" t="s">
        <v>23</v>
      </c>
      <c r="C5" s="96"/>
      <c r="D5" s="95"/>
      <c r="E5" s="95"/>
      <c r="F5" s="95"/>
      <c r="G5" s="95"/>
      <c r="H5" s="95"/>
      <c r="I5" s="177">
        <f t="shared" ref="I5:I8" si="0">SUM(D5:H5)</f>
        <v>0</v>
      </c>
    </row>
    <row r="6" spans="1:9" x14ac:dyDescent="0.2">
      <c r="B6" s="94" t="s">
        <v>24</v>
      </c>
      <c r="C6" s="94"/>
      <c r="D6" s="95">
        <v>0</v>
      </c>
      <c r="E6" s="95">
        <v>0</v>
      </c>
      <c r="F6" s="95">
        <v>0</v>
      </c>
      <c r="G6" s="95">
        <v>0</v>
      </c>
      <c r="H6" s="95">
        <v>0</v>
      </c>
      <c r="I6" s="177">
        <f t="shared" si="0"/>
        <v>0</v>
      </c>
    </row>
    <row r="7" spans="1:9" x14ac:dyDescent="0.2">
      <c r="B7" s="94" t="s">
        <v>25</v>
      </c>
      <c r="C7" s="94"/>
      <c r="D7" s="95"/>
      <c r="E7" s="95"/>
      <c r="F7" s="95"/>
      <c r="G7" s="95"/>
      <c r="H7" s="95"/>
      <c r="I7" s="177">
        <f t="shared" si="0"/>
        <v>0</v>
      </c>
    </row>
    <row r="8" spans="1:9" x14ac:dyDescent="0.2">
      <c r="B8" s="94" t="s">
        <v>22</v>
      </c>
      <c r="C8" s="94"/>
      <c r="D8" s="97"/>
      <c r="E8" s="97"/>
      <c r="F8" s="97"/>
      <c r="G8" s="97"/>
      <c r="H8" s="97"/>
      <c r="I8" s="177">
        <f t="shared" si="0"/>
        <v>0</v>
      </c>
    </row>
    <row r="9" spans="1:9" x14ac:dyDescent="0.2">
      <c r="B9" s="98" t="s">
        <v>1</v>
      </c>
      <c r="C9" s="99"/>
      <c r="D9" s="100">
        <f t="shared" ref="D9:I9" si="1">SUM(D4:D8)</f>
        <v>0</v>
      </c>
      <c r="E9" s="100">
        <f t="shared" si="1"/>
        <v>0</v>
      </c>
      <c r="F9" s="100">
        <f t="shared" si="1"/>
        <v>0</v>
      </c>
      <c r="G9" s="100">
        <f t="shared" ref="G9:H9" si="2">SUM(G4:G8)</f>
        <v>0</v>
      </c>
      <c r="H9" s="100">
        <f t="shared" si="2"/>
        <v>0</v>
      </c>
      <c r="I9" s="101">
        <f t="shared" si="1"/>
        <v>0</v>
      </c>
    </row>
    <row r="10" spans="1:9" x14ac:dyDescent="0.2">
      <c r="B10" s="102"/>
      <c r="C10" s="103"/>
      <c r="D10" s="104"/>
      <c r="E10" s="104"/>
      <c r="F10" s="104"/>
      <c r="G10" s="104"/>
      <c r="H10" s="104"/>
      <c r="I10" s="104"/>
    </row>
    <row r="11" spans="1:9" x14ac:dyDescent="0.2">
      <c r="B11" s="105" t="s">
        <v>10</v>
      </c>
      <c r="C11" s="106"/>
      <c r="D11" s="106"/>
      <c r="E11" s="106"/>
      <c r="F11" s="106"/>
      <c r="G11" s="106"/>
      <c r="H11" s="106"/>
      <c r="I11" s="106"/>
    </row>
    <row r="12" spans="1:9" x14ac:dyDescent="0.2">
      <c r="B12" s="120" t="s">
        <v>4</v>
      </c>
      <c r="C12" s="120" t="s">
        <v>9</v>
      </c>
      <c r="D12" s="92" t="s">
        <v>58</v>
      </c>
      <c r="E12" s="92" t="s">
        <v>57</v>
      </c>
      <c r="F12" s="92" t="s">
        <v>56</v>
      </c>
      <c r="G12" s="119" t="s">
        <v>92</v>
      </c>
      <c r="H12" s="119" t="s">
        <v>93</v>
      </c>
      <c r="I12" s="121" t="s">
        <v>1</v>
      </c>
    </row>
    <row r="13" spans="1:9" x14ac:dyDescent="0.2">
      <c r="B13" s="94" t="s">
        <v>19</v>
      </c>
      <c r="C13" s="94"/>
      <c r="D13" s="107"/>
      <c r="E13" s="107"/>
      <c r="F13" s="107"/>
      <c r="G13" s="107"/>
      <c r="H13" s="107"/>
      <c r="I13" s="178">
        <f>SUM(D13:H13)</f>
        <v>0</v>
      </c>
    </row>
    <row r="14" spans="1:9" x14ac:dyDescent="0.2">
      <c r="B14" s="94"/>
      <c r="C14" s="122"/>
      <c r="D14" s="107"/>
      <c r="E14" s="107"/>
      <c r="F14" s="107"/>
      <c r="G14" s="107"/>
      <c r="H14" s="107"/>
      <c r="I14" s="178">
        <f>SUM(D14:H14)</f>
        <v>0</v>
      </c>
    </row>
    <row r="15" spans="1:9" x14ac:dyDescent="0.2">
      <c r="A15" s="108"/>
      <c r="B15" s="123" t="s">
        <v>53</v>
      </c>
      <c r="C15" s="91"/>
      <c r="D15" s="124">
        <f t="shared" ref="D15:I15" si="3">SUM(D13:D14)</f>
        <v>0</v>
      </c>
      <c r="E15" s="124">
        <f t="shared" si="3"/>
        <v>0</v>
      </c>
      <c r="F15" s="124">
        <f t="shared" si="3"/>
        <v>0</v>
      </c>
      <c r="G15" s="124">
        <f t="shared" ref="G15:H15" si="4">SUM(G13:G14)</f>
        <v>0</v>
      </c>
      <c r="H15" s="124">
        <f t="shared" si="4"/>
        <v>0</v>
      </c>
      <c r="I15" s="124">
        <f t="shared" si="3"/>
        <v>0</v>
      </c>
    </row>
    <row r="17" spans="1:9" x14ac:dyDescent="0.2">
      <c r="A17" s="108"/>
      <c r="B17" s="109" t="s">
        <v>6</v>
      </c>
      <c r="C17" s="110"/>
      <c r="D17" s="111"/>
      <c r="E17" s="111"/>
      <c r="F17" s="111"/>
      <c r="G17" s="111"/>
      <c r="H17" s="111"/>
      <c r="I17" s="111"/>
    </row>
    <row r="18" spans="1:9" x14ac:dyDescent="0.2">
      <c r="B18" s="254" t="s">
        <v>91</v>
      </c>
      <c r="C18" s="255"/>
      <c r="D18" s="255"/>
      <c r="E18" s="255"/>
      <c r="F18" s="255"/>
      <c r="G18" s="255"/>
      <c r="H18" s="255"/>
      <c r="I18" s="255"/>
    </row>
    <row r="19" spans="1:9" x14ac:dyDescent="0.2">
      <c r="B19" s="256"/>
      <c r="C19" s="257"/>
      <c r="D19" s="257"/>
      <c r="E19" s="257"/>
      <c r="F19" s="257"/>
      <c r="G19" s="257"/>
      <c r="H19" s="257"/>
      <c r="I19" s="257"/>
    </row>
    <row r="20" spans="1:9" x14ac:dyDescent="0.2">
      <c r="B20" s="112"/>
      <c r="C20" s="113"/>
      <c r="D20" s="113"/>
      <c r="E20" s="113"/>
      <c r="F20" s="113"/>
      <c r="G20" s="118"/>
      <c r="H20" s="118"/>
      <c r="I20" s="113"/>
    </row>
    <row r="21" spans="1:9" x14ac:dyDescent="0.2">
      <c r="B21" s="110"/>
      <c r="C21" s="110"/>
      <c r="D21" s="111"/>
      <c r="E21" s="111"/>
      <c r="F21" s="111"/>
      <c r="G21" s="111"/>
      <c r="H21" s="111"/>
      <c r="I21" s="111"/>
    </row>
    <row r="22" spans="1:9" x14ac:dyDescent="0.2">
      <c r="B22" s="105" t="s">
        <v>88</v>
      </c>
      <c r="C22" s="106"/>
      <c r="D22" s="106"/>
      <c r="E22" s="106"/>
      <c r="F22" s="106"/>
      <c r="G22" s="106"/>
      <c r="H22" s="106"/>
      <c r="I22" s="106"/>
    </row>
    <row r="23" spans="1:9" x14ac:dyDescent="0.2">
      <c r="B23" s="110"/>
      <c r="C23" s="110"/>
      <c r="D23" s="110"/>
      <c r="E23" s="110"/>
      <c r="F23" s="110"/>
      <c r="G23" s="110"/>
      <c r="H23" s="110"/>
      <c r="I23" s="110"/>
    </row>
    <row r="24" spans="1:9" x14ac:dyDescent="0.2">
      <c r="B24" s="114" t="s">
        <v>11</v>
      </c>
      <c r="C24" s="115"/>
      <c r="D24" s="115"/>
      <c r="E24" s="115"/>
      <c r="F24" s="115"/>
      <c r="G24" s="115"/>
      <c r="H24" s="115"/>
      <c r="I24" s="115"/>
    </row>
    <row r="25" spans="1:9" x14ac:dyDescent="0.2">
      <c r="B25" s="258"/>
      <c r="C25" s="259"/>
      <c r="D25" s="259"/>
      <c r="E25" s="259"/>
      <c r="F25" s="259"/>
      <c r="G25" s="259"/>
      <c r="H25" s="259"/>
      <c r="I25" s="259"/>
    </row>
    <row r="26" spans="1:9" x14ac:dyDescent="0.2">
      <c r="B26" s="260"/>
      <c r="C26" s="261"/>
      <c r="D26" s="261"/>
      <c r="E26" s="261"/>
      <c r="F26" s="261"/>
      <c r="G26" s="261"/>
      <c r="H26" s="261"/>
      <c r="I26" s="261"/>
    </row>
    <row r="27" spans="1:9" x14ac:dyDescent="0.2">
      <c r="B27" s="116"/>
      <c r="C27" s="117"/>
      <c r="D27" s="117"/>
      <c r="E27" s="117"/>
      <c r="F27" s="117"/>
      <c r="G27" s="117"/>
      <c r="H27" s="117"/>
      <c r="I27" s="117"/>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8" sqref="C38"/>
    </sheetView>
  </sheetViews>
  <sheetFormatPr defaultRowHeight="12.75" x14ac:dyDescent="0.2"/>
  <cols>
    <col min="1" max="1" width="3.140625" style="49" customWidth="1"/>
    <col min="2" max="2" width="80" style="49" bestFit="1" customWidth="1"/>
    <col min="3" max="3" width="65.140625" style="49" customWidth="1"/>
    <col min="4" max="4" width="12.85546875" style="49" customWidth="1"/>
    <col min="5" max="8" width="11.28515625" style="49" customWidth="1"/>
    <col min="9" max="9" width="12.7109375" style="49" customWidth="1"/>
    <col min="10" max="16384" width="9.140625" style="49"/>
  </cols>
  <sheetData>
    <row r="2" spans="2:9" x14ac:dyDescent="0.2">
      <c r="B2" s="27" t="s">
        <v>8</v>
      </c>
      <c r="C2" s="28"/>
      <c r="D2" s="28"/>
      <c r="E2" s="28"/>
      <c r="F2" s="28"/>
      <c r="G2" s="28"/>
      <c r="H2" s="28"/>
      <c r="I2" s="28"/>
    </row>
    <row r="3" spans="2:9" x14ac:dyDescent="0.2">
      <c r="B3" s="1"/>
      <c r="C3" s="1"/>
      <c r="D3" s="1"/>
      <c r="E3" s="1"/>
      <c r="F3" s="1"/>
      <c r="G3" s="1"/>
      <c r="H3" s="1"/>
      <c r="I3" s="1"/>
    </row>
    <row r="4" spans="2:9" x14ac:dyDescent="0.2">
      <c r="B4" s="27" t="s">
        <v>2</v>
      </c>
      <c r="C4" s="28"/>
      <c r="D4" s="28"/>
      <c r="E4" s="28"/>
      <c r="F4" s="28"/>
      <c r="G4" s="28"/>
      <c r="H4" s="28"/>
      <c r="I4" s="28"/>
    </row>
    <row r="5" spans="2:9" x14ac:dyDescent="0.2">
      <c r="B5" s="84" t="s">
        <v>83</v>
      </c>
      <c r="C5" s="84" t="s">
        <v>9</v>
      </c>
      <c r="D5" s="86" t="s">
        <v>58</v>
      </c>
      <c r="E5" s="86" t="s">
        <v>57</v>
      </c>
      <c r="F5" s="86" t="s">
        <v>56</v>
      </c>
      <c r="G5" s="86" t="s">
        <v>92</v>
      </c>
      <c r="H5" s="86" t="s">
        <v>93</v>
      </c>
      <c r="I5" s="87" t="s">
        <v>1</v>
      </c>
    </row>
    <row r="6" spans="2:9" ht="15" customHeight="1" x14ac:dyDescent="0.2">
      <c r="B6" s="83" t="s">
        <v>84</v>
      </c>
      <c r="C6" s="31"/>
      <c r="D6" s="30"/>
      <c r="E6" s="30"/>
      <c r="F6" s="30"/>
      <c r="G6" s="30"/>
      <c r="H6" s="30"/>
      <c r="I6" s="196">
        <f>SUM(D6:H6)</f>
        <v>0</v>
      </c>
    </row>
    <row r="7" spans="2:9" x14ac:dyDescent="0.2">
      <c r="B7" s="6"/>
      <c r="C7" s="29"/>
      <c r="D7" s="30"/>
      <c r="E7" s="30"/>
      <c r="F7" s="30"/>
      <c r="G7" s="30"/>
      <c r="H7" s="30"/>
      <c r="I7" s="196">
        <f t="shared" ref="I7:I9" si="0">SUM(D7:H7)</f>
        <v>0</v>
      </c>
    </row>
    <row r="8" spans="2:9" x14ac:dyDescent="0.2">
      <c r="B8" s="6"/>
      <c r="C8" s="29"/>
      <c r="D8" s="30"/>
      <c r="E8" s="30"/>
      <c r="F8" s="30"/>
      <c r="G8" s="30"/>
      <c r="H8" s="30"/>
      <c r="I8" s="196">
        <f t="shared" si="0"/>
        <v>0</v>
      </c>
    </row>
    <row r="9" spans="2:9" x14ac:dyDescent="0.2">
      <c r="B9" s="6"/>
      <c r="C9" s="29"/>
      <c r="D9" s="30"/>
      <c r="E9" s="30"/>
      <c r="F9" s="30"/>
      <c r="G9" s="30"/>
      <c r="H9" s="30"/>
      <c r="I9" s="196">
        <f t="shared" si="0"/>
        <v>0</v>
      </c>
    </row>
    <row r="10" spans="2:9" x14ac:dyDescent="0.2">
      <c r="B10" s="7" t="s">
        <v>1</v>
      </c>
      <c r="C10" s="8"/>
      <c r="D10" s="9">
        <f t="shared" ref="D10:I10" si="1">SUM(D6:D9)</f>
        <v>0</v>
      </c>
      <c r="E10" s="9">
        <f t="shared" si="1"/>
        <v>0</v>
      </c>
      <c r="F10" s="9">
        <f t="shared" si="1"/>
        <v>0</v>
      </c>
      <c r="G10" s="9">
        <f t="shared" ref="G10:H10" si="2">SUM(G6:G9)</f>
        <v>0</v>
      </c>
      <c r="H10" s="9">
        <f t="shared" si="2"/>
        <v>0</v>
      </c>
      <c r="I10" s="9">
        <f t="shared" si="1"/>
        <v>0</v>
      </c>
    </row>
    <row r="11" spans="2:9" x14ac:dyDescent="0.2">
      <c r="B11" s="1"/>
      <c r="C11" s="1"/>
      <c r="D11" s="1"/>
      <c r="E11" s="1"/>
      <c r="F11" s="1"/>
      <c r="G11" s="1"/>
      <c r="H11" s="1"/>
      <c r="I11" s="1"/>
    </row>
    <row r="12" spans="2:9" x14ac:dyDescent="0.2">
      <c r="B12" s="27" t="s">
        <v>10</v>
      </c>
      <c r="C12" s="28"/>
      <c r="D12" s="28"/>
      <c r="E12" s="28"/>
      <c r="F12" s="28"/>
      <c r="G12" s="28"/>
      <c r="H12" s="28"/>
      <c r="I12" s="28"/>
    </row>
    <row r="13" spans="2:9" x14ac:dyDescent="0.2">
      <c r="B13" s="84" t="s">
        <v>4</v>
      </c>
      <c r="C13" s="85" t="s">
        <v>9</v>
      </c>
      <c r="D13" s="86" t="s">
        <v>58</v>
      </c>
      <c r="E13" s="86" t="s">
        <v>57</v>
      </c>
      <c r="F13" s="86" t="s">
        <v>56</v>
      </c>
      <c r="G13" s="125" t="s">
        <v>92</v>
      </c>
      <c r="H13" s="125" t="s">
        <v>93</v>
      </c>
      <c r="I13" s="87" t="s">
        <v>1</v>
      </c>
    </row>
    <row r="14" spans="2:9" x14ac:dyDescent="0.2">
      <c r="B14" s="10" t="s">
        <v>19</v>
      </c>
      <c r="C14" s="10"/>
      <c r="D14" s="81"/>
      <c r="E14" s="81"/>
      <c r="F14" s="81"/>
      <c r="G14" s="81"/>
      <c r="H14" s="81"/>
      <c r="I14" s="197">
        <f>SUM(D14:H14)</f>
        <v>0</v>
      </c>
    </row>
    <row r="15" spans="2:9" x14ac:dyDescent="0.2">
      <c r="B15" s="10"/>
      <c r="C15" s="12"/>
      <c r="D15" s="11"/>
      <c r="E15" s="11"/>
      <c r="F15" s="11"/>
      <c r="G15" s="11"/>
      <c r="H15" s="11"/>
      <c r="I15" s="197">
        <f t="shared" ref="I15:I16" si="3">SUM(D15:H15)</f>
        <v>0</v>
      </c>
    </row>
    <row r="16" spans="2:9" x14ac:dyDescent="0.2">
      <c r="B16" s="10"/>
      <c r="C16" s="10"/>
      <c r="D16" s="11"/>
      <c r="E16" s="11"/>
      <c r="F16" s="11"/>
      <c r="G16" s="11"/>
      <c r="H16" s="11"/>
      <c r="I16" s="198">
        <f t="shared" si="3"/>
        <v>0</v>
      </c>
    </row>
    <row r="17" spans="2:9" x14ac:dyDescent="0.2">
      <c r="B17" s="34" t="s">
        <v>17</v>
      </c>
      <c r="C17" s="8"/>
      <c r="D17" s="13">
        <f t="shared" ref="D17:F17" si="4">SUM(D14:D16)</f>
        <v>0</v>
      </c>
      <c r="E17" s="13">
        <f t="shared" si="4"/>
        <v>0</v>
      </c>
      <c r="F17" s="13">
        <f t="shared" si="4"/>
        <v>0</v>
      </c>
      <c r="G17" s="13">
        <f t="shared" ref="G17:H17" si="5">SUM(G14:G16)</f>
        <v>0</v>
      </c>
      <c r="H17" s="13">
        <f t="shared" si="5"/>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64" t="s">
        <v>90</v>
      </c>
      <c r="C20" s="264"/>
      <c r="D20" s="264"/>
      <c r="E20" s="264"/>
      <c r="F20" s="264"/>
      <c r="G20" s="264"/>
      <c r="H20" s="264"/>
      <c r="I20" s="264"/>
    </row>
    <row r="21" spans="2:9" x14ac:dyDescent="0.2">
      <c r="B21" s="265"/>
      <c r="C21" s="265"/>
      <c r="D21" s="265"/>
      <c r="E21" s="265"/>
      <c r="F21" s="265"/>
      <c r="G21" s="265"/>
      <c r="H21" s="265"/>
      <c r="I21" s="265"/>
    </row>
    <row r="22" spans="2:9" x14ac:dyDescent="0.2">
      <c r="B22" s="1"/>
      <c r="C22" s="1"/>
      <c r="D22" s="14"/>
      <c r="E22" s="14"/>
      <c r="F22" s="14"/>
      <c r="G22" s="14"/>
      <c r="H22" s="14"/>
      <c r="I22" s="14"/>
    </row>
    <row r="23" spans="2:9" x14ac:dyDescent="0.2">
      <c r="B23" s="27" t="s">
        <v>2</v>
      </c>
      <c r="C23" s="28"/>
      <c r="D23" s="28"/>
      <c r="E23" s="28"/>
      <c r="F23" s="28"/>
      <c r="G23" s="28"/>
      <c r="H23" s="28"/>
      <c r="I23" s="28"/>
    </row>
    <row r="24" spans="2:9" x14ac:dyDescent="0.2">
      <c r="B24" s="16" t="s">
        <v>11</v>
      </c>
      <c r="C24" s="17"/>
      <c r="D24" s="17"/>
      <c r="E24" s="17"/>
      <c r="F24" s="17"/>
      <c r="G24" s="17"/>
      <c r="H24" s="17"/>
      <c r="I24" s="17"/>
    </row>
    <row r="25" spans="2:9" x14ac:dyDescent="0.2">
      <c r="B25" s="266"/>
      <c r="C25" s="266"/>
      <c r="D25" s="266"/>
      <c r="E25" s="266"/>
      <c r="F25" s="266"/>
      <c r="G25" s="266"/>
      <c r="H25" s="266"/>
      <c r="I25" s="266"/>
    </row>
    <row r="26" spans="2:9" x14ac:dyDescent="0.2">
      <c r="B26" s="267"/>
      <c r="C26" s="267"/>
      <c r="D26" s="267"/>
      <c r="E26" s="267"/>
      <c r="F26" s="267"/>
      <c r="G26" s="267"/>
      <c r="H26" s="267"/>
      <c r="I26" s="267"/>
    </row>
    <row r="27" spans="2:9" x14ac:dyDescent="0.2">
      <c r="B27" s="18"/>
      <c r="C27" s="19"/>
      <c r="D27" s="19"/>
      <c r="E27" s="19"/>
      <c r="F27" s="19"/>
      <c r="G27" s="19"/>
      <c r="H27" s="19"/>
      <c r="I27" s="19"/>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4"/>
  <sheetViews>
    <sheetView showGridLines="0" workbookViewId="0">
      <selection activeCell="I39" sqref="I39"/>
    </sheetView>
  </sheetViews>
  <sheetFormatPr defaultRowHeight="12.75" x14ac:dyDescent="0.2"/>
  <cols>
    <col min="1" max="1" width="2.28515625" style="1" customWidth="1"/>
    <col min="2" max="2" width="56.140625" style="1" customWidth="1"/>
    <col min="3" max="3" width="15.140625" style="65" bestFit="1" customWidth="1"/>
    <col min="4" max="4" width="9.140625" style="77"/>
    <col min="5" max="5" width="9.140625" style="62"/>
    <col min="6" max="14" width="9.140625" style="73"/>
    <col min="15" max="15" width="9.140625" style="1"/>
    <col min="16" max="17" width="9.140625" style="43"/>
    <col min="18" max="18" width="2.85546875" style="1" customWidth="1"/>
    <col min="19" max="16384" width="9.140625" style="1"/>
  </cols>
  <sheetData>
    <row r="2" spans="1:18" x14ac:dyDescent="0.2">
      <c r="B2" s="179" t="s">
        <v>54</v>
      </c>
      <c r="C2" s="180"/>
      <c r="D2" s="180"/>
      <c r="E2" s="180"/>
      <c r="F2" s="180"/>
      <c r="G2" s="180"/>
      <c r="H2" s="262" t="s">
        <v>100</v>
      </c>
      <c r="I2" s="262"/>
      <c r="J2" s="262"/>
      <c r="K2" s="262"/>
      <c r="L2" s="262"/>
      <c r="M2" s="262"/>
      <c r="N2" s="262"/>
      <c r="O2" s="262"/>
      <c r="P2" s="262"/>
      <c r="Q2" s="262"/>
    </row>
    <row r="3" spans="1:18" ht="15.75" x14ac:dyDescent="0.25">
      <c r="B3" s="52" t="s">
        <v>75</v>
      </c>
      <c r="C3" s="47"/>
      <c r="D3" s="74"/>
      <c r="E3" s="58"/>
      <c r="F3" s="66"/>
      <c r="G3" s="126"/>
      <c r="H3" s="263" t="s">
        <v>101</v>
      </c>
      <c r="I3" s="263"/>
      <c r="J3" s="263"/>
      <c r="K3" s="263"/>
      <c r="L3" s="263"/>
      <c r="M3" s="263"/>
      <c r="N3" s="263"/>
      <c r="O3" s="263"/>
      <c r="P3" s="263"/>
      <c r="Q3" s="263"/>
    </row>
    <row r="4" spans="1:18" s="36" customFormat="1" ht="3" customHeight="1" x14ac:dyDescent="0.2">
      <c r="B4" s="38"/>
      <c r="C4" s="63"/>
      <c r="D4" s="75"/>
      <c r="E4" s="59"/>
      <c r="F4" s="67"/>
      <c r="G4" s="38"/>
      <c r="H4" s="38"/>
      <c r="I4" s="38"/>
      <c r="J4" s="38"/>
      <c r="K4" s="38"/>
      <c r="L4" s="38"/>
      <c r="M4" s="38"/>
      <c r="N4" s="38"/>
      <c r="O4" s="38"/>
      <c r="P4" s="38"/>
      <c r="Q4" s="38"/>
    </row>
    <row r="5" spans="1:18" ht="76.5" x14ac:dyDescent="0.2">
      <c r="B5" s="39" t="s">
        <v>18</v>
      </c>
      <c r="C5" s="39" t="s">
        <v>31</v>
      </c>
      <c r="D5" s="184" t="s">
        <v>63</v>
      </c>
      <c r="E5" s="188" t="s">
        <v>33</v>
      </c>
      <c r="F5" s="184" t="s">
        <v>32</v>
      </c>
      <c r="G5" s="184" t="s">
        <v>102</v>
      </c>
      <c r="H5" s="184" t="s">
        <v>103</v>
      </c>
      <c r="I5" s="184" t="s">
        <v>104</v>
      </c>
      <c r="J5" s="184" t="s">
        <v>105</v>
      </c>
      <c r="K5" s="185" t="s">
        <v>106</v>
      </c>
      <c r="L5" s="185" t="s">
        <v>107</v>
      </c>
      <c r="M5" s="184" t="s">
        <v>108</v>
      </c>
      <c r="N5" s="184" t="s">
        <v>109</v>
      </c>
      <c r="O5" s="184" t="s">
        <v>110</v>
      </c>
      <c r="P5" s="184" t="s">
        <v>111</v>
      </c>
      <c r="Q5" s="184" t="s">
        <v>112</v>
      </c>
      <c r="R5" s="50"/>
    </row>
    <row r="6" spans="1:18" x14ac:dyDescent="0.2">
      <c r="B6" s="193" t="s">
        <v>79</v>
      </c>
      <c r="C6" s="186"/>
      <c r="D6" s="186"/>
      <c r="E6" s="186"/>
      <c r="F6" s="186"/>
      <c r="G6" s="186"/>
      <c r="H6" s="186"/>
      <c r="I6" s="186"/>
      <c r="J6" s="186"/>
      <c r="K6" s="186"/>
      <c r="L6" s="186"/>
      <c r="M6" s="186"/>
      <c r="N6" s="186"/>
      <c r="O6" s="186"/>
      <c r="P6" s="186"/>
      <c r="Q6" s="187"/>
      <c r="R6" s="26"/>
    </row>
    <row r="7" spans="1:18" x14ac:dyDescent="0.2">
      <c r="B7" s="189" t="s">
        <v>67</v>
      </c>
      <c r="C7" s="190" t="s">
        <v>68</v>
      </c>
      <c r="D7" s="191">
        <v>1</v>
      </c>
      <c r="E7" s="192">
        <v>1</v>
      </c>
      <c r="F7" s="78">
        <f>E7*D7</f>
        <v>1</v>
      </c>
      <c r="G7" s="195">
        <v>0</v>
      </c>
      <c r="H7" s="78">
        <f>IF(G7=0,VLOOKUP(C:C,[1]Inputs!$B$20:$H$25,7,FALSE)*F7,VLOOKUP(C:C,[1]Inputs!$B$20:$I$25,8,FALSE)*F7)</f>
        <v>103.26059762014499</v>
      </c>
      <c r="I7" s="78">
        <f>VLOOKUP(C:C,[1]Inputs!$C$54:$G$59,5,FALSE)*F7</f>
        <v>19.732436288346317</v>
      </c>
      <c r="J7" s="78"/>
      <c r="K7" s="78"/>
      <c r="L7" s="78"/>
      <c r="M7" s="78">
        <f>SUM(H7:J7)</f>
        <v>122.99303390849131</v>
      </c>
      <c r="N7" s="78">
        <f>[1]Inputs!$M$43*M7</f>
        <v>57.305727529149344</v>
      </c>
      <c r="O7" s="78">
        <f>[1]Inputs!$M$48*M7</f>
        <v>19.725325764744216</v>
      </c>
      <c r="P7" s="78">
        <f>[1]Inputs!$H$13*SUM(M7:O7)</f>
        <v>12.685527610375249</v>
      </c>
      <c r="Q7" s="78">
        <f t="shared" ref="Q7" si="0">SUM(M7:P7)</f>
        <v>212.70961481276012</v>
      </c>
    </row>
    <row r="8" spans="1:18" x14ac:dyDescent="0.2">
      <c r="B8" s="55" t="s">
        <v>69</v>
      </c>
      <c r="C8" s="54" t="s">
        <v>68</v>
      </c>
      <c r="D8" s="68">
        <v>0.1</v>
      </c>
      <c r="E8" s="60">
        <v>1</v>
      </c>
      <c r="F8" s="78">
        <f t="shared" ref="F8:F14" si="1">E8*D8</f>
        <v>0.1</v>
      </c>
      <c r="G8" s="195">
        <v>0</v>
      </c>
      <c r="H8" s="78">
        <f>IF(G8=0,VLOOKUP(C:C,[1]Inputs!$B$20:$H$25,7,FALSE)*F8,VLOOKUP(C:C,[1]Inputs!$B$20:$I$25,8,FALSE)*F8)</f>
        <v>10.3260597620145</v>
      </c>
      <c r="I8" s="78">
        <f>VLOOKUP(C:C,[1]Inputs!$C$54:$G$59,5,FALSE)*F8</f>
        <v>1.9732436288346318</v>
      </c>
      <c r="J8" s="78"/>
      <c r="K8" s="78"/>
      <c r="L8" s="78"/>
      <c r="M8" s="78">
        <f t="shared" ref="M8:M14" si="2">SUM(H8:J8)</f>
        <v>12.299303390849133</v>
      </c>
      <c r="N8" s="78">
        <f>[1]Inputs!$M$43*M8</f>
        <v>5.7305727529149353</v>
      </c>
      <c r="O8" s="78">
        <f>[1]Inputs!$M$48*M8</f>
        <v>1.9725325764744219</v>
      </c>
      <c r="P8" s="78">
        <f>[1]Inputs!$H$13*SUM(M8:O8)</f>
        <v>1.2685527610375251</v>
      </c>
      <c r="Q8" s="78">
        <f t="shared" ref="Q8:Q14" si="3">SUM(M8:P8)</f>
        <v>21.270961481276014</v>
      </c>
      <c r="R8" s="26"/>
    </row>
    <row r="9" spans="1:18" x14ac:dyDescent="0.2">
      <c r="A9" s="51"/>
      <c r="B9" s="56" t="s">
        <v>72</v>
      </c>
      <c r="C9" s="54" t="s">
        <v>68</v>
      </c>
      <c r="D9" s="69">
        <v>0.3</v>
      </c>
      <c r="E9" s="60">
        <v>1</v>
      </c>
      <c r="F9" s="78">
        <f t="shared" si="1"/>
        <v>0.3</v>
      </c>
      <c r="G9" s="195">
        <v>0</v>
      </c>
      <c r="H9" s="78">
        <f>IF(G9=0,VLOOKUP(C:C,[1]Inputs!$B$20:$H$25,7,FALSE)*F9,VLOOKUP(C:C,[1]Inputs!$B$20:$I$25,8,FALSE)*F9)</f>
        <v>30.978179286043495</v>
      </c>
      <c r="I9" s="78">
        <f>VLOOKUP(C:C,[1]Inputs!$C$54:$G$59,5,FALSE)*F9</f>
        <v>5.9197308865038947</v>
      </c>
      <c r="J9" s="78"/>
      <c r="K9" s="78"/>
      <c r="L9" s="78"/>
      <c r="M9" s="78">
        <f t="shared" si="2"/>
        <v>36.897910172547391</v>
      </c>
      <c r="N9" s="78">
        <f>[1]Inputs!$M$43*M9</f>
        <v>17.191718258744803</v>
      </c>
      <c r="O9" s="78">
        <f>[1]Inputs!$M$48*M9</f>
        <v>5.9175977294232647</v>
      </c>
      <c r="P9" s="78">
        <f>[1]Inputs!$H$13*SUM(M9:O9)</f>
        <v>3.8056582831125749</v>
      </c>
      <c r="Q9" s="78">
        <f t="shared" si="3"/>
        <v>63.81288444382804</v>
      </c>
      <c r="R9" s="26"/>
    </row>
    <row r="10" spans="1:18" x14ac:dyDescent="0.2">
      <c r="B10" s="57" t="s">
        <v>80</v>
      </c>
      <c r="C10" s="54" t="s">
        <v>68</v>
      </c>
      <c r="D10" s="70">
        <v>1</v>
      </c>
      <c r="E10" s="60">
        <v>1</v>
      </c>
      <c r="F10" s="78">
        <f t="shared" si="1"/>
        <v>1</v>
      </c>
      <c r="G10" s="195">
        <v>0</v>
      </c>
      <c r="H10" s="78">
        <f>IF(G10=0,VLOOKUP(C:C,[1]Inputs!$B$20:$H$25,7,FALSE)*F10,VLOOKUP(C:C,[1]Inputs!$B$20:$I$25,8,FALSE)*F10)</f>
        <v>103.26059762014499</v>
      </c>
      <c r="I10" s="78">
        <f>VLOOKUP(C:C,[1]Inputs!$C$54:$G$59,5,FALSE)*F10</f>
        <v>19.732436288346317</v>
      </c>
      <c r="J10" s="78"/>
      <c r="K10" s="78"/>
      <c r="L10" s="78"/>
      <c r="M10" s="78">
        <f t="shared" si="2"/>
        <v>122.99303390849131</v>
      </c>
      <c r="N10" s="78">
        <f>[1]Inputs!$M$43*M10</f>
        <v>57.305727529149344</v>
      </c>
      <c r="O10" s="78">
        <f>[1]Inputs!$M$48*M10</f>
        <v>19.725325764744216</v>
      </c>
      <c r="P10" s="78">
        <f>[1]Inputs!$H$13*SUM(M10:O10)</f>
        <v>12.685527610375249</v>
      </c>
      <c r="Q10" s="78">
        <f t="shared" si="3"/>
        <v>212.70961481276012</v>
      </c>
    </row>
    <row r="11" spans="1:18" x14ac:dyDescent="0.2">
      <c r="B11" s="55" t="s">
        <v>70</v>
      </c>
      <c r="C11" s="54" t="s">
        <v>68</v>
      </c>
      <c r="D11" s="71">
        <v>1</v>
      </c>
      <c r="E11" s="60">
        <v>1</v>
      </c>
      <c r="F11" s="78">
        <f t="shared" si="1"/>
        <v>1</v>
      </c>
      <c r="G11" s="195">
        <v>0</v>
      </c>
      <c r="H11" s="78">
        <f>IF(G11=0,VLOOKUP(C:C,[1]Inputs!$B$20:$H$25,7,FALSE)*F11,VLOOKUP(C:C,[1]Inputs!$B$20:$I$25,8,FALSE)*F11)</f>
        <v>103.26059762014499</v>
      </c>
      <c r="I11" s="78">
        <f>VLOOKUP(C:C,[1]Inputs!$C$54:$G$59,5,FALSE)*F11</f>
        <v>19.732436288346317</v>
      </c>
      <c r="J11" s="78"/>
      <c r="K11" s="78"/>
      <c r="L11" s="78"/>
      <c r="M11" s="78">
        <f t="shared" si="2"/>
        <v>122.99303390849131</v>
      </c>
      <c r="N11" s="78">
        <f>[1]Inputs!$M$43*M11</f>
        <v>57.305727529149344</v>
      </c>
      <c r="O11" s="78">
        <f>[1]Inputs!$M$48*M11</f>
        <v>19.725325764744216</v>
      </c>
      <c r="P11" s="78">
        <f>[1]Inputs!$H$13*SUM(M11:O11)</f>
        <v>12.685527610375249</v>
      </c>
      <c r="Q11" s="78">
        <f t="shared" si="3"/>
        <v>212.70961481276012</v>
      </c>
    </row>
    <row r="12" spans="1:18" x14ac:dyDescent="0.2">
      <c r="B12" s="55" t="s">
        <v>71</v>
      </c>
      <c r="C12" s="54" t="s">
        <v>68</v>
      </c>
      <c r="D12" s="71">
        <v>0.3</v>
      </c>
      <c r="E12" s="60">
        <v>1</v>
      </c>
      <c r="F12" s="78">
        <f t="shared" si="1"/>
        <v>0.3</v>
      </c>
      <c r="G12" s="195">
        <v>0</v>
      </c>
      <c r="H12" s="78">
        <f>IF(G12=0,VLOOKUP(C:C,[1]Inputs!$B$20:$H$25,7,FALSE)*F12,VLOOKUP(C:C,[1]Inputs!$B$20:$I$25,8,FALSE)*F12)</f>
        <v>30.978179286043495</v>
      </c>
      <c r="I12" s="78">
        <f>VLOOKUP(C:C,[1]Inputs!$C$54:$G$59,5,FALSE)*F12</f>
        <v>5.9197308865038947</v>
      </c>
      <c r="J12" s="78"/>
      <c r="K12" s="78"/>
      <c r="L12" s="78"/>
      <c r="M12" s="78">
        <f t="shared" si="2"/>
        <v>36.897910172547391</v>
      </c>
      <c r="N12" s="78">
        <f>[1]Inputs!$M$43*M12</f>
        <v>17.191718258744803</v>
      </c>
      <c r="O12" s="78">
        <f>[1]Inputs!$M$48*M12</f>
        <v>5.9175977294232647</v>
      </c>
      <c r="P12" s="78">
        <f>[1]Inputs!$H$13*SUM(M12:O12)</f>
        <v>3.8056582831125749</v>
      </c>
      <c r="Q12" s="78">
        <f t="shared" si="3"/>
        <v>63.81288444382804</v>
      </c>
      <c r="R12" s="194"/>
    </row>
    <row r="13" spans="1:18" x14ac:dyDescent="0.2">
      <c r="B13" s="55" t="s">
        <v>73</v>
      </c>
      <c r="C13" s="54" t="s">
        <v>68</v>
      </c>
      <c r="D13" s="71">
        <v>0.3</v>
      </c>
      <c r="E13" s="60">
        <v>1</v>
      </c>
      <c r="F13" s="78">
        <f t="shared" si="1"/>
        <v>0.3</v>
      </c>
      <c r="G13" s="195">
        <v>0</v>
      </c>
      <c r="H13" s="78">
        <f>IF(G13=0,VLOOKUP(C:C,[1]Inputs!$B$20:$H$25,7,FALSE)*F13,VLOOKUP(C:C,[1]Inputs!$B$20:$I$25,8,FALSE)*F13)</f>
        <v>30.978179286043495</v>
      </c>
      <c r="I13" s="78">
        <f>VLOOKUP(C:C,[1]Inputs!$C$54:$G$59,5,FALSE)*F13</f>
        <v>5.9197308865038947</v>
      </c>
      <c r="J13" s="78"/>
      <c r="K13" s="78"/>
      <c r="L13" s="78"/>
      <c r="M13" s="78">
        <f t="shared" si="2"/>
        <v>36.897910172547391</v>
      </c>
      <c r="N13" s="78">
        <f>[1]Inputs!$M$43*M13</f>
        <v>17.191718258744803</v>
      </c>
      <c r="O13" s="78">
        <f>[1]Inputs!$M$48*M13</f>
        <v>5.9175977294232647</v>
      </c>
      <c r="P13" s="78">
        <f>[1]Inputs!$H$13*SUM(M13:O13)</f>
        <v>3.8056582831125749</v>
      </c>
      <c r="Q13" s="78">
        <f t="shared" si="3"/>
        <v>63.81288444382804</v>
      </c>
    </row>
    <row r="14" spans="1:18" x14ac:dyDescent="0.2">
      <c r="B14" s="55" t="s">
        <v>74</v>
      </c>
      <c r="C14" s="54" t="s">
        <v>68</v>
      </c>
      <c r="D14" s="69">
        <v>0.1</v>
      </c>
      <c r="E14" s="60">
        <v>1</v>
      </c>
      <c r="F14" s="78">
        <f t="shared" si="1"/>
        <v>0.1</v>
      </c>
      <c r="G14" s="195">
        <v>0</v>
      </c>
      <c r="H14" s="78">
        <f>IF(G14=0,VLOOKUP(C:C,[1]Inputs!$B$20:$H$25,7,FALSE)*F14,VLOOKUP(C:C,[1]Inputs!$B$20:$I$25,8,FALSE)*F14)</f>
        <v>10.3260597620145</v>
      </c>
      <c r="I14" s="78">
        <f>VLOOKUP(C:C,[1]Inputs!$C$54:$G$59,5,FALSE)*F14</f>
        <v>1.9732436288346318</v>
      </c>
      <c r="J14" s="78"/>
      <c r="K14" s="78"/>
      <c r="L14" s="78"/>
      <c r="M14" s="78">
        <f t="shared" si="2"/>
        <v>12.299303390849133</v>
      </c>
      <c r="N14" s="78">
        <f>[1]Inputs!$M$43*M14</f>
        <v>5.7305727529149353</v>
      </c>
      <c r="O14" s="78">
        <f>[1]Inputs!$M$48*M14</f>
        <v>1.9725325764744219</v>
      </c>
      <c r="P14" s="78">
        <f>[1]Inputs!$H$13*SUM(M14:O14)</f>
        <v>1.2685527610375251</v>
      </c>
      <c r="Q14" s="78">
        <f t="shared" si="3"/>
        <v>21.270961481276014</v>
      </c>
    </row>
    <row r="15" spans="1:18" x14ac:dyDescent="0.2">
      <c r="B15" s="181" t="s">
        <v>1</v>
      </c>
      <c r="C15" s="182"/>
      <c r="D15" s="182"/>
      <c r="E15" s="183"/>
      <c r="F15" s="79">
        <f>SUM(F7:F14)</f>
        <v>4.0999999999999996</v>
      </c>
      <c r="G15" s="79">
        <f t="shared" ref="G15:Q15" si="4">SUM(G7:G14)</f>
        <v>0</v>
      </c>
      <c r="H15" s="79">
        <f t="shared" si="4"/>
        <v>423.36845024259446</v>
      </c>
      <c r="I15" s="79">
        <f t="shared" si="4"/>
        <v>80.902988782219921</v>
      </c>
      <c r="J15" s="79">
        <f t="shared" si="4"/>
        <v>0</v>
      </c>
      <c r="K15" s="79">
        <f t="shared" si="4"/>
        <v>0</v>
      </c>
      <c r="L15" s="79">
        <f t="shared" si="4"/>
        <v>0</v>
      </c>
      <c r="M15" s="79">
        <f t="shared" si="4"/>
        <v>504.2714390248143</v>
      </c>
      <c r="N15" s="79">
        <f t="shared" si="4"/>
        <v>234.9534828695123</v>
      </c>
      <c r="O15" s="79">
        <f t="shared" si="4"/>
        <v>80.873835635451286</v>
      </c>
      <c r="P15" s="79">
        <f t="shared" si="4"/>
        <v>52.010663202538531</v>
      </c>
      <c r="Q15" s="79">
        <f t="shared" si="4"/>
        <v>872.10942073231649</v>
      </c>
      <c r="R15" s="50"/>
    </row>
    <row r="16" spans="1:18" x14ac:dyDescent="0.2">
      <c r="B16" s="40"/>
      <c r="C16" s="64"/>
      <c r="D16" s="76"/>
      <c r="E16" s="61"/>
      <c r="F16" s="72"/>
      <c r="G16" s="72"/>
      <c r="H16" s="72"/>
      <c r="I16" s="72"/>
      <c r="J16" s="72"/>
      <c r="K16" s="72"/>
      <c r="L16" s="72"/>
      <c r="M16" s="72"/>
      <c r="N16" s="72"/>
      <c r="O16" s="41"/>
      <c r="P16" s="42"/>
      <c r="Q16" s="42"/>
    </row>
    <row r="20" spans="18:18" x14ac:dyDescent="0.2">
      <c r="R20" s="50"/>
    </row>
    <row r="31" spans="18:18" x14ac:dyDescent="0.2">
      <c r="R31" s="50"/>
    </row>
    <row r="44" spans="18:18" x14ac:dyDescent="0.2">
      <c r="R44" s="50"/>
    </row>
  </sheetData>
  <mergeCells count="2">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E9363-137F-4155-8C5D-74E1A0F7A168}">
  <dimension ref="B1:O28"/>
  <sheetViews>
    <sheetView workbookViewId="0">
      <selection activeCell="F38" sqref="F38:F3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118</v>
      </c>
      <c r="D1" s="207">
        <f>[1]Inputs!H16</f>
        <v>1</v>
      </c>
      <c r="E1" s="207">
        <f>[1]Inputs!I16</f>
        <v>1</v>
      </c>
      <c r="F1" s="207">
        <f>[1]Inputs!J16</f>
        <v>1.0109999999999999</v>
      </c>
      <c r="G1" s="207">
        <f>[1]Inputs!K16</f>
        <v>1.0231319999999999</v>
      </c>
      <c r="H1" s="207">
        <f>[1]Inputs!L16</f>
        <v>1.0337725727999998</v>
      </c>
      <c r="K1" s="208">
        <f>D1</f>
        <v>1</v>
      </c>
      <c r="L1" s="208">
        <f t="shared" ref="L1:O5" si="0">E1</f>
        <v>1</v>
      </c>
      <c r="M1" s="208">
        <f t="shared" si="0"/>
        <v>1.0109999999999999</v>
      </c>
      <c r="N1" s="208">
        <f t="shared" si="0"/>
        <v>1.0231319999999999</v>
      </c>
      <c r="O1" s="208">
        <f t="shared" si="0"/>
        <v>1.0337725727999998</v>
      </c>
    </row>
    <row r="2" spans="2:15" x14ac:dyDescent="0.25">
      <c r="B2" t="s">
        <v>119</v>
      </c>
      <c r="D2" s="207">
        <f>[1]Inputs!H61</f>
        <v>0.04</v>
      </c>
      <c r="E2" s="207">
        <f>[1]Inputs!I61</f>
        <v>0.04</v>
      </c>
      <c r="F2" s="207">
        <f>[1]Inputs!J61</f>
        <v>0.04</v>
      </c>
      <c r="G2" s="207">
        <f>[1]Inputs!K61</f>
        <v>0.04</v>
      </c>
      <c r="H2" s="207">
        <f>[1]Inputs!L61</f>
        <v>0.04</v>
      </c>
      <c r="K2" s="208"/>
      <c r="L2" s="208"/>
      <c r="M2" s="208"/>
      <c r="N2" s="208"/>
      <c r="O2" s="208"/>
    </row>
    <row r="3" spans="2:15" x14ac:dyDescent="0.25">
      <c r="B3" t="s">
        <v>120</v>
      </c>
      <c r="D3" s="208">
        <f>[1]Inputs!$M$43</f>
        <v>0.46592661151676018</v>
      </c>
      <c r="E3" s="208">
        <f>[1]Inputs!$M$43</f>
        <v>0.46592661151676018</v>
      </c>
      <c r="F3" s="208">
        <f>[1]Inputs!$M$43</f>
        <v>0.46592661151676018</v>
      </c>
      <c r="G3" s="208">
        <f>[1]Inputs!$M$43</f>
        <v>0.46592661151676018</v>
      </c>
      <c r="H3" s="208">
        <f>[1]Inputs!$M$43</f>
        <v>0.46592661151676018</v>
      </c>
      <c r="K3" s="208">
        <f t="shared" ref="K3:K5" si="1">D3</f>
        <v>0.46592661151676018</v>
      </c>
      <c r="L3" s="208">
        <f t="shared" si="0"/>
        <v>0.46592661151676018</v>
      </c>
      <c r="M3" s="208">
        <f t="shared" si="0"/>
        <v>0.46592661151676018</v>
      </c>
      <c r="N3" s="208">
        <f t="shared" si="0"/>
        <v>0.46592661151676018</v>
      </c>
      <c r="O3" s="208">
        <f t="shared" si="0"/>
        <v>0.46592661151676018</v>
      </c>
    </row>
    <row r="4" spans="2:15" x14ac:dyDescent="0.25">
      <c r="B4" t="s">
        <v>121</v>
      </c>
      <c r="D4" s="208">
        <f>[1]Inputs!$M$48</f>
        <v>0.16037758511933414</v>
      </c>
      <c r="E4" s="208">
        <f>[1]Inputs!$M$48</f>
        <v>0.16037758511933414</v>
      </c>
      <c r="F4" s="208">
        <f>[1]Inputs!$M$48</f>
        <v>0.16037758511933414</v>
      </c>
      <c r="G4" s="208">
        <f>[1]Inputs!$M$48</f>
        <v>0.16037758511933414</v>
      </c>
      <c r="H4" s="208">
        <f>[1]Inputs!$M$48</f>
        <v>0.16037758511933414</v>
      </c>
      <c r="K4" s="208">
        <f t="shared" si="1"/>
        <v>0.16037758511933414</v>
      </c>
      <c r="L4" s="208">
        <f t="shared" si="0"/>
        <v>0.16037758511933414</v>
      </c>
      <c r="M4" s="208">
        <f t="shared" si="0"/>
        <v>0.16037758511933414</v>
      </c>
      <c r="N4" s="208">
        <f t="shared" si="0"/>
        <v>0.16037758511933414</v>
      </c>
      <c r="O4" s="208">
        <f t="shared" si="0"/>
        <v>0.16037758511933414</v>
      </c>
    </row>
    <row r="5" spans="2:15" x14ac:dyDescent="0.25">
      <c r="B5" t="s">
        <v>122</v>
      </c>
      <c r="D5" s="208">
        <f>[1]Inputs!$H$13</f>
        <v>6.3420000000000004E-2</v>
      </c>
      <c r="E5" s="208">
        <f>[1]Inputs!$H$13</f>
        <v>6.3420000000000004E-2</v>
      </c>
      <c r="F5" s="208">
        <f>[1]Inputs!$H$13</f>
        <v>6.3420000000000004E-2</v>
      </c>
      <c r="G5" s="208">
        <f>[1]Inputs!$H$13</f>
        <v>6.3420000000000004E-2</v>
      </c>
      <c r="H5" s="208">
        <f>[1]Inputs!$H$13</f>
        <v>6.3420000000000004E-2</v>
      </c>
      <c r="K5" s="208">
        <f t="shared" si="1"/>
        <v>6.3420000000000004E-2</v>
      </c>
      <c r="L5" s="208">
        <f t="shared" si="0"/>
        <v>6.3420000000000004E-2</v>
      </c>
      <c r="M5" s="208">
        <f t="shared" si="0"/>
        <v>6.3420000000000004E-2</v>
      </c>
      <c r="N5" s="208">
        <f t="shared" si="0"/>
        <v>6.3420000000000004E-2</v>
      </c>
      <c r="O5" s="208">
        <f t="shared" si="0"/>
        <v>6.3420000000000004E-2</v>
      </c>
    </row>
    <row r="6" spans="2:15" s="209" customFormat="1" ht="15.75" x14ac:dyDescent="0.25">
      <c r="D6" s="268" t="s">
        <v>123</v>
      </c>
      <c r="E6" s="268"/>
      <c r="F6" s="268"/>
      <c r="G6" s="268"/>
      <c r="H6" s="268"/>
      <c r="J6" s="269" t="s">
        <v>124</v>
      </c>
      <c r="K6" s="269"/>
      <c r="L6" s="269"/>
      <c r="M6" s="269"/>
      <c r="N6" s="269"/>
      <c r="O6" s="269"/>
    </row>
    <row r="7" spans="2:15" x14ac:dyDescent="0.25">
      <c r="B7" s="210" t="s">
        <v>137</v>
      </c>
      <c r="C7" s="211"/>
      <c r="D7" s="211" t="s">
        <v>125</v>
      </c>
      <c r="E7" s="211" t="s">
        <v>126</v>
      </c>
      <c r="F7" s="211" t="s">
        <v>127</v>
      </c>
      <c r="G7" s="211" t="s">
        <v>128</v>
      </c>
      <c r="H7" s="211" t="s">
        <v>129</v>
      </c>
    </row>
    <row r="8" spans="2:15" x14ac:dyDescent="0.25">
      <c r="B8" s="212" t="s">
        <v>103</v>
      </c>
      <c r="C8" s="213"/>
      <c r="D8" s="214">
        <f>(D19*D$27)</f>
        <v>4233.6845024259446</v>
      </c>
      <c r="E8" s="214">
        <f t="shared" ref="E8:H8" si="2">(E19*E$27)</f>
        <v>4064.3371223289068</v>
      </c>
      <c r="F8" s="214">
        <f t="shared" si="2"/>
        <v>3944.683037447543</v>
      </c>
      <c r="G8" s="214">
        <f t="shared" si="2"/>
        <v>3874.4941876509884</v>
      </c>
      <c r="H8" s="214">
        <f t="shared" si="2"/>
        <v>3845.1319916799434</v>
      </c>
    </row>
    <row r="9" spans="2:15" x14ac:dyDescent="0.25">
      <c r="B9" s="212" t="s">
        <v>104</v>
      </c>
      <c r="C9" s="213"/>
      <c r="D9" s="214">
        <f t="shared" ref="D9:H15" si="3">(D20*D$27)</f>
        <v>809.02988782219927</v>
      </c>
      <c r="E9" s="214">
        <f t="shared" si="3"/>
        <v>776.66869230931127</v>
      </c>
      <c r="F9" s="214">
        <f t="shared" si="3"/>
        <v>745.60194461693879</v>
      </c>
      <c r="G9" s="214">
        <f t="shared" si="3"/>
        <v>715.77786683226122</v>
      </c>
      <c r="H9" s="214">
        <f t="shared" si="3"/>
        <v>687.1467521589708</v>
      </c>
    </row>
    <row r="10" spans="2:15" x14ac:dyDescent="0.25">
      <c r="B10" s="212" t="s">
        <v>105</v>
      </c>
      <c r="C10" s="213"/>
      <c r="D10" s="214">
        <f t="shared" si="3"/>
        <v>0</v>
      </c>
      <c r="E10" s="214">
        <f t="shared" si="3"/>
        <v>0</v>
      </c>
      <c r="F10" s="214">
        <f t="shared" si="3"/>
        <v>0</v>
      </c>
      <c r="G10" s="214">
        <f t="shared" si="3"/>
        <v>0</v>
      </c>
      <c r="H10" s="214">
        <f t="shared" si="3"/>
        <v>0</v>
      </c>
    </row>
    <row r="11" spans="2:15" x14ac:dyDescent="0.25">
      <c r="B11" s="215" t="s">
        <v>130</v>
      </c>
      <c r="C11" s="215"/>
      <c r="D11" s="216">
        <f t="shared" si="3"/>
        <v>5042.7143902481439</v>
      </c>
      <c r="E11" s="216">
        <f t="shared" si="3"/>
        <v>4841.005814638218</v>
      </c>
      <c r="F11" s="216">
        <f t="shared" si="3"/>
        <v>4690.2849820644815</v>
      </c>
      <c r="G11" s="216">
        <f t="shared" si="3"/>
        <v>4590.27205448325</v>
      </c>
      <c r="H11" s="216">
        <f t="shared" si="3"/>
        <v>4532.2787438389141</v>
      </c>
    </row>
    <row r="12" spans="2:15" x14ac:dyDescent="0.25">
      <c r="B12" s="213" t="s">
        <v>109</v>
      </c>
      <c r="C12" s="213"/>
      <c r="D12" s="214">
        <f t="shared" si="3"/>
        <v>2349.5348286951235</v>
      </c>
      <c r="E12" s="214">
        <f t="shared" si="3"/>
        <v>2255.5534355473183</v>
      </c>
      <c r="F12" s="214">
        <f t="shared" si="3"/>
        <v>2185.3285887412521</v>
      </c>
      <c r="G12" s="214">
        <f t="shared" si="3"/>
        <v>2138.7299042854579</v>
      </c>
      <c r="H12" s="214">
        <f t="shared" si="3"/>
        <v>2111.7092775663036</v>
      </c>
    </row>
    <row r="13" spans="2:15" x14ac:dyDescent="0.25">
      <c r="B13" s="213" t="s">
        <v>110</v>
      </c>
      <c r="C13" s="213"/>
      <c r="D13" s="214">
        <f t="shared" si="3"/>
        <v>808.73835635451292</v>
      </c>
      <c r="E13" s="214">
        <f t="shared" si="3"/>
        <v>776.38882210033228</v>
      </c>
      <c r="F13" s="214">
        <f t="shared" si="3"/>
        <v>752.21657894498105</v>
      </c>
      <c r="G13" s="214">
        <f t="shared" si="3"/>
        <v>736.1767471387883</v>
      </c>
      <c r="H13" s="214">
        <f t="shared" si="3"/>
        <v>726.87592002457427</v>
      </c>
    </row>
    <row r="14" spans="2:15" x14ac:dyDescent="0.25">
      <c r="B14" s="213" t="s">
        <v>117</v>
      </c>
      <c r="C14" s="213"/>
      <c r="D14" s="214">
        <f t="shared" si="3"/>
        <v>520.10663202538524</v>
      </c>
      <c r="E14" s="214">
        <f t="shared" si="3"/>
        <v>499.30236674436981</v>
      </c>
      <c r="F14" s="214">
        <f t="shared" si="3"/>
        <v>483.7569880971904</v>
      </c>
      <c r="G14" s="214">
        <f t="shared" si="3"/>
        <v>473.44163352865343</v>
      </c>
      <c r="H14" s="214">
        <f t="shared" si="3"/>
        <v>467.46019116547751</v>
      </c>
    </row>
    <row r="15" spans="2:15" s="218" customFormat="1" x14ac:dyDescent="0.25">
      <c r="B15" s="217" t="s">
        <v>131</v>
      </c>
      <c r="C15" s="213"/>
      <c r="D15" s="214">
        <f t="shared" si="3"/>
        <v>8721.0942073231654</v>
      </c>
      <c r="E15" s="214">
        <f t="shared" si="3"/>
        <v>8372.2504390302383</v>
      </c>
      <c r="F15" s="214">
        <f t="shared" si="3"/>
        <v>8111.587137847906</v>
      </c>
      <c r="G15" s="214">
        <f t="shared" si="3"/>
        <v>7938.6203394361501</v>
      </c>
      <c r="H15" s="214">
        <f t="shared" si="3"/>
        <v>7838.3241325952704</v>
      </c>
    </row>
    <row r="16" spans="2:15" s="203" customFormat="1" x14ac:dyDescent="0.25">
      <c r="B16" s="219" t="s">
        <v>132</v>
      </c>
      <c r="C16" s="215"/>
      <c r="D16" s="216">
        <f>D28-D15</f>
        <v>0</v>
      </c>
      <c r="E16" s="216">
        <f t="shared" ref="E16:H16" si="4">E28-E15</f>
        <v>0</v>
      </c>
      <c r="F16" s="216">
        <f t="shared" si="4"/>
        <v>0</v>
      </c>
      <c r="G16" s="216">
        <f t="shared" si="4"/>
        <v>0</v>
      </c>
      <c r="H16" s="216">
        <f t="shared" si="4"/>
        <v>0</v>
      </c>
    </row>
    <row r="17" spans="2:15" s="203" customFormat="1" x14ac:dyDescent="0.25">
      <c r="C17" s="220"/>
    </row>
    <row r="18" spans="2:15" x14ac:dyDescent="0.25">
      <c r="B18" s="221" t="s">
        <v>75</v>
      </c>
      <c r="C18" s="204"/>
      <c r="D18" s="270" t="s">
        <v>133</v>
      </c>
      <c r="E18" s="271"/>
      <c r="F18" s="271"/>
      <c r="G18" s="271"/>
      <c r="H18" s="271"/>
      <c r="J18" s="204"/>
      <c r="K18" s="270" t="s">
        <v>133</v>
      </c>
      <c r="L18" s="271"/>
      <c r="M18" s="271"/>
      <c r="N18" s="271"/>
      <c r="O18" s="271"/>
    </row>
    <row r="19" spans="2:15" x14ac:dyDescent="0.25">
      <c r="B19" s="222" t="s">
        <v>103</v>
      </c>
      <c r="C19" s="223">
        <f>'Proposed Fee'!H15</f>
        <v>423.36845024259446</v>
      </c>
      <c r="D19" s="224">
        <f>C19*D$1</f>
        <v>423.36845024259446</v>
      </c>
      <c r="E19" s="224">
        <f>D19*E1</f>
        <v>423.36845024259446</v>
      </c>
      <c r="F19" s="224">
        <f>E19*F1</f>
        <v>428.02550319526296</v>
      </c>
      <c r="G19" s="224">
        <f>F19*G1</f>
        <v>437.92658913517573</v>
      </c>
      <c r="H19" s="224">
        <f>G19*H1</f>
        <v>452.71649674779906</v>
      </c>
      <c r="J19" s="223"/>
      <c r="K19" s="224">
        <f>J19*K$1</f>
        <v>0</v>
      </c>
      <c r="L19" s="224">
        <f>K19*L1</f>
        <v>0</v>
      </c>
      <c r="M19" s="224">
        <f>L19*M1</f>
        <v>0</v>
      </c>
      <c r="N19" s="224">
        <f>M19*N1</f>
        <v>0</v>
      </c>
      <c r="O19" s="224">
        <f>N19*O1</f>
        <v>0</v>
      </c>
    </row>
    <row r="20" spans="2:15" x14ac:dyDescent="0.25">
      <c r="B20" s="222" t="s">
        <v>104</v>
      </c>
      <c r="C20" s="223">
        <f>'Proposed Fee'!I15</f>
        <v>80.902988782219921</v>
      </c>
      <c r="D20" s="224">
        <f>C20</f>
        <v>80.902988782219921</v>
      </c>
      <c r="E20" s="224">
        <f t="shared" ref="E20:H21" si="5">D20</f>
        <v>80.902988782219921</v>
      </c>
      <c r="F20" s="224">
        <f t="shared" si="5"/>
        <v>80.902988782219921</v>
      </c>
      <c r="G20" s="224">
        <f t="shared" si="5"/>
        <v>80.902988782219921</v>
      </c>
      <c r="H20" s="224">
        <f t="shared" si="5"/>
        <v>80.902988782219921</v>
      </c>
      <c r="J20" s="223"/>
      <c r="K20" s="224">
        <f>J20</f>
        <v>0</v>
      </c>
      <c r="L20" s="224">
        <f t="shared" ref="L20:O21" si="6">K20</f>
        <v>0</v>
      </c>
      <c r="M20" s="224">
        <f t="shared" si="6"/>
        <v>0</v>
      </c>
      <c r="N20" s="224">
        <f t="shared" si="6"/>
        <v>0</v>
      </c>
      <c r="O20" s="224">
        <f t="shared" si="6"/>
        <v>0</v>
      </c>
    </row>
    <row r="21" spans="2:15" x14ac:dyDescent="0.25">
      <c r="B21" s="222" t="s">
        <v>105</v>
      </c>
      <c r="C21" s="223">
        <f>'Proposed Fee'!J15</f>
        <v>0</v>
      </c>
      <c r="D21" s="224">
        <f>C21</f>
        <v>0</v>
      </c>
      <c r="E21" s="224">
        <f t="shared" si="5"/>
        <v>0</v>
      </c>
      <c r="F21" s="224">
        <f t="shared" si="5"/>
        <v>0</v>
      </c>
      <c r="G21" s="224">
        <f t="shared" si="5"/>
        <v>0</v>
      </c>
      <c r="H21" s="224">
        <f t="shared" si="5"/>
        <v>0</v>
      </c>
      <c r="J21" s="223"/>
      <c r="K21" s="224">
        <f>J21</f>
        <v>0</v>
      </c>
      <c r="L21" s="224">
        <f t="shared" si="6"/>
        <v>0</v>
      </c>
      <c r="M21" s="224">
        <f t="shared" si="6"/>
        <v>0</v>
      </c>
      <c r="N21" s="224">
        <f t="shared" si="6"/>
        <v>0</v>
      </c>
      <c r="O21" s="224">
        <f t="shared" si="6"/>
        <v>0</v>
      </c>
    </row>
    <row r="22" spans="2:15" s="203" customFormat="1" x14ac:dyDescent="0.25">
      <c r="B22" s="225" t="s">
        <v>130</v>
      </c>
      <c r="C22" s="275">
        <f>'Proposed Fee'!M15</f>
        <v>504.2714390248143</v>
      </c>
      <c r="D22" s="215">
        <f>SUM(D19:D21)</f>
        <v>504.27143902481441</v>
      </c>
      <c r="E22" s="215">
        <f t="shared" ref="E22:H22" si="7">SUM(E19:E21)</f>
        <v>504.27143902481441</v>
      </c>
      <c r="F22" s="215">
        <f t="shared" si="7"/>
        <v>508.92849197748285</v>
      </c>
      <c r="G22" s="215">
        <f t="shared" si="7"/>
        <v>518.82957791739568</v>
      </c>
      <c r="H22" s="215">
        <f t="shared" si="7"/>
        <v>533.61948553001901</v>
      </c>
      <c r="J22" s="226"/>
      <c r="K22" s="213">
        <f>SUM(K19:K21)</f>
        <v>0</v>
      </c>
      <c r="L22" s="213">
        <f t="shared" ref="L22:O22" si="8">SUM(L19:L21)</f>
        <v>0</v>
      </c>
      <c r="M22" s="213">
        <f t="shared" si="8"/>
        <v>0</v>
      </c>
      <c r="N22" s="213">
        <f t="shared" si="8"/>
        <v>0</v>
      </c>
      <c r="O22" s="213">
        <f t="shared" si="8"/>
        <v>0</v>
      </c>
    </row>
    <row r="23" spans="2:15" x14ac:dyDescent="0.25">
      <c r="B23" s="222" t="s">
        <v>109</v>
      </c>
      <c r="C23" s="223">
        <f>'Proposed Fee'!N15</f>
        <v>234.9534828695123</v>
      </c>
      <c r="D23" s="224">
        <f>D22*D$3</f>
        <v>234.95348286951233</v>
      </c>
      <c r="E23" s="224">
        <f t="shared" ref="E23:H23" si="9">E22*E$3</f>
        <v>234.95348286951233</v>
      </c>
      <c r="F23" s="224">
        <f t="shared" si="9"/>
        <v>237.12332777140324</v>
      </c>
      <c r="G23" s="224">
        <f t="shared" si="9"/>
        <v>241.73650719372307</v>
      </c>
      <c r="H23" s="224">
        <f t="shared" si="9"/>
        <v>248.62751873231861</v>
      </c>
      <c r="J23" s="223"/>
      <c r="K23" s="224">
        <f>K22*K$3</f>
        <v>0</v>
      </c>
      <c r="L23" s="224">
        <f t="shared" ref="L23:O23" si="10">L22*L$3</f>
        <v>0</v>
      </c>
      <c r="M23" s="224">
        <f t="shared" si="10"/>
        <v>0</v>
      </c>
      <c r="N23" s="224">
        <f t="shared" si="10"/>
        <v>0</v>
      </c>
      <c r="O23" s="224">
        <f t="shared" si="10"/>
        <v>0</v>
      </c>
    </row>
    <row r="24" spans="2:15" x14ac:dyDescent="0.25">
      <c r="B24" s="222" t="s">
        <v>110</v>
      </c>
      <c r="C24" s="223">
        <f>'Proposed Fee'!O15</f>
        <v>80.873835635451286</v>
      </c>
      <c r="D24" s="224">
        <f>D22*D$4</f>
        <v>80.873835635451286</v>
      </c>
      <c r="E24" s="224">
        <f t="shared" ref="E24:H24" si="11">E22*E$4</f>
        <v>80.873835635451286</v>
      </c>
      <c r="F24" s="224">
        <f t="shared" si="11"/>
        <v>81.620722541773119</v>
      </c>
      <c r="G24" s="224">
        <f t="shared" si="11"/>
        <v>83.208634794875337</v>
      </c>
      <c r="H24" s="224">
        <f t="shared" si="11"/>
        <v>85.580604461925915</v>
      </c>
      <c r="J24" s="223"/>
      <c r="K24" s="224">
        <f>K22*K$4</f>
        <v>0</v>
      </c>
      <c r="L24" s="224">
        <f t="shared" ref="L24:O24" si="12">L22*L$4</f>
        <v>0</v>
      </c>
      <c r="M24" s="224">
        <f t="shared" si="12"/>
        <v>0</v>
      </c>
      <c r="N24" s="224">
        <f t="shared" si="12"/>
        <v>0</v>
      </c>
      <c r="O24" s="224">
        <f t="shared" si="12"/>
        <v>0</v>
      </c>
    </row>
    <row r="25" spans="2:15" x14ac:dyDescent="0.25">
      <c r="B25" s="222" t="s">
        <v>111</v>
      </c>
      <c r="C25" s="223">
        <f>'Proposed Fee'!P15</f>
        <v>52.010663202538531</v>
      </c>
      <c r="D25" s="224">
        <f>SUM(D22:D24)*D$5</f>
        <v>52.010663202538524</v>
      </c>
      <c r="E25" s="224">
        <f t="shared" ref="E25:H25" si="13">SUM(E22:E24)*E$5</f>
        <v>52.010663202538524</v>
      </c>
      <c r="F25" s="224">
        <f t="shared" si="13"/>
        <v>52.490992632073613</v>
      </c>
      <c r="G25" s="224">
        <f t="shared" si="13"/>
        <v>53.512192736438152</v>
      </c>
      <c r="H25" s="224">
        <f t="shared" si="13"/>
        <v>55.0376269452928</v>
      </c>
      <c r="J25" s="223"/>
      <c r="K25" s="224">
        <f>SUM(K22:K24)*K$5</f>
        <v>0</v>
      </c>
      <c r="L25" s="224">
        <f t="shared" ref="L25:O25" si="14">SUM(L22:L24)*L$5</f>
        <v>0</v>
      </c>
      <c r="M25" s="224">
        <f t="shared" si="14"/>
        <v>0</v>
      </c>
      <c r="N25" s="224">
        <f t="shared" si="14"/>
        <v>0</v>
      </c>
      <c r="O25" s="224">
        <f t="shared" si="14"/>
        <v>0</v>
      </c>
    </row>
    <row r="26" spans="2:15" s="203" customFormat="1" x14ac:dyDescent="0.25">
      <c r="B26" s="227" t="s">
        <v>134</v>
      </c>
      <c r="C26" s="228">
        <f>'Proposed Fee'!Q15</f>
        <v>872.10942073231649</v>
      </c>
      <c r="D26" s="229">
        <f>SUM(D22:D25)</f>
        <v>872.10942073231649</v>
      </c>
      <c r="E26" s="229">
        <f t="shared" ref="E26:H26" si="15">SUM(E22:E25)</f>
        <v>872.10942073231649</v>
      </c>
      <c r="F26" s="229">
        <f t="shared" si="15"/>
        <v>880.16353492273288</v>
      </c>
      <c r="G26" s="229">
        <f t="shared" si="15"/>
        <v>897.2869126424323</v>
      </c>
      <c r="H26" s="229">
        <f t="shared" si="15"/>
        <v>922.86523566955634</v>
      </c>
      <c r="J26" s="228"/>
      <c r="K26" s="229">
        <f>SUM(K22:K25)</f>
        <v>0</v>
      </c>
      <c r="L26" s="229">
        <f t="shared" ref="L26:O26" si="16">SUM(L22:L25)</f>
        <v>0</v>
      </c>
      <c r="M26" s="229">
        <f t="shared" si="16"/>
        <v>0</v>
      </c>
      <c r="N26" s="229">
        <f t="shared" si="16"/>
        <v>0</v>
      </c>
      <c r="O26" s="229">
        <f t="shared" si="16"/>
        <v>0</v>
      </c>
    </row>
    <row r="27" spans="2:15" x14ac:dyDescent="0.25">
      <c r="B27" s="230" t="s">
        <v>135</v>
      </c>
      <c r="C27" s="224"/>
      <c r="D27" s="231">
        <f>'Forecast Revenue - Costs'!D10</f>
        <v>10</v>
      </c>
      <c r="E27" s="231">
        <f>'Forecast Revenue - Costs'!E10</f>
        <v>9.6</v>
      </c>
      <c r="F27" s="231">
        <f>'Forecast Revenue - Costs'!F10</f>
        <v>9.2159999999999993</v>
      </c>
      <c r="G27" s="231">
        <f>'Forecast Revenue - Costs'!G10</f>
        <v>8.8473600000000001</v>
      </c>
      <c r="H27" s="231">
        <f>'Forecast Revenue - Costs'!H10</f>
        <v>8.4934656000000004</v>
      </c>
      <c r="J27" s="224"/>
      <c r="K27" s="231"/>
      <c r="L27" s="231"/>
      <c r="M27" s="231"/>
      <c r="N27" s="231"/>
      <c r="O27" s="231"/>
    </row>
    <row r="28" spans="2:15" s="203" customFormat="1" x14ac:dyDescent="0.25">
      <c r="B28" s="217" t="s">
        <v>136</v>
      </c>
      <c r="C28" s="215"/>
      <c r="D28" s="216">
        <f>D26*D27</f>
        <v>8721.0942073231654</v>
      </c>
      <c r="E28" s="216">
        <f t="shared" ref="E28:H28" si="17">E26*E27</f>
        <v>8372.2504390302383</v>
      </c>
      <c r="F28" s="216">
        <f t="shared" si="17"/>
        <v>8111.587137847906</v>
      </c>
      <c r="G28" s="216">
        <f t="shared" si="17"/>
        <v>7938.6203394361501</v>
      </c>
      <c r="H28" s="216">
        <f t="shared" si="17"/>
        <v>7838.3241325952704</v>
      </c>
      <c r="J28" s="215"/>
      <c r="K28" s="216"/>
      <c r="L28" s="216"/>
      <c r="M28" s="216"/>
      <c r="N28" s="216"/>
      <c r="O28" s="216"/>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workbookViewId="0">
      <selection activeCell="B33" sqref="B33"/>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7" t="s">
        <v>50</v>
      </c>
      <c r="C2" s="28"/>
      <c r="D2" s="28"/>
      <c r="E2" s="28"/>
      <c r="F2" s="28"/>
      <c r="G2" s="28"/>
      <c r="H2" s="28"/>
      <c r="I2" s="28"/>
    </row>
    <row r="3" spans="2:9" x14ac:dyDescent="0.25">
      <c r="B3" s="1"/>
      <c r="C3" s="1"/>
      <c r="D3" s="1"/>
      <c r="E3" s="1"/>
      <c r="F3" s="1"/>
      <c r="G3" s="1"/>
      <c r="H3" s="1"/>
      <c r="I3" s="1"/>
    </row>
    <row r="4" spans="2:9" x14ac:dyDescent="0.25">
      <c r="B4" s="3" t="s">
        <v>83</v>
      </c>
      <c r="C4" s="3" t="s">
        <v>3</v>
      </c>
      <c r="D4" s="53" t="s">
        <v>59</v>
      </c>
      <c r="E4" s="53" t="s">
        <v>60</v>
      </c>
      <c r="F4" s="53" t="s">
        <v>61</v>
      </c>
      <c r="G4" s="53" t="s">
        <v>82</v>
      </c>
      <c r="H4" s="53" t="s">
        <v>62</v>
      </c>
      <c r="I4" s="4" t="s">
        <v>1</v>
      </c>
    </row>
    <row r="5" spans="2:9" x14ac:dyDescent="0.25">
      <c r="B5" s="82" t="s">
        <v>89</v>
      </c>
      <c r="C5" s="5" t="str">
        <f>'AER Summary'!$C$3</f>
        <v>Special Meter Test - CT Meter (NEW)</v>
      </c>
      <c r="D5" s="30">
        <f>'Forecast by year'!D28</f>
        <v>8721.0942073231654</v>
      </c>
      <c r="E5" s="30">
        <f>'Forecast by year'!E28</f>
        <v>8372.2504390302383</v>
      </c>
      <c r="F5" s="30">
        <f>'Forecast by year'!F28</f>
        <v>8111.587137847906</v>
      </c>
      <c r="G5" s="30">
        <f>'Forecast by year'!G28</f>
        <v>7938.6203394361501</v>
      </c>
      <c r="H5" s="30">
        <f>'Forecast by year'!H28</f>
        <v>7838.3241325952704</v>
      </c>
      <c r="I5" s="196">
        <f>SUM(D5:H5)</f>
        <v>40981.876256232732</v>
      </c>
    </row>
    <row r="6" spans="2:9" x14ac:dyDescent="0.25">
      <c r="B6" s="7" t="s">
        <v>1</v>
      </c>
      <c r="C6" s="8"/>
      <c r="D6" s="9">
        <f>SUM(D5:D5)</f>
        <v>8721.0942073231654</v>
      </c>
      <c r="E6" s="9">
        <f>SUM(E5:E5)</f>
        <v>8372.2504390302383</v>
      </c>
      <c r="F6" s="9">
        <f>SUM(F5:F5)</f>
        <v>8111.587137847906</v>
      </c>
      <c r="G6" s="9">
        <f>SUM(G5:G5)</f>
        <v>7938.6203394361501</v>
      </c>
      <c r="H6" s="9">
        <f>SUM(H5:H5)</f>
        <v>7838.3241325952704</v>
      </c>
      <c r="I6" s="9">
        <f>SUM(I5:I5)</f>
        <v>40981.876256232732</v>
      </c>
    </row>
    <row r="7" spans="2:9" x14ac:dyDescent="0.25">
      <c r="B7" s="1"/>
      <c r="C7" s="1"/>
      <c r="D7" s="1"/>
      <c r="E7" s="1"/>
      <c r="F7" s="1"/>
      <c r="G7" s="1"/>
      <c r="H7" s="1"/>
      <c r="I7" s="1"/>
    </row>
    <row r="8" spans="2:9" x14ac:dyDescent="0.25">
      <c r="B8" s="27" t="s">
        <v>27</v>
      </c>
      <c r="C8" s="28"/>
      <c r="D8" s="28"/>
      <c r="E8" s="28"/>
      <c r="F8" s="28"/>
      <c r="G8" s="28"/>
      <c r="H8" s="28"/>
      <c r="I8" s="28"/>
    </row>
    <row r="9" spans="2:9" x14ac:dyDescent="0.25">
      <c r="B9" s="3" t="s">
        <v>83</v>
      </c>
      <c r="C9" s="3" t="s">
        <v>3</v>
      </c>
      <c r="D9" s="53" t="s">
        <v>59</v>
      </c>
      <c r="E9" s="53" t="s">
        <v>60</v>
      </c>
      <c r="F9" s="53" t="s">
        <v>61</v>
      </c>
      <c r="G9" s="53" t="s">
        <v>82</v>
      </c>
      <c r="H9" s="53" t="s">
        <v>62</v>
      </c>
      <c r="I9" s="4" t="s">
        <v>1</v>
      </c>
    </row>
    <row r="10" spans="2:9" x14ac:dyDescent="0.25">
      <c r="B10" s="82" t="s">
        <v>89</v>
      </c>
      <c r="C10" s="5" t="str">
        <f>'AER Summary'!$C$3</f>
        <v>Special Meter Test - CT Meter (NEW)</v>
      </c>
      <c r="D10" s="81">
        <v>10</v>
      </c>
      <c r="E10" s="81">
        <f>D10-D10*4%</f>
        <v>9.6</v>
      </c>
      <c r="F10" s="81">
        <f t="shared" ref="F10:H10" si="0">E10-E10*4%</f>
        <v>9.2159999999999993</v>
      </c>
      <c r="G10" s="81">
        <f t="shared" si="0"/>
        <v>8.8473600000000001</v>
      </c>
      <c r="H10" s="81">
        <f t="shared" si="0"/>
        <v>8.4934656000000004</v>
      </c>
      <c r="I10" s="198">
        <f>SUM(D10:H10)</f>
        <v>46.156825600000005</v>
      </c>
    </row>
    <row r="11" spans="2:9" x14ac:dyDescent="0.25">
      <c r="B11" s="7" t="s">
        <v>17</v>
      </c>
      <c r="C11" s="8"/>
      <c r="D11" s="13">
        <f>SUM(D10:D10)</f>
        <v>10</v>
      </c>
      <c r="E11" s="13">
        <f>SUM(E10:E10)</f>
        <v>9.6</v>
      </c>
      <c r="F11" s="13">
        <f>SUM(F10:F10)</f>
        <v>9.2159999999999993</v>
      </c>
      <c r="G11" s="13">
        <f>SUM(G10:G10)</f>
        <v>8.8473600000000001</v>
      </c>
      <c r="H11" s="13">
        <f>SUM(H10:H10)</f>
        <v>8.4934656000000004</v>
      </c>
      <c r="I11" s="13">
        <f>SUM(I10:I10)</f>
        <v>46.156825600000005</v>
      </c>
    </row>
    <row r="12" spans="2:9" x14ac:dyDescent="0.25">
      <c r="B12" s="1"/>
      <c r="C12" s="1"/>
      <c r="D12" s="14"/>
      <c r="E12" s="14"/>
      <c r="F12" s="14"/>
      <c r="G12" s="14"/>
      <c r="H12" s="14"/>
      <c r="I12" s="14"/>
    </row>
    <row r="13" spans="2:9" x14ac:dyDescent="0.25">
      <c r="B13" s="15" t="s">
        <v>6</v>
      </c>
      <c r="C13" s="1"/>
      <c r="D13" s="14"/>
      <c r="E13" s="14"/>
      <c r="F13" s="14"/>
      <c r="G13" s="14"/>
      <c r="H13" s="14"/>
      <c r="I13" s="14"/>
    </row>
    <row r="14" spans="2:9" x14ac:dyDescent="0.25">
      <c r="B14" s="272" t="s">
        <v>94</v>
      </c>
      <c r="C14" s="272"/>
      <c r="D14" s="272"/>
      <c r="E14" s="272"/>
      <c r="F14" s="272"/>
      <c r="G14" s="272"/>
      <c r="H14" s="272"/>
      <c r="I14" s="272"/>
    </row>
    <row r="15" spans="2:9" x14ac:dyDescent="0.25">
      <c r="B15" s="273"/>
      <c r="C15" s="273"/>
      <c r="D15" s="273"/>
      <c r="E15" s="273"/>
      <c r="F15" s="273"/>
      <c r="G15" s="273"/>
      <c r="H15" s="273"/>
      <c r="I15" s="273"/>
    </row>
    <row r="16" spans="2:9" x14ac:dyDescent="0.25">
      <c r="B16" s="1"/>
      <c r="C16" s="1"/>
      <c r="D16" s="14"/>
      <c r="E16" s="14"/>
      <c r="F16" s="14"/>
      <c r="G16" s="14"/>
      <c r="H16" s="14"/>
      <c r="I16" s="14"/>
    </row>
    <row r="17" spans="2:9" x14ac:dyDescent="0.25">
      <c r="B17" s="27" t="s">
        <v>28</v>
      </c>
      <c r="C17" s="28"/>
      <c r="D17" s="28"/>
      <c r="E17" s="28"/>
      <c r="F17" s="28"/>
      <c r="G17" s="28"/>
      <c r="H17" s="28"/>
      <c r="I17" s="28"/>
    </row>
    <row r="18" spans="2:9" x14ac:dyDescent="0.25">
      <c r="B18" s="16" t="s">
        <v>26</v>
      </c>
      <c r="C18" s="17"/>
      <c r="D18" s="17"/>
      <c r="E18" s="17"/>
      <c r="F18" s="17"/>
      <c r="G18" s="17"/>
      <c r="H18" s="17"/>
      <c r="I18" s="17"/>
    </row>
    <row r="19" spans="2:9" x14ac:dyDescent="0.25">
      <c r="B19" s="276" t="s">
        <v>139</v>
      </c>
      <c r="C19" s="266"/>
      <c r="D19" s="266"/>
      <c r="E19" s="266"/>
      <c r="F19" s="266"/>
      <c r="G19" s="266"/>
      <c r="H19" s="266"/>
      <c r="I19" s="266"/>
    </row>
    <row r="20" spans="2:9" x14ac:dyDescent="0.25">
      <c r="B20" s="267"/>
      <c r="C20" s="267"/>
      <c r="D20" s="267"/>
      <c r="E20" s="267"/>
      <c r="F20" s="267"/>
      <c r="G20" s="267"/>
      <c r="H20" s="267"/>
      <c r="I20" s="267"/>
    </row>
    <row r="21" spans="2:9" x14ac:dyDescent="0.25">
      <c r="B21" s="18"/>
      <c r="C21" s="19"/>
      <c r="D21" s="19"/>
      <c r="E21" s="19"/>
      <c r="F21" s="19"/>
      <c r="G21" s="19"/>
      <c r="H21" s="19"/>
      <c r="I21" s="19"/>
    </row>
    <row r="22" spans="2:9" x14ac:dyDescent="0.25">
      <c r="B22" s="1"/>
      <c r="C22" s="1"/>
      <c r="D22" s="1"/>
      <c r="E22" s="1"/>
      <c r="F22" s="1"/>
      <c r="G22" s="1"/>
      <c r="H22" s="1"/>
      <c r="I22" s="1"/>
    </row>
    <row r="23" spans="2:9" x14ac:dyDescent="0.25">
      <c r="B23" s="32" t="s">
        <v>49</v>
      </c>
      <c r="C23" s="33"/>
      <c r="D23" s="274" t="s">
        <v>113</v>
      </c>
      <c r="E23" s="274"/>
      <c r="F23" s="274"/>
      <c r="G23" s="274"/>
      <c r="H23" s="274"/>
      <c r="I23" s="33"/>
    </row>
    <row r="24" spans="2:9" ht="15.75" customHeight="1" x14ac:dyDescent="0.25">
      <c r="B24" s="2" t="s">
        <v>20</v>
      </c>
      <c r="C24" s="20" t="s">
        <v>3</v>
      </c>
      <c r="D24" s="53" t="s">
        <v>59</v>
      </c>
      <c r="E24" s="53" t="s">
        <v>60</v>
      </c>
      <c r="F24" s="53" t="s">
        <v>61</v>
      </c>
      <c r="G24" s="53" t="s">
        <v>82</v>
      </c>
      <c r="H24" s="199" t="s">
        <v>62</v>
      </c>
      <c r="I24" s="21" t="s">
        <v>1</v>
      </c>
    </row>
    <row r="25" spans="2:9" s="203" customFormat="1" x14ac:dyDescent="0.25">
      <c r="B25" s="200" t="s">
        <v>114</v>
      </c>
      <c r="C25" s="201"/>
      <c r="D25" s="80">
        <f>'Forecast by year'!D8</f>
        <v>4233.6845024259446</v>
      </c>
      <c r="E25" s="80">
        <f>'Forecast by year'!E8</f>
        <v>4064.3371223289068</v>
      </c>
      <c r="F25" s="80">
        <f>'Forecast by year'!F8</f>
        <v>3944.683037447543</v>
      </c>
      <c r="G25" s="80">
        <f>'Forecast by year'!G8</f>
        <v>3874.4941876509884</v>
      </c>
      <c r="H25" s="80">
        <f>'Forecast by year'!H8</f>
        <v>3845.1319916799434</v>
      </c>
      <c r="I25" s="202">
        <f t="shared" ref="I25:I27" si="1">SUM(D25:H25)</f>
        <v>19962.330841533327</v>
      </c>
    </row>
    <row r="26" spans="2:9" s="203" customFormat="1" x14ac:dyDescent="0.25">
      <c r="B26" s="200" t="s">
        <v>115</v>
      </c>
      <c r="C26" s="204"/>
      <c r="D26" s="80">
        <f>'Forecast by year'!D9</f>
        <v>809.02988782219927</v>
      </c>
      <c r="E26" s="80">
        <f>'Forecast by year'!E9</f>
        <v>776.66869230931127</v>
      </c>
      <c r="F26" s="80">
        <f>'Forecast by year'!F9</f>
        <v>745.60194461693879</v>
      </c>
      <c r="G26" s="80">
        <f>'Forecast by year'!G9</f>
        <v>715.77786683226122</v>
      </c>
      <c r="H26" s="80">
        <f>'Forecast by year'!H9</f>
        <v>687.1467521589708</v>
      </c>
      <c r="I26" s="202">
        <f t="shared" si="1"/>
        <v>3734.2251437396812</v>
      </c>
    </row>
    <row r="27" spans="2:9" s="203" customFormat="1" x14ac:dyDescent="0.25">
      <c r="B27" s="200" t="s">
        <v>105</v>
      </c>
      <c r="C27" s="204"/>
      <c r="D27" s="80">
        <f>'Forecast by year'!D10</f>
        <v>0</v>
      </c>
      <c r="E27" s="80">
        <f>'Forecast by year'!E10</f>
        <v>0</v>
      </c>
      <c r="F27" s="80">
        <f>'Forecast by year'!F10</f>
        <v>0</v>
      </c>
      <c r="G27" s="80">
        <f>'Forecast by year'!G10</f>
        <v>0</v>
      </c>
      <c r="H27" s="80">
        <f>'Forecast by year'!H10</f>
        <v>0</v>
      </c>
      <c r="I27" s="202">
        <f t="shared" si="1"/>
        <v>0</v>
      </c>
    </row>
    <row r="28" spans="2:9" s="203" customFormat="1" x14ac:dyDescent="0.25">
      <c r="B28" s="205" t="s">
        <v>116</v>
      </c>
      <c r="C28" s="204"/>
      <c r="D28" s="206">
        <f>'Forecast by year'!D11</f>
        <v>5042.7143902481439</v>
      </c>
      <c r="E28" s="206">
        <f>'Forecast by year'!E11</f>
        <v>4841.005814638218</v>
      </c>
      <c r="F28" s="206">
        <f>'Forecast by year'!F11</f>
        <v>4690.2849820644815</v>
      </c>
      <c r="G28" s="206">
        <f>'Forecast by year'!G11</f>
        <v>4590.27205448325</v>
      </c>
      <c r="H28" s="206">
        <f>'Forecast by year'!H11</f>
        <v>4532.2787438389141</v>
      </c>
      <c r="I28" s="202">
        <f>SUM(D28:H28)</f>
        <v>23696.555985273008</v>
      </c>
    </row>
    <row r="29" spans="2:9" x14ac:dyDescent="0.25">
      <c r="B29" s="6" t="s">
        <v>109</v>
      </c>
      <c r="C29" s="10"/>
      <c r="D29" s="80">
        <f>'Forecast by year'!D12</f>
        <v>2349.5348286951235</v>
      </c>
      <c r="E29" s="80">
        <f>'Forecast by year'!E12</f>
        <v>2255.5534355473183</v>
      </c>
      <c r="F29" s="80">
        <f>'Forecast by year'!F12</f>
        <v>2185.3285887412521</v>
      </c>
      <c r="G29" s="80">
        <f>'Forecast by year'!G12</f>
        <v>2138.7299042854579</v>
      </c>
      <c r="H29" s="80">
        <f>'Forecast by year'!H12</f>
        <v>2111.7092775663036</v>
      </c>
      <c r="I29" s="202">
        <f>SUM(D29:H29)</f>
        <v>11040.856034835457</v>
      </c>
    </row>
    <row r="30" spans="2:9" x14ac:dyDescent="0.25">
      <c r="B30" s="6" t="s">
        <v>110</v>
      </c>
      <c r="C30" s="5"/>
      <c r="D30" s="80">
        <f>'Forecast by year'!D13</f>
        <v>808.73835635451292</v>
      </c>
      <c r="E30" s="80">
        <f>'Forecast by year'!E13</f>
        <v>776.38882210033228</v>
      </c>
      <c r="F30" s="80">
        <f>'Forecast by year'!F13</f>
        <v>752.21657894498105</v>
      </c>
      <c r="G30" s="80">
        <f>'Forecast by year'!G13</f>
        <v>736.1767471387883</v>
      </c>
      <c r="H30" s="80">
        <f>'Forecast by year'!H13</f>
        <v>726.87592002457427</v>
      </c>
      <c r="I30" s="202">
        <f>SUM(D30:H30)</f>
        <v>3800.3964245631887</v>
      </c>
    </row>
    <row r="31" spans="2:9" x14ac:dyDescent="0.25">
      <c r="B31" s="6" t="s">
        <v>117</v>
      </c>
      <c r="C31" s="5"/>
      <c r="D31" s="80">
        <f>'Forecast by year'!D14</f>
        <v>520.10663202538524</v>
      </c>
      <c r="E31" s="80">
        <f>'Forecast by year'!E14</f>
        <v>499.30236674436981</v>
      </c>
      <c r="F31" s="80">
        <f>'Forecast by year'!F14</f>
        <v>483.7569880971904</v>
      </c>
      <c r="G31" s="80">
        <f>'Forecast by year'!G14</f>
        <v>473.44163352865343</v>
      </c>
      <c r="H31" s="80">
        <f>'Forecast by year'!H14</f>
        <v>467.46019116547751</v>
      </c>
      <c r="I31" s="202">
        <f>SUM(D31:H31)</f>
        <v>2444.0678115610763</v>
      </c>
    </row>
    <row r="32" spans="2:9" x14ac:dyDescent="0.25">
      <c r="B32" s="22" t="s">
        <v>1</v>
      </c>
      <c r="C32" s="23"/>
      <c r="D32" s="24">
        <f>SUM(D28:D31)</f>
        <v>8721.0942073231654</v>
      </c>
      <c r="E32" s="24">
        <f t="shared" ref="E32:H32" si="2">SUM(E28:E31)</f>
        <v>8372.2504390302383</v>
      </c>
      <c r="F32" s="24">
        <f t="shared" si="2"/>
        <v>8111.5871378479051</v>
      </c>
      <c r="G32" s="24">
        <f t="shared" si="2"/>
        <v>7938.6203394361492</v>
      </c>
      <c r="H32" s="24">
        <f t="shared" si="2"/>
        <v>7838.3241325952686</v>
      </c>
      <c r="I32" s="25">
        <f>SUM(I28:I31)</f>
        <v>40981.876256232732</v>
      </c>
    </row>
  </sheetData>
  <mergeCells count="3">
    <mergeCell ref="B14:I15"/>
    <mergeCell ref="B19:I20"/>
    <mergeCell ref="D23:H2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2018-04-18T02:15:47Z</dcterms:modified>
</cp:coreProperties>
</file>