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115277BC-C8A3-43ED-AEA3-D1BD7274D46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15" i="13"/>
  <c r="I16" i="13"/>
  <c r="I14" i="15"/>
  <c r="B20" i="9"/>
  <c r="E11" i="16" l="1"/>
  <c r="F11" i="16" s="1"/>
  <c r="G11" i="16" s="1"/>
  <c r="H11" i="16" s="1"/>
  <c r="H5" i="17" l="1"/>
  <c r="G5" i="17"/>
  <c r="F5" i="17"/>
  <c r="E5" i="17"/>
  <c r="D5" i="17"/>
  <c r="H2" i="17"/>
  <c r="G2" i="17"/>
  <c r="F2" i="17"/>
  <c r="E2" i="17"/>
  <c r="D2" i="17"/>
  <c r="H1" i="17"/>
  <c r="G1" i="17"/>
  <c r="F1" i="17"/>
  <c r="E1" i="17"/>
  <c r="D1" i="17"/>
  <c r="I7" i="11"/>
  <c r="H7" i="11"/>
  <c r="C22" i="17" l="1"/>
  <c r="D22" i="17" s="1"/>
  <c r="E28" i="17"/>
  <c r="F28" i="17"/>
  <c r="G28" i="17"/>
  <c r="H28" i="17"/>
  <c r="D28" i="17"/>
  <c r="K22" i="17"/>
  <c r="L22" i="17" s="1"/>
  <c r="M22" i="17" s="1"/>
  <c r="N22" i="17" s="1"/>
  <c r="O22" i="17" s="1"/>
  <c r="L21" i="17"/>
  <c r="M21" i="17" s="1"/>
  <c r="N21" i="17" s="1"/>
  <c r="O21" i="17" s="1"/>
  <c r="K21" i="17"/>
  <c r="O5" i="17"/>
  <c r="K5" i="17"/>
  <c r="N5" i="17"/>
  <c r="L5" i="17"/>
  <c r="N1" i="17"/>
  <c r="O1" i="17"/>
  <c r="M1" i="17"/>
  <c r="L1" i="17"/>
  <c r="K1" i="17"/>
  <c r="K20" i="17" s="1"/>
  <c r="G9" i="11"/>
  <c r="H9" i="11"/>
  <c r="C20" i="17" s="1"/>
  <c r="D20" i="17" s="1"/>
  <c r="I9" i="11"/>
  <c r="C21" i="17" s="1"/>
  <c r="D21" i="17" s="1"/>
  <c r="J9" i="11"/>
  <c r="K9" i="11"/>
  <c r="L9" i="11"/>
  <c r="M7" i="11"/>
  <c r="M9" i="11" l="1"/>
  <c r="C23" i="17" s="1"/>
  <c r="K23" i="17"/>
  <c r="L20" i="17"/>
  <c r="E21" i="17"/>
  <c r="D10" i="17"/>
  <c r="D28" i="16" s="1"/>
  <c r="D9" i="17"/>
  <c r="D27" i="16" s="1"/>
  <c r="D23" i="17"/>
  <c r="E20" i="17"/>
  <c r="D11" i="17"/>
  <c r="D29" i="16" s="1"/>
  <c r="E22" i="17"/>
  <c r="M5" i="17"/>
  <c r="F22" i="17" l="1"/>
  <c r="E11" i="17"/>
  <c r="E29" i="16" s="1"/>
  <c r="E10" i="17"/>
  <c r="E28" i="16" s="1"/>
  <c r="F21" i="17"/>
  <c r="L23" i="17"/>
  <c r="M20" i="17"/>
  <c r="E23" i="17"/>
  <c r="F20" i="17"/>
  <c r="E9" i="17"/>
  <c r="E27" i="16" s="1"/>
  <c r="D12" i="17"/>
  <c r="D30" i="16" s="1"/>
  <c r="H5" i="15"/>
  <c r="I5" i="15" s="1"/>
  <c r="H6" i="15"/>
  <c r="I6" i="15" s="1"/>
  <c r="H7" i="15"/>
  <c r="I7" i="15" s="1"/>
  <c r="H8" i="15"/>
  <c r="I8" i="15" s="1"/>
  <c r="H4" i="15"/>
  <c r="H6" i="13"/>
  <c r="H10" i="13" s="1"/>
  <c r="G17" i="13"/>
  <c r="H17" i="13"/>
  <c r="I14" i="13"/>
  <c r="G10" i="13"/>
  <c r="I13" i="15"/>
  <c r="G15" i="15"/>
  <c r="H15" i="15"/>
  <c r="G9" i="15"/>
  <c r="I4" i="15"/>
  <c r="I6" i="13" l="1"/>
  <c r="C47" i="8"/>
  <c r="F9" i="17"/>
  <c r="F27" i="16" s="1"/>
  <c r="F23" i="17"/>
  <c r="G20" i="17"/>
  <c r="M23" i="17"/>
  <c r="N20" i="17"/>
  <c r="G21" i="17"/>
  <c r="F10" i="17"/>
  <c r="F28" i="16" s="1"/>
  <c r="E12" i="17"/>
  <c r="E30" i="16" s="1"/>
  <c r="F11" i="17"/>
  <c r="F29" i="16" s="1"/>
  <c r="G22" i="17"/>
  <c r="H9" i="15"/>
  <c r="D47" i="8" l="1"/>
  <c r="H21" i="17"/>
  <c r="H10" i="17" s="1"/>
  <c r="H28" i="16" s="1"/>
  <c r="G10" i="17"/>
  <c r="G28" i="16" s="1"/>
  <c r="G23" i="17"/>
  <c r="H20" i="17"/>
  <c r="G9" i="17"/>
  <c r="G27" i="16" s="1"/>
  <c r="N23" i="17"/>
  <c r="O20" i="17"/>
  <c r="O23" i="17" s="1"/>
  <c r="F12" i="17"/>
  <c r="F30" i="16" s="1"/>
  <c r="H22" i="17"/>
  <c r="H11" i="17" s="1"/>
  <c r="H29" i="16" s="1"/>
  <c r="G11" i="17"/>
  <c r="G29" i="16" s="1"/>
  <c r="C11" i="16"/>
  <c r="B11" i="16"/>
  <c r="I29" i="16" l="1"/>
  <c r="E47" i="8"/>
  <c r="I28" i="16"/>
  <c r="G12" i="17"/>
  <c r="G30" i="16" s="1"/>
  <c r="H9" i="17"/>
  <c r="H27" i="16" s="1"/>
  <c r="I27" i="16" s="1"/>
  <c r="H23" i="17"/>
  <c r="G12" i="16"/>
  <c r="I11" i="16"/>
  <c r="F47" i="8" l="1"/>
  <c r="H12" i="17"/>
  <c r="H30" i="16" s="1"/>
  <c r="F63" i="8"/>
  <c r="F7" i="11"/>
  <c r="G47" i="8" l="1"/>
  <c r="I30" i="16"/>
  <c r="F9" i="11"/>
  <c r="H12" i="16" l="1"/>
  <c r="G63" i="8" l="1"/>
  <c r="F15" i="15" l="1"/>
  <c r="E15" i="15"/>
  <c r="D15" i="15"/>
  <c r="I15" i="15" l="1"/>
  <c r="E9" i="15"/>
  <c r="D9" i="15"/>
  <c r="F12" i="16"/>
  <c r="E12" i="16"/>
  <c r="D12" i="16"/>
  <c r="C63" i="8" s="1"/>
  <c r="C5" i="16"/>
  <c r="F17" i="13"/>
  <c r="E17" i="13"/>
  <c r="D17" i="13"/>
  <c r="F10" i="13"/>
  <c r="E10" i="13"/>
  <c r="D10" i="13"/>
  <c r="I12" i="16" l="1"/>
  <c r="E63" i="8"/>
  <c r="D63" i="8"/>
  <c r="I10" i="13"/>
  <c r="I17" i="13"/>
  <c r="F9" i="15"/>
  <c r="I9" i="15" l="1"/>
  <c r="D3" i="9"/>
  <c r="H63" i="8" l="1"/>
  <c r="H47" i="8" l="1"/>
  <c r="E4" i="17" l="1"/>
  <c r="H4" i="17"/>
  <c r="D4" i="17"/>
  <c r="G4" i="17"/>
  <c r="O7" i="11"/>
  <c r="O9" i="11" s="1"/>
  <c r="C25" i="17" s="1"/>
  <c r="F4" i="17"/>
  <c r="M4" i="17" l="1"/>
  <c r="M25" i="17" s="1"/>
  <c r="F25" i="17"/>
  <c r="F14" i="17" s="1"/>
  <c r="F32" i="16" s="1"/>
  <c r="N4" i="17"/>
  <c r="N25" i="17" s="1"/>
  <c r="G25" i="17"/>
  <c r="G14" i="17" s="1"/>
  <c r="G32" i="16" s="1"/>
  <c r="K4" i="17"/>
  <c r="K25" i="17" s="1"/>
  <c r="D25" i="17"/>
  <c r="D14" i="17" s="1"/>
  <c r="D32" i="16" s="1"/>
  <c r="O4" i="17"/>
  <c r="O25" i="17" s="1"/>
  <c r="H25" i="17"/>
  <c r="H14" i="17" s="1"/>
  <c r="H32" i="16" s="1"/>
  <c r="L4" i="17"/>
  <c r="L25" i="17" s="1"/>
  <c r="E25" i="17"/>
  <c r="E14" i="17" s="1"/>
  <c r="E32" i="16" s="1"/>
  <c r="I32" i="16" l="1"/>
  <c r="F3" i="17" l="1"/>
  <c r="E3" i="17"/>
  <c r="H3" i="17"/>
  <c r="D3" i="17"/>
  <c r="G3" i="17"/>
  <c r="N7" i="11"/>
  <c r="O3" i="17" l="1"/>
  <c r="O24" i="17" s="1"/>
  <c r="O26" i="17" s="1"/>
  <c r="O27" i="17" s="1"/>
  <c r="H24" i="17"/>
  <c r="K3" i="17"/>
  <c r="K24" i="17" s="1"/>
  <c r="K26" i="17" s="1"/>
  <c r="K27" i="17" s="1"/>
  <c r="D24" i="17"/>
  <c r="P7" i="11"/>
  <c r="P9" i="11" s="1"/>
  <c r="C26" i="17" s="1"/>
  <c r="N9" i="11"/>
  <c r="C24" i="17" s="1"/>
  <c r="E24" i="17"/>
  <c r="L3" i="17"/>
  <c r="L24" i="17" s="1"/>
  <c r="L26" i="17" s="1"/>
  <c r="L27" i="17" s="1"/>
  <c r="G24" i="17"/>
  <c r="N3" i="17"/>
  <c r="N24" i="17" s="1"/>
  <c r="N26" i="17" s="1"/>
  <c r="N27" i="17" s="1"/>
  <c r="F24" i="17"/>
  <c r="M3" i="17"/>
  <c r="M24" i="17" s="1"/>
  <c r="M26" i="17" s="1"/>
  <c r="M27" i="17" s="1"/>
  <c r="F13" i="17" l="1"/>
  <c r="F31" i="16" s="1"/>
  <c r="F26" i="17"/>
  <c r="F15" i="17" s="1"/>
  <c r="F33" i="16" s="1"/>
  <c r="E26" i="17"/>
  <c r="E15" i="17" s="1"/>
  <c r="E33" i="16" s="1"/>
  <c r="E13" i="17"/>
  <c r="E31" i="16" s="1"/>
  <c r="Q7" i="11"/>
  <c r="Q9" i="11" s="1"/>
  <c r="D13" i="17"/>
  <c r="D31" i="16" s="1"/>
  <c r="D26" i="17"/>
  <c r="D15" i="17" s="1"/>
  <c r="D33" i="16" s="1"/>
  <c r="G13" i="17"/>
  <c r="G31" i="16" s="1"/>
  <c r="G26" i="17"/>
  <c r="G15" i="17" s="1"/>
  <c r="G33" i="16" s="1"/>
  <c r="H13" i="17"/>
  <c r="H31" i="16" s="1"/>
  <c r="H26" i="17"/>
  <c r="H15" i="17" s="1"/>
  <c r="H33" i="16" s="1"/>
  <c r="H34" i="16" s="1"/>
  <c r="D49" i="8" l="1"/>
  <c r="D51" i="8" s="1"/>
  <c r="F27" i="17"/>
  <c r="F16" i="17" s="1"/>
  <c r="F5" i="16" s="1"/>
  <c r="F6" i="16" s="1"/>
  <c r="H27" i="17"/>
  <c r="C49" i="8"/>
  <c r="D34" i="16"/>
  <c r="I31" i="16"/>
  <c r="F49" i="8"/>
  <c r="F51" i="8" s="1"/>
  <c r="G34" i="16"/>
  <c r="C27" i="17"/>
  <c r="D7" i="8"/>
  <c r="F29" i="17"/>
  <c r="G49" i="8"/>
  <c r="G51" i="8" s="1"/>
  <c r="D27" i="17"/>
  <c r="E27" i="17"/>
  <c r="H29" i="17"/>
  <c r="H16" i="17"/>
  <c r="H5" i="16" s="1"/>
  <c r="H6" i="16" s="1"/>
  <c r="G27" i="17"/>
  <c r="I33" i="16"/>
  <c r="E34" i="16"/>
  <c r="E49" i="8"/>
  <c r="E51" i="8" s="1"/>
  <c r="F34" i="16"/>
  <c r="H17" i="17" l="1"/>
  <c r="I34" i="16"/>
  <c r="E29" i="17"/>
  <c r="E16" i="17"/>
  <c r="E5" i="16" s="1"/>
  <c r="E6" i="16" s="1"/>
  <c r="G16" i="17"/>
  <c r="G5" i="16" s="1"/>
  <c r="G6" i="16" s="1"/>
  <c r="G29" i="17"/>
  <c r="D29" i="17"/>
  <c r="D16" i="17"/>
  <c r="D5" i="16" s="1"/>
  <c r="F17" i="17"/>
  <c r="C51" i="8"/>
  <c r="H49" i="8"/>
  <c r="H51" i="8" s="1"/>
  <c r="G17" i="17" l="1"/>
  <c r="D6" i="16"/>
  <c r="I5" i="16"/>
  <c r="I6" i="16" s="1"/>
  <c r="D17" i="17"/>
  <c r="E17" i="17"/>
</calcChain>
</file>

<file path=xl/sharedStrings.xml><?xml version="1.0" encoding="utf-8"?>
<sst xmlns="http://schemas.openxmlformats.org/spreadsheetml/2006/main" count="226" uniqueCount="148">
  <si>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</si>
  <si>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</si>
  <si>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</si>
  <si>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</si>
  <si>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</si>
  <si>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</si>
  <si>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</si>
  <si>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</si>
  <si>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</si>
  <si>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</si>
  <si>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</si>
  <si>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</si>
  <si>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</si>
  <si>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</si>
  <si>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</si>
  <si>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</si>
  <si>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</si>
  <si>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</si>
  <si>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</si>
  <si>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</si>
  <si>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</si>
  <si>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</si>
  <si>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</si>
  <si>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</si>
  <si>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</si>
  <si>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</si>
  <si>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</si>
  <si>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</si>
  <si>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</si>
  <si>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</si>
  <si>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</si>
  <si>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</si>
  <si>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</si>
  <si>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</si>
  <si>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</si>
  <si>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</si>
  <si>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</si>
  <si>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</si>
  <si>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</si>
  <si>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</si>
  <si>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</si>
  <si>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</si>
  <si>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</si>
  <si>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</si>
  <si>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</si>
  <si>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</si>
  <si>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</si>
  <si>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</si>
  <si>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</si>
  <si>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</si>
  <si>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</si>
  <si>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</si>
  <si>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</si>
  <si>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</si>
  <si>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</si>
  <si>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</si>
  <si>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</si>
  <si>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</si>
  <si>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</si>
  <si>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</si>
  <si>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</si>
  <si>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</si>
  <si>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</si>
  <si>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Alternative Control Service - Botom Up Estimation</t>
  </si>
  <si>
    <t>Class of Labour</t>
  </si>
  <si>
    <t>Time on Task (Hours)</t>
  </si>
  <si>
    <t>Number of Staff</t>
  </si>
  <si>
    <t>Total Time
(Hours)</t>
  </si>
  <si>
    <t>FY2019 Direct Cost</t>
  </si>
  <si>
    <t>R4</t>
  </si>
  <si>
    <t>Disconnect / Reconnection - Poletop / Pillar</t>
  </si>
  <si>
    <t xml:space="preserve">
At the request of the retailer:
&gt; The provision of the reconnection component of either a ‘De-energisation' sub type 'Remove Fuse (Non-
Payment) or Pillar-Box Pit or Pole-Top (Non-Payment)' B2B service order, carried out, outside the hours of
7.30am and 5.00pm on a working day, or
&gt; the reconnection of electricity to a new customer outside the hours of 7:30am and 5:00pm on a working
day.
&gt; Essential Energy may be notified to conduct this service via the use of the 'Re-energisation' B2B service
order.</t>
  </si>
  <si>
    <t>Reconnection - Out of Hours</t>
  </si>
  <si>
    <t>Bottom Up Estimation</t>
  </si>
  <si>
    <t>Travel to / from site - Complete Reconnection out of Hrs</t>
  </si>
  <si>
    <t>Reconnections - Outside of Normal Business of Hours</t>
  </si>
  <si>
    <t>Project Code</t>
  </si>
  <si>
    <t>ANS P&amp;L</t>
  </si>
  <si>
    <t>ACSCW 30050</t>
  </si>
  <si>
    <t>FY22/23</t>
  </si>
  <si>
    <t>Projected Volumes for FY2019-24 Regulatory Period</t>
  </si>
  <si>
    <t>Operating Costs (on IO's, work orders, cost objects, cost centres)</t>
  </si>
  <si>
    <t>Historical Hrs for individual service not available. Hrs recorded across all non-routine meter reading tasks 102 XXX.</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</si>
  <si>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</si>
  <si>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</si>
  <si>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</si>
  <si>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</si>
  <si>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</si>
  <si>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</si>
  <si>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</si>
  <si>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</si>
  <si>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</si>
  <si>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</si>
  <si>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</si>
  <si>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</si>
  <si>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Meter Officer</t>
  </si>
  <si>
    <t>ACSCW 30050 - Reconnection outside business hours</t>
  </si>
  <si>
    <t xml:space="preserve">Historical Operating Costs referenced from ANS P&amp;L Report. </t>
  </si>
  <si>
    <t>Service Order Report</t>
  </si>
  <si>
    <t xml:space="preserve">Historical revenue referenced from ANS P&amp;L Report. </t>
  </si>
  <si>
    <t xml:space="preserve"> - </t>
  </si>
  <si>
    <t>Account for meter roll off / disco reco 2019&gt;&gt;&gt;&gt;&gt;&gt;</t>
  </si>
  <si>
    <r>
      <rPr>
        <b/>
        <sz val="10"/>
        <color theme="1"/>
        <rFont val="Arial"/>
        <family val="2"/>
      </rPr>
      <t xml:space="preserve">
Reconnections - Outside of Normal Business of Hours
</t>
    </r>
    <r>
      <rPr>
        <sz val="10"/>
        <color theme="1"/>
        <rFont val="Arial"/>
        <family val="2"/>
      </rPr>
      <t xml:space="preserve">
At the request of the retailer:
&gt; The provision of the reconnection component of either a ‘De-energisation' sub type 'Remove Fuse (Non-
Payment) or Pillar-Box Pit or Pole-Top (Non-Payment)' B2B service order, carried out, outside the hours of
7.30am and 5.00pm on a working day, or
&gt; the reconnection of electricity to a new customer outside the hours of 7:30am and 5:00pm on a working
day.
&gt; Essential Energy may be notified to conduct this service via the use of the 'Re-energisation' B2B service
order.</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</si>
  <si>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</si>
  <si>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</si>
  <si>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</si>
  <si>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</si>
  <si>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</si>
  <si>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</si>
  <si>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</si>
  <si>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</si>
  <si>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</si>
  <si>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 Price</t>
  </si>
  <si>
    <t>Material Price Oncost %</t>
  </si>
  <si>
    <t>Total Material Cost</t>
  </si>
  <si>
    <t>Overheads</t>
  </si>
  <si>
    <t>Non-system charge</t>
  </si>
  <si>
    <t>Profit margin (WACC FY20) per service</t>
  </si>
  <si>
    <t>Labour</t>
  </si>
  <si>
    <t>All</t>
  </si>
  <si>
    <t>Fleet</t>
  </si>
  <si>
    <t>Materials</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</si>
  <si>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</si>
  <si>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</si>
  <si>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</si>
  <si>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</si>
  <si>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</si>
  <si>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</si>
  <si>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</si>
  <si>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</si>
  <si>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</si>
  <si>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</si>
  <si>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</si>
  <si>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</si>
  <si>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</si>
  <si>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</si>
  <si>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</si>
  <si>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</si>
  <si>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</si>
  <si>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</si>
  <si>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Materials (hire per week)</t>
  </si>
  <si>
    <t>Fully Loaded Cost per service</t>
  </si>
  <si>
    <t>Forecast volumes (hours)</t>
  </si>
  <si>
    <t>Forecast revenue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</si>
  <si>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</si>
  <si>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5.6 Reconnect - Out of Business Hrs</t>
  </si>
  <si>
    <t>Reconnect - Out of Business Hrs</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</si>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</sst>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5" fillId="0" borderId="0"/>
  </cellStyleXfs>
  <cellXfs count="252">
    <xf numFmtId="0" fontId="0" fillId="0" borderId="0" xfId="0"/>
    <xf numFmtId="0" fontId="2" fillId="0" borderId="0" xfId="0" applyFont="1"/>
    <xf numFmtId="0" fontId="8" fillId="5" borderId="3" xfId="0" applyFont="1" applyFill="1" applyBorder="1"/>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8" fillId="5" borderId="1" xfId="0" applyFont="1" applyFill="1" applyBorder="1"/>
    <xf numFmtId="0" fontId="5" fillId="5" borderId="1" xfId="0" applyFont="1" applyFill="1" applyBorder="1"/>
    <xf numFmtId="168" fontId="8" fillId="5" borderId="9" xfId="2" applyNumberFormat="1" applyFont="1" applyFill="1" applyBorder="1"/>
    <xf numFmtId="0" fontId="6" fillId="8" borderId="0" xfId="0" applyFont="1" applyFill="1"/>
    <xf numFmtId="0" fontId="9"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6" fillId="8" borderId="12" xfId="0" applyFont="1" applyFill="1" applyBorder="1"/>
    <xf numFmtId="0" fontId="9" fillId="8" borderId="12" xfId="0" applyFont="1" applyFill="1" applyBorder="1"/>
    <xf numFmtId="0" fontId="2" fillId="0" borderId="0" xfId="0" applyFont="1" applyAlignment="1">
      <alignment horizontal="left" indent="15"/>
    </xf>
    <xf numFmtId="0" fontId="2"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70" fontId="5" fillId="10" borderId="4" xfId="0" applyNumberFormat="1" applyFont="1" applyFill="1" applyBorder="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2" fillId="0" borderId="0" xfId="0" applyFont="1" applyAlignment="1">
      <alignment horizontal="left"/>
    </xf>
    <xf numFmtId="0" fontId="2" fillId="0" borderId="0" xfId="0" applyFont="1" applyFill="1" applyAlignment="1">
      <alignment horizontal="left"/>
    </xf>
    <xf numFmtId="0" fontId="12" fillId="0" borderId="0" xfId="0" applyFont="1"/>
    <xf numFmtId="0" fontId="2" fillId="0" borderId="8" xfId="0" applyFont="1" applyBorder="1"/>
    <xf numFmtId="0" fontId="13" fillId="8" borderId="8" xfId="0" applyNumberFormat="1" applyFont="1" applyFill="1" applyBorder="1" applyAlignment="1">
      <alignment horizontal="left"/>
    </xf>
    <xf numFmtId="0" fontId="8" fillId="5" borderId="7" xfId="0" applyFont="1" applyFill="1" applyBorder="1" applyAlignment="1">
      <alignment horizontal="center"/>
    </xf>
    <xf numFmtId="0" fontId="5" fillId="10" borderId="4" xfId="0" applyFont="1" applyFill="1" applyBorder="1" applyAlignment="1">
      <alignment horizontal="center"/>
    </xf>
    <xf numFmtId="0" fontId="6" fillId="8" borderId="0" xfId="0" applyFont="1" applyFill="1" applyAlignment="1">
      <alignment horizontal="left"/>
    </xf>
    <xf numFmtId="0" fontId="5" fillId="10" borderId="4" xfId="0" applyFont="1" applyFill="1" applyBorder="1"/>
    <xf numFmtId="4" fontId="5" fillId="10" borderId="4" xfId="0" applyNumberFormat="1" applyFont="1" applyFill="1" applyBorder="1" applyAlignment="1">
      <alignment horizontal="center"/>
    </xf>
    <xf numFmtId="4" fontId="8" fillId="11" borderId="4" xfId="0" applyNumberFormat="1" applyFont="1" applyFill="1" applyBorder="1" applyAlignment="1">
      <alignment horizontal="center"/>
    </xf>
    <xf numFmtId="4" fontId="5" fillId="10" borderId="4" xfId="3" applyNumberFormat="1" applyFont="1" applyFill="1" applyBorder="1" applyAlignment="1">
      <alignment horizontal="center"/>
    </xf>
    <xf numFmtId="0" fontId="2" fillId="10" borderId="4" xfId="0" applyFont="1" applyFill="1" applyBorder="1" applyAlignment="1">
      <alignment horizontal="left"/>
    </xf>
    <xf numFmtId="168" fontId="2" fillId="10" borderId="5" xfId="2" applyNumberFormat="1" applyFont="1" applyFill="1" applyBorder="1" applyAlignment="1">
      <alignment horizontal="center"/>
    </xf>
    <xf numFmtId="3" fontId="2" fillId="10" borderId="4" xfId="0" applyNumberFormat="1" applyFont="1" applyFill="1" applyBorder="1"/>
    <xf numFmtId="0" fontId="10" fillId="4" borderId="1" xfId="0" applyFont="1" applyFill="1" applyBorder="1" applyAlignment="1">
      <alignment vertical="top" wrapText="1"/>
    </xf>
    <xf numFmtId="0" fontId="10" fillId="4" borderId="0" xfId="0" applyFont="1" applyFill="1" applyBorder="1" applyAlignment="1">
      <alignment vertical="top" wrapText="1"/>
    </xf>
    <xf numFmtId="0" fontId="14" fillId="0" borderId="0" xfId="0" applyFont="1"/>
    <xf numFmtId="0" fontId="15" fillId="8" borderId="11" xfId="0" applyFont="1" applyFill="1" applyBorder="1"/>
    <xf numFmtId="0" fontId="16" fillId="8" borderId="12" xfId="0" applyFont="1" applyFill="1" applyBorder="1"/>
    <xf numFmtId="0" fontId="17" fillId="5" borderId="4" xfId="0" applyFont="1" applyFill="1" applyBorder="1"/>
    <xf numFmtId="0" fontId="17" fillId="5" borderId="4" xfId="0" applyFont="1" applyFill="1" applyBorder="1" applyAlignment="1">
      <alignment horizontal="center"/>
    </xf>
    <xf numFmtId="0" fontId="17" fillId="5" borderId="5" xfId="0" applyFont="1" applyFill="1" applyBorder="1" applyAlignment="1">
      <alignment horizontal="center"/>
    </xf>
    <xf numFmtId="0" fontId="17" fillId="5" borderId="5" xfId="0" applyFont="1" applyFill="1" applyBorder="1" applyAlignment="1">
      <alignment horizontal="right"/>
    </xf>
    <xf numFmtId="0" fontId="18" fillId="4" borderId="4" xfId="0" applyFont="1" applyFill="1" applyBorder="1"/>
    <xf numFmtId="168" fontId="18" fillId="10" borderId="5" xfId="2" applyNumberFormat="1" applyFont="1" applyFill="1" applyBorder="1" applyAlignment="1">
      <alignment horizontal="center"/>
    </xf>
    <xf numFmtId="0" fontId="18" fillId="4" borderId="5" xfId="0" applyFont="1" applyFill="1" applyBorder="1"/>
    <xf numFmtId="0" fontId="17" fillId="5" borderId="10" xfId="0" applyFont="1" applyFill="1" applyBorder="1"/>
    <xf numFmtId="0" fontId="20" fillId="5" borderId="1" xfId="0" applyFont="1" applyFill="1" applyBorder="1"/>
    <xf numFmtId="168" fontId="17" fillId="5" borderId="9" xfId="2" applyNumberFormat="1" applyFont="1" applyFill="1" applyBorder="1"/>
    <xf numFmtId="168" fontId="17" fillId="5" borderId="10" xfId="2" applyNumberFormat="1" applyFont="1" applyFill="1" applyBorder="1"/>
    <xf numFmtId="0" fontId="17" fillId="0" borderId="0" xfId="0" applyFont="1" applyFill="1" applyBorder="1"/>
    <xf numFmtId="0" fontId="20" fillId="0" borderId="0" xfId="0" applyFont="1" applyFill="1" applyBorder="1"/>
    <xf numFmtId="168" fontId="17" fillId="0" borderId="0" xfId="2" applyNumberFormat="1" applyFont="1" applyFill="1" applyBorder="1"/>
    <xf numFmtId="0" fontId="15" fillId="8" borderId="8" xfId="0" applyFont="1" applyFill="1" applyBorder="1"/>
    <xf numFmtId="0" fontId="16" fillId="8" borderId="0" xfId="0" applyFont="1" applyFill="1"/>
    <xf numFmtId="3" fontId="18" fillId="10" borderId="4" xfId="0" applyNumberFormat="1" applyFont="1" applyFill="1" applyBorder="1"/>
    <xf numFmtId="3" fontId="18" fillId="4" borderId="4" xfId="0" applyNumberFormat="1" applyFont="1" applyFill="1" applyBorder="1"/>
    <xf numFmtId="0" fontId="14" fillId="0" borderId="6" xfId="0" applyFont="1" applyBorder="1"/>
    <xf numFmtId="0" fontId="17" fillId="5" borderId="6" xfId="0" applyFont="1" applyFill="1" applyBorder="1" applyAlignment="1">
      <alignment horizontal="left"/>
    </xf>
    <xf numFmtId="0" fontId="18" fillId="0" borderId="0" xfId="0" applyFont="1"/>
    <xf numFmtId="0" fontId="19" fillId="0" borderId="0" xfId="0" applyFont="1"/>
    <xf numFmtId="0" fontId="21" fillId="4" borderId="1" xfId="0" applyFont="1" applyFill="1" applyBorder="1" applyAlignment="1">
      <alignment vertical="top" wrapText="1"/>
    </xf>
    <xf numFmtId="0" fontId="21" fillId="4" borderId="8" xfId="0" applyFont="1" applyFill="1" applyBorder="1" applyAlignment="1">
      <alignment vertical="top" wrapText="1"/>
    </xf>
    <xf numFmtId="0" fontId="21" fillId="4" borderId="0" xfId="0" applyFont="1" applyFill="1" applyBorder="1" applyAlignment="1">
      <alignment vertical="top" wrapText="1"/>
    </xf>
    <xf numFmtId="0" fontId="21" fillId="4" borderId="8" xfId="0" applyFont="1" applyFill="1" applyBorder="1" applyAlignment="1">
      <alignment horizontal="left" vertical="top" wrapText="1"/>
    </xf>
    <xf numFmtId="0" fontId="21" fillId="4" borderId="0" xfId="0" applyFont="1" applyFill="1" applyBorder="1" applyAlignment="1">
      <alignment horizontal="left" vertical="top" wrapText="1"/>
    </xf>
    <xf numFmtId="0" fontId="17" fillId="5" borderId="11" xfId="0" applyFont="1" applyFill="1" applyBorder="1"/>
    <xf numFmtId="0" fontId="20" fillId="5" borderId="12" xfId="0" applyFont="1" applyFill="1" applyBorder="1"/>
    <xf numFmtId="0" fontId="18" fillId="4" borderId="8" xfId="0" quotePrefix="1" applyFont="1" applyFill="1" applyBorder="1" applyAlignment="1">
      <alignment vertical="top"/>
    </xf>
    <xf numFmtId="0" fontId="18" fillId="4" borderId="0" xfId="0" applyFont="1" applyFill="1" applyBorder="1" applyAlignment="1">
      <alignment vertical="top"/>
    </xf>
    <xf numFmtId="0" fontId="17" fillId="5" borderId="4" xfId="0" applyFont="1" applyFill="1" applyBorder="1" applyAlignment="1">
      <alignment horizontal="left"/>
    </xf>
    <xf numFmtId="0" fontId="17" fillId="5" borderId="4" xfId="0" applyFont="1" applyFill="1" applyBorder="1" applyAlignment="1">
      <alignment horizontal="right"/>
    </xf>
    <xf numFmtId="0" fontId="18" fillId="4" borderId="4" xfId="0" quotePrefix="1" applyFont="1" applyFill="1" applyBorder="1"/>
    <xf numFmtId="0" fontId="17" fillId="11" borderId="4" xfId="0" applyFont="1" applyFill="1" applyBorder="1"/>
    <xf numFmtId="3" fontId="17" fillId="5" borderId="4" xfId="0" applyNumberFormat="1" applyFont="1" applyFill="1" applyBorder="1"/>
    <xf numFmtId="0" fontId="8" fillId="11" borderId="4" xfId="0" applyFont="1" applyFill="1" applyBorder="1" applyAlignment="1">
      <alignment horizontal="left"/>
    </xf>
    <xf numFmtId="0" fontId="8" fillId="11" borderId="4" xfId="0" applyFont="1" applyFill="1" applyBorder="1" applyAlignment="1">
      <alignment horizontal="center"/>
    </xf>
    <xf numFmtId="0" fontId="8" fillId="11" borderId="4" xfId="0" applyFont="1" applyFill="1" applyBorder="1" applyAlignment="1">
      <alignment horizontal="right"/>
    </xf>
    <xf numFmtId="0" fontId="2" fillId="4" borderId="4" xfId="0" quotePrefix="1" applyFont="1" applyFill="1" applyBorder="1"/>
    <xf numFmtId="0" fontId="8" fillId="11" borderId="4" xfId="0" applyFont="1" applyFill="1" applyBorder="1"/>
    <xf numFmtId="3" fontId="8" fillId="5" borderId="4" xfId="0" applyNumberFormat="1" applyFont="1" applyFill="1" applyBorder="1"/>
    <xf numFmtId="168" fontId="8" fillId="5" borderId="4" xfId="2" applyNumberFormat="1" applyFont="1" applyFill="1" applyBorder="1"/>
    <xf numFmtId="3" fontId="2" fillId="10" borderId="4" xfId="0" applyNumberFormat="1" applyFont="1" applyFill="1" applyBorder="1" applyAlignment="1">
      <alignment horizontal="right"/>
    </xf>
    <xf numFmtId="0" fontId="6" fillId="8" borderId="0" xfId="0" applyFont="1" applyFill="1" applyAlignment="1">
      <alignment horizontal="left"/>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9" xfId="0" applyFont="1" applyFill="1" applyBorder="1"/>
    <xf numFmtId="0" fontId="27" fillId="7" borderId="0" xfId="0" applyFont="1" applyFill="1" applyBorder="1" applyAlignment="1">
      <alignment horizontal="center" vertical="center" wrapText="1"/>
    </xf>
    <xf numFmtId="0" fontId="24" fillId="2" borderId="1" xfId="0" applyFont="1" applyFill="1" applyBorder="1" applyAlignment="1">
      <alignment horizontal="center"/>
    </xf>
    <xf numFmtId="0" fontId="28" fillId="7" borderId="0" xfId="0" applyFont="1" applyFill="1" applyBorder="1" applyAlignment="1">
      <alignment horizontal="center" vertical="center"/>
    </xf>
    <xf numFmtId="0" fontId="25" fillId="9" borderId="9" xfId="0" applyFont="1" applyFill="1" applyBorder="1" applyAlignment="1">
      <alignment vertical="center"/>
    </xf>
    <xf numFmtId="170" fontId="24" fillId="7" borderId="5" xfId="0" applyNumberFormat="1" applyFont="1" applyFill="1" applyBorder="1" applyAlignment="1">
      <alignment horizontal="center"/>
    </xf>
    <xf numFmtId="170" fontId="24" fillId="7" borderId="10" xfId="0" applyNumberFormat="1" applyFont="1" applyFill="1" applyBorder="1" applyAlignment="1">
      <alignment horizontal="center"/>
    </xf>
    <xf numFmtId="0" fontId="24" fillId="7" borderId="0" xfId="0" applyFont="1" applyFill="1" applyBorder="1" applyAlignment="1">
      <alignment horizontal="center" vertical="center"/>
    </xf>
    <xf numFmtId="170" fontId="24" fillId="7" borderId="3" xfId="0" applyNumberFormat="1" applyFont="1" applyFill="1" applyBorder="1" applyAlignment="1">
      <alignment horizontal="center"/>
    </xf>
    <xf numFmtId="170" fontId="24" fillId="3" borderId="2" xfId="0" applyNumberFormat="1" applyFont="1" applyFill="1" applyBorder="1" applyAlignment="1">
      <alignment horizontal="center"/>
    </xf>
    <xf numFmtId="0" fontId="25" fillId="9" borderId="8" xfId="0" applyFont="1" applyFill="1" applyBorder="1" applyAlignment="1">
      <alignment horizontal="left" vertical="center"/>
    </xf>
    <xf numFmtId="0" fontId="26" fillId="7" borderId="8" xfId="0" applyFont="1" applyFill="1" applyBorder="1" applyAlignment="1">
      <alignment horizontal="left"/>
    </xf>
    <xf numFmtId="0" fontId="26" fillId="7" borderId="0" xfId="0" applyFont="1" applyFill="1" applyBorder="1" applyAlignment="1">
      <alignment horizontal="left"/>
    </xf>
    <xf numFmtId="0" fontId="22" fillId="8" borderId="10" xfId="0" applyFont="1" applyFill="1" applyBorder="1"/>
    <xf numFmtId="0" fontId="23" fillId="8" borderId="0" xfId="0" applyFont="1" applyFill="1" applyBorder="1"/>
    <xf numFmtId="0" fontId="23" fillId="8" borderId="2"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wrapText="1"/>
    </xf>
    <xf numFmtId="0" fontId="24" fillId="7" borderId="0" xfId="0" applyFont="1" applyFill="1" applyBorder="1" applyAlignment="1">
      <alignment horizontal="left"/>
    </xf>
    <xf numFmtId="0" fontId="24" fillId="0" borderId="0" xfId="0" applyFont="1" applyAlignment="1">
      <alignment horizontal="left"/>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8" fontId="29" fillId="0" borderId="0" xfId="2" applyNumberFormat="1" applyFont="1"/>
    <xf numFmtId="168" fontId="25" fillId="2" borderId="7" xfId="2" applyNumberFormat="1" applyFont="1" applyFill="1" applyBorder="1"/>
    <xf numFmtId="10" fontId="24" fillId="0" borderId="0" xfId="1" applyNumberFormat="1" applyFont="1"/>
    <xf numFmtId="10" fontId="24" fillId="0" borderId="0" xfId="0" applyNumberFormat="1" applyFont="1"/>
    <xf numFmtId="171"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9" fontId="29" fillId="0" borderId="0" xfId="3" applyNumberFormat="1" applyFont="1" applyAlignment="1"/>
    <xf numFmtId="172" fontId="25"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0" fontId="31" fillId="2" borderId="5" xfId="0" applyFont="1" applyFill="1" applyBorder="1" applyAlignment="1">
      <alignment horizontal="center" vertical="center"/>
    </xf>
    <xf numFmtId="0" fontId="8" fillId="9" borderId="4" xfId="0" applyFont="1" applyFill="1" applyBorder="1" applyAlignment="1">
      <alignment vertical="center"/>
    </xf>
    <xf numFmtId="0" fontId="8" fillId="2" borderId="6" xfId="0" applyFont="1" applyFill="1" applyBorder="1"/>
    <xf numFmtId="168" fontId="19" fillId="11" borderId="5" xfId="2" applyNumberFormat="1" applyFont="1" applyFill="1" applyBorder="1"/>
    <xf numFmtId="3" fontId="19" fillId="11" borderId="4" xfId="0" applyNumberFormat="1" applyFont="1" applyFill="1" applyBorder="1"/>
    <xf numFmtId="0" fontId="6" fillId="8" borderId="8" xfId="0" applyFont="1" applyFill="1" applyBorder="1" applyAlignment="1"/>
    <xf numFmtId="0" fontId="6" fillId="8" borderId="0" xfId="0" applyFont="1" applyFill="1" applyBorder="1" applyAlignment="1"/>
    <xf numFmtId="0" fontId="6" fillId="8" borderId="9" xfId="0" applyFont="1" applyFill="1" applyBorder="1" applyAlignment="1">
      <alignment horizontal="center" vertical="center" wrapText="1"/>
    </xf>
    <xf numFmtId="170" fontId="6" fillId="8" borderId="9" xfId="0" applyNumberFormat="1" applyFont="1" applyFill="1" applyBorder="1" applyAlignment="1">
      <alignment horizontal="center" vertical="center" wrapText="1"/>
    </xf>
    <xf numFmtId="0" fontId="5" fillId="10" borderId="13" xfId="0" applyFont="1" applyFill="1" applyBorder="1"/>
    <xf numFmtId="0" fontId="5" fillId="10" borderId="13" xfId="0" applyFont="1" applyFill="1" applyBorder="1" applyAlignment="1">
      <alignment horizontal="center"/>
    </xf>
    <xf numFmtId="4" fontId="5" fillId="10" borderId="13" xfId="0" applyNumberFormat="1" applyFont="1" applyFill="1" applyBorder="1" applyAlignment="1">
      <alignment horizontal="center"/>
    </xf>
    <xf numFmtId="4" fontId="5" fillId="10" borderId="13" xfId="3" applyNumberFormat="1" applyFont="1" applyFill="1" applyBorder="1" applyAlignment="1">
      <alignment horizontal="center" vertical="center"/>
    </xf>
    <xf numFmtId="170" fontId="5" fillId="10" borderId="13" xfId="0" applyNumberFormat="1" applyFont="1" applyFill="1" applyBorder="1" applyAlignment="1">
      <alignment horizontal="center"/>
    </xf>
    <xf numFmtId="170" fontId="8" fillId="9" borderId="5" xfId="0" applyNumberFormat="1" applyFont="1" applyFill="1" applyBorder="1" applyAlignment="1"/>
    <xf numFmtId="170" fontId="8" fillId="9" borderId="2" xfId="0" applyNumberFormat="1" applyFont="1" applyFill="1" applyBorder="1" applyAlignment="1"/>
    <xf numFmtId="170" fontId="8" fillId="9" borderId="3" xfId="0" applyNumberFormat="1" applyFont="1" applyFill="1" applyBorder="1" applyAlignment="1">
      <alignment horizontal="left"/>
    </xf>
    <xf numFmtId="2" fontId="6" fillId="8" borderId="9" xfId="0" applyNumberFormat="1" applyFont="1" applyFill="1" applyBorder="1" applyAlignment="1">
      <alignment horizontal="center" vertical="center" wrapText="1"/>
    </xf>
    <xf numFmtId="170" fontId="8" fillId="9" borderId="2" xfId="0" applyNumberFormat="1" applyFont="1" applyFill="1" applyBorder="1" applyAlignment="1">
      <alignment horizontal="left"/>
    </xf>
    <xf numFmtId="2" fontId="5" fillId="10" borderId="13" xfId="3" applyNumberFormat="1" applyFont="1" applyFill="1" applyBorder="1" applyAlignment="1">
      <alignment horizontal="center"/>
    </xf>
    <xf numFmtId="168" fontId="7" fillId="11" borderId="4" xfId="2" applyNumberFormat="1" applyFont="1" applyFill="1" applyBorder="1"/>
    <xf numFmtId="3" fontId="7" fillId="11" borderId="4" xfId="0" applyNumberFormat="1" applyFont="1" applyFill="1" applyBorder="1"/>
    <xf numFmtId="3" fontId="8" fillId="11" borderId="4" xfId="0" applyNumberFormat="1" applyFont="1" applyFill="1" applyBorder="1"/>
    <xf numFmtId="168" fontId="7" fillId="11" borderId="5" xfId="2" applyNumberFormat="1" applyFont="1" applyFill="1" applyBorder="1"/>
    <xf numFmtId="0" fontId="2" fillId="4" borderId="3" xfId="0" applyFont="1" applyFill="1" applyBorder="1" applyAlignment="1">
      <alignment horizontal="left" indent="1"/>
    </xf>
    <xf numFmtId="0" fontId="7" fillId="4" borderId="3" xfId="0" applyFont="1" applyFill="1" applyBorder="1"/>
    <xf numFmtId="0" fontId="7" fillId="4" borderId="4" xfId="0" applyFont="1" applyFill="1" applyBorder="1"/>
    <xf numFmtId="168" fontId="7" fillId="10" borderId="5" xfId="2" applyNumberFormat="1" applyFont="1" applyFill="1" applyBorder="1" applyAlignment="1">
      <alignment horizontal="center"/>
    </xf>
    <xf numFmtId="0" fontId="32" fillId="0" borderId="0" xfId="0" applyFont="1"/>
    <xf numFmtId="0" fontId="2" fillId="4" borderId="1" xfId="0" applyFont="1" applyFill="1" applyBorder="1"/>
    <xf numFmtId="0" fontId="3" fillId="0" borderId="0" xfId="0" applyFont="1"/>
    <xf numFmtId="10" fontId="3" fillId="0" borderId="0" xfId="1" applyNumberFormat="1" applyFont="1"/>
    <xf numFmtId="10" fontId="3" fillId="0" borderId="0" xfId="0" applyNumberFormat="1" applyFont="1"/>
    <xf numFmtId="0" fontId="33" fillId="0" borderId="0" xfId="0" applyFont="1"/>
    <xf numFmtId="167" fontId="6" fillId="15" borderId="4" xfId="3" applyFont="1" applyFill="1" applyBorder="1" applyAlignment="1">
      <alignment horizontal="left"/>
    </xf>
    <xf numFmtId="167" fontId="6"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7" fillId="5" borderId="4" xfId="3" applyFont="1" applyFill="1" applyBorder="1"/>
    <xf numFmtId="0" fontId="7" fillId="5" borderId="5" xfId="0" applyFont="1" applyFill="1" applyBorder="1"/>
    <xf numFmtId="0" fontId="7" fillId="5" borderId="0" xfId="0" applyFont="1" applyFill="1" applyBorder="1"/>
    <xf numFmtId="173" fontId="7" fillId="5" borderId="4" xfId="3" applyNumberFormat="1" applyFont="1" applyFill="1" applyBorder="1"/>
    <xf numFmtId="0" fontId="3" fillId="0" borderId="6" xfId="0" applyFont="1" applyFill="1" applyBorder="1" applyAlignment="1">
      <alignment textRotation="90"/>
    </xf>
    <xf numFmtId="0" fontId="8" fillId="0" borderId="8" xfId="0" applyFont="1" applyFill="1" applyBorder="1"/>
    <xf numFmtId="0" fontId="34" fillId="4" borderId="5" xfId="0" applyFont="1" applyFill="1" applyBorder="1"/>
    <xf numFmtId="0" fontId="7" fillId="4" borderId="5" xfId="0" applyFont="1" applyFill="1" applyBorder="1"/>
    <xf numFmtId="0" fontId="7" fillId="4" borderId="5" xfId="0" applyFont="1" applyFill="1" applyBorder="1" applyAlignment="1"/>
    <xf numFmtId="0" fontId="7" fillId="4" borderId="2" xfId="0" applyFont="1" applyFill="1" applyBorder="1" applyAlignment="1"/>
    <xf numFmtId="0" fontId="2" fillId="4" borderId="4" xfId="0" applyFont="1" applyFill="1" applyBorder="1" applyAlignment="1">
      <alignment horizontal="left"/>
    </xf>
    <xf numFmtId="167" fontId="35" fillId="10" borderId="4" xfId="3" applyFont="1" applyFill="1" applyBorder="1"/>
    <xf numFmtId="167" fontId="2" fillId="10" borderId="4" xfId="3" applyFont="1" applyFill="1" applyBorder="1"/>
    <xf numFmtId="167" fontId="7" fillId="5" borderId="4" xfId="3" applyFont="1" applyFill="1" applyBorder="1" applyAlignment="1">
      <alignment horizontal="left"/>
    </xf>
    <xf numFmtId="167" fontId="35" fillId="5" borderId="4" xfId="3" applyFont="1" applyFill="1" applyBorder="1"/>
    <xf numFmtId="0" fontId="7" fillId="4" borderId="4" xfId="0" applyFont="1" applyFill="1" applyBorder="1" applyAlignment="1">
      <alignment horizontal="left"/>
    </xf>
    <xf numFmtId="167" fontId="36" fillId="10" borderId="4" xfId="3" applyFont="1" applyFill="1" applyBorder="1"/>
    <xf numFmtId="167" fontId="7"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9" fillId="7" borderId="2" xfId="0" applyNumberFormat="1" applyFont="1" applyFill="1" applyBorder="1" applyAlignment="1">
      <alignment horizontal="left"/>
    </xf>
    <xf numFmtId="170" fontId="29" fillId="7" borderId="3" xfId="0" applyNumberFormat="1" applyFont="1" applyFill="1" applyBorder="1" applyAlignment="1">
      <alignment horizontal="left"/>
    </xf>
    <xf numFmtId="0" fontId="26" fillId="7" borderId="5" xfId="0" applyNumberFormat="1" applyFont="1" applyFill="1" applyBorder="1" applyAlignment="1">
      <alignment horizontal="left" wrapText="1"/>
    </xf>
    <xf numFmtId="0" fontId="26" fillId="7" borderId="2"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24" fillId="7" borderId="0" xfId="0" applyFont="1" applyFill="1" applyBorder="1" applyAlignment="1">
      <alignment horizontal="left" wrapText="1"/>
    </xf>
    <xf numFmtId="0" fontId="24" fillId="7" borderId="1" xfId="0" applyFont="1" applyFill="1" applyBorder="1" applyAlignment="1">
      <alignment horizontal="left" vertical="top" wrapText="1"/>
    </xf>
    <xf numFmtId="0" fontId="24" fillId="2" borderId="5" xfId="0" applyFont="1" applyFill="1" applyBorder="1" applyAlignment="1">
      <alignment horizontal="center"/>
    </xf>
    <xf numFmtId="0" fontId="24" fillId="2" borderId="2" xfId="0" applyFont="1" applyFill="1" applyBorder="1" applyAlignment="1">
      <alignment horizontal="center"/>
    </xf>
    <xf numFmtId="0" fontId="2" fillId="7" borderId="0" xfId="0" quotePrefix="1" applyFont="1" applyFill="1" applyBorder="1" applyAlignment="1">
      <alignment horizontal="left" vertical="top" wrapText="1"/>
    </xf>
    <xf numFmtId="0" fontId="24" fillId="7" borderId="1" xfId="0" applyFont="1" applyFill="1" applyBorder="1" applyAlignment="1">
      <alignment horizontal="left"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18" fillId="4" borderId="10" xfId="0" quotePrefix="1" applyFont="1" applyFill="1" applyBorder="1" applyAlignment="1">
      <alignment horizontal="left" vertical="top" wrapText="1"/>
    </xf>
    <xf numFmtId="0" fontId="18" fillId="4" borderId="1" xfId="0" quotePrefix="1" applyFont="1" applyFill="1" applyBorder="1" applyAlignment="1">
      <alignment horizontal="left" vertical="top" wrapText="1"/>
    </xf>
    <xf numFmtId="0" fontId="18" fillId="4" borderId="8"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0" fontId="21" fillId="4" borderId="10" xfId="0" applyFont="1" applyFill="1" applyBorder="1" applyAlignment="1">
      <alignment horizontal="left" vertical="top" wrapText="1"/>
    </xf>
    <xf numFmtId="0" fontId="21" fillId="4" borderId="1" xfId="0"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2" borderId="0" xfId="0" applyFont="1" applyFill="1" applyBorder="1" applyAlignment="1">
      <alignment horizontal="center"/>
    </xf>
    <xf numFmtId="2" fontId="6" fillId="13" borderId="0" xfId="0" applyNumberFormat="1" applyFont="1" applyFill="1" applyAlignment="1">
      <alignment horizontal="center"/>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4" fillId="0" borderId="6" xfId="0" applyFont="1" applyFill="1" applyBorder="1" applyAlignment="1">
      <alignment horizontal="center" textRotation="90"/>
    </xf>
    <xf numFmtId="0" fontId="7" fillId="4" borderId="5" xfId="0" applyFont="1" applyFill="1" applyBorder="1" applyAlignment="1">
      <alignment horizontal="center"/>
    </xf>
    <xf numFmtId="0" fontId="7" fillId="4" borderId="2" xfId="0" applyFont="1" applyFill="1" applyBorder="1" applyAlignment="1">
      <alignment horizontal="center"/>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10" fillId="4" borderId="1" xfId="0" applyFont="1" applyFill="1" applyBorder="1" applyAlignment="1">
      <alignment horizontal="left" vertical="top"/>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167" fontId="36" fillId="5" borderId="4" xfId="3" applyFont="1" applyFill="1" applyBorder="1"/>
    <xf numFmtId="0" fontId="8" fillId="5" borderId="4" xfId="0" applyFont="1" applyFill="1" applyBorder="1" applyAlignment="1">
      <alignment horizontal="left"/>
    </xf>
    <xf numFmtId="0" fontId="8" fillId="5" borderId="4" xfId="0" applyFont="1" applyFill="1" applyBorder="1" applyAlignment="1">
      <alignment horizontal="center"/>
    </xf>
    <xf numFmtId="0" fontId="8" fillId="5" borderId="4" xfId="0" applyFont="1" applyFill="1" applyBorder="1" applyAlignment="1">
      <alignment horizontal="right"/>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4"/>
  <sheetViews>
    <sheetView showGridLines="0" tabSelected="1" zoomScale="90" zoomScaleNormal="90" workbookViewId="0">
      <selection activeCell="H63" sqref="H63"/>
    </sheetView>
  </sheetViews>
  <sheetFormatPr defaultColWidth="9.140625" defaultRowHeight="12.75" x14ac:dyDescent="0.2"/>
  <cols>
    <col min="1" max="1" width="2.42578125" style="100" customWidth="1"/>
    <col min="2" max="2" width="41.85546875" style="100" customWidth="1"/>
    <col min="3" max="3" width="17.7109375" style="100" customWidth="1"/>
    <col min="4" max="4" width="16.7109375" style="100" customWidth="1"/>
    <col min="5" max="5" width="13.85546875" style="100" customWidth="1"/>
    <col min="6" max="6" width="14" style="100" customWidth="1"/>
    <col min="7" max="7" width="12.85546875" style="100" customWidth="1"/>
    <col min="8" max="8" width="13.28515625" style="100" customWidth="1"/>
    <col min="9" max="9" width="11.5703125" style="100" customWidth="1"/>
    <col min="10" max="16384" width="9.140625" style="100"/>
  </cols>
  <sheetData>
    <row r="2" spans="2:19" x14ac:dyDescent="0.2">
      <c r="B2" s="98" t="s">
        <v>7</v>
      </c>
      <c r="C2" s="99"/>
      <c r="D2" s="99"/>
      <c r="E2" s="99"/>
      <c r="F2" s="99"/>
      <c r="G2" s="99"/>
      <c r="H2" s="99"/>
      <c r="O2" s="101"/>
      <c r="P2" s="101"/>
      <c r="Q2" s="101"/>
      <c r="R2" s="101"/>
      <c r="S2" s="101"/>
    </row>
    <row r="3" spans="2:19" ht="75.75" customHeight="1" x14ac:dyDescent="0.2">
      <c r="B3" s="102" t="s">
        <v>52</v>
      </c>
      <c r="C3" s="207" t="s">
        <v>75</v>
      </c>
      <c r="D3" s="208"/>
      <c r="E3" s="209"/>
      <c r="F3" s="209"/>
      <c r="G3" s="209"/>
      <c r="H3" s="209"/>
      <c r="M3" s="103"/>
      <c r="N3" s="103"/>
      <c r="O3" s="101"/>
      <c r="P3" s="101"/>
      <c r="Q3" s="101"/>
      <c r="R3" s="101"/>
      <c r="S3" s="101"/>
    </row>
    <row r="4" spans="2:19" ht="55.5" customHeight="1" x14ac:dyDescent="0.2">
      <c r="B4" s="104"/>
      <c r="C4" s="212"/>
      <c r="D4" s="213"/>
      <c r="E4" s="105"/>
      <c r="F4" s="105"/>
      <c r="G4" s="105"/>
      <c r="H4" s="105"/>
      <c r="M4" s="103"/>
      <c r="N4" s="103"/>
      <c r="O4" s="101"/>
      <c r="P4" s="101"/>
      <c r="Q4" s="101"/>
      <c r="R4" s="101"/>
      <c r="S4" s="101"/>
    </row>
    <row r="5" spans="2:19" x14ac:dyDescent="0.2">
      <c r="B5" s="102" t="s">
        <v>13</v>
      </c>
      <c r="C5" s="106"/>
      <c r="D5" s="146" t="s">
        <v>44</v>
      </c>
      <c r="E5" s="107"/>
      <c r="F5" s="107"/>
      <c r="G5" s="107"/>
      <c r="H5" s="107"/>
      <c r="M5" s="103"/>
      <c r="N5" s="103"/>
      <c r="O5" s="101"/>
      <c r="P5" s="101"/>
      <c r="Q5" s="101"/>
      <c r="R5" s="101"/>
      <c r="S5" s="101"/>
    </row>
    <row r="6" spans="2:19" x14ac:dyDescent="0.2">
      <c r="B6" s="108" t="s">
        <v>38</v>
      </c>
      <c r="C6" s="109"/>
      <c r="D6" s="110">
        <v>124.32</v>
      </c>
      <c r="E6" s="111"/>
      <c r="F6" s="111"/>
      <c r="G6" s="111"/>
      <c r="H6" s="111"/>
      <c r="M6" s="103"/>
      <c r="N6" s="103"/>
      <c r="O6" s="101"/>
      <c r="P6" s="101"/>
      <c r="Q6" s="101"/>
      <c r="R6" s="101"/>
      <c r="S6" s="101"/>
    </row>
    <row r="7" spans="2:19" x14ac:dyDescent="0.2">
      <c r="B7" s="147" t="s">
        <v>103</v>
      </c>
      <c r="C7" s="112"/>
      <c r="D7" s="113">
        <f>'Proposed Fee'!Q9</f>
        <v>158.39453532848916</v>
      </c>
      <c r="E7" s="111"/>
      <c r="F7" s="111"/>
      <c r="G7" s="111"/>
      <c r="H7" s="111"/>
      <c r="O7" s="101"/>
      <c r="P7" s="101"/>
      <c r="Q7" s="101"/>
      <c r="R7" s="101"/>
      <c r="S7" s="101"/>
    </row>
    <row r="8" spans="2:19" x14ac:dyDescent="0.2">
      <c r="B8" s="114" t="s">
        <v>45</v>
      </c>
      <c r="C8" s="205" t="s">
        <v>73</v>
      </c>
      <c r="D8" s="206"/>
      <c r="E8" s="115"/>
      <c r="F8" s="116"/>
      <c r="G8" s="116"/>
      <c r="H8" s="116"/>
      <c r="O8" s="101"/>
      <c r="P8" s="101"/>
      <c r="Q8" s="101"/>
      <c r="R8" s="101"/>
      <c r="S8" s="101"/>
    </row>
    <row r="9" spans="2:19" x14ac:dyDescent="0.2">
      <c r="B9" s="117" t="s">
        <v>5</v>
      </c>
      <c r="C9" s="118"/>
      <c r="D9" s="118"/>
      <c r="E9" s="119"/>
      <c r="F9" s="119"/>
      <c r="G9" s="119"/>
      <c r="H9" s="119"/>
      <c r="O9" s="101"/>
      <c r="P9" s="101"/>
      <c r="Q9" s="101"/>
      <c r="R9" s="101"/>
      <c r="S9" s="101"/>
    </row>
    <row r="10" spans="2:19" ht="190.5" customHeight="1" x14ac:dyDescent="0.2">
      <c r="B10" s="211" t="s">
        <v>102</v>
      </c>
      <c r="C10" s="211"/>
      <c r="D10" s="211"/>
      <c r="E10" s="211"/>
      <c r="F10" s="211"/>
      <c r="G10" s="211"/>
      <c r="H10" s="211"/>
      <c r="O10" s="101"/>
      <c r="P10" s="101"/>
      <c r="Q10" s="101"/>
      <c r="R10" s="101"/>
      <c r="S10" s="101"/>
    </row>
    <row r="11" spans="2:19" x14ac:dyDescent="0.2">
      <c r="B11" s="120"/>
      <c r="C11" s="120"/>
      <c r="D11" s="120"/>
      <c r="E11" s="120"/>
      <c r="F11" s="120"/>
      <c r="G11" s="120"/>
      <c r="H11" s="120"/>
      <c r="O11" s="101"/>
      <c r="P11" s="101"/>
      <c r="Q11" s="101"/>
      <c r="R11" s="101"/>
      <c r="S11" s="101"/>
    </row>
    <row r="12" spans="2:19" x14ac:dyDescent="0.2">
      <c r="O12" s="101"/>
      <c r="P12" s="101"/>
      <c r="Q12" s="101"/>
      <c r="R12" s="101"/>
      <c r="S12" s="101"/>
    </row>
    <row r="13" spans="2:19" x14ac:dyDescent="0.2">
      <c r="B13" s="121" t="s">
        <v>31</v>
      </c>
      <c r="C13" s="99"/>
      <c r="D13" s="99"/>
      <c r="E13" s="99"/>
      <c r="F13" s="99"/>
      <c r="G13" s="99"/>
      <c r="H13" s="99"/>
      <c r="O13" s="101"/>
      <c r="P13" s="101"/>
      <c r="Q13" s="101"/>
      <c r="R13" s="101"/>
      <c r="S13" s="101"/>
    </row>
    <row r="14" spans="2:19" x14ac:dyDescent="0.2">
      <c r="B14" s="210"/>
      <c r="C14" s="210"/>
      <c r="D14" s="210"/>
      <c r="E14" s="210"/>
      <c r="F14" s="210"/>
      <c r="G14" s="210"/>
      <c r="H14" s="210"/>
    </row>
    <row r="15" spans="2:19" ht="30" customHeight="1" x14ac:dyDescent="0.2">
      <c r="B15" s="214" t="s">
        <v>144</v>
      </c>
      <c r="C15" s="214"/>
      <c r="D15" s="214"/>
      <c r="E15" s="214"/>
      <c r="F15" s="214"/>
      <c r="G15" s="214"/>
      <c r="H15" s="214"/>
      <c r="I15" s="101"/>
    </row>
    <row r="16" spans="2:19" ht="30" customHeight="1" x14ac:dyDescent="0.2">
      <c r="B16" s="214"/>
      <c r="C16" s="214"/>
      <c r="D16" s="214"/>
      <c r="E16" s="214"/>
      <c r="F16" s="214"/>
      <c r="G16" s="214"/>
      <c r="H16" s="214"/>
    </row>
    <row r="17" spans="2:8" ht="30" customHeight="1" x14ac:dyDescent="0.2">
      <c r="B17" s="214"/>
      <c r="C17" s="214"/>
      <c r="D17" s="214"/>
      <c r="E17" s="214"/>
      <c r="F17" s="214"/>
      <c r="G17" s="214"/>
      <c r="H17" s="214"/>
    </row>
    <row r="18" spans="2:8" ht="15" customHeight="1" x14ac:dyDescent="0.2">
      <c r="B18" s="214"/>
      <c r="C18" s="214"/>
      <c r="D18" s="214"/>
      <c r="E18" s="214"/>
      <c r="F18" s="214"/>
      <c r="G18" s="214"/>
      <c r="H18" s="214"/>
    </row>
    <row r="19" spans="2:8" ht="15" customHeight="1" x14ac:dyDescent="0.2">
      <c r="B19" s="214"/>
      <c r="C19" s="214"/>
      <c r="D19" s="214"/>
      <c r="E19" s="214"/>
      <c r="F19" s="214"/>
      <c r="G19" s="214"/>
      <c r="H19" s="214"/>
    </row>
    <row r="20" spans="2:8" x14ac:dyDescent="0.2">
      <c r="B20" s="214"/>
      <c r="C20" s="214"/>
      <c r="D20" s="214"/>
      <c r="E20" s="214"/>
      <c r="F20" s="214"/>
      <c r="G20" s="214"/>
      <c r="H20" s="214"/>
    </row>
    <row r="21" spans="2:8" x14ac:dyDescent="0.2">
      <c r="B21" s="214"/>
      <c r="C21" s="214"/>
      <c r="D21" s="214"/>
      <c r="E21" s="214"/>
      <c r="F21" s="214"/>
      <c r="G21" s="214"/>
      <c r="H21" s="214"/>
    </row>
    <row r="22" spans="2:8" x14ac:dyDescent="0.2">
      <c r="B22" s="123"/>
      <c r="C22" s="123"/>
      <c r="D22" s="123"/>
      <c r="E22" s="123"/>
      <c r="F22" s="123"/>
      <c r="G22" s="123"/>
      <c r="H22" s="123"/>
    </row>
    <row r="23" spans="2:8" x14ac:dyDescent="0.2">
      <c r="B23" s="124"/>
      <c r="C23" s="124"/>
      <c r="D23" s="124"/>
      <c r="E23" s="124"/>
      <c r="F23" s="124"/>
      <c r="G23" s="124"/>
      <c r="H23" s="124"/>
    </row>
    <row r="24" spans="2:8" x14ac:dyDescent="0.2">
      <c r="B24" s="121" t="s">
        <v>39</v>
      </c>
      <c r="C24" s="99"/>
      <c r="D24" s="99"/>
      <c r="E24" s="99"/>
      <c r="F24" s="99"/>
      <c r="G24" s="99"/>
      <c r="H24" s="99"/>
    </row>
    <row r="25" spans="2:8" x14ac:dyDescent="0.2">
      <c r="B25" s="210"/>
      <c r="C25" s="210"/>
      <c r="D25" s="210"/>
      <c r="E25" s="210"/>
      <c r="F25" s="210"/>
      <c r="G25" s="210"/>
      <c r="H25" s="210"/>
    </row>
    <row r="26" spans="2:8" x14ac:dyDescent="0.2">
      <c r="B26" s="216"/>
      <c r="C26" s="216"/>
      <c r="D26" s="216"/>
      <c r="E26" s="216"/>
      <c r="F26" s="216"/>
      <c r="G26" s="216"/>
      <c r="H26" s="216"/>
    </row>
    <row r="27" spans="2:8" x14ac:dyDescent="0.2">
      <c r="B27" s="216"/>
      <c r="C27" s="216"/>
      <c r="D27" s="216"/>
      <c r="E27" s="216"/>
      <c r="F27" s="216"/>
      <c r="G27" s="216"/>
      <c r="H27" s="216"/>
    </row>
    <row r="28" spans="2:8" x14ac:dyDescent="0.2">
      <c r="B28" s="216"/>
      <c r="C28" s="217"/>
      <c r="D28" s="217"/>
      <c r="E28" s="217"/>
      <c r="F28" s="217"/>
      <c r="G28" s="217"/>
      <c r="H28" s="217"/>
    </row>
    <row r="29" spans="2:8" x14ac:dyDescent="0.2">
      <c r="B29" s="122"/>
      <c r="C29" s="122"/>
      <c r="D29" s="122"/>
      <c r="E29" s="122"/>
      <c r="F29" s="122"/>
      <c r="G29" s="122"/>
      <c r="H29" s="122"/>
    </row>
    <row r="30" spans="2:8" x14ac:dyDescent="0.2">
      <c r="B30" s="210"/>
      <c r="C30" s="210"/>
      <c r="D30" s="210"/>
      <c r="E30" s="210"/>
      <c r="F30" s="210"/>
      <c r="G30" s="210"/>
      <c r="H30" s="210"/>
    </row>
    <row r="31" spans="2:8" x14ac:dyDescent="0.2">
      <c r="B31" s="123"/>
      <c r="C31" s="123"/>
      <c r="D31" s="123"/>
      <c r="E31" s="123"/>
      <c r="F31" s="123"/>
      <c r="G31" s="123"/>
      <c r="H31" s="123"/>
    </row>
    <row r="32" spans="2:8" x14ac:dyDescent="0.2">
      <c r="B32" s="123"/>
      <c r="C32" s="123"/>
      <c r="D32" s="123"/>
      <c r="E32" s="123"/>
      <c r="F32" s="123"/>
      <c r="G32" s="123"/>
      <c r="H32" s="123"/>
    </row>
    <row r="33" spans="2:9" x14ac:dyDescent="0.2">
      <c r="B33" s="123"/>
      <c r="C33" s="123"/>
      <c r="D33" s="123"/>
      <c r="E33" s="123"/>
      <c r="F33" s="123"/>
      <c r="G33" s="123"/>
      <c r="H33" s="123"/>
    </row>
    <row r="34" spans="2:9" x14ac:dyDescent="0.2">
      <c r="B34" s="123"/>
      <c r="C34" s="123"/>
      <c r="D34" s="123"/>
      <c r="E34" s="123"/>
      <c r="F34" s="123"/>
      <c r="G34" s="123"/>
      <c r="H34" s="123"/>
    </row>
    <row r="35" spans="2:9" x14ac:dyDescent="0.2">
      <c r="B35" s="125"/>
      <c r="C35" s="125"/>
      <c r="D35" s="125"/>
      <c r="E35" s="125"/>
      <c r="F35" s="125"/>
      <c r="G35" s="125"/>
      <c r="H35" s="125"/>
      <c r="I35" s="101"/>
    </row>
    <row r="36" spans="2:9" x14ac:dyDescent="0.2">
      <c r="B36" s="121" t="s">
        <v>6</v>
      </c>
    </row>
    <row r="37" spans="2:9" x14ac:dyDescent="0.2">
      <c r="B37" s="126" t="s">
        <v>14</v>
      </c>
      <c r="C37" s="127" t="s">
        <v>29</v>
      </c>
      <c r="D37" s="127"/>
      <c r="E37" s="127"/>
      <c r="F37" s="127"/>
      <c r="G37" s="127"/>
      <c r="H37" s="127"/>
    </row>
    <row r="38" spans="2:9" x14ac:dyDescent="0.2">
      <c r="B38" s="128" t="s">
        <v>42</v>
      </c>
      <c r="C38" s="127" t="s">
        <v>49</v>
      </c>
      <c r="D38" s="127"/>
      <c r="E38" s="127"/>
      <c r="F38" s="127"/>
      <c r="G38" s="127"/>
      <c r="H38" s="127"/>
    </row>
    <row r="39" spans="2:9" x14ac:dyDescent="0.2">
      <c r="B39" s="128" t="s">
        <v>43</v>
      </c>
      <c r="C39" s="127" t="s">
        <v>50</v>
      </c>
      <c r="D39" s="127"/>
      <c r="E39" s="127"/>
      <c r="F39" s="127"/>
      <c r="G39" s="127"/>
      <c r="H39" s="127"/>
    </row>
    <row r="40" spans="2:9" x14ac:dyDescent="0.2">
      <c r="B40" s="128" t="s">
        <v>15</v>
      </c>
      <c r="C40" s="127" t="s">
        <v>30</v>
      </c>
      <c r="D40" s="127"/>
      <c r="E40" s="127"/>
      <c r="F40" s="127"/>
      <c r="G40" s="127"/>
      <c r="H40" s="127"/>
    </row>
    <row r="43" spans="2:9" x14ac:dyDescent="0.2">
      <c r="B43" s="121" t="s">
        <v>32</v>
      </c>
      <c r="C43" s="99"/>
      <c r="D43" s="99"/>
      <c r="E43" s="99"/>
      <c r="F43" s="99"/>
      <c r="G43" s="99"/>
      <c r="H43" s="99"/>
    </row>
    <row r="45" spans="2:9" x14ac:dyDescent="0.2">
      <c r="B45" s="129"/>
      <c r="C45" s="130" t="s">
        <v>33</v>
      </c>
      <c r="D45" s="130" t="s">
        <v>34</v>
      </c>
      <c r="E45" s="130" t="s">
        <v>35</v>
      </c>
      <c r="F45" s="130" t="s">
        <v>37</v>
      </c>
      <c r="G45" s="130" t="s">
        <v>36</v>
      </c>
      <c r="H45" s="131" t="s">
        <v>1</v>
      </c>
    </row>
    <row r="46" spans="2:9" x14ac:dyDescent="0.2">
      <c r="C46" s="132"/>
      <c r="D46" s="132"/>
      <c r="E46" s="132"/>
      <c r="F46" s="132"/>
      <c r="G46" s="132"/>
      <c r="H46" s="132"/>
    </row>
    <row r="47" spans="2:9" x14ac:dyDescent="0.2">
      <c r="B47" s="148" t="s">
        <v>104</v>
      </c>
      <c r="C47" s="133">
        <f>'Forecast Revenue - Costs'!D30</f>
        <v>183173.89622208968</v>
      </c>
      <c r="D47" s="133">
        <f>'Forecast Revenue - Costs'!E30</f>
        <v>175846.94037320607</v>
      </c>
      <c r="E47" s="133">
        <f>'Forecast Revenue - Costs'!F30</f>
        <v>170269.92735638539</v>
      </c>
      <c r="F47" s="133">
        <f>'Forecast Revenue - Costs'!G30</f>
        <v>166432.59010161873</v>
      </c>
      <c r="G47" s="133">
        <f>'Forecast Revenue - Costs'!H30</f>
        <v>164039.27417723479</v>
      </c>
      <c r="H47" s="133">
        <f>SUM(C47:G47)</f>
        <v>859762.62823053473</v>
      </c>
    </row>
    <row r="48" spans="2:9" x14ac:dyDescent="0.2">
      <c r="C48" s="134"/>
      <c r="D48" s="135"/>
      <c r="E48" s="134"/>
      <c r="F48" s="134"/>
      <c r="G48" s="134"/>
    </row>
    <row r="49" spans="2:9" x14ac:dyDescent="0.2">
      <c r="B49" s="148" t="s">
        <v>105</v>
      </c>
      <c r="C49" s="133">
        <f>SUM('Forecast Revenue - Costs'!D31:D33)</f>
        <v>133615.17443488867</v>
      </c>
      <c r="D49" s="133">
        <f>SUM('Forecast Revenue - Costs'!E31:E33)</f>
        <v>128270.56745749313</v>
      </c>
      <c r="E49" s="133">
        <f>SUM('Forecast Revenue - Costs'!F31:F33)</f>
        <v>124202.44649464235</v>
      </c>
      <c r="F49" s="133">
        <f>SUM('Forecast Revenue - Costs'!G31:G33)</f>
        <v>121403.3222895237</v>
      </c>
      <c r="G49" s="133">
        <f>SUM('Forecast Revenue - Costs'!H31:H33)</f>
        <v>119657.53137002152</v>
      </c>
      <c r="H49" s="133">
        <f>SUM(C49:G49)</f>
        <v>627149.0420465694</v>
      </c>
    </row>
    <row r="50" spans="2:9" x14ac:dyDescent="0.2">
      <c r="C50" s="134"/>
      <c r="D50" s="135"/>
      <c r="E50" s="134"/>
      <c r="F50" s="134"/>
      <c r="G50" s="134"/>
    </row>
    <row r="51" spans="2:9" x14ac:dyDescent="0.2">
      <c r="B51" s="148" t="s">
        <v>106</v>
      </c>
      <c r="C51" s="133">
        <f t="shared" ref="C51:H51" si="0">+C47+C49</f>
        <v>316789.07065697835</v>
      </c>
      <c r="D51" s="133">
        <f t="shared" si="0"/>
        <v>304117.50783069921</v>
      </c>
      <c r="E51" s="133">
        <f t="shared" si="0"/>
        <v>294472.37385102775</v>
      </c>
      <c r="F51" s="133">
        <f t="shared" si="0"/>
        <v>287835.91239114245</v>
      </c>
      <c r="G51" s="133">
        <f t="shared" si="0"/>
        <v>283696.80554725631</v>
      </c>
      <c r="H51" s="133">
        <f t="shared" si="0"/>
        <v>1486911.6702771042</v>
      </c>
    </row>
    <row r="52" spans="2:9" x14ac:dyDescent="0.2">
      <c r="C52" s="136"/>
      <c r="D52" s="136"/>
      <c r="E52" s="136"/>
      <c r="F52" s="136"/>
      <c r="G52" s="136"/>
    </row>
    <row r="53" spans="2:9" x14ac:dyDescent="0.2">
      <c r="B53" s="137" t="s">
        <v>6</v>
      </c>
    </row>
    <row r="54" spans="2:9" ht="14.25" customHeight="1" x14ac:dyDescent="0.2">
      <c r="B54" s="215"/>
      <c r="C54" s="215"/>
      <c r="D54" s="215"/>
      <c r="E54" s="215"/>
      <c r="F54" s="215"/>
      <c r="G54" s="215"/>
      <c r="H54" s="215"/>
    </row>
    <row r="55" spans="2:9" x14ac:dyDescent="0.2">
      <c r="B55" s="210"/>
      <c r="C55" s="210"/>
      <c r="D55" s="210"/>
      <c r="E55" s="210"/>
      <c r="F55" s="210"/>
      <c r="G55" s="210"/>
      <c r="H55" s="210"/>
      <c r="I55" s="101"/>
    </row>
    <row r="56" spans="2:9" ht="27.75" customHeight="1" x14ac:dyDescent="0.2">
      <c r="B56" s="210"/>
      <c r="C56" s="210"/>
      <c r="D56" s="210"/>
      <c r="E56" s="210"/>
      <c r="F56" s="210"/>
      <c r="G56" s="210"/>
      <c r="H56" s="210"/>
    </row>
    <row r="59" spans="2:9" x14ac:dyDescent="0.2">
      <c r="B59" s="121" t="s">
        <v>80</v>
      </c>
      <c r="C59" s="99"/>
      <c r="D59" s="99"/>
      <c r="E59" s="99"/>
      <c r="F59" s="99"/>
      <c r="G59" s="99"/>
      <c r="H59" s="99"/>
    </row>
    <row r="60" spans="2:9" x14ac:dyDescent="0.2">
      <c r="B60" s="138"/>
    </row>
    <row r="61" spans="2:9" x14ac:dyDescent="0.2">
      <c r="B61" s="139"/>
      <c r="C61" s="140" t="s">
        <v>33</v>
      </c>
      <c r="D61" s="140" t="s">
        <v>34</v>
      </c>
      <c r="E61" s="140" t="s">
        <v>35</v>
      </c>
      <c r="F61" s="140" t="s">
        <v>37</v>
      </c>
      <c r="G61" s="140" t="s">
        <v>36</v>
      </c>
      <c r="H61" s="141" t="s">
        <v>1</v>
      </c>
    </row>
    <row r="62" spans="2:9" x14ac:dyDescent="0.2">
      <c r="C62" s="142"/>
      <c r="D62" s="142"/>
      <c r="E62" s="142"/>
      <c r="F62" s="142"/>
      <c r="G62" s="142"/>
      <c r="H62" s="142"/>
    </row>
    <row r="63" spans="2:9" x14ac:dyDescent="0.2">
      <c r="B63" s="139" t="s">
        <v>12</v>
      </c>
      <c r="C63" s="143">
        <f>'Forecast Revenue - Costs'!D12</f>
        <v>2000</v>
      </c>
      <c r="D63" s="143">
        <f>'Forecast Revenue - Costs'!E12</f>
        <v>1920</v>
      </c>
      <c r="E63" s="143">
        <f>'Forecast Revenue - Costs'!F12</f>
        <v>1843.2</v>
      </c>
      <c r="F63" s="143">
        <f>'Forecast Revenue - Costs'!G12</f>
        <v>1769.472</v>
      </c>
      <c r="G63" s="143">
        <f>'Forecast Revenue - Costs'!H12</f>
        <v>1698.6931199999999</v>
      </c>
      <c r="H63" s="143">
        <f>SUM(C63:G63)</f>
        <v>9231.3651199999986</v>
      </c>
    </row>
    <row r="64" spans="2:9" x14ac:dyDescent="0.2">
      <c r="C64" s="144"/>
      <c r="D64" s="144"/>
      <c r="E64" s="144"/>
      <c r="F64" s="144"/>
      <c r="G64" s="144"/>
      <c r="H64" s="145"/>
    </row>
  </sheetData>
  <mergeCells count="12">
    <mergeCell ref="B15:H21"/>
    <mergeCell ref="B54:H56"/>
    <mergeCell ref="B25:H25"/>
    <mergeCell ref="B26:H26"/>
    <mergeCell ref="B27:H27"/>
    <mergeCell ref="B28:H28"/>
    <mergeCell ref="B30:H30"/>
    <mergeCell ref="C8:D8"/>
    <mergeCell ref="C3:H3"/>
    <mergeCell ref="B14:H14"/>
    <mergeCell ref="B10:H10"/>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B21" sqref="B21:K21"/>
    </sheetView>
  </sheetViews>
  <sheetFormatPr defaultColWidth="9.140625" defaultRowHeight="12.75" x14ac:dyDescent="0.2"/>
  <cols>
    <col min="1" max="1" width="2.28515625" style="1" customWidth="1"/>
    <col min="2" max="2" width="2.42578125" style="33" customWidth="1"/>
    <col min="3" max="3" width="10.140625" style="33" customWidth="1"/>
    <col min="4" max="9" width="13.140625" style="33" customWidth="1"/>
    <col min="10" max="11" width="9.140625" style="33"/>
    <col min="12" max="12" width="5.28515625" style="33" customWidth="1"/>
    <col min="13" max="13" width="2.42578125" style="1" customWidth="1"/>
    <col min="14" max="16384" width="9.140625" style="1"/>
  </cols>
  <sheetData>
    <row r="1" spans="2:14" ht="9" customHeight="1" x14ac:dyDescent="0.2"/>
    <row r="2" spans="2:14" ht="18" customHeight="1" x14ac:dyDescent="0.2">
      <c r="B2" s="31" t="s">
        <v>16</v>
      </c>
      <c r="C2" s="31"/>
      <c r="D2" s="31"/>
      <c r="E2" s="31"/>
      <c r="F2" s="31"/>
      <c r="G2" s="31"/>
      <c r="H2" s="31"/>
      <c r="I2" s="31"/>
      <c r="J2" s="31"/>
      <c r="K2" s="31"/>
    </row>
    <row r="3" spans="2:14" x14ac:dyDescent="0.2">
      <c r="B3" s="27" t="s">
        <v>0</v>
      </c>
      <c r="C3" s="32"/>
      <c r="D3" s="220" t="str">
        <f>'AER Summary'!C3</f>
        <v>Reconnections - Outside of Normal Business of Hours</v>
      </c>
      <c r="E3" s="221"/>
      <c r="F3" s="221"/>
      <c r="G3" s="221"/>
      <c r="H3" s="221"/>
      <c r="I3" s="221"/>
      <c r="J3" s="221"/>
      <c r="K3" s="221"/>
      <c r="N3" s="25"/>
    </row>
    <row r="4" spans="2:14" x14ac:dyDescent="0.2">
      <c r="N4" s="25"/>
    </row>
    <row r="5" spans="2:14" x14ac:dyDescent="0.2">
      <c r="B5" s="222" t="s">
        <v>60</v>
      </c>
      <c r="C5" s="222"/>
      <c r="D5" s="222"/>
      <c r="E5" s="222"/>
      <c r="F5" s="222"/>
      <c r="G5" s="222"/>
      <c r="H5" s="222"/>
      <c r="I5" s="222"/>
      <c r="J5" s="222"/>
      <c r="K5" s="222"/>
      <c r="N5" s="25"/>
    </row>
    <row r="6" spans="2:14" ht="134.25" customHeight="1" x14ac:dyDescent="0.2">
      <c r="B6" s="223" t="s">
        <v>71</v>
      </c>
      <c r="C6" s="224"/>
      <c r="D6" s="224"/>
      <c r="E6" s="224"/>
      <c r="F6" s="224"/>
      <c r="G6" s="224"/>
      <c r="H6" s="224"/>
      <c r="I6" s="224"/>
      <c r="J6" s="224"/>
      <c r="K6" s="224"/>
      <c r="N6" s="25"/>
    </row>
    <row r="9" spans="2:14" x14ac:dyDescent="0.2">
      <c r="B9" s="222" t="s">
        <v>40</v>
      </c>
      <c r="C9" s="222"/>
      <c r="D9" s="222"/>
      <c r="E9" s="222"/>
      <c r="F9" s="222"/>
      <c r="G9" s="222"/>
      <c r="H9" s="222"/>
      <c r="I9" s="222"/>
      <c r="J9" s="222"/>
      <c r="K9" s="222"/>
    </row>
    <row r="10" spans="2:14" ht="15" customHeight="1" x14ac:dyDescent="0.2">
      <c r="B10" s="219" t="s">
        <v>61</v>
      </c>
      <c r="C10" s="219"/>
      <c r="D10" s="219"/>
      <c r="E10" s="219"/>
      <c r="F10" s="219"/>
      <c r="G10" s="219"/>
      <c r="H10" s="219"/>
      <c r="I10" s="219"/>
      <c r="J10" s="219"/>
      <c r="K10" s="219"/>
    </row>
    <row r="11" spans="2:14" ht="24.75" customHeight="1" x14ac:dyDescent="0.2">
      <c r="B11" s="225"/>
      <c r="C11" s="225"/>
      <c r="D11" s="225"/>
      <c r="E11" s="225"/>
      <c r="F11" s="225"/>
      <c r="G11" s="225"/>
      <c r="H11" s="225"/>
      <c r="I11" s="225"/>
      <c r="J11" s="225"/>
      <c r="K11" s="225"/>
      <c r="L11" s="34"/>
      <c r="M11" s="26"/>
      <c r="N11" s="26"/>
    </row>
    <row r="12" spans="2:14" x14ac:dyDescent="0.2">
      <c r="B12" s="225"/>
      <c r="C12" s="225"/>
      <c r="D12" s="225"/>
      <c r="E12" s="225"/>
      <c r="F12" s="225"/>
      <c r="G12" s="225"/>
      <c r="H12" s="225"/>
      <c r="I12" s="225"/>
      <c r="J12" s="225"/>
      <c r="K12" s="225"/>
      <c r="L12" s="34"/>
      <c r="M12" s="26"/>
      <c r="N12" s="26"/>
    </row>
    <row r="13" spans="2:14" x14ac:dyDescent="0.2">
      <c r="B13" s="225"/>
      <c r="C13" s="225"/>
      <c r="D13" s="225"/>
      <c r="E13" s="225"/>
      <c r="F13" s="225"/>
      <c r="G13" s="225"/>
      <c r="H13" s="225"/>
      <c r="I13" s="225"/>
      <c r="J13" s="225"/>
      <c r="K13" s="225"/>
      <c r="L13" s="34"/>
      <c r="M13" s="26"/>
      <c r="N13" s="26"/>
    </row>
    <row r="14" spans="2:14" ht="48" customHeight="1" x14ac:dyDescent="0.2">
      <c r="B14" s="225"/>
      <c r="C14" s="225"/>
      <c r="D14" s="225"/>
      <c r="E14" s="225"/>
      <c r="F14" s="225"/>
      <c r="G14" s="225"/>
      <c r="H14" s="225"/>
      <c r="I14" s="225"/>
      <c r="J14" s="225"/>
      <c r="K14" s="225"/>
      <c r="L14" s="34"/>
      <c r="M14" s="26"/>
      <c r="N14" s="26"/>
    </row>
    <row r="15" spans="2:14" x14ac:dyDescent="0.2">
      <c r="B15" s="225"/>
      <c r="C15" s="225"/>
      <c r="D15" s="225"/>
      <c r="E15" s="225"/>
      <c r="F15" s="225"/>
      <c r="G15" s="225"/>
      <c r="H15" s="225"/>
      <c r="I15" s="225"/>
      <c r="J15" s="225"/>
      <c r="K15" s="225"/>
      <c r="L15" s="34"/>
      <c r="M15" s="26"/>
      <c r="N15" s="26"/>
    </row>
    <row r="16" spans="2:14" ht="78.75" customHeight="1" x14ac:dyDescent="0.2">
      <c r="B16" s="225"/>
      <c r="C16" s="225"/>
      <c r="D16" s="225"/>
      <c r="E16" s="225"/>
      <c r="F16" s="225"/>
      <c r="G16" s="225"/>
      <c r="H16" s="225"/>
      <c r="I16" s="225"/>
      <c r="J16" s="225"/>
      <c r="K16" s="225"/>
      <c r="L16" s="34"/>
      <c r="M16" s="26"/>
      <c r="N16" s="26"/>
    </row>
    <row r="17" spans="2:14" x14ac:dyDescent="0.2">
      <c r="L17" s="34"/>
      <c r="M17" s="26"/>
      <c r="N17" s="26"/>
    </row>
    <row r="18" spans="2:14" x14ac:dyDescent="0.2">
      <c r="L18" s="34"/>
      <c r="M18" s="26"/>
      <c r="N18" s="26"/>
    </row>
    <row r="19" spans="2:14" x14ac:dyDescent="0.2">
      <c r="B19" s="222" t="s">
        <v>41</v>
      </c>
      <c r="C19" s="222"/>
      <c r="D19" s="222"/>
      <c r="E19" s="222"/>
      <c r="F19" s="222"/>
      <c r="G19" s="222"/>
      <c r="H19" s="222"/>
      <c r="I19" s="222"/>
      <c r="J19" s="222"/>
      <c r="K19" s="222"/>
      <c r="L19" s="34"/>
      <c r="M19" s="26"/>
      <c r="N19" s="26"/>
    </row>
    <row r="20" spans="2:14" ht="144" customHeight="1" x14ac:dyDescent="0.2">
      <c r="B20" s="219" t="str">
        <f>'AER Summary'!B10:H10</f>
        <v xml:space="preserve">
Reconnections - Outside of Normal Business of Hours
At the request of the retailer:
&gt; The provision of the reconnection component of either a ‘De-energisation' sub type 'Remove Fuse (Non-
Payment) or Pillar-Box Pit or Pole-Top (Non-Payment)' B2B service order, carried out, outside the hours of
7.30am and 5.00pm on a working day, or
&gt; the reconnection of electricity to a new customer outside the hours of 7:30am and 5:00pm on a working
day.
&gt; Essential Energy may be notified to conduct this service via the use of the 'Re-energisation' B2B service
order.</v>
      </c>
      <c r="C20" s="219"/>
      <c r="D20" s="219"/>
      <c r="E20" s="219"/>
      <c r="F20" s="219"/>
      <c r="G20" s="219"/>
      <c r="H20" s="219"/>
      <c r="I20" s="219"/>
      <c r="J20" s="219"/>
      <c r="K20" s="219"/>
    </row>
    <row r="21" spans="2:14" x14ac:dyDescent="0.2">
      <c r="B21" s="218"/>
      <c r="C21" s="218"/>
      <c r="D21" s="218"/>
      <c r="E21" s="218"/>
      <c r="F21" s="218"/>
      <c r="G21" s="218"/>
      <c r="H21" s="218"/>
      <c r="I21" s="218"/>
      <c r="J21" s="218"/>
      <c r="K21" s="21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38" sqref="B38"/>
    </sheetView>
  </sheetViews>
  <sheetFormatPr defaultColWidth="9.140625" defaultRowHeight="12.75" x14ac:dyDescent="0.2"/>
  <cols>
    <col min="1" max="1" width="3.5703125" style="50" customWidth="1"/>
    <col min="2" max="2" width="58.7109375" style="50" customWidth="1"/>
    <col min="3" max="3" width="65.140625" style="50" customWidth="1"/>
    <col min="4" max="4" width="12.28515625" style="50" customWidth="1"/>
    <col min="5" max="8" width="11.28515625" style="50" customWidth="1"/>
    <col min="9" max="9" width="12.7109375" style="50" customWidth="1"/>
    <col min="10" max="16384" width="9.140625" style="50"/>
  </cols>
  <sheetData>
    <row r="2" spans="1:9" x14ac:dyDescent="0.2">
      <c r="B2" s="51" t="s">
        <v>81</v>
      </c>
      <c r="C2" s="52"/>
      <c r="D2" s="52"/>
      <c r="E2" s="52"/>
      <c r="F2" s="52"/>
      <c r="G2" s="52"/>
      <c r="H2" s="52"/>
      <c r="I2" s="52"/>
    </row>
    <row r="3" spans="1:9" x14ac:dyDescent="0.2">
      <c r="B3" s="53" t="s">
        <v>20</v>
      </c>
      <c r="C3" s="53" t="s">
        <v>3</v>
      </c>
      <c r="D3" s="54" t="s">
        <v>55</v>
      </c>
      <c r="E3" s="54" t="s">
        <v>54</v>
      </c>
      <c r="F3" s="54" t="s">
        <v>53</v>
      </c>
      <c r="G3" s="55" t="s">
        <v>83</v>
      </c>
      <c r="H3" s="55" t="s">
        <v>84</v>
      </c>
      <c r="I3" s="56" t="s">
        <v>1</v>
      </c>
    </row>
    <row r="4" spans="1:9" x14ac:dyDescent="0.2">
      <c r="B4" s="57" t="s">
        <v>21</v>
      </c>
      <c r="C4" s="57" t="s">
        <v>95</v>
      </c>
      <c r="D4" s="58"/>
      <c r="E4" s="58">
        <v>314649.05</v>
      </c>
      <c r="F4" s="58">
        <v>15148.54</v>
      </c>
      <c r="G4" s="58">
        <v>14131.02</v>
      </c>
      <c r="H4" s="58">
        <f>G4*102.5%</f>
        <v>14484.295499999998</v>
      </c>
      <c r="I4" s="149">
        <f>SUM(D4:H4)</f>
        <v>358412.90549999999</v>
      </c>
    </row>
    <row r="5" spans="1:9" x14ac:dyDescent="0.2">
      <c r="B5" s="57" t="s">
        <v>23</v>
      </c>
      <c r="C5" s="59"/>
      <c r="D5" s="58"/>
      <c r="E5" s="58">
        <v>437.98</v>
      </c>
      <c r="F5" s="58">
        <v>0</v>
      </c>
      <c r="G5" s="58">
        <v>3</v>
      </c>
      <c r="H5" s="58">
        <f t="shared" ref="H5:H8" si="0">G5*102.5%</f>
        <v>3.0749999999999997</v>
      </c>
      <c r="I5" s="149">
        <f t="shared" ref="I5:I8" si="1">SUM(D5:H5)</f>
        <v>444.05500000000001</v>
      </c>
    </row>
    <row r="6" spans="1:9" x14ac:dyDescent="0.2">
      <c r="B6" s="57" t="s">
        <v>24</v>
      </c>
      <c r="C6" s="57"/>
      <c r="D6" s="58">
        <v>0</v>
      </c>
      <c r="E6" s="58">
        <v>91262.51</v>
      </c>
      <c r="F6" s="58">
        <v>4625.1000000000004</v>
      </c>
      <c r="G6" s="58">
        <v>3704.32</v>
      </c>
      <c r="H6" s="58">
        <f t="shared" si="0"/>
        <v>3796.9279999999999</v>
      </c>
      <c r="I6" s="149">
        <f t="shared" si="1"/>
        <v>103388.85800000001</v>
      </c>
    </row>
    <row r="7" spans="1:9" x14ac:dyDescent="0.2">
      <c r="B7" s="57" t="s">
        <v>25</v>
      </c>
      <c r="C7" s="57"/>
      <c r="D7" s="58"/>
      <c r="E7" s="58">
        <v>1047803.5</v>
      </c>
      <c r="F7" s="58">
        <v>2764498.73</v>
      </c>
      <c r="G7" s="58">
        <v>571599.43999999994</v>
      </c>
      <c r="H7" s="58">
        <f t="shared" si="0"/>
        <v>585889.42599999986</v>
      </c>
      <c r="I7" s="149">
        <f t="shared" si="1"/>
        <v>4969791.0959999999</v>
      </c>
    </row>
    <row r="8" spans="1:9" x14ac:dyDescent="0.2">
      <c r="B8" s="57" t="s">
        <v>22</v>
      </c>
      <c r="C8" s="57"/>
      <c r="D8" s="58"/>
      <c r="E8" s="58">
        <v>374422.2</v>
      </c>
      <c r="F8" s="58">
        <v>13099.43</v>
      </c>
      <c r="G8" s="58">
        <v>71288.3</v>
      </c>
      <c r="H8" s="58">
        <f t="shared" si="0"/>
        <v>73070.507499999992</v>
      </c>
      <c r="I8" s="149">
        <f t="shared" si="1"/>
        <v>531880.4375</v>
      </c>
    </row>
    <row r="9" spans="1:9" x14ac:dyDescent="0.2">
      <c r="B9" s="60" t="s">
        <v>1</v>
      </c>
      <c r="C9" s="61"/>
      <c r="D9" s="62">
        <f t="shared" ref="D9:I9" si="2">SUM(D4:D8)</f>
        <v>0</v>
      </c>
      <c r="E9" s="62">
        <f t="shared" si="2"/>
        <v>1828575.24</v>
      </c>
      <c r="F9" s="62">
        <f t="shared" si="2"/>
        <v>2797371.8000000003</v>
      </c>
      <c r="G9" s="62">
        <f t="shared" si="2"/>
        <v>660726.07999999996</v>
      </c>
      <c r="H9" s="62">
        <f t="shared" si="2"/>
        <v>677244.23199999984</v>
      </c>
      <c r="I9" s="63">
        <f t="shared" si="2"/>
        <v>5963917.352</v>
      </c>
    </row>
    <row r="10" spans="1:9" x14ac:dyDescent="0.2">
      <c r="B10" s="64"/>
      <c r="C10" s="65"/>
      <c r="D10" s="66"/>
      <c r="E10" s="66"/>
      <c r="F10" s="66"/>
      <c r="G10" s="66"/>
      <c r="H10" s="66"/>
      <c r="I10" s="66"/>
    </row>
    <row r="11" spans="1:9" x14ac:dyDescent="0.2">
      <c r="B11" s="67" t="s">
        <v>10</v>
      </c>
      <c r="C11" s="68"/>
      <c r="D11" s="68"/>
      <c r="E11" s="68"/>
      <c r="F11" s="68"/>
      <c r="G11" s="68"/>
      <c r="H11" s="68"/>
      <c r="I11" s="68"/>
    </row>
    <row r="12" spans="1:9" x14ac:dyDescent="0.2">
      <c r="B12" s="84" t="s">
        <v>4</v>
      </c>
      <c r="C12" s="84" t="s">
        <v>9</v>
      </c>
      <c r="D12" s="54" t="s">
        <v>55</v>
      </c>
      <c r="E12" s="54" t="s">
        <v>54</v>
      </c>
      <c r="F12" s="54" t="s">
        <v>53</v>
      </c>
      <c r="G12" s="54" t="s">
        <v>83</v>
      </c>
      <c r="H12" s="54" t="s">
        <v>84</v>
      </c>
      <c r="I12" s="85" t="s">
        <v>1</v>
      </c>
    </row>
    <row r="13" spans="1:9" x14ac:dyDescent="0.2">
      <c r="B13" s="57" t="s">
        <v>19</v>
      </c>
      <c r="C13" s="57" t="s">
        <v>98</v>
      </c>
      <c r="D13" s="69"/>
      <c r="E13" s="69">
        <v>2927</v>
      </c>
      <c r="F13" s="69">
        <v>2094</v>
      </c>
      <c r="G13" s="69">
        <v>2000</v>
      </c>
      <c r="H13" s="69">
        <v>2000</v>
      </c>
      <c r="I13" s="150">
        <f>SUM(D13:H13)</f>
        <v>9021</v>
      </c>
    </row>
    <row r="14" spans="1:9" x14ac:dyDescent="0.2">
      <c r="B14" s="57"/>
      <c r="C14" s="86"/>
      <c r="D14" s="70"/>
      <c r="E14" s="70"/>
      <c r="F14" s="70"/>
      <c r="G14" s="70"/>
      <c r="H14" s="70"/>
      <c r="I14" s="150">
        <f>SUM(D14:H14)</f>
        <v>0</v>
      </c>
    </row>
    <row r="15" spans="1:9" x14ac:dyDescent="0.2">
      <c r="A15" s="71"/>
      <c r="B15" s="87" t="s">
        <v>51</v>
      </c>
      <c r="C15" s="53"/>
      <c r="D15" s="88">
        <f t="shared" ref="D15:I15" si="3">SUM(D13:D14)</f>
        <v>0</v>
      </c>
      <c r="E15" s="88">
        <f t="shared" si="3"/>
        <v>2927</v>
      </c>
      <c r="F15" s="88">
        <f t="shared" si="3"/>
        <v>2094</v>
      </c>
      <c r="G15" s="88">
        <f t="shared" si="3"/>
        <v>2000</v>
      </c>
      <c r="H15" s="88">
        <f t="shared" si="3"/>
        <v>2000</v>
      </c>
      <c r="I15" s="88">
        <f t="shared" si="3"/>
        <v>9021</v>
      </c>
    </row>
    <row r="17" spans="1:9" x14ac:dyDescent="0.2">
      <c r="A17" s="71"/>
      <c r="B17" s="72" t="s">
        <v>6</v>
      </c>
      <c r="C17" s="73"/>
      <c r="D17" s="74"/>
      <c r="E17" s="74"/>
      <c r="F17" s="74"/>
      <c r="G17" s="74"/>
      <c r="H17" s="74"/>
      <c r="I17" s="74"/>
    </row>
    <row r="18" spans="1:9" ht="12.75" customHeight="1" x14ac:dyDescent="0.2">
      <c r="B18" s="230" t="s">
        <v>82</v>
      </c>
      <c r="C18" s="231"/>
      <c r="D18" s="75"/>
      <c r="E18" s="75"/>
      <c r="F18" s="75"/>
      <c r="G18" s="75"/>
      <c r="H18" s="75"/>
      <c r="I18" s="75"/>
    </row>
    <row r="19" spans="1:9" x14ac:dyDescent="0.2">
      <c r="B19" s="76" t="s">
        <v>85</v>
      </c>
      <c r="C19" s="77"/>
      <c r="D19" s="77"/>
      <c r="E19" s="77"/>
      <c r="F19" s="77"/>
      <c r="G19" s="77"/>
      <c r="H19" s="77"/>
      <c r="I19" s="77"/>
    </row>
    <row r="20" spans="1:9" x14ac:dyDescent="0.2">
      <c r="B20" s="76" t="s">
        <v>86</v>
      </c>
      <c r="C20" s="77"/>
      <c r="D20" s="77"/>
      <c r="E20" s="77"/>
      <c r="F20" s="77"/>
      <c r="G20" s="77"/>
      <c r="H20" s="77"/>
      <c r="I20" s="77"/>
    </row>
    <row r="21" spans="1:9" x14ac:dyDescent="0.2">
      <c r="B21" s="76" t="s">
        <v>87</v>
      </c>
      <c r="C21" s="77"/>
      <c r="D21" s="77"/>
      <c r="E21" s="77"/>
      <c r="F21" s="77"/>
      <c r="G21" s="77"/>
      <c r="H21" s="77"/>
      <c r="I21" s="77"/>
    </row>
    <row r="22" spans="1:9" x14ac:dyDescent="0.2">
      <c r="B22" s="76" t="s">
        <v>88</v>
      </c>
      <c r="C22" s="77"/>
      <c r="D22" s="77"/>
      <c r="E22" s="77"/>
      <c r="F22" s="77"/>
      <c r="G22" s="77"/>
      <c r="H22" s="77"/>
      <c r="I22" s="77"/>
    </row>
    <row r="23" spans="1:9" x14ac:dyDescent="0.2">
      <c r="B23" s="78" t="s">
        <v>89</v>
      </c>
      <c r="C23" s="79"/>
      <c r="D23" s="79"/>
      <c r="E23" s="79"/>
      <c r="F23" s="79"/>
      <c r="G23" s="79"/>
      <c r="H23" s="79"/>
      <c r="I23" s="79"/>
    </row>
    <row r="24" spans="1:9" x14ac:dyDescent="0.2">
      <c r="B24" s="73"/>
      <c r="C24" s="73"/>
      <c r="D24" s="74"/>
      <c r="E24" s="74"/>
      <c r="F24" s="74"/>
      <c r="G24" s="74"/>
      <c r="H24" s="74"/>
      <c r="I24" s="74"/>
    </row>
    <row r="25" spans="1:9" x14ac:dyDescent="0.2">
      <c r="B25" s="67" t="s">
        <v>47</v>
      </c>
      <c r="C25" s="68"/>
      <c r="D25" s="68"/>
      <c r="E25" s="68"/>
      <c r="F25" s="68"/>
      <c r="G25" s="68"/>
      <c r="H25" s="68"/>
      <c r="I25" s="68"/>
    </row>
    <row r="26" spans="1:9" x14ac:dyDescent="0.2">
      <c r="B26" s="80" t="s">
        <v>11</v>
      </c>
      <c r="C26" s="81"/>
      <c r="D26" s="81"/>
      <c r="E26" s="81"/>
      <c r="F26" s="81"/>
      <c r="G26" s="81"/>
      <c r="H26" s="81"/>
      <c r="I26" s="81"/>
    </row>
    <row r="27" spans="1:9" x14ac:dyDescent="0.2">
      <c r="B27" s="226" t="s">
        <v>97</v>
      </c>
      <c r="C27" s="227"/>
      <c r="D27" s="227"/>
      <c r="E27" s="227"/>
      <c r="F27" s="227"/>
      <c r="G27" s="227"/>
      <c r="H27" s="227"/>
      <c r="I27" s="227"/>
    </row>
    <row r="28" spans="1:9" x14ac:dyDescent="0.2">
      <c r="B28" s="228"/>
      <c r="C28" s="229"/>
      <c r="D28" s="229"/>
      <c r="E28" s="229"/>
      <c r="F28" s="229"/>
      <c r="G28" s="229"/>
      <c r="H28" s="229"/>
      <c r="I28" s="229"/>
    </row>
    <row r="29" spans="1:9" x14ac:dyDescent="0.2">
      <c r="B29" s="82"/>
      <c r="C29" s="83"/>
      <c r="D29" s="83"/>
      <c r="E29" s="83"/>
      <c r="F29" s="83"/>
      <c r="G29" s="83"/>
      <c r="H29" s="83"/>
      <c r="I29" s="83"/>
    </row>
  </sheetData>
  <mergeCells count="2">
    <mergeCell ref="B27:I28"/>
    <mergeCell ref="B18: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41" sqref="C41"/>
    </sheetView>
  </sheetViews>
  <sheetFormatPr defaultColWidth="9.140625" defaultRowHeight="12.75" x14ac:dyDescent="0.2"/>
  <cols>
    <col min="1" max="1" width="3.140625" style="35" customWidth="1"/>
    <col min="2" max="2" width="80" style="35" bestFit="1" customWidth="1"/>
    <col min="3" max="3" width="49.42578125" style="35" customWidth="1"/>
    <col min="4" max="4" width="12.85546875" style="35" customWidth="1"/>
    <col min="5" max="5" width="11.28515625" style="35" customWidth="1"/>
    <col min="6" max="8" width="11.7109375" style="35" customWidth="1"/>
    <col min="9" max="9" width="12.7109375" style="35" customWidth="1"/>
    <col min="10" max="16384" width="9.140625" style="35"/>
  </cols>
  <sheetData>
    <row r="2" spans="2:9" x14ac:dyDescent="0.2">
      <c r="B2" s="18" t="s">
        <v>8</v>
      </c>
      <c r="C2" s="19"/>
      <c r="D2" s="19"/>
      <c r="E2" s="19"/>
      <c r="F2" s="19"/>
      <c r="G2" s="19"/>
      <c r="H2" s="19"/>
      <c r="I2" s="19"/>
    </row>
    <row r="3" spans="2:9" x14ac:dyDescent="0.2">
      <c r="B3" s="1"/>
      <c r="C3" s="1"/>
      <c r="D3" s="1"/>
      <c r="E3" s="1"/>
      <c r="F3" s="1"/>
      <c r="G3" s="1"/>
      <c r="H3" s="1"/>
      <c r="I3" s="1"/>
    </row>
    <row r="4" spans="2:9" x14ac:dyDescent="0.2">
      <c r="B4" s="18" t="s">
        <v>2</v>
      </c>
      <c r="C4" s="19"/>
      <c r="D4" s="19"/>
      <c r="E4" s="19"/>
      <c r="F4" s="19"/>
      <c r="G4" s="19"/>
      <c r="H4" s="19"/>
      <c r="I4" s="19"/>
    </row>
    <row r="5" spans="2:9" x14ac:dyDescent="0.2">
      <c r="B5" s="89" t="s">
        <v>76</v>
      </c>
      <c r="C5" s="89" t="s">
        <v>9</v>
      </c>
      <c r="D5" s="90" t="s">
        <v>55</v>
      </c>
      <c r="E5" s="90" t="s">
        <v>54</v>
      </c>
      <c r="F5" s="90" t="s">
        <v>53</v>
      </c>
      <c r="G5" s="90" t="s">
        <v>83</v>
      </c>
      <c r="H5" s="90" t="s">
        <v>84</v>
      </c>
      <c r="I5" s="91" t="s">
        <v>1</v>
      </c>
    </row>
    <row r="6" spans="2:9" ht="14.25" customHeight="1" x14ac:dyDescent="0.2">
      <c r="B6" s="45" t="s">
        <v>78</v>
      </c>
      <c r="C6" s="22" t="s">
        <v>77</v>
      </c>
      <c r="D6" s="21">
        <v>0</v>
      </c>
      <c r="E6" s="21">
        <v>350377.78</v>
      </c>
      <c r="F6" s="21">
        <v>254131.7</v>
      </c>
      <c r="G6" s="21">
        <v>245656.32000000001</v>
      </c>
      <c r="H6" s="21">
        <f>G6*102.5%</f>
        <v>251797.72799999997</v>
      </c>
      <c r="I6" s="166">
        <f>SUM(D6:H6)</f>
        <v>1101963.5279999999</v>
      </c>
    </row>
    <row r="7" spans="2:9" x14ac:dyDescent="0.2">
      <c r="B7" s="3"/>
      <c r="C7" s="20"/>
      <c r="D7" s="21"/>
      <c r="E7" s="21"/>
      <c r="F7" s="21"/>
      <c r="G7" s="21"/>
      <c r="H7" s="21"/>
      <c r="I7" s="166">
        <f t="shared" ref="I7:I9" si="0">SUM(D7:H7)</f>
        <v>0</v>
      </c>
    </row>
    <row r="8" spans="2:9" x14ac:dyDescent="0.2">
      <c r="B8" s="3"/>
      <c r="C8" s="20"/>
      <c r="D8" s="21"/>
      <c r="E8" s="21"/>
      <c r="F8" s="21"/>
      <c r="G8" s="21"/>
      <c r="H8" s="21"/>
      <c r="I8" s="166">
        <f t="shared" si="0"/>
        <v>0</v>
      </c>
    </row>
    <row r="9" spans="2:9" x14ac:dyDescent="0.2">
      <c r="B9" s="3"/>
      <c r="C9" s="20"/>
      <c r="D9" s="21"/>
      <c r="E9" s="21"/>
      <c r="F9" s="21"/>
      <c r="G9" s="21"/>
      <c r="H9" s="21"/>
      <c r="I9" s="166">
        <f t="shared" si="0"/>
        <v>0</v>
      </c>
    </row>
    <row r="10" spans="2:9" x14ac:dyDescent="0.2">
      <c r="B10" s="13" t="s">
        <v>1</v>
      </c>
      <c r="C10" s="13"/>
      <c r="D10" s="95">
        <f t="shared" ref="D10:I10" si="1">SUM(D6:D9)</f>
        <v>0</v>
      </c>
      <c r="E10" s="95">
        <f t="shared" si="1"/>
        <v>350377.78</v>
      </c>
      <c r="F10" s="95">
        <f t="shared" si="1"/>
        <v>254131.7</v>
      </c>
      <c r="G10" s="95">
        <f t="shared" si="1"/>
        <v>245656.32000000001</v>
      </c>
      <c r="H10" s="95">
        <f t="shared" si="1"/>
        <v>251797.72799999997</v>
      </c>
      <c r="I10" s="95">
        <f t="shared" si="1"/>
        <v>1101963.5279999999</v>
      </c>
    </row>
    <row r="11" spans="2:9" x14ac:dyDescent="0.2">
      <c r="B11" s="1"/>
      <c r="C11" s="1"/>
      <c r="D11" s="1"/>
      <c r="E11" s="1"/>
      <c r="F11" s="1"/>
      <c r="G11" s="1"/>
      <c r="H11" s="1"/>
      <c r="I11" s="1"/>
    </row>
    <row r="12" spans="2:9" x14ac:dyDescent="0.2">
      <c r="B12" s="18" t="s">
        <v>10</v>
      </c>
      <c r="C12" s="19"/>
      <c r="D12" s="19"/>
      <c r="E12" s="19"/>
      <c r="F12" s="19"/>
      <c r="G12" s="19"/>
      <c r="H12" s="19"/>
      <c r="I12" s="19"/>
    </row>
    <row r="13" spans="2:9" x14ac:dyDescent="0.2">
      <c r="B13" s="89" t="s">
        <v>4</v>
      </c>
      <c r="C13" s="89" t="s">
        <v>9</v>
      </c>
      <c r="D13" s="90" t="s">
        <v>55</v>
      </c>
      <c r="E13" s="90" t="s">
        <v>54</v>
      </c>
      <c r="F13" s="90" t="s">
        <v>53</v>
      </c>
      <c r="G13" s="90" t="s">
        <v>83</v>
      </c>
      <c r="H13" s="90" t="s">
        <v>84</v>
      </c>
      <c r="I13" s="91" t="s">
        <v>1</v>
      </c>
    </row>
    <row r="14" spans="2:9" x14ac:dyDescent="0.2">
      <c r="B14" s="3" t="s">
        <v>19</v>
      </c>
      <c r="C14" s="3" t="s">
        <v>98</v>
      </c>
      <c r="D14" s="96" t="s">
        <v>100</v>
      </c>
      <c r="E14" s="47">
        <v>2927</v>
      </c>
      <c r="F14" s="47">
        <v>2094</v>
      </c>
      <c r="G14" s="47">
        <v>2000</v>
      </c>
      <c r="H14" s="47">
        <v>2000</v>
      </c>
      <c r="I14" s="167">
        <f>SUM(D14:H14)</f>
        <v>9021</v>
      </c>
    </row>
    <row r="15" spans="2:9" x14ac:dyDescent="0.2">
      <c r="B15" s="3" t="s">
        <v>19</v>
      </c>
      <c r="C15" s="92"/>
      <c r="D15" s="6"/>
      <c r="E15" s="6"/>
      <c r="F15" s="47"/>
      <c r="G15" s="47"/>
      <c r="H15" s="47"/>
      <c r="I15" s="167">
        <f t="shared" ref="I15:I16" si="2">SUM(D15:H15)</f>
        <v>0</v>
      </c>
    </row>
    <row r="16" spans="2:9" x14ac:dyDescent="0.2">
      <c r="B16" s="3"/>
      <c r="C16" s="3"/>
      <c r="D16" s="6"/>
      <c r="E16" s="6"/>
      <c r="F16" s="6"/>
      <c r="G16" s="6"/>
      <c r="H16" s="6"/>
      <c r="I16" s="167">
        <f t="shared" si="2"/>
        <v>0</v>
      </c>
    </row>
    <row r="17" spans="2:9" x14ac:dyDescent="0.2">
      <c r="B17" s="93" t="s">
        <v>17</v>
      </c>
      <c r="C17" s="13"/>
      <c r="D17" s="94">
        <f t="shared" ref="D17:H17" si="3">SUM(D14:D16)</f>
        <v>0</v>
      </c>
      <c r="E17" s="94">
        <f t="shared" si="3"/>
        <v>2927</v>
      </c>
      <c r="F17" s="94">
        <f t="shared" si="3"/>
        <v>2094</v>
      </c>
      <c r="G17" s="94">
        <f t="shared" si="3"/>
        <v>2000</v>
      </c>
      <c r="H17" s="94">
        <f t="shared" si="3"/>
        <v>2000</v>
      </c>
      <c r="I17" s="168">
        <f>SUM(I14:I16)</f>
        <v>9021</v>
      </c>
    </row>
    <row r="18" spans="2:9" x14ac:dyDescent="0.2">
      <c r="B18" s="1"/>
      <c r="C18" s="1"/>
      <c r="D18" s="7"/>
      <c r="E18" s="7"/>
      <c r="F18" s="7"/>
      <c r="G18" s="7"/>
      <c r="H18" s="7"/>
      <c r="I18" s="7"/>
    </row>
    <row r="19" spans="2:9" x14ac:dyDescent="0.2">
      <c r="B19" s="8" t="s">
        <v>6</v>
      </c>
      <c r="C19" s="1"/>
      <c r="D19" s="7"/>
      <c r="E19" s="7"/>
      <c r="F19" s="7"/>
      <c r="G19" s="7"/>
      <c r="H19" s="7"/>
      <c r="I19" s="7"/>
    </row>
    <row r="20" spans="2:9" x14ac:dyDescent="0.2">
      <c r="B20" s="48" t="s">
        <v>90</v>
      </c>
      <c r="C20" s="48"/>
      <c r="D20" s="48"/>
      <c r="E20" s="48"/>
      <c r="F20" s="48"/>
      <c r="G20" s="48"/>
      <c r="H20" s="48"/>
      <c r="I20" s="48"/>
    </row>
    <row r="21" spans="2:9" x14ac:dyDescent="0.2">
      <c r="B21" s="49" t="s">
        <v>91</v>
      </c>
      <c r="C21" s="49"/>
      <c r="D21" s="49"/>
      <c r="E21" s="49"/>
      <c r="F21" s="49"/>
      <c r="G21" s="49"/>
      <c r="H21" s="49"/>
      <c r="I21" s="49"/>
    </row>
    <row r="22" spans="2:9" x14ac:dyDescent="0.2">
      <c r="B22" s="49" t="s">
        <v>92</v>
      </c>
      <c r="C22" s="49"/>
      <c r="D22" s="49"/>
      <c r="E22" s="49"/>
      <c r="F22" s="49"/>
      <c r="G22" s="49"/>
      <c r="H22" s="49"/>
      <c r="I22" s="49"/>
    </row>
    <row r="23" spans="2:9" x14ac:dyDescent="0.2">
      <c r="B23" s="49" t="s">
        <v>93</v>
      </c>
      <c r="C23" s="49"/>
      <c r="D23" s="49"/>
      <c r="E23" s="49"/>
      <c r="F23" s="49"/>
      <c r="G23" s="49"/>
      <c r="H23" s="49"/>
      <c r="I23" s="49"/>
    </row>
    <row r="24" spans="2:9" x14ac:dyDescent="0.2">
      <c r="B24" s="49" t="s">
        <v>94</v>
      </c>
      <c r="C24" s="49"/>
      <c r="D24" s="49"/>
      <c r="E24" s="49"/>
      <c r="F24" s="49"/>
      <c r="G24" s="49"/>
      <c r="H24" s="49"/>
      <c r="I24" s="49"/>
    </row>
    <row r="25" spans="2:9" x14ac:dyDescent="0.2">
      <c r="B25" s="1"/>
      <c r="C25" s="1"/>
      <c r="D25" s="7"/>
      <c r="E25" s="7"/>
      <c r="F25" s="7"/>
      <c r="G25" s="7"/>
      <c r="H25" s="7"/>
      <c r="I25" s="7"/>
    </row>
    <row r="26" spans="2:9" x14ac:dyDescent="0.2">
      <c r="B26" s="18" t="s">
        <v>2</v>
      </c>
      <c r="C26" s="19"/>
      <c r="D26" s="19"/>
      <c r="E26" s="19"/>
      <c r="F26" s="19"/>
      <c r="G26" s="19"/>
      <c r="H26" s="19"/>
      <c r="I26" s="19"/>
    </row>
    <row r="27" spans="2:9" x14ac:dyDescent="0.2">
      <c r="B27" s="9" t="s">
        <v>11</v>
      </c>
      <c r="C27" s="10"/>
      <c r="D27" s="10"/>
      <c r="E27" s="10"/>
      <c r="F27" s="10"/>
      <c r="G27" s="10"/>
      <c r="H27" s="10"/>
      <c r="I27" s="10"/>
    </row>
    <row r="28" spans="2:9" x14ac:dyDescent="0.2">
      <c r="B28" s="237" t="s">
        <v>99</v>
      </c>
      <c r="C28" s="237"/>
      <c r="D28" s="237"/>
      <c r="E28" s="237"/>
      <c r="F28" s="237"/>
      <c r="G28" s="237"/>
      <c r="H28" s="237"/>
      <c r="I28" s="237"/>
    </row>
    <row r="29" spans="2:9" x14ac:dyDescent="0.2">
      <c r="B29" s="238"/>
      <c r="C29" s="238"/>
      <c r="D29" s="238"/>
      <c r="E29" s="238"/>
      <c r="F29" s="238"/>
      <c r="G29" s="238"/>
      <c r="H29" s="238"/>
      <c r="I29" s="238"/>
    </row>
    <row r="30" spans="2:9" x14ac:dyDescent="0.2">
      <c r="B30" s="11"/>
      <c r="C30" s="12"/>
      <c r="D30" s="12"/>
      <c r="E30" s="12"/>
      <c r="F30" s="12"/>
      <c r="G30" s="12"/>
      <c r="H30" s="12"/>
      <c r="I30" s="12"/>
    </row>
  </sheetData>
  <mergeCells count="1">
    <mergeCell ref="B28:I2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1"/>
  <sheetViews>
    <sheetView showGridLines="0" workbookViewId="0">
      <selection activeCell="F34" sqref="F34"/>
    </sheetView>
  </sheetViews>
  <sheetFormatPr defaultColWidth="9.140625" defaultRowHeight="12.75" x14ac:dyDescent="0.2"/>
  <cols>
    <col min="1" max="1" width="2.85546875" style="1" customWidth="1"/>
    <col min="2" max="2" width="53.7109375" style="1" customWidth="1"/>
    <col min="3" max="3" width="15.7109375" style="1" customWidth="1"/>
    <col min="4" max="14" width="9.140625" style="1"/>
    <col min="15" max="15" width="9.7109375" style="1" customWidth="1"/>
    <col min="16" max="16384" width="9.140625" style="1"/>
  </cols>
  <sheetData>
    <row r="2" spans="1:17" x14ac:dyDescent="0.2">
      <c r="B2" s="151" t="s">
        <v>63</v>
      </c>
      <c r="C2" s="152"/>
      <c r="D2" s="152"/>
      <c r="E2" s="152"/>
      <c r="F2" s="152"/>
      <c r="G2" s="152"/>
      <c r="H2" s="152"/>
      <c r="I2" s="235" t="s">
        <v>107</v>
      </c>
      <c r="J2" s="235"/>
      <c r="K2" s="235"/>
      <c r="L2" s="235"/>
      <c r="M2" s="235"/>
      <c r="N2" s="235"/>
      <c r="O2" s="235"/>
      <c r="P2" s="235"/>
      <c r="Q2" s="235"/>
    </row>
    <row r="3" spans="1:17" ht="15.75" x14ac:dyDescent="0.25">
      <c r="B3" s="37" t="s">
        <v>72</v>
      </c>
      <c r="C3" s="40"/>
      <c r="D3" s="40"/>
      <c r="E3" s="40"/>
      <c r="F3" s="40"/>
      <c r="G3" s="97"/>
      <c r="H3" s="97"/>
      <c r="I3" s="236" t="s">
        <v>108</v>
      </c>
      <c r="J3" s="236"/>
      <c r="K3" s="236"/>
      <c r="L3" s="236"/>
      <c r="M3" s="236"/>
      <c r="N3" s="236"/>
      <c r="O3" s="236"/>
      <c r="P3" s="236"/>
      <c r="Q3" s="236"/>
    </row>
    <row r="4" spans="1:17" s="26" customFormat="1" ht="3" customHeight="1" x14ac:dyDescent="0.2">
      <c r="B4" s="28"/>
      <c r="C4" s="28"/>
      <c r="D4" s="28"/>
      <c r="E4" s="28"/>
      <c r="F4" s="28"/>
      <c r="G4" s="28"/>
      <c r="H4" s="28"/>
      <c r="I4" s="28"/>
      <c r="J4" s="28"/>
      <c r="K4" s="28"/>
      <c r="L4" s="28"/>
      <c r="M4" s="28"/>
      <c r="N4" s="28"/>
      <c r="O4" s="28"/>
      <c r="P4" s="28"/>
      <c r="Q4" s="28"/>
    </row>
    <row r="5" spans="1:17" ht="76.5" x14ac:dyDescent="0.2">
      <c r="A5" s="36"/>
      <c r="B5" s="29" t="s">
        <v>18</v>
      </c>
      <c r="C5" s="29" t="s">
        <v>64</v>
      </c>
      <c r="D5" s="153" t="s">
        <v>65</v>
      </c>
      <c r="E5" s="153" t="s">
        <v>66</v>
      </c>
      <c r="F5" s="153" t="s">
        <v>67</v>
      </c>
      <c r="G5" s="163" t="s">
        <v>109</v>
      </c>
      <c r="H5" s="163" t="s">
        <v>110</v>
      </c>
      <c r="I5" s="163" t="s">
        <v>111</v>
      </c>
      <c r="J5" s="153" t="s">
        <v>112</v>
      </c>
      <c r="K5" s="153" t="s">
        <v>113</v>
      </c>
      <c r="L5" s="153" t="s">
        <v>114</v>
      </c>
      <c r="M5" s="154" t="s">
        <v>68</v>
      </c>
      <c r="N5" s="163" t="s">
        <v>115</v>
      </c>
      <c r="O5" s="163" t="s">
        <v>116</v>
      </c>
      <c r="P5" s="163" t="s">
        <v>117</v>
      </c>
      <c r="Q5" s="154" t="s">
        <v>62</v>
      </c>
    </row>
    <row r="6" spans="1:17" x14ac:dyDescent="0.2">
      <c r="A6" s="36"/>
      <c r="B6" s="160" t="s">
        <v>70</v>
      </c>
      <c r="C6" s="161"/>
      <c r="D6" s="161"/>
      <c r="E6" s="161"/>
      <c r="F6" s="161"/>
      <c r="G6" s="161"/>
      <c r="H6" s="161"/>
      <c r="I6" s="161"/>
      <c r="J6" s="161"/>
      <c r="K6" s="161"/>
      <c r="L6" s="161"/>
      <c r="M6" s="161"/>
      <c r="N6" s="161"/>
      <c r="O6" s="161"/>
      <c r="P6" s="164"/>
      <c r="Q6" s="162"/>
    </row>
    <row r="7" spans="1:17" x14ac:dyDescent="0.2">
      <c r="B7" s="155" t="s">
        <v>74</v>
      </c>
      <c r="C7" s="156" t="s">
        <v>69</v>
      </c>
      <c r="D7" s="157">
        <v>0.9</v>
      </c>
      <c r="E7" s="157">
        <v>1</v>
      </c>
      <c r="F7" s="158">
        <f>E7*D7</f>
        <v>0.9</v>
      </c>
      <c r="G7" s="156">
        <v>0</v>
      </c>
      <c r="H7" s="165">
        <f>VLOOKUP(C:C,[1]Inputs!$B$20:$H$25,7,FALSE)*F7</f>
        <v>71.854511822698512</v>
      </c>
      <c r="I7" s="165">
        <f>VLOOKUP(C:C,[1]Inputs!$C$54:$G$59,5,FALSE)</f>
        <v>19.732436288346317</v>
      </c>
      <c r="J7" s="159"/>
      <c r="K7" s="156"/>
      <c r="L7" s="156"/>
      <c r="M7" s="165">
        <f>SUM(H7:K7)</f>
        <v>91.586948111044833</v>
      </c>
      <c r="N7" s="165">
        <f>[1]Inputs!$M$43*M7</f>
        <v>42.672796392540455</v>
      </c>
      <c r="O7" s="165">
        <f>[1]Inputs!$M$48*M7</f>
        <v>14.688493566499131</v>
      </c>
      <c r="P7" s="165">
        <f>[1]Inputs!$H$13*SUM(M7:O7)</f>
        <v>9.4462972584047549</v>
      </c>
      <c r="Q7" s="165">
        <f t="shared" ref="Q7" si="0">SUM(M7:P7)</f>
        <v>158.39453532848916</v>
      </c>
    </row>
    <row r="8" spans="1:17" x14ac:dyDescent="0.2">
      <c r="A8" s="36"/>
      <c r="B8" s="41"/>
      <c r="C8" s="39"/>
      <c r="D8" s="42"/>
      <c r="E8" s="42"/>
      <c r="F8" s="44"/>
      <c r="G8" s="44"/>
      <c r="H8" s="44"/>
      <c r="I8" s="44"/>
      <c r="J8" s="44"/>
      <c r="K8" s="44"/>
      <c r="L8" s="44"/>
      <c r="M8" s="44"/>
      <c r="N8" s="44"/>
      <c r="O8" s="30"/>
      <c r="P8" s="30"/>
      <c r="Q8" s="30"/>
    </row>
    <row r="9" spans="1:17" x14ac:dyDescent="0.2">
      <c r="A9" s="36"/>
      <c r="B9" s="232" t="s">
        <v>1</v>
      </c>
      <c r="C9" s="233"/>
      <c r="D9" s="233"/>
      <c r="E9" s="234"/>
      <c r="F9" s="43">
        <f>SUM(F7:F8)</f>
        <v>0.9</v>
      </c>
      <c r="G9" s="43">
        <f t="shared" ref="G9:Q9" si="1">SUM(G7:G8)</f>
        <v>0</v>
      </c>
      <c r="H9" s="43">
        <f t="shared" si="1"/>
        <v>71.854511822698512</v>
      </c>
      <c r="I9" s="43">
        <f t="shared" si="1"/>
        <v>19.732436288346317</v>
      </c>
      <c r="J9" s="43">
        <f t="shared" si="1"/>
        <v>0</v>
      </c>
      <c r="K9" s="43">
        <f t="shared" si="1"/>
        <v>0</v>
      </c>
      <c r="L9" s="43">
        <f t="shared" si="1"/>
        <v>0</v>
      </c>
      <c r="M9" s="43">
        <f t="shared" si="1"/>
        <v>91.586948111044833</v>
      </c>
      <c r="N9" s="43">
        <f t="shared" si="1"/>
        <v>42.672796392540455</v>
      </c>
      <c r="O9" s="43">
        <f t="shared" si="1"/>
        <v>14.688493566499131</v>
      </c>
      <c r="P9" s="43">
        <f t="shared" si="1"/>
        <v>9.4462972584047549</v>
      </c>
      <c r="Q9" s="43">
        <f t="shared" si="1"/>
        <v>158.39453532848916</v>
      </c>
    </row>
    <row r="10" spans="1:17" x14ac:dyDescent="0.2">
      <c r="A10" s="36"/>
    </row>
    <row r="15" spans="1:17" x14ac:dyDescent="0.2">
      <c r="A15" s="36"/>
    </row>
    <row r="28" spans="1:1" x14ac:dyDescent="0.2">
      <c r="A28" s="36"/>
    </row>
    <row r="41" spans="1:1" x14ac:dyDescent="0.2">
      <c r="A41" s="36"/>
    </row>
  </sheetData>
  <mergeCells count="3">
    <mergeCell ref="B9:E9"/>
    <mergeCell ref="I2:Q2"/>
    <mergeCell ref="I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A3C8D-6ADB-4AB2-B676-552D1EE4428E}">
  <dimension ref="A1:O29"/>
  <sheetViews>
    <sheetView workbookViewId="0">
      <selection activeCell="D9" sqref="D9"/>
    </sheetView>
  </sheetViews>
  <sheetFormatPr defaultColWidth="9.140625" defaultRowHeight="15" x14ac:dyDescent="0.25"/>
  <cols>
    <col min="1" max="1" width="4.42578125" style="176" customWidth="1"/>
    <col min="2" max="2" width="49.28515625" style="176" bestFit="1" customWidth="1"/>
    <col min="3" max="3" width="13.28515625" style="176" customWidth="1"/>
    <col min="4" max="8" width="12.7109375" style="176" bestFit="1" customWidth="1"/>
    <col min="9" max="9" width="9.140625" style="176"/>
    <col min="10" max="15" width="10" style="176" bestFit="1" customWidth="1"/>
    <col min="16" max="16384" width="9.140625" style="176"/>
  </cols>
  <sheetData>
    <row r="1" spans="1:15" x14ac:dyDescent="0.25">
      <c r="B1" s="176" t="s">
        <v>124</v>
      </c>
      <c r="D1" s="177">
        <f>[1]Inputs!H16</f>
        <v>1</v>
      </c>
      <c r="E1" s="177">
        <f>[1]Inputs!I16</f>
        <v>1</v>
      </c>
      <c r="F1" s="177">
        <f>[1]Inputs!J16</f>
        <v>1.0109999999999999</v>
      </c>
      <c r="G1" s="177">
        <f>[1]Inputs!K16</f>
        <v>1.0231319999999999</v>
      </c>
      <c r="H1" s="177">
        <f>[1]Inputs!L16</f>
        <v>1.0337725727999998</v>
      </c>
      <c r="K1" s="178">
        <f>D1</f>
        <v>1</v>
      </c>
      <c r="L1" s="178">
        <f t="shared" ref="L1:O5" si="0">E1</f>
        <v>1</v>
      </c>
      <c r="M1" s="178">
        <f t="shared" si="0"/>
        <v>1.0109999999999999</v>
      </c>
      <c r="N1" s="178">
        <f t="shared" si="0"/>
        <v>1.0231319999999999</v>
      </c>
      <c r="O1" s="178">
        <f t="shared" si="0"/>
        <v>1.0337725727999998</v>
      </c>
    </row>
    <row r="2" spans="1:15" x14ac:dyDescent="0.25">
      <c r="B2" s="176" t="s">
        <v>125</v>
      </c>
      <c r="D2" s="177">
        <f>[1]Inputs!H61</f>
        <v>0.04</v>
      </c>
      <c r="E2" s="177">
        <f>[1]Inputs!I61</f>
        <v>0.04</v>
      </c>
      <c r="F2" s="177">
        <f>[1]Inputs!J61</f>
        <v>0.04</v>
      </c>
      <c r="G2" s="177">
        <f>[1]Inputs!K61</f>
        <v>0.04</v>
      </c>
      <c r="H2" s="177">
        <f>[1]Inputs!L61</f>
        <v>0.04</v>
      </c>
      <c r="K2" s="178"/>
      <c r="L2" s="178"/>
      <c r="M2" s="178"/>
      <c r="N2" s="178"/>
      <c r="O2" s="178"/>
    </row>
    <row r="3" spans="1:15" x14ac:dyDescent="0.25">
      <c r="B3" s="176" t="s">
        <v>126</v>
      </c>
      <c r="D3" s="178">
        <f>[1]Inputs!$M$43</f>
        <v>0.46592661151676018</v>
      </c>
      <c r="E3" s="178">
        <f>[1]Inputs!$M$43</f>
        <v>0.46592661151676018</v>
      </c>
      <c r="F3" s="178">
        <f>[1]Inputs!$M$43</f>
        <v>0.46592661151676018</v>
      </c>
      <c r="G3" s="178">
        <f>[1]Inputs!$M$43</f>
        <v>0.46592661151676018</v>
      </c>
      <c r="H3" s="178">
        <f>[1]Inputs!$M$43</f>
        <v>0.46592661151676018</v>
      </c>
      <c r="K3" s="178">
        <f t="shared" ref="K3:K5" si="1">D3</f>
        <v>0.46592661151676018</v>
      </c>
      <c r="L3" s="178">
        <f t="shared" si="0"/>
        <v>0.46592661151676018</v>
      </c>
      <c r="M3" s="178">
        <f t="shared" si="0"/>
        <v>0.46592661151676018</v>
      </c>
      <c r="N3" s="178">
        <f t="shared" si="0"/>
        <v>0.46592661151676018</v>
      </c>
      <c r="O3" s="178">
        <f t="shared" si="0"/>
        <v>0.46592661151676018</v>
      </c>
    </row>
    <row r="4" spans="1:15" x14ac:dyDescent="0.25">
      <c r="B4" s="176" t="s">
        <v>127</v>
      </c>
      <c r="D4" s="178">
        <f>[1]Inputs!$M$48</f>
        <v>0.16037758511933414</v>
      </c>
      <c r="E4" s="178">
        <f>[1]Inputs!$M$48</f>
        <v>0.16037758511933414</v>
      </c>
      <c r="F4" s="178">
        <f>[1]Inputs!$M$48</f>
        <v>0.16037758511933414</v>
      </c>
      <c r="G4" s="178">
        <f>[1]Inputs!$M$48</f>
        <v>0.16037758511933414</v>
      </c>
      <c r="H4" s="178">
        <f>[1]Inputs!$M$48</f>
        <v>0.16037758511933414</v>
      </c>
      <c r="K4" s="178">
        <f t="shared" si="1"/>
        <v>0.16037758511933414</v>
      </c>
      <c r="L4" s="178">
        <f t="shared" si="0"/>
        <v>0.16037758511933414</v>
      </c>
      <c r="M4" s="178">
        <f t="shared" si="0"/>
        <v>0.16037758511933414</v>
      </c>
      <c r="N4" s="178">
        <f t="shared" si="0"/>
        <v>0.16037758511933414</v>
      </c>
      <c r="O4" s="178">
        <f t="shared" si="0"/>
        <v>0.16037758511933414</v>
      </c>
    </row>
    <row r="5" spans="1:15" x14ac:dyDescent="0.25">
      <c r="B5" s="176" t="s">
        <v>128</v>
      </c>
      <c r="D5" s="178">
        <f>[1]Inputs!$H$13</f>
        <v>6.3420000000000004E-2</v>
      </c>
      <c r="E5" s="178">
        <f>[1]Inputs!$H$13</f>
        <v>6.3420000000000004E-2</v>
      </c>
      <c r="F5" s="178">
        <f>[1]Inputs!$H$13</f>
        <v>6.3420000000000004E-2</v>
      </c>
      <c r="G5" s="178">
        <f>[1]Inputs!$H$13</f>
        <v>6.3420000000000004E-2</v>
      </c>
      <c r="H5" s="178">
        <f>[1]Inputs!$H$13</f>
        <v>6.3420000000000004E-2</v>
      </c>
      <c r="K5" s="178">
        <f t="shared" si="1"/>
        <v>6.3420000000000004E-2</v>
      </c>
      <c r="L5" s="178">
        <f t="shared" si="0"/>
        <v>6.3420000000000004E-2</v>
      </c>
      <c r="M5" s="178">
        <f t="shared" si="0"/>
        <v>6.3420000000000004E-2</v>
      </c>
      <c r="N5" s="178">
        <f t="shared" si="0"/>
        <v>6.3420000000000004E-2</v>
      </c>
      <c r="O5" s="178">
        <f t="shared" si="0"/>
        <v>6.3420000000000004E-2</v>
      </c>
    </row>
    <row r="6" spans="1:15" s="179" customFormat="1" ht="15.75" x14ac:dyDescent="0.25">
      <c r="D6" s="242" t="s">
        <v>129</v>
      </c>
      <c r="E6" s="242"/>
      <c r="F6" s="242"/>
      <c r="G6" s="242"/>
      <c r="H6" s="242"/>
      <c r="J6" s="243" t="s">
        <v>130</v>
      </c>
      <c r="K6" s="243"/>
      <c r="L6" s="243"/>
      <c r="M6" s="243"/>
      <c r="N6" s="243"/>
      <c r="O6" s="243"/>
    </row>
    <row r="7" spans="1:15" s="179" customFormat="1" ht="15.75" x14ac:dyDescent="0.25">
      <c r="D7" s="240" t="s">
        <v>131</v>
      </c>
      <c r="E7" s="241"/>
      <c r="F7" s="241"/>
      <c r="G7" s="241"/>
      <c r="H7" s="241"/>
      <c r="J7" s="240" t="s">
        <v>131</v>
      </c>
      <c r="K7" s="241"/>
      <c r="L7" s="241"/>
      <c r="M7" s="241"/>
      <c r="N7" s="241"/>
      <c r="O7" s="241"/>
    </row>
    <row r="8" spans="1:15" x14ac:dyDescent="0.25">
      <c r="B8" s="180" t="s">
        <v>145</v>
      </c>
      <c r="C8" s="181"/>
      <c r="D8" s="181" t="s">
        <v>132</v>
      </c>
      <c r="E8" s="181" t="s">
        <v>133</v>
      </c>
      <c r="F8" s="181" t="s">
        <v>134</v>
      </c>
      <c r="G8" s="181" t="s">
        <v>135</v>
      </c>
      <c r="H8" s="181" t="s">
        <v>136</v>
      </c>
    </row>
    <row r="9" spans="1:15" ht="15" customHeight="1" x14ac:dyDescent="0.25">
      <c r="A9" s="239"/>
      <c r="B9" s="182" t="s">
        <v>110</v>
      </c>
      <c r="C9" s="183"/>
      <c r="D9" s="184">
        <f>D20*D$28</f>
        <v>143709.02364539701</v>
      </c>
      <c r="E9" s="184">
        <f t="shared" ref="E9:H9" si="2">E20*E$28</f>
        <v>137960.66269958115</v>
      </c>
      <c r="F9" s="184">
        <f t="shared" si="2"/>
        <v>133899.10078970547</v>
      </c>
      <c r="G9" s="184">
        <f t="shared" si="2"/>
        <v>131516.596597606</v>
      </c>
      <c r="H9" s="184">
        <f t="shared" si="2"/>
        <v>130519.92041338257</v>
      </c>
    </row>
    <row r="10" spans="1:15" x14ac:dyDescent="0.25">
      <c r="A10" s="239"/>
      <c r="B10" s="182" t="s">
        <v>111</v>
      </c>
      <c r="C10" s="183"/>
      <c r="D10" s="184">
        <f t="shared" ref="D10:H16" si="3">D21*D$28</f>
        <v>39464.872576692636</v>
      </c>
      <c r="E10" s="184">
        <f t="shared" si="3"/>
        <v>37886.277673624929</v>
      </c>
      <c r="F10" s="184">
        <f t="shared" si="3"/>
        <v>36370.826566679934</v>
      </c>
      <c r="G10" s="184">
        <f t="shared" si="3"/>
        <v>34915.993504012731</v>
      </c>
      <c r="H10" s="184">
        <f t="shared" si="3"/>
        <v>33519.353763852225</v>
      </c>
    </row>
    <row r="11" spans="1:15" x14ac:dyDescent="0.25">
      <c r="A11" s="239"/>
      <c r="B11" s="182" t="s">
        <v>121</v>
      </c>
      <c r="C11" s="183"/>
      <c r="D11" s="184">
        <f t="shared" si="3"/>
        <v>0</v>
      </c>
      <c r="E11" s="184">
        <f t="shared" si="3"/>
        <v>0</v>
      </c>
      <c r="F11" s="184">
        <f t="shared" si="3"/>
        <v>0</v>
      </c>
      <c r="G11" s="184">
        <f t="shared" si="3"/>
        <v>0</v>
      </c>
      <c r="H11" s="184">
        <f t="shared" si="3"/>
        <v>0</v>
      </c>
    </row>
    <row r="12" spans="1:15" x14ac:dyDescent="0.25">
      <c r="A12" s="239"/>
      <c r="B12" s="185" t="s">
        <v>137</v>
      </c>
      <c r="C12" s="185"/>
      <c r="D12" s="188">
        <f t="shared" si="3"/>
        <v>183173.89622208968</v>
      </c>
      <c r="E12" s="188">
        <f t="shared" si="3"/>
        <v>175846.94037320607</v>
      </c>
      <c r="F12" s="188">
        <f t="shared" si="3"/>
        <v>170269.92735638539</v>
      </c>
      <c r="G12" s="188">
        <f t="shared" si="3"/>
        <v>166432.59010161873</v>
      </c>
      <c r="H12" s="188">
        <f t="shared" si="3"/>
        <v>164039.27417723479</v>
      </c>
    </row>
    <row r="13" spans="1:15" x14ac:dyDescent="0.25">
      <c r="A13" s="239"/>
      <c r="B13" s="183" t="s">
        <v>115</v>
      </c>
      <c r="C13" s="183"/>
      <c r="D13" s="184">
        <f t="shared" si="3"/>
        <v>85345.592785080909</v>
      </c>
      <c r="E13" s="184">
        <f t="shared" si="3"/>
        <v>81931.769073677671</v>
      </c>
      <c r="F13" s="184">
        <f t="shared" si="3"/>
        <v>79333.290296365565</v>
      </c>
      <c r="G13" s="184">
        <f t="shared" si="3"/>
        <v>77545.372752005103</v>
      </c>
      <c r="H13" s="184">
        <f t="shared" si="3"/>
        <v>76430.263173067797</v>
      </c>
    </row>
    <row r="14" spans="1:15" x14ac:dyDescent="0.25">
      <c r="A14" s="239"/>
      <c r="B14" s="183" t="s">
        <v>116</v>
      </c>
      <c r="C14" s="183"/>
      <c r="D14" s="184">
        <f t="shared" si="3"/>
        <v>29376.987132998263</v>
      </c>
      <c r="E14" s="184">
        <f t="shared" si="3"/>
        <v>28201.907647678334</v>
      </c>
      <c r="F14" s="184">
        <f t="shared" si="3"/>
        <v>27307.47976786154</v>
      </c>
      <c r="G14" s="184">
        <f t="shared" si="3"/>
        <v>26692.056885653608</v>
      </c>
      <c r="H14" s="184">
        <f t="shared" si="3"/>
        <v>26308.222657273265</v>
      </c>
    </row>
    <row r="15" spans="1:15" x14ac:dyDescent="0.25">
      <c r="A15" s="239"/>
      <c r="B15" s="183" t="s">
        <v>123</v>
      </c>
      <c r="C15" s="183"/>
      <c r="D15" s="184">
        <f t="shared" si="3"/>
        <v>18892.59451680951</v>
      </c>
      <c r="E15" s="184">
        <f t="shared" si="3"/>
        <v>18136.890736137131</v>
      </c>
      <c r="F15" s="184">
        <f t="shared" si="3"/>
        <v>17561.676430415246</v>
      </c>
      <c r="G15" s="184">
        <f t="shared" si="3"/>
        <v>17165.892651864975</v>
      </c>
      <c r="H15" s="184">
        <f t="shared" si="3"/>
        <v>16919.045539680465</v>
      </c>
    </row>
    <row r="16" spans="1:15" x14ac:dyDescent="0.25">
      <c r="A16" s="239"/>
      <c r="B16" s="186" t="s">
        <v>138</v>
      </c>
      <c r="C16" s="183"/>
      <c r="D16" s="188">
        <f t="shared" si="3"/>
        <v>316789.07065697829</v>
      </c>
      <c r="E16" s="188">
        <f t="shared" si="3"/>
        <v>304117.50783069921</v>
      </c>
      <c r="F16" s="188">
        <f t="shared" si="3"/>
        <v>294472.37385102769</v>
      </c>
      <c r="G16" s="188">
        <f t="shared" si="3"/>
        <v>287835.9123911424</v>
      </c>
      <c r="H16" s="188">
        <f t="shared" si="3"/>
        <v>283696.80554725631</v>
      </c>
    </row>
    <row r="17" spans="1:15" s="174" customFormat="1" x14ac:dyDescent="0.25">
      <c r="A17" s="239"/>
      <c r="B17" s="187" t="s">
        <v>139</v>
      </c>
      <c r="C17" s="185"/>
      <c r="D17" s="188">
        <f>D29-D16</f>
        <v>0</v>
      </c>
      <c r="E17" s="188">
        <f t="shared" ref="E17:H17" si="4">E29-E16</f>
        <v>0</v>
      </c>
      <c r="F17" s="188">
        <f t="shared" si="4"/>
        <v>0</v>
      </c>
      <c r="G17" s="188">
        <f t="shared" si="4"/>
        <v>0</v>
      </c>
      <c r="H17" s="188">
        <f t="shared" si="4"/>
        <v>0</v>
      </c>
    </row>
    <row r="18" spans="1:15" s="174" customFormat="1" x14ac:dyDescent="0.25">
      <c r="A18" s="189"/>
      <c r="C18" s="190"/>
    </row>
    <row r="19" spans="1:15" x14ac:dyDescent="0.25">
      <c r="B19" s="191" t="s">
        <v>146</v>
      </c>
      <c r="C19" s="192"/>
      <c r="D19" s="193"/>
      <c r="E19" s="194"/>
      <c r="F19" s="194"/>
      <c r="G19" s="194"/>
      <c r="H19" s="194"/>
      <c r="J19" s="192"/>
      <c r="K19" s="240"/>
      <c r="L19" s="241"/>
      <c r="M19" s="241"/>
      <c r="N19" s="241"/>
      <c r="O19" s="241"/>
    </row>
    <row r="20" spans="1:15" x14ac:dyDescent="0.25">
      <c r="B20" s="195" t="s">
        <v>110</v>
      </c>
      <c r="C20" s="196">
        <f>'Proposed Fee'!H9</f>
        <v>71.854511822698512</v>
      </c>
      <c r="D20" s="197">
        <f>C20*D$1</f>
        <v>71.854511822698512</v>
      </c>
      <c r="E20" s="197">
        <f>D20*E1</f>
        <v>71.854511822698512</v>
      </c>
      <c r="F20" s="197">
        <f>E20*F1</f>
        <v>72.64491145274819</v>
      </c>
      <c r="G20" s="197">
        <f>F20*G1</f>
        <v>74.325333544473153</v>
      </c>
      <c r="H20" s="197">
        <f>G20*H1</f>
        <v>76.835491282488135</v>
      </c>
      <c r="J20" s="196"/>
      <c r="K20" s="197">
        <f>J20*K$1</f>
        <v>0</v>
      </c>
      <c r="L20" s="197">
        <f>K20*L1</f>
        <v>0</v>
      </c>
      <c r="M20" s="197">
        <f>L20*M1</f>
        <v>0</v>
      </c>
      <c r="N20" s="197">
        <f>M20*N1</f>
        <v>0</v>
      </c>
      <c r="O20" s="197">
        <f>N20*O1</f>
        <v>0</v>
      </c>
    </row>
    <row r="21" spans="1:15" x14ac:dyDescent="0.25">
      <c r="B21" s="195" t="s">
        <v>111</v>
      </c>
      <c r="C21" s="196">
        <f>'Proposed Fee'!I9</f>
        <v>19.732436288346317</v>
      </c>
      <c r="D21" s="197">
        <f>C21</f>
        <v>19.732436288346317</v>
      </c>
      <c r="E21" s="197">
        <f t="shared" ref="E21:H22" si="5">D21</f>
        <v>19.732436288346317</v>
      </c>
      <c r="F21" s="197">
        <f t="shared" si="5"/>
        <v>19.732436288346317</v>
      </c>
      <c r="G21" s="197">
        <f t="shared" si="5"/>
        <v>19.732436288346317</v>
      </c>
      <c r="H21" s="197">
        <f t="shared" si="5"/>
        <v>19.732436288346317</v>
      </c>
      <c r="J21" s="196"/>
      <c r="K21" s="197">
        <f>J21</f>
        <v>0</v>
      </c>
      <c r="L21" s="197">
        <f t="shared" ref="L21:O22" si="6">K21</f>
        <v>0</v>
      </c>
      <c r="M21" s="197">
        <f t="shared" si="6"/>
        <v>0</v>
      </c>
      <c r="N21" s="197">
        <f t="shared" si="6"/>
        <v>0</v>
      </c>
      <c r="O21" s="197">
        <f t="shared" si="6"/>
        <v>0</v>
      </c>
    </row>
    <row r="22" spans="1:15" x14ac:dyDescent="0.25">
      <c r="B22" s="195" t="s">
        <v>140</v>
      </c>
      <c r="C22" s="196">
        <f>'Proposed Fee'!J9</f>
        <v>0</v>
      </c>
      <c r="D22" s="197">
        <f>C22</f>
        <v>0</v>
      </c>
      <c r="E22" s="197">
        <f t="shared" si="5"/>
        <v>0</v>
      </c>
      <c r="F22" s="197">
        <f t="shared" si="5"/>
        <v>0</v>
      </c>
      <c r="G22" s="197">
        <f t="shared" si="5"/>
        <v>0</v>
      </c>
      <c r="H22" s="197">
        <f t="shared" si="5"/>
        <v>0</v>
      </c>
      <c r="J22" s="196"/>
      <c r="K22" s="197">
        <f>J22</f>
        <v>0</v>
      </c>
      <c r="L22" s="197">
        <f t="shared" si="6"/>
        <v>0</v>
      </c>
      <c r="M22" s="197">
        <f t="shared" si="6"/>
        <v>0</v>
      </c>
      <c r="N22" s="197">
        <f t="shared" si="6"/>
        <v>0</v>
      </c>
      <c r="O22" s="197">
        <f t="shared" si="6"/>
        <v>0</v>
      </c>
    </row>
    <row r="23" spans="1:15" s="174" customFormat="1" x14ac:dyDescent="0.25">
      <c r="B23" s="198" t="s">
        <v>137</v>
      </c>
      <c r="C23" s="247">
        <f>'Proposed Fee'!M9</f>
        <v>91.586948111044833</v>
      </c>
      <c r="D23" s="185">
        <f>SUM(D20:D22)</f>
        <v>91.586948111044833</v>
      </c>
      <c r="E23" s="185">
        <f t="shared" ref="E23:H23" si="7">SUM(E20:E22)</f>
        <v>91.586948111044833</v>
      </c>
      <c r="F23" s="185">
        <f t="shared" si="7"/>
        <v>92.377347741094511</v>
      </c>
      <c r="G23" s="185">
        <f t="shared" si="7"/>
        <v>94.057769832819474</v>
      </c>
      <c r="H23" s="185">
        <f t="shared" si="7"/>
        <v>96.567927570834456</v>
      </c>
      <c r="J23" s="199"/>
      <c r="K23" s="183">
        <f>SUM(K20:K22)</f>
        <v>0</v>
      </c>
      <c r="L23" s="183">
        <f t="shared" ref="L23:O23" si="8">SUM(L20:L22)</f>
        <v>0</v>
      </c>
      <c r="M23" s="183">
        <f t="shared" si="8"/>
        <v>0</v>
      </c>
      <c r="N23" s="183">
        <f t="shared" si="8"/>
        <v>0</v>
      </c>
      <c r="O23" s="183">
        <f t="shared" si="8"/>
        <v>0</v>
      </c>
    </row>
    <row r="24" spans="1:15" x14ac:dyDescent="0.25">
      <c r="B24" s="195" t="s">
        <v>115</v>
      </c>
      <c r="C24" s="196">
        <f>'Proposed Fee'!N9</f>
        <v>42.672796392540455</v>
      </c>
      <c r="D24" s="197">
        <f>D23*D$3</f>
        <v>42.672796392540455</v>
      </c>
      <c r="E24" s="197">
        <f t="shared" ref="E24:H24" si="9">E23*E$3</f>
        <v>42.672796392540455</v>
      </c>
      <c r="F24" s="197">
        <f t="shared" si="9"/>
        <v>43.041064613913605</v>
      </c>
      <c r="G24" s="197">
        <f t="shared" si="9"/>
        <v>43.824017985028924</v>
      </c>
      <c r="H24" s="197">
        <f t="shared" si="9"/>
        <v>44.993567274274824</v>
      </c>
      <c r="J24" s="196"/>
      <c r="K24" s="197">
        <f>K23*K$3</f>
        <v>0</v>
      </c>
      <c r="L24" s="197">
        <f t="shared" ref="L24:O24" si="10">L23*L$3</f>
        <v>0</v>
      </c>
      <c r="M24" s="197">
        <f t="shared" si="10"/>
        <v>0</v>
      </c>
      <c r="N24" s="197">
        <f t="shared" si="10"/>
        <v>0</v>
      </c>
      <c r="O24" s="197">
        <f t="shared" si="10"/>
        <v>0</v>
      </c>
    </row>
    <row r="25" spans="1:15" x14ac:dyDescent="0.25">
      <c r="B25" s="195" t="s">
        <v>116</v>
      </c>
      <c r="C25" s="196">
        <f>'Proposed Fee'!O9</f>
        <v>14.688493566499131</v>
      </c>
      <c r="D25" s="197">
        <f>D23*D$4</f>
        <v>14.688493566499131</v>
      </c>
      <c r="E25" s="197">
        <f t="shared" ref="E25:H25" si="11">E23*E$4</f>
        <v>14.688493566499131</v>
      </c>
      <c r="F25" s="197">
        <f t="shared" si="11"/>
        <v>14.815255950445714</v>
      </c>
      <c r="G25" s="197">
        <f t="shared" si="11"/>
        <v>15.084757987497744</v>
      </c>
      <c r="H25" s="197">
        <f t="shared" si="11"/>
        <v>15.487331023789197</v>
      </c>
      <c r="J25" s="196"/>
      <c r="K25" s="197">
        <f>K23*K$4</f>
        <v>0</v>
      </c>
      <c r="L25" s="197">
        <f t="shared" ref="L25:O25" si="12">L23*L$4</f>
        <v>0</v>
      </c>
      <c r="M25" s="197">
        <f t="shared" si="12"/>
        <v>0</v>
      </c>
      <c r="N25" s="197">
        <f t="shared" si="12"/>
        <v>0</v>
      </c>
      <c r="O25" s="197">
        <f t="shared" si="12"/>
        <v>0</v>
      </c>
    </row>
    <row r="26" spans="1:15" x14ac:dyDescent="0.25">
      <c r="B26" s="195" t="s">
        <v>117</v>
      </c>
      <c r="C26" s="196">
        <f>'Proposed Fee'!P9</f>
        <v>9.4462972584047549</v>
      </c>
      <c r="D26" s="197">
        <f>SUM(D23:D25)*D$5</f>
        <v>9.4462972584047549</v>
      </c>
      <c r="E26" s="197">
        <f t="shared" ref="E26:H26" si="13">SUM(E23:E25)*E$5</f>
        <v>9.4462972584047549</v>
      </c>
      <c r="F26" s="197">
        <f t="shared" si="13"/>
        <v>9.5278192439318818</v>
      </c>
      <c r="G26" s="197">
        <f t="shared" si="13"/>
        <v>9.7011383349750524</v>
      </c>
      <c r="H26" s="197">
        <f t="shared" si="13"/>
        <v>9.9600365366055428</v>
      </c>
      <c r="J26" s="196"/>
      <c r="K26" s="197">
        <f>SUM(K23:K25)*K$5</f>
        <v>0</v>
      </c>
      <c r="L26" s="197">
        <f t="shared" ref="L26:O26" si="14">SUM(L23:L25)*L$5</f>
        <v>0</v>
      </c>
      <c r="M26" s="197">
        <f t="shared" si="14"/>
        <v>0</v>
      </c>
      <c r="N26" s="197">
        <f t="shared" si="14"/>
        <v>0</v>
      </c>
      <c r="O26" s="197">
        <f t="shared" si="14"/>
        <v>0</v>
      </c>
    </row>
    <row r="27" spans="1:15" s="174" customFormat="1" x14ac:dyDescent="0.25">
      <c r="B27" s="200" t="s">
        <v>141</v>
      </c>
      <c r="C27" s="201">
        <f>'Proposed Fee'!Q9</f>
        <v>158.39453532848916</v>
      </c>
      <c r="D27" s="202">
        <f>SUM(D23:D26)</f>
        <v>158.39453532848916</v>
      </c>
      <c r="E27" s="202">
        <f t="shared" ref="E27:H27" si="15">SUM(E23:E26)</f>
        <v>158.39453532848916</v>
      </c>
      <c r="F27" s="202">
        <f t="shared" si="15"/>
        <v>159.76148754938569</v>
      </c>
      <c r="G27" s="202">
        <f t="shared" si="15"/>
        <v>162.66768414032117</v>
      </c>
      <c r="H27" s="202">
        <f t="shared" si="15"/>
        <v>167.00886240550403</v>
      </c>
      <c r="J27" s="201"/>
      <c r="K27" s="202">
        <f>SUM(K23:K26)</f>
        <v>0</v>
      </c>
      <c r="L27" s="202">
        <f t="shared" ref="L27:O27" si="16">SUM(L23:L26)</f>
        <v>0</v>
      </c>
      <c r="M27" s="202">
        <f t="shared" si="16"/>
        <v>0</v>
      </c>
      <c r="N27" s="202">
        <f t="shared" si="16"/>
        <v>0</v>
      </c>
      <c r="O27" s="202">
        <f t="shared" si="16"/>
        <v>0</v>
      </c>
    </row>
    <row r="28" spans="1:15" x14ac:dyDescent="0.25">
      <c r="B28" s="203" t="s">
        <v>142</v>
      </c>
      <c r="C28" s="197"/>
      <c r="D28" s="204">
        <f>'Forecast Revenue - Costs'!D11</f>
        <v>2000</v>
      </c>
      <c r="E28" s="204">
        <f>'Forecast Revenue - Costs'!E11</f>
        <v>1920</v>
      </c>
      <c r="F28" s="204">
        <f>'Forecast Revenue - Costs'!F11</f>
        <v>1843.2</v>
      </c>
      <c r="G28" s="204">
        <f>'Forecast Revenue - Costs'!G11</f>
        <v>1769.472</v>
      </c>
      <c r="H28" s="204">
        <f>'Forecast Revenue - Costs'!H11</f>
        <v>1698.6931199999999</v>
      </c>
      <c r="J28" s="197"/>
      <c r="K28" s="204"/>
      <c r="L28" s="204"/>
      <c r="M28" s="204"/>
      <c r="N28" s="204"/>
      <c r="O28" s="204"/>
    </row>
    <row r="29" spans="1:15" s="174" customFormat="1" x14ac:dyDescent="0.25">
      <c r="B29" s="186" t="s">
        <v>143</v>
      </c>
      <c r="C29" s="185"/>
      <c r="D29" s="188">
        <f>D27*D28</f>
        <v>316789.07065697829</v>
      </c>
      <c r="E29" s="188">
        <f t="shared" ref="E29:H29" si="17">E27*E28</f>
        <v>304117.50783069921</v>
      </c>
      <c r="F29" s="188">
        <f t="shared" si="17"/>
        <v>294472.37385102769</v>
      </c>
      <c r="G29" s="188">
        <f t="shared" si="17"/>
        <v>287835.9123911424</v>
      </c>
      <c r="H29" s="188">
        <f t="shared" si="17"/>
        <v>283696.80554725631</v>
      </c>
      <c r="J29" s="185"/>
      <c r="K29" s="188"/>
      <c r="L29" s="188"/>
      <c r="M29" s="188"/>
      <c r="N29" s="188"/>
      <c r="O29" s="188"/>
    </row>
  </sheetData>
  <mergeCells count="6">
    <mergeCell ref="A9:A17"/>
    <mergeCell ref="K19:O19"/>
    <mergeCell ref="D6:H6"/>
    <mergeCell ref="J6:O6"/>
    <mergeCell ref="D7:H7"/>
    <mergeCell ref="J7:O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B37" sqref="B37"/>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18" t="s">
        <v>48</v>
      </c>
      <c r="C2" s="19"/>
      <c r="D2" s="19"/>
      <c r="E2" s="19"/>
      <c r="F2" s="19"/>
      <c r="G2" s="19"/>
      <c r="H2" s="19"/>
      <c r="I2" s="19"/>
    </row>
    <row r="3" spans="2:9" x14ac:dyDescent="0.25">
      <c r="B3" s="1"/>
      <c r="C3" s="1"/>
      <c r="D3" s="1"/>
      <c r="E3" s="1"/>
      <c r="F3" s="1"/>
      <c r="G3" s="1"/>
      <c r="H3" s="1"/>
      <c r="I3" s="1"/>
    </row>
    <row r="4" spans="2:9" x14ac:dyDescent="0.25">
      <c r="B4" s="248" t="s">
        <v>76</v>
      </c>
      <c r="C4" s="248" t="s">
        <v>3</v>
      </c>
      <c r="D4" s="249" t="s">
        <v>56</v>
      </c>
      <c r="E4" s="249" t="s">
        <v>57</v>
      </c>
      <c r="F4" s="249" t="s">
        <v>58</v>
      </c>
      <c r="G4" s="249" t="s">
        <v>79</v>
      </c>
      <c r="H4" s="249" t="s">
        <v>59</v>
      </c>
      <c r="I4" s="250" t="s">
        <v>1</v>
      </c>
    </row>
    <row r="5" spans="2:9" x14ac:dyDescent="0.25">
      <c r="B5" s="45" t="s">
        <v>96</v>
      </c>
      <c r="C5" s="3" t="str">
        <f>'AER Summary'!$C$3</f>
        <v>Reconnections - Outside of Normal Business of Hours</v>
      </c>
      <c r="D5" s="21">
        <f>'Forecast by year'!D16</f>
        <v>316789.07065697829</v>
      </c>
      <c r="E5" s="21">
        <f>'Forecast by year'!E16</f>
        <v>304117.50783069921</v>
      </c>
      <c r="F5" s="21">
        <f>'Forecast by year'!F16</f>
        <v>294472.37385102769</v>
      </c>
      <c r="G5" s="21">
        <f>'Forecast by year'!G16</f>
        <v>287835.9123911424</v>
      </c>
      <c r="H5" s="21">
        <f>'Forecast by year'!H16</f>
        <v>283696.80554725631</v>
      </c>
      <c r="I5" s="166">
        <f>SUM(D5:H5)</f>
        <v>1486911.6702771038</v>
      </c>
    </row>
    <row r="6" spans="2:9" x14ac:dyDescent="0.25">
      <c r="B6" s="13" t="s">
        <v>1</v>
      </c>
      <c r="C6" s="13"/>
      <c r="D6" s="95">
        <f>SUM(D5:D5)</f>
        <v>316789.07065697829</v>
      </c>
      <c r="E6" s="95">
        <f>SUM(E5:E5)</f>
        <v>304117.50783069921</v>
      </c>
      <c r="F6" s="95">
        <f>SUM(F5:F5)</f>
        <v>294472.37385102769</v>
      </c>
      <c r="G6" s="95">
        <f>SUM(G5:G5)</f>
        <v>287835.9123911424</v>
      </c>
      <c r="H6" s="95">
        <f>SUM(H5:H5)</f>
        <v>283696.80554725631</v>
      </c>
      <c r="I6" s="95">
        <f>SUM(I5:I5)</f>
        <v>1486911.6702771038</v>
      </c>
    </row>
    <row r="7" spans="2:9" x14ac:dyDescent="0.25">
      <c r="B7" s="1"/>
      <c r="C7" s="1"/>
      <c r="D7" s="1"/>
      <c r="E7" s="1"/>
      <c r="F7" s="1"/>
      <c r="G7" s="1"/>
      <c r="H7" s="1"/>
      <c r="I7" s="1"/>
    </row>
    <row r="8" spans="2:9" x14ac:dyDescent="0.25">
      <c r="B8" s="18" t="s">
        <v>27</v>
      </c>
      <c r="C8" s="19"/>
      <c r="D8" s="19"/>
      <c r="E8" s="19"/>
      <c r="F8" s="19"/>
      <c r="G8" s="19"/>
      <c r="H8" s="19"/>
      <c r="I8" s="19"/>
    </row>
    <row r="9" spans="2:9" x14ac:dyDescent="0.25">
      <c r="B9" s="1"/>
      <c r="C9" s="1"/>
      <c r="D9" s="1"/>
      <c r="E9" s="1"/>
      <c r="F9" s="1"/>
      <c r="G9" s="1"/>
      <c r="H9" s="1"/>
      <c r="I9" s="1"/>
    </row>
    <row r="10" spans="2:9" x14ac:dyDescent="0.25">
      <c r="B10" s="248" t="s">
        <v>76</v>
      </c>
      <c r="C10" s="248" t="s">
        <v>3</v>
      </c>
      <c r="D10" s="249" t="s">
        <v>56</v>
      </c>
      <c r="E10" s="249" t="s">
        <v>57</v>
      </c>
      <c r="F10" s="249" t="s">
        <v>58</v>
      </c>
      <c r="G10" s="249" t="s">
        <v>79</v>
      </c>
      <c r="H10" s="249" t="s">
        <v>59</v>
      </c>
      <c r="I10" s="250" t="s">
        <v>1</v>
      </c>
    </row>
    <row r="11" spans="2:9" x14ac:dyDescent="0.25">
      <c r="B11" s="3" t="str">
        <f>B5</f>
        <v>ACSCW 30050 - Reconnection outside business hours</v>
      </c>
      <c r="C11" s="3" t="str">
        <f>'AER Summary'!$C$3</f>
        <v>Reconnections - Outside of Normal Business of Hours</v>
      </c>
      <c r="D11" s="47">
        <v>2000</v>
      </c>
      <c r="E11" s="47">
        <f>D11-D11*4%</f>
        <v>1920</v>
      </c>
      <c r="F11" s="47">
        <f t="shared" ref="F11:H11" si="0">E11-E11*4%</f>
        <v>1843.2</v>
      </c>
      <c r="G11" s="47">
        <f t="shared" si="0"/>
        <v>1769.472</v>
      </c>
      <c r="H11" s="47">
        <f t="shared" si="0"/>
        <v>1698.6931199999999</v>
      </c>
      <c r="I11" s="167">
        <f>SUM(D11:H11)</f>
        <v>9231.3651199999986</v>
      </c>
    </row>
    <row r="12" spans="2:9" x14ac:dyDescent="0.25">
      <c r="B12" s="13" t="s">
        <v>17</v>
      </c>
      <c r="C12" s="13"/>
      <c r="D12" s="94">
        <f>SUM(D11:D11)</f>
        <v>2000</v>
      </c>
      <c r="E12" s="94">
        <f>SUM(E11:E11)</f>
        <v>1920</v>
      </c>
      <c r="F12" s="94">
        <f>SUM(F11:F11)</f>
        <v>1843.2</v>
      </c>
      <c r="G12" s="94">
        <f>SUM(G11:G11)</f>
        <v>1769.472</v>
      </c>
      <c r="H12" s="94">
        <f>SUM(H11:H11)</f>
        <v>1698.6931199999999</v>
      </c>
      <c r="I12" s="94">
        <f>SUM(I11:I11)</f>
        <v>9231.3651199999986</v>
      </c>
    </row>
    <row r="13" spans="2:9" x14ac:dyDescent="0.25">
      <c r="B13" s="1"/>
      <c r="C13" s="1"/>
      <c r="D13" s="7"/>
      <c r="E13" s="7"/>
      <c r="F13" s="7"/>
      <c r="G13" s="7"/>
      <c r="H13" s="7"/>
      <c r="I13" s="7"/>
    </row>
    <row r="14" spans="2:9" x14ac:dyDescent="0.25">
      <c r="B14" s="8" t="s">
        <v>6</v>
      </c>
      <c r="C14" s="1"/>
      <c r="D14" s="7"/>
      <c r="E14" s="7"/>
      <c r="F14" s="7"/>
      <c r="G14" s="7"/>
      <c r="H14" s="7"/>
      <c r="I14" s="7"/>
    </row>
    <row r="15" spans="2:9" x14ac:dyDescent="0.25">
      <c r="B15" s="244" t="s">
        <v>101</v>
      </c>
      <c r="C15" s="245"/>
      <c r="D15" s="245"/>
      <c r="E15" s="245"/>
      <c r="F15" s="245"/>
      <c r="G15" s="245"/>
      <c r="H15" s="245"/>
      <c r="I15" s="245"/>
    </row>
    <row r="16" spans="2:9" x14ac:dyDescent="0.25">
      <c r="B16" s="246"/>
      <c r="C16" s="246"/>
      <c r="D16" s="246"/>
      <c r="E16" s="246"/>
      <c r="F16" s="246"/>
      <c r="G16" s="246"/>
      <c r="H16" s="246"/>
      <c r="I16" s="246"/>
    </row>
    <row r="17" spans="2:9" x14ac:dyDescent="0.25">
      <c r="B17" s="1"/>
      <c r="C17" s="1"/>
      <c r="D17" s="7"/>
      <c r="E17" s="7"/>
      <c r="F17" s="7"/>
      <c r="G17" s="7"/>
      <c r="H17" s="7"/>
      <c r="I17" s="7"/>
    </row>
    <row r="18" spans="2:9" x14ac:dyDescent="0.25">
      <c r="B18" s="18" t="s">
        <v>28</v>
      </c>
      <c r="C18" s="19"/>
      <c r="D18" s="19"/>
      <c r="E18" s="19"/>
      <c r="F18" s="19"/>
      <c r="G18" s="19"/>
      <c r="H18" s="19"/>
      <c r="I18" s="19"/>
    </row>
    <row r="19" spans="2:9" x14ac:dyDescent="0.25">
      <c r="B19" s="1"/>
      <c r="C19" s="1"/>
      <c r="D19" s="1"/>
      <c r="E19" s="1"/>
      <c r="F19" s="1"/>
      <c r="G19" s="1"/>
      <c r="H19" s="1"/>
      <c r="I19" s="1"/>
    </row>
    <row r="20" spans="2:9" x14ac:dyDescent="0.25">
      <c r="B20" s="9" t="s">
        <v>26</v>
      </c>
      <c r="C20" s="10"/>
      <c r="D20" s="10"/>
      <c r="E20" s="10"/>
      <c r="F20" s="10"/>
      <c r="G20" s="10"/>
      <c r="H20" s="10"/>
      <c r="I20" s="10"/>
    </row>
    <row r="21" spans="2:9" x14ac:dyDescent="0.25">
      <c r="B21" s="251" t="s">
        <v>147</v>
      </c>
      <c r="C21" s="237"/>
      <c r="D21" s="237"/>
      <c r="E21" s="237"/>
      <c r="F21" s="237"/>
      <c r="G21" s="237"/>
      <c r="H21" s="237"/>
      <c r="I21" s="237"/>
    </row>
    <row r="22" spans="2:9" x14ac:dyDescent="0.25">
      <c r="B22" s="238"/>
      <c r="C22" s="238"/>
      <c r="D22" s="238"/>
      <c r="E22" s="238"/>
      <c r="F22" s="238"/>
      <c r="G22" s="238"/>
      <c r="H22" s="238"/>
      <c r="I22" s="238"/>
    </row>
    <row r="23" spans="2:9" x14ac:dyDescent="0.25">
      <c r="B23" s="11"/>
      <c r="C23" s="12"/>
      <c r="D23" s="12"/>
      <c r="E23" s="12"/>
      <c r="F23" s="12"/>
      <c r="G23" s="12"/>
      <c r="H23" s="12"/>
      <c r="I23" s="12"/>
    </row>
    <row r="24" spans="2:9" x14ac:dyDescent="0.25">
      <c r="B24" s="1"/>
      <c r="C24" s="1"/>
      <c r="D24" s="1"/>
      <c r="E24" s="1"/>
      <c r="F24" s="1"/>
      <c r="G24" s="1"/>
      <c r="H24" s="1"/>
      <c r="I24" s="1"/>
    </row>
    <row r="25" spans="2:9" x14ac:dyDescent="0.25">
      <c r="B25" s="23" t="s">
        <v>46</v>
      </c>
      <c r="C25" s="24"/>
      <c r="D25" s="24"/>
      <c r="E25" s="24"/>
      <c r="F25" s="24"/>
      <c r="G25" s="24"/>
      <c r="H25" s="24"/>
      <c r="I25" s="24"/>
    </row>
    <row r="26" spans="2:9" x14ac:dyDescent="0.25">
      <c r="B26" s="2" t="s">
        <v>20</v>
      </c>
      <c r="C26" s="13" t="s">
        <v>3</v>
      </c>
      <c r="D26" s="38" t="s">
        <v>56</v>
      </c>
      <c r="E26" s="38" t="s">
        <v>57</v>
      </c>
      <c r="F26" s="38" t="s">
        <v>58</v>
      </c>
      <c r="G26" s="38" t="s">
        <v>79</v>
      </c>
      <c r="H26" s="38" t="s">
        <v>59</v>
      </c>
      <c r="I26" s="14" t="s">
        <v>1</v>
      </c>
    </row>
    <row r="27" spans="2:9" x14ac:dyDescent="0.25">
      <c r="B27" s="170" t="s">
        <v>118</v>
      </c>
      <c r="C27" s="3" t="s">
        <v>119</v>
      </c>
      <c r="D27" s="46">
        <f>'Forecast by year'!D9</f>
        <v>143709.02364539701</v>
      </c>
      <c r="E27" s="46">
        <f>'Forecast by year'!E9</f>
        <v>137960.66269958115</v>
      </c>
      <c r="F27" s="46">
        <f>'Forecast by year'!F9</f>
        <v>133899.10078970547</v>
      </c>
      <c r="G27" s="46">
        <f>'Forecast by year'!G9</f>
        <v>131516.596597606</v>
      </c>
      <c r="H27" s="46">
        <f>'Forecast by year'!H9</f>
        <v>130519.92041338257</v>
      </c>
      <c r="I27" s="169">
        <f>SUM(D27:H27)</f>
        <v>677605.30414567224</v>
      </c>
    </row>
    <row r="28" spans="2:9" x14ac:dyDescent="0.25">
      <c r="B28" s="170" t="s">
        <v>120</v>
      </c>
      <c r="C28" s="5"/>
      <c r="D28" s="46">
        <f>'Forecast by year'!D10</f>
        <v>39464.872576692636</v>
      </c>
      <c r="E28" s="46">
        <f>'Forecast by year'!E10</f>
        <v>37886.277673624929</v>
      </c>
      <c r="F28" s="46">
        <f>'Forecast by year'!F10</f>
        <v>36370.826566679934</v>
      </c>
      <c r="G28" s="46">
        <f>'Forecast by year'!G10</f>
        <v>34915.993504012731</v>
      </c>
      <c r="H28" s="46">
        <f>'Forecast by year'!H10</f>
        <v>33519.353763852225</v>
      </c>
      <c r="I28" s="169">
        <f t="shared" ref="I28:I33" si="1">SUM(D28:H28)</f>
        <v>182157.32408486243</v>
      </c>
    </row>
    <row r="29" spans="2:9" x14ac:dyDescent="0.25">
      <c r="B29" s="170" t="s">
        <v>121</v>
      </c>
      <c r="C29" s="3"/>
      <c r="D29" s="46">
        <f>'Forecast by year'!D11</f>
        <v>0</v>
      </c>
      <c r="E29" s="46">
        <f>'Forecast by year'!E11</f>
        <v>0</v>
      </c>
      <c r="F29" s="46">
        <f>'Forecast by year'!F11</f>
        <v>0</v>
      </c>
      <c r="G29" s="46">
        <f>'Forecast by year'!G11</f>
        <v>0</v>
      </c>
      <c r="H29" s="46">
        <f>'Forecast by year'!H11</f>
        <v>0</v>
      </c>
      <c r="I29" s="169">
        <f t="shared" si="1"/>
        <v>0</v>
      </c>
    </row>
    <row r="30" spans="2:9" s="174" customFormat="1" x14ac:dyDescent="0.25">
      <c r="B30" s="171" t="s">
        <v>122</v>
      </c>
      <c r="C30" s="172"/>
      <c r="D30" s="173">
        <f>'Forecast by year'!D12</f>
        <v>183173.89622208968</v>
      </c>
      <c r="E30" s="173">
        <f>'Forecast by year'!E12</f>
        <v>175846.94037320607</v>
      </c>
      <c r="F30" s="173">
        <f>'Forecast by year'!F12</f>
        <v>170269.92735638539</v>
      </c>
      <c r="G30" s="173">
        <f>'Forecast by year'!G12</f>
        <v>166432.59010161873</v>
      </c>
      <c r="H30" s="173">
        <f>'Forecast by year'!H12</f>
        <v>164039.27417723479</v>
      </c>
      <c r="I30" s="169">
        <f t="shared" si="1"/>
        <v>859762.62823053473</v>
      </c>
    </row>
    <row r="31" spans="2:9" x14ac:dyDescent="0.25">
      <c r="B31" s="4" t="s">
        <v>115</v>
      </c>
      <c r="C31" s="3"/>
      <c r="D31" s="46">
        <f>'Forecast by year'!D13</f>
        <v>85345.592785080909</v>
      </c>
      <c r="E31" s="46">
        <f>'Forecast by year'!E13</f>
        <v>81931.769073677671</v>
      </c>
      <c r="F31" s="46">
        <f>'Forecast by year'!F13</f>
        <v>79333.290296365565</v>
      </c>
      <c r="G31" s="46">
        <f>'Forecast by year'!G13</f>
        <v>77545.372752005103</v>
      </c>
      <c r="H31" s="46">
        <f>'Forecast by year'!H13</f>
        <v>76430.263173067797</v>
      </c>
      <c r="I31" s="169">
        <f t="shared" si="1"/>
        <v>400586.28808019706</v>
      </c>
    </row>
    <row r="32" spans="2:9" x14ac:dyDescent="0.25">
      <c r="B32" s="4" t="s">
        <v>116</v>
      </c>
      <c r="C32" s="3"/>
      <c r="D32" s="46">
        <f>'Forecast by year'!D14</f>
        <v>29376.987132998263</v>
      </c>
      <c r="E32" s="46">
        <f>'Forecast by year'!E14</f>
        <v>28201.907647678334</v>
      </c>
      <c r="F32" s="46">
        <f>'Forecast by year'!F14</f>
        <v>27307.47976786154</v>
      </c>
      <c r="G32" s="46">
        <f>'Forecast by year'!G14</f>
        <v>26692.056885653608</v>
      </c>
      <c r="H32" s="46">
        <f>'Forecast by year'!H14</f>
        <v>26308.222657273265</v>
      </c>
      <c r="I32" s="169">
        <f t="shared" si="1"/>
        <v>137886.65409146502</v>
      </c>
    </row>
    <row r="33" spans="2:9" x14ac:dyDescent="0.25">
      <c r="B33" s="4" t="s">
        <v>123</v>
      </c>
      <c r="C33" s="175"/>
      <c r="D33" s="46">
        <f>'Forecast by year'!D15</f>
        <v>18892.59451680951</v>
      </c>
      <c r="E33" s="46">
        <f>'Forecast by year'!E15</f>
        <v>18136.890736137131</v>
      </c>
      <c r="F33" s="46">
        <f>'Forecast by year'!F15</f>
        <v>17561.676430415246</v>
      </c>
      <c r="G33" s="46">
        <f>'Forecast by year'!G15</f>
        <v>17165.892651864975</v>
      </c>
      <c r="H33" s="46">
        <f>'Forecast by year'!H15</f>
        <v>16919.045539680465</v>
      </c>
      <c r="I33" s="169">
        <f t="shared" si="1"/>
        <v>88676.099874907319</v>
      </c>
    </row>
    <row r="34" spans="2:9" x14ac:dyDescent="0.25">
      <c r="B34" s="15" t="s">
        <v>1</v>
      </c>
      <c r="C34" s="16"/>
      <c r="D34" s="17">
        <f>SUM(D30:D33)</f>
        <v>316789.07065697835</v>
      </c>
      <c r="E34" s="17">
        <f t="shared" ref="E34:I34" si="2">SUM(E30:E33)</f>
        <v>304117.50783069921</v>
      </c>
      <c r="F34" s="17">
        <f t="shared" si="2"/>
        <v>294472.37385102775</v>
      </c>
      <c r="G34" s="17">
        <f t="shared" si="2"/>
        <v>287835.9123911424</v>
      </c>
      <c r="H34" s="17">
        <f t="shared" si="2"/>
        <v>283696.80554725631</v>
      </c>
      <c r="I34" s="17">
        <f t="shared" si="2"/>
        <v>1486911.6702771042</v>
      </c>
    </row>
  </sheetData>
  <mergeCells count="2">
    <mergeCell ref="B15:I16"/>
    <mergeCell ref="B21:I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2018-04-18T01:56:46Z</dcterms:modified>
</cp:coreProperties>
</file>