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4_Access Permits, Oversight &amp; Facilitation\"/>
    </mc:Choice>
  </mc:AlternateContent>
  <xr:revisionPtr revIDLastSave="0" documentId="13_ncr:1_{DC8C1B9D-4EDD-4DEE-AD5A-8CC2CEA534E5}" xr6:coauthVersionLast="28" xr6:coauthVersionMax="28" xr10:uidLastSave="{00000000-0000-0000-0000-000000000000}"/>
  <bookViews>
    <workbookView xWindow="120" yWindow="15" windowWidth="19440" windowHeight="12120" tabRatio="570" activeTab="4"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E27" i="17" l="1"/>
  <c r="F27" i="17"/>
  <c r="G27" i="17"/>
  <c r="H27" i="17"/>
  <c r="D27" i="17"/>
  <c r="H5" i="17" l="1"/>
  <c r="G5" i="17"/>
  <c r="F5" i="17"/>
  <c r="E5" i="17"/>
  <c r="D5" i="17"/>
  <c r="H2" i="17"/>
  <c r="G2" i="17"/>
  <c r="F2" i="17"/>
  <c r="E2" i="17"/>
  <c r="D2" i="17"/>
  <c r="H1" i="17"/>
  <c r="G1" i="17"/>
  <c r="F1" i="17"/>
  <c r="E1" i="17"/>
  <c r="D1" i="17"/>
  <c r="I38" i="11"/>
  <c r="H38" i="11"/>
  <c r="I37" i="11"/>
  <c r="H37" i="11"/>
  <c r="I36" i="11"/>
  <c r="H36" i="11"/>
  <c r="I35" i="11"/>
  <c r="H35" i="11"/>
  <c r="I34" i="11"/>
  <c r="H34" i="11"/>
  <c r="I33" i="11"/>
  <c r="H33" i="11"/>
  <c r="I32" i="11"/>
  <c r="H32" i="11"/>
  <c r="I31" i="11"/>
  <c r="H31" i="11"/>
  <c r="I30" i="11"/>
  <c r="H30" i="11"/>
  <c r="I29" i="11"/>
  <c r="H29" i="11"/>
  <c r="I28" i="11"/>
  <c r="H28" i="11"/>
  <c r="I27" i="11"/>
  <c r="H27" i="11"/>
  <c r="Z13" i="11"/>
  <c r="Y13" i="11"/>
  <c r="Z12" i="11"/>
  <c r="Y12" i="11"/>
  <c r="Z11" i="11"/>
  <c r="Y11" i="11"/>
  <c r="Z10" i="11"/>
  <c r="Y10" i="11"/>
  <c r="Z9" i="11"/>
  <c r="Y9" i="11"/>
  <c r="Z8" i="11"/>
  <c r="Y8" i="11"/>
  <c r="Z7" i="11"/>
  <c r="Y7" i="11"/>
  <c r="I18" i="11"/>
  <c r="H18" i="11"/>
  <c r="I17" i="11"/>
  <c r="H17" i="11"/>
  <c r="I16" i="11"/>
  <c r="H16" i="11"/>
  <c r="I15" i="11"/>
  <c r="H15" i="11"/>
  <c r="I14" i="11"/>
  <c r="H14" i="11"/>
  <c r="I13" i="11"/>
  <c r="H13" i="11"/>
  <c r="I12" i="11"/>
  <c r="H12" i="11"/>
  <c r="I11" i="11"/>
  <c r="H11" i="11"/>
  <c r="I10" i="11"/>
  <c r="H10" i="11"/>
  <c r="I9" i="11"/>
  <c r="H9" i="11"/>
  <c r="I8" i="11"/>
  <c r="H8" i="11"/>
  <c r="I7" i="11"/>
  <c r="H7" i="11"/>
  <c r="X14" i="11" l="1"/>
  <c r="AA14" i="11"/>
  <c r="C33" i="17" s="1"/>
  <c r="D33" i="17" s="1"/>
  <c r="E33" i="17" s="1"/>
  <c r="F33" i="17" s="1"/>
  <c r="G33" i="17" s="1"/>
  <c r="H33" i="17" s="1"/>
  <c r="AB14" i="11"/>
  <c r="AC14" i="11"/>
  <c r="G40" i="11"/>
  <c r="J40" i="11"/>
  <c r="J21" i="17" s="1"/>
  <c r="K21" i="17" s="1"/>
  <c r="L21" i="17" s="1"/>
  <c r="K40" i="11"/>
  <c r="L40" i="11"/>
  <c r="G20" i="11"/>
  <c r="J20" i="11"/>
  <c r="C21" i="17" s="1"/>
  <c r="D21" i="17" s="1"/>
  <c r="E21" i="17" s="1"/>
  <c r="K20" i="11"/>
  <c r="L20" i="11"/>
  <c r="E39" i="17"/>
  <c r="F39" i="17"/>
  <c r="G39" i="17"/>
  <c r="H39" i="17"/>
  <c r="D39" i="17"/>
  <c r="D8" i="17" s="1"/>
  <c r="K33" i="17"/>
  <c r="L33" i="17" s="1"/>
  <c r="M33" i="17" s="1"/>
  <c r="N33" i="17" s="1"/>
  <c r="O33" i="17" s="1"/>
  <c r="K32" i="17"/>
  <c r="L32" i="17" s="1"/>
  <c r="M32" i="17" s="1"/>
  <c r="N32" i="17" s="1"/>
  <c r="O32" i="17" s="1"/>
  <c r="L5" i="17"/>
  <c r="O1" i="17"/>
  <c r="N1" i="17"/>
  <c r="M1" i="17"/>
  <c r="L1" i="17"/>
  <c r="K1" i="17"/>
  <c r="K31" i="17" s="1"/>
  <c r="M8" i="11"/>
  <c r="M10" i="11"/>
  <c r="M13" i="11"/>
  <c r="M15" i="11"/>
  <c r="M17" i="11"/>
  <c r="M18" i="11"/>
  <c r="M16" i="11" l="1"/>
  <c r="M9" i="11"/>
  <c r="M14" i="11"/>
  <c r="M11" i="11"/>
  <c r="E10" i="17"/>
  <c r="M21" i="17"/>
  <c r="N21" i="17" s="1"/>
  <c r="L10" i="17"/>
  <c r="D10" i="17"/>
  <c r="D28" i="16" s="1"/>
  <c r="K10" i="17"/>
  <c r="L31" i="17"/>
  <c r="K34" i="17"/>
  <c r="M5" i="17"/>
  <c r="F21" i="17"/>
  <c r="F10" i="17" s="1"/>
  <c r="K5" i="17"/>
  <c r="O5" i="17"/>
  <c r="N5" i="17"/>
  <c r="W7" i="11"/>
  <c r="W8" i="11"/>
  <c r="W9" i="11"/>
  <c r="W10" i="11"/>
  <c r="W11" i="11"/>
  <c r="W12" i="11"/>
  <c r="W13" i="11"/>
  <c r="E28" i="16" l="1"/>
  <c r="Y14" i="11"/>
  <c r="C31" i="17" s="1"/>
  <c r="D31" i="17" s="1"/>
  <c r="Z14" i="11"/>
  <c r="C32" i="17" s="1"/>
  <c r="D32" i="17" s="1"/>
  <c r="E32" i="17" s="1"/>
  <c r="F32" i="17" s="1"/>
  <c r="G32" i="17" s="1"/>
  <c r="H32" i="17" s="1"/>
  <c r="AD13" i="11"/>
  <c r="AD11" i="11"/>
  <c r="AD9" i="11"/>
  <c r="O21" i="17"/>
  <c r="O10" i="17" s="1"/>
  <c r="N10" i="17"/>
  <c r="M10" i="17"/>
  <c r="F28" i="16" s="1"/>
  <c r="G21" i="17"/>
  <c r="G10" i="17" s="1"/>
  <c r="L34" i="17"/>
  <c r="M31" i="17"/>
  <c r="AD8" i="11"/>
  <c r="AD12" i="11"/>
  <c r="AD7" i="11"/>
  <c r="AD10" i="11"/>
  <c r="W14" i="11"/>
  <c r="H17" i="13"/>
  <c r="G17" i="13"/>
  <c r="G15" i="15"/>
  <c r="H15" i="15"/>
  <c r="G28" i="16" l="1"/>
  <c r="E31" i="17"/>
  <c r="D34" i="17"/>
  <c r="AD14" i="11"/>
  <c r="C34" i="17" s="1"/>
  <c r="N31" i="17"/>
  <c r="M34" i="17"/>
  <c r="H21" i="17"/>
  <c r="H10" i="17" s="1"/>
  <c r="H28" i="16" s="1"/>
  <c r="I13" i="15"/>
  <c r="H5" i="15"/>
  <c r="I5" i="15" s="1"/>
  <c r="H6" i="15"/>
  <c r="I6" i="15" s="1"/>
  <c r="H7" i="15"/>
  <c r="I7" i="15" s="1"/>
  <c r="H8" i="15"/>
  <c r="I8" i="15" s="1"/>
  <c r="H4" i="15"/>
  <c r="I4" i="15" s="1"/>
  <c r="I14" i="13"/>
  <c r="H6" i="13"/>
  <c r="H10" i="13" s="1"/>
  <c r="I6" i="13"/>
  <c r="G10" i="13"/>
  <c r="G9" i="15"/>
  <c r="I28" i="16" l="1"/>
  <c r="E34" i="17"/>
  <c r="F31" i="17"/>
  <c r="O31" i="17"/>
  <c r="O34" i="17" s="1"/>
  <c r="N34" i="17"/>
  <c r="H9" i="15"/>
  <c r="F34" i="17" l="1"/>
  <c r="G31" i="17"/>
  <c r="H31" i="17" l="1"/>
  <c r="H34" i="17" s="1"/>
  <c r="G34" i="17"/>
  <c r="C10" i="16"/>
  <c r="E10" i="13" l="1"/>
  <c r="F10" i="13"/>
  <c r="F38" i="11" l="1"/>
  <c r="F37" i="11"/>
  <c r="F36" i="11"/>
  <c r="F35" i="11"/>
  <c r="F34" i="11"/>
  <c r="F33" i="11"/>
  <c r="F32" i="11"/>
  <c r="F31" i="11"/>
  <c r="F30" i="11"/>
  <c r="F29" i="11"/>
  <c r="F28" i="11"/>
  <c r="F27" i="11"/>
  <c r="M34" i="11" l="1"/>
  <c r="M31" i="11"/>
  <c r="M29" i="11"/>
  <c r="F40" i="11"/>
  <c r="H40" i="11" l="1"/>
  <c r="J19" i="17" s="1"/>
  <c r="K19" i="17" s="1"/>
  <c r="I40" i="11"/>
  <c r="J20" i="17" s="1"/>
  <c r="K20" i="17" s="1"/>
  <c r="M27" i="11"/>
  <c r="M32" i="11"/>
  <c r="M36" i="11"/>
  <c r="M38" i="11"/>
  <c r="M37" i="11"/>
  <c r="M35" i="11"/>
  <c r="M33" i="11"/>
  <c r="M30" i="11"/>
  <c r="M28" i="11"/>
  <c r="I10" i="16"/>
  <c r="D10" i="13"/>
  <c r="M40" i="11" l="1"/>
  <c r="J22" i="17" s="1"/>
  <c r="L20" i="17"/>
  <c r="K9" i="17"/>
  <c r="K8" i="17"/>
  <c r="K22" i="17"/>
  <c r="L19" i="17"/>
  <c r="E9" i="15"/>
  <c r="D9" i="15"/>
  <c r="L8" i="17" l="1"/>
  <c r="M19" i="17"/>
  <c r="L22" i="17"/>
  <c r="M20" i="17"/>
  <c r="L9" i="17"/>
  <c r="K11" i="17"/>
  <c r="F18" i="11"/>
  <c r="F17" i="11"/>
  <c r="F14" i="11"/>
  <c r="F13" i="11"/>
  <c r="F16" i="11"/>
  <c r="N20" i="17" l="1"/>
  <c r="M9" i="17"/>
  <c r="L11" i="17"/>
  <c r="N19" i="17"/>
  <c r="M22" i="17"/>
  <c r="M8" i="17"/>
  <c r="F8" i="11"/>
  <c r="F9" i="11"/>
  <c r="F10" i="11"/>
  <c r="F11" i="11"/>
  <c r="F12" i="11"/>
  <c r="F15" i="11"/>
  <c r="F7" i="11"/>
  <c r="M11" i="17" l="1"/>
  <c r="N8" i="17"/>
  <c r="N22" i="17"/>
  <c r="O19" i="17"/>
  <c r="O20" i="17"/>
  <c r="O9" i="17" s="1"/>
  <c r="N9" i="17"/>
  <c r="M12" i="11"/>
  <c r="F20" i="11"/>
  <c r="O22" i="17" l="1"/>
  <c r="O8" i="17"/>
  <c r="N11" i="17"/>
  <c r="H20" i="11"/>
  <c r="C19" i="17" s="1"/>
  <c r="D19" i="17" s="1"/>
  <c r="I20" i="11"/>
  <c r="C20" i="17" s="1"/>
  <c r="D20" i="17" s="1"/>
  <c r="M7" i="11"/>
  <c r="M20" i="11" l="1"/>
  <c r="C22" i="17" s="1"/>
  <c r="E19" i="17"/>
  <c r="D26" i="16"/>
  <c r="D22" i="17"/>
  <c r="D9" i="17"/>
  <c r="D27" i="16" s="1"/>
  <c r="E20" i="17"/>
  <c r="O11" i="17"/>
  <c r="F15" i="15"/>
  <c r="E15" i="15"/>
  <c r="D15" i="15"/>
  <c r="D11" i="17" l="1"/>
  <c r="E9" i="17"/>
  <c r="E27" i="16" s="1"/>
  <c r="F20" i="17"/>
  <c r="E22" i="17"/>
  <c r="F19" i="17"/>
  <c r="E8" i="17"/>
  <c r="E26" i="16" s="1"/>
  <c r="I15" i="15"/>
  <c r="I11" i="16"/>
  <c r="H12" i="16"/>
  <c r="G72" i="8" s="1"/>
  <c r="G12" i="16"/>
  <c r="F72" i="8" s="1"/>
  <c r="F12" i="16"/>
  <c r="E72" i="8" s="1"/>
  <c r="E12" i="16"/>
  <c r="D72" i="8" s="1"/>
  <c r="I16" i="13"/>
  <c r="I15" i="13"/>
  <c r="F17" i="13"/>
  <c r="E17" i="13"/>
  <c r="D17" i="13"/>
  <c r="I9" i="13"/>
  <c r="I8" i="13"/>
  <c r="I7" i="13"/>
  <c r="G19" i="17" l="1"/>
  <c r="F8" i="17"/>
  <c r="F26" i="16" s="1"/>
  <c r="F22" i="17"/>
  <c r="E11" i="17"/>
  <c r="E29" i="16" s="1"/>
  <c r="F9" i="17"/>
  <c r="F27" i="16" s="1"/>
  <c r="G20" i="17"/>
  <c r="D29" i="16"/>
  <c r="I12" i="16"/>
  <c r="I10" i="13"/>
  <c r="I17" i="13"/>
  <c r="F9" i="15"/>
  <c r="D12" i="16"/>
  <c r="C72" i="8" s="1"/>
  <c r="C56" i="8" l="1"/>
  <c r="D56" i="8"/>
  <c r="F11" i="17"/>
  <c r="F29" i="16" s="1"/>
  <c r="G9" i="17"/>
  <c r="G27" i="16" s="1"/>
  <c r="H20" i="17"/>
  <c r="H9" i="17" s="1"/>
  <c r="H27" i="16" s="1"/>
  <c r="H19" i="17"/>
  <c r="G22" i="17"/>
  <c r="G8" i="17"/>
  <c r="G26" i="16" s="1"/>
  <c r="I27" i="16" l="1"/>
  <c r="H22" i="17"/>
  <c r="H8" i="17"/>
  <c r="H26" i="16" s="1"/>
  <c r="I26" i="16" s="1"/>
  <c r="E56" i="8"/>
  <c r="G11" i="17"/>
  <c r="G29" i="16" s="1"/>
  <c r="I9" i="15"/>
  <c r="D3" i="9"/>
  <c r="F56" i="8" l="1"/>
  <c r="H11" i="17"/>
  <c r="H29" i="16" s="1"/>
  <c r="G56" i="8" l="1"/>
  <c r="I29" i="16"/>
  <c r="H72" i="8"/>
  <c r="H56" i="8" l="1"/>
  <c r="E4" i="17" l="1"/>
  <c r="O36" i="11"/>
  <c r="O32" i="11"/>
  <c r="O28" i="11"/>
  <c r="AF11" i="11"/>
  <c r="AF7" i="11"/>
  <c r="O17" i="11"/>
  <c r="O13" i="11"/>
  <c r="O9" i="11"/>
  <c r="H4" i="17"/>
  <c r="D4" i="17"/>
  <c r="O37" i="11"/>
  <c r="O33" i="11"/>
  <c r="O29" i="11"/>
  <c r="AF12" i="11"/>
  <c r="AF8" i="11"/>
  <c r="O18" i="11"/>
  <c r="O14" i="11"/>
  <c r="O10" i="11"/>
  <c r="G4" i="17"/>
  <c r="O38" i="11"/>
  <c r="O34" i="11"/>
  <c r="O30" i="11"/>
  <c r="AF13" i="11"/>
  <c r="AF9" i="11"/>
  <c r="O15" i="11"/>
  <c r="O11" i="11"/>
  <c r="O7" i="11"/>
  <c r="F4" i="17"/>
  <c r="O35" i="11"/>
  <c r="AF10" i="11"/>
  <c r="O8" i="11"/>
  <c r="O27" i="11"/>
  <c r="O12" i="11"/>
  <c r="O31" i="11"/>
  <c r="O16" i="11"/>
  <c r="AF14" i="11" l="1"/>
  <c r="C36" i="17" s="1"/>
  <c r="O20" i="11"/>
  <c r="C24" i="17" s="1"/>
  <c r="N4" i="17"/>
  <c r="G36" i="17"/>
  <c r="G24" i="17"/>
  <c r="K4" i="17"/>
  <c r="D36" i="17"/>
  <c r="D24" i="17"/>
  <c r="O4" i="17"/>
  <c r="H36" i="17"/>
  <c r="H24" i="17"/>
  <c r="O40" i="11"/>
  <c r="J24" i="17" s="1"/>
  <c r="M4" i="17"/>
  <c r="F36" i="17"/>
  <c r="F24" i="17"/>
  <c r="L4" i="17"/>
  <c r="E36" i="17"/>
  <c r="E24" i="17"/>
  <c r="F13" i="17" l="1"/>
  <c r="H13" i="17"/>
  <c r="G13" i="17"/>
  <c r="M36" i="17"/>
  <c r="M24" i="17"/>
  <c r="O36" i="17"/>
  <c r="O24" i="17"/>
  <c r="L36" i="17"/>
  <c r="L24" i="17"/>
  <c r="D13" i="17"/>
  <c r="N36" i="17"/>
  <c r="N24" i="17"/>
  <c r="E13" i="17"/>
  <c r="K36" i="17"/>
  <c r="K24" i="17"/>
  <c r="N13" i="17" l="1"/>
  <c r="G31" i="16" s="1"/>
  <c r="O13" i="17"/>
  <c r="H31" i="16" s="1"/>
  <c r="M13" i="17"/>
  <c r="F31" i="16" s="1"/>
  <c r="K13" i="17"/>
  <c r="D31" i="16" s="1"/>
  <c r="L13" i="17"/>
  <c r="E31" i="16" s="1"/>
  <c r="I31" i="16" l="1"/>
  <c r="F3" i="17" l="1"/>
  <c r="N35" i="11"/>
  <c r="N31" i="11"/>
  <c r="N27" i="11"/>
  <c r="AE10" i="11"/>
  <c r="N16" i="11"/>
  <c r="N12" i="11"/>
  <c r="N8" i="11"/>
  <c r="E3" i="17"/>
  <c r="N36" i="11"/>
  <c r="N32" i="11"/>
  <c r="N28" i="11"/>
  <c r="AE11" i="11"/>
  <c r="AE7" i="11"/>
  <c r="N17" i="11"/>
  <c r="N13" i="11"/>
  <c r="N9" i="11"/>
  <c r="H3" i="17"/>
  <c r="D3" i="17"/>
  <c r="N37" i="11"/>
  <c r="N33" i="11"/>
  <c r="N29" i="11"/>
  <c r="AE12" i="11"/>
  <c r="AE8" i="11"/>
  <c r="N18" i="11"/>
  <c r="N14" i="11"/>
  <c r="N10" i="11"/>
  <c r="G3" i="17"/>
  <c r="N38" i="11"/>
  <c r="N34" i="11"/>
  <c r="N30" i="11"/>
  <c r="N15" i="11"/>
  <c r="AE9" i="11"/>
  <c r="N7" i="11"/>
  <c r="AE13" i="11"/>
  <c r="N11" i="11"/>
  <c r="AG13" i="11" l="1"/>
  <c r="AH13" i="11" s="1"/>
  <c r="P10" i="11"/>
  <c r="Q10" i="11" s="1"/>
  <c r="AG12" i="11"/>
  <c r="AH12" i="11" s="1"/>
  <c r="P17" i="11"/>
  <c r="Q17" i="11" s="1"/>
  <c r="P12" i="11"/>
  <c r="Q12" i="11" s="1"/>
  <c r="P14" i="11"/>
  <c r="Q14" i="11" s="1"/>
  <c r="H23" i="17"/>
  <c r="O3" i="17"/>
  <c r="H35" i="17"/>
  <c r="H37" i="17" s="1"/>
  <c r="H38" i="17" s="1"/>
  <c r="H40" i="17" s="1"/>
  <c r="H5" i="16" s="1"/>
  <c r="P36" i="11"/>
  <c r="Q36" i="11" s="1"/>
  <c r="P16" i="11"/>
  <c r="Q16" i="11"/>
  <c r="P11" i="11"/>
  <c r="Q11" i="11" s="1"/>
  <c r="P15" i="11"/>
  <c r="Q15" i="11" s="1"/>
  <c r="N3" i="17"/>
  <c r="G23" i="17"/>
  <c r="G35" i="17"/>
  <c r="G37" i="17" s="1"/>
  <c r="G38" i="17" s="1"/>
  <c r="G40" i="17" s="1"/>
  <c r="G5" i="16" s="1"/>
  <c r="AG8" i="11"/>
  <c r="AH8" i="11" s="1"/>
  <c r="P37" i="11"/>
  <c r="Q37" i="11" s="1"/>
  <c r="P13" i="11"/>
  <c r="Q13" i="11" s="1"/>
  <c r="P28" i="11"/>
  <c r="Q28" i="11" s="1"/>
  <c r="P8" i="11"/>
  <c r="Q8" i="11" s="1"/>
  <c r="P27" i="11"/>
  <c r="Q27" i="11" s="1"/>
  <c r="N40" i="11"/>
  <c r="J23" i="17" s="1"/>
  <c r="P30" i="11"/>
  <c r="Q30" i="11" s="1"/>
  <c r="D23" i="17"/>
  <c r="D35" i="17"/>
  <c r="D37" i="17" s="1"/>
  <c r="D38" i="17" s="1"/>
  <c r="D40" i="17" s="1"/>
  <c r="D5" i="16" s="1"/>
  <c r="K3" i="17"/>
  <c r="P32" i="11"/>
  <c r="Q32" i="11" s="1"/>
  <c r="P31" i="11"/>
  <c r="Q31" i="11" s="1"/>
  <c r="P7" i="11"/>
  <c r="Q7" i="11" s="1"/>
  <c r="N20" i="11"/>
  <c r="C23" i="17" s="1"/>
  <c r="P34" i="11"/>
  <c r="Q34" i="11" s="1"/>
  <c r="P29" i="11"/>
  <c r="Q29" i="11"/>
  <c r="AG7" i="11"/>
  <c r="AH7" i="11" s="1"/>
  <c r="AE14" i="11"/>
  <c r="C35" i="17" s="1"/>
  <c r="P35" i="11"/>
  <c r="Q35" i="11" s="1"/>
  <c r="AG9" i="11"/>
  <c r="AH9" i="11" s="1"/>
  <c r="P38" i="11"/>
  <c r="Q38" i="11" s="1"/>
  <c r="P18" i="11"/>
  <c r="Q18" i="11" s="1"/>
  <c r="P33" i="11"/>
  <c r="Q33" i="11" s="1"/>
  <c r="P9" i="11"/>
  <c r="Q9" i="11" s="1"/>
  <c r="AG11" i="11"/>
  <c r="AH11" i="11" s="1"/>
  <c r="E23" i="17"/>
  <c r="E35" i="17"/>
  <c r="E37" i="17" s="1"/>
  <c r="E38" i="17" s="1"/>
  <c r="E40" i="17" s="1"/>
  <c r="E5" i="16" s="1"/>
  <c r="L3" i="17"/>
  <c r="AG10" i="11"/>
  <c r="AH10" i="11" s="1"/>
  <c r="F23" i="17"/>
  <c r="M3" i="17"/>
  <c r="F35" i="17"/>
  <c r="F37" i="17" s="1"/>
  <c r="F38" i="17" s="1"/>
  <c r="F40" i="17" s="1"/>
  <c r="F5" i="16" s="1"/>
  <c r="I5" i="16" l="1"/>
  <c r="M35" i="17"/>
  <c r="M37" i="17" s="1"/>
  <c r="M38" i="17" s="1"/>
  <c r="M40" i="17" s="1"/>
  <c r="M23" i="17"/>
  <c r="L23" i="17"/>
  <c r="L35" i="17"/>
  <c r="L37" i="17" s="1"/>
  <c r="L38" i="17" s="1"/>
  <c r="L40" i="17" s="1"/>
  <c r="Q40" i="11"/>
  <c r="D25" i="17"/>
  <c r="D14" i="17" s="1"/>
  <c r="D12" i="17"/>
  <c r="AG14" i="11"/>
  <c r="C37" i="17" s="1"/>
  <c r="K35" i="17"/>
  <c r="K37" i="17" s="1"/>
  <c r="K38" i="17" s="1"/>
  <c r="K40" i="17" s="1"/>
  <c r="K23" i="17"/>
  <c r="N35" i="17"/>
  <c r="N37" i="17" s="1"/>
  <c r="N38" i="17" s="1"/>
  <c r="N40" i="17" s="1"/>
  <c r="N23" i="17"/>
  <c r="F12" i="17"/>
  <c r="F25" i="17"/>
  <c r="F14" i="17" s="1"/>
  <c r="AH14" i="11"/>
  <c r="Q20" i="11"/>
  <c r="O35" i="17"/>
  <c r="O37" i="17" s="1"/>
  <c r="O38" i="17" s="1"/>
  <c r="O40" i="17" s="1"/>
  <c r="O23" i="17"/>
  <c r="E12" i="17"/>
  <c r="E25" i="17"/>
  <c r="E14" i="17" s="1"/>
  <c r="P20" i="11"/>
  <c r="C25" i="17" s="1"/>
  <c r="P40" i="11"/>
  <c r="J25" i="17" s="1"/>
  <c r="G25" i="17"/>
  <c r="G14" i="17" s="1"/>
  <c r="G12" i="17"/>
  <c r="H12" i="17"/>
  <c r="H25" i="17"/>
  <c r="H14" i="17" s="1"/>
  <c r="E15" i="17" l="1"/>
  <c r="D15" i="17"/>
  <c r="D16" i="17" s="1"/>
  <c r="H15" i="17"/>
  <c r="F26" i="17"/>
  <c r="F28" i="17" s="1"/>
  <c r="D26" i="17"/>
  <c r="D28" i="17" s="1"/>
  <c r="G26" i="17"/>
  <c r="G28" i="17" s="1"/>
  <c r="O25" i="17"/>
  <c r="O12" i="17"/>
  <c r="H30" i="16" s="1"/>
  <c r="H26" i="17"/>
  <c r="H28" i="17" s="1"/>
  <c r="G15" i="17"/>
  <c r="E26" i="17"/>
  <c r="E28" i="17" s="1"/>
  <c r="F15" i="17"/>
  <c r="K25" i="17"/>
  <c r="K12" i="17"/>
  <c r="L12" i="17"/>
  <c r="L25" i="17"/>
  <c r="L14" i="17" s="1"/>
  <c r="E32" i="16" s="1"/>
  <c r="G7" i="8"/>
  <c r="C26" i="17"/>
  <c r="H7" i="8"/>
  <c r="D7" i="8"/>
  <c r="E7" i="8"/>
  <c r="F7" i="8"/>
  <c r="M25" i="17"/>
  <c r="M12" i="17"/>
  <c r="C38" i="17"/>
  <c r="D9" i="8"/>
  <c r="N25" i="17"/>
  <c r="N12" i="17"/>
  <c r="D8" i="8"/>
  <c r="E8" i="8"/>
  <c r="F8" i="8"/>
  <c r="G8" i="8"/>
  <c r="J26" i="17"/>
  <c r="H8" i="8"/>
  <c r="F16" i="17" l="1"/>
  <c r="L26" i="17"/>
  <c r="L28" i="17" s="1"/>
  <c r="N26" i="17"/>
  <c r="N28" i="17" s="1"/>
  <c r="N14" i="17"/>
  <c r="G32" i="16" s="1"/>
  <c r="F30" i="16"/>
  <c r="K26" i="17"/>
  <c r="K28" i="17" s="1"/>
  <c r="D4" i="16" s="1"/>
  <c r="K14" i="17"/>
  <c r="D32" i="16" s="1"/>
  <c r="H16" i="17"/>
  <c r="G9" i="8"/>
  <c r="H9" i="8"/>
  <c r="E9" i="8"/>
  <c r="F9" i="8"/>
  <c r="M26" i="17"/>
  <c r="M28" i="17" s="1"/>
  <c r="F4" i="16" s="1"/>
  <c r="F6" i="16" s="1"/>
  <c r="M14" i="17"/>
  <c r="F32" i="16" s="1"/>
  <c r="E30" i="16"/>
  <c r="L15" i="17"/>
  <c r="L16" i="17" s="1"/>
  <c r="E16" i="17"/>
  <c r="E4" i="16"/>
  <c r="E6" i="16" s="1"/>
  <c r="O26" i="17"/>
  <c r="O28" i="17" s="1"/>
  <c r="H4" i="16" s="1"/>
  <c r="H6" i="16" s="1"/>
  <c r="O14" i="17"/>
  <c r="H32" i="16" s="1"/>
  <c r="H33" i="16" s="1"/>
  <c r="G30" i="16"/>
  <c r="D30" i="16"/>
  <c r="G4" i="16"/>
  <c r="G6" i="16" s="1"/>
  <c r="G16" i="17"/>
  <c r="F58" i="8" l="1"/>
  <c r="F60" i="8" s="1"/>
  <c r="N15" i="17"/>
  <c r="N16" i="17" s="1"/>
  <c r="G58" i="8"/>
  <c r="G60" i="8" s="1"/>
  <c r="K15" i="17"/>
  <c r="K16" i="17" s="1"/>
  <c r="M15" i="17"/>
  <c r="M16" i="17" s="1"/>
  <c r="O15" i="17"/>
  <c r="O16" i="17" s="1"/>
  <c r="D33" i="16"/>
  <c r="I30" i="16"/>
  <c r="C58" i="8"/>
  <c r="G33" i="16"/>
  <c r="I32" i="16"/>
  <c r="E58" i="8"/>
  <c r="E60" i="8" s="1"/>
  <c r="F33" i="16"/>
  <c r="D6" i="16"/>
  <c r="I4" i="16"/>
  <c r="I6" i="16" s="1"/>
  <c r="D58" i="8"/>
  <c r="D60" i="8" s="1"/>
  <c r="E33" i="16"/>
  <c r="I33" i="16" l="1"/>
  <c r="H58" i="8"/>
  <c r="H60" i="8" s="1"/>
  <c r="C60" i="8"/>
</calcChain>
</file>

<file path=xl/sharedStrings.xml><?xml version="1.0" encoding="utf-8"?>
<sst xmlns="http://schemas.openxmlformats.org/spreadsheetml/2006/main" count="364" uniqueCount="180">
  <si>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</si>
  <si>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</si>
  <si>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</si>
  <si>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</si>
  <si>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</si>
  <si>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</si>
  <si>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</si>
  <si>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</si>
  <si>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</si>
  <si>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</si>
  <si>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</si>
  <si>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</si>
  <si>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</si>
  <si>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</si>
  <si>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</si>
  <si>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</si>
  <si>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</si>
  <si>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</si>
  <si>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</si>
  <si>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</si>
  <si>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</si>
  <si>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</si>
  <si>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</si>
  <si>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</si>
  <si>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</si>
  <si>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</si>
  <si>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</si>
  <si>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</si>
  <si>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</si>
  <si>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</si>
  <si>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</si>
  <si>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</si>
  <si>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</si>
  <si>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</si>
  <si>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</si>
  <si>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</si>
  <si>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</si>
  <si>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</si>
  <si>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</si>
  <si>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</si>
  <si>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</si>
  <si>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</si>
  <si>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</si>
  <si>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</si>
  <si>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</si>
  <si>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</si>
  <si>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</si>
  <si>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</si>
  <si>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</si>
  <si>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</si>
  <si>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</si>
  <si>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</si>
  <si>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</si>
  <si>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</si>
  <si>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</si>
  <si>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</si>
  <si>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Underground urban residential subdivision</t>
  </si>
  <si>
    <t>Rural overhead subdivision &amp; rural extensions</t>
  </si>
  <si>
    <t>Underground commercial &amp; industrial or rural subdivisions (vacant lots)</t>
  </si>
  <si>
    <t>Network Service:</t>
  </si>
  <si>
    <t>FY16/17</t>
  </si>
  <si>
    <t>FY15/16</t>
  </si>
  <si>
    <t>FY14/15</t>
  </si>
  <si>
    <t>FY19/20</t>
  </si>
  <si>
    <t>FY20/21</t>
  </si>
  <si>
    <t>FY21/22</t>
  </si>
  <si>
    <t>FY23/24</t>
  </si>
  <si>
    <t>Commercial /  Industrial developments and Subtransmission</t>
  </si>
  <si>
    <t>Service description - Subtransmission added to Commercial and Industrial category.</t>
  </si>
  <si>
    <t>Time on Task (Hours)</t>
  </si>
  <si>
    <t>Access Permit</t>
  </si>
  <si>
    <t>R4</t>
  </si>
  <si>
    <t xml:space="preserve">
This service fee includes network access and may include without limitation:
&gt; Access to Essential Energy’s distribution network (e.g. direct distributors)
&gt; Researching and documenting the request for access including a site visit as required;
&gt; Documenting the actual switching process;
&gt; Programming the work;
&gt; Control room activities;
&gt; Fitting and removing of access permit earths;
&gt; The actual switching of the high voltage network;
&gt; Identification of any customers who will be interrupted for carding by the ASP;
&gt; Low voltage switching and paralleling of substations that permits high voltage work without disrupting supply to other customers;
&gt; Excludes provision of MG (Motor Generator) and live line to maintain supply. These are services in addition and covered by another quoted service;
&gt; Cable ID, stab, cut and phase;
&gt; Reinstate network and testing;
&gt; Meeting requirements of the National Energy Retail Law (NSW) and the National Energy Retail Rules
&gt; Travel costs
The access permit charge is the maximum per access permit.</t>
  </si>
  <si>
    <t>Access permits, oversight and facilitation
Activities include:
·a distributor issuing access permits or clearances to work to a person authorised to work on or near distribution systems including high and low voltage.
·a distributor issuing confined space entry permits and associated safe entry equipment to a person authorised to enter a confined space.
·a distributor providing access to switch rooms, substations and the like to a non-LNSP party who is accompanied and supervised by a distributor's staff member. May also include a distributor providing safe entry equipment (fall-arrest) to enter difficult access areas. 
·specialist services (which may involve design related activities and oversight/inspections of works) where the design or construction is non-standard, technically complex or environmentally sensitive and any enquiries related to distributor assets. 
·facilitation of generator connection and operation of the network.
·facilitation of activities within clearances of distributor’s assets, including physical and electrical isolation of assets.
·provision of approved materials/equipment to ASPs for connection assets that will become part of the shared distribution network.
·assessing an application from an ASP or manufacturer to consider approval of alternative material and equipment items that are not specified in the distributor’s approved materials list.</t>
  </si>
  <si>
    <t>Access Permit - Underground urban residential subdivision (Vacant lots)</t>
  </si>
  <si>
    <t>Review outage request, research network configuration and submit NAR</t>
  </si>
  <si>
    <t>Review impacted customers and mail out outage notifications (EE notified)</t>
  </si>
  <si>
    <t>Process network configuration upgrade such as Power On "patches" and GIS maps</t>
  </si>
  <si>
    <t xml:space="preserve">Review protection setting and process NAR request </t>
  </si>
  <si>
    <t>Write switching sheet (pre and approved)</t>
  </si>
  <si>
    <t>Complete site assesment in field to verify switching sheet and NECF compliance</t>
  </si>
  <si>
    <t>Complete network switching for access permit</t>
  </si>
  <si>
    <t>Test - Apply HV/LV earths and bonds as required - Issues AP</t>
  </si>
  <si>
    <t>Travel to / from site</t>
  </si>
  <si>
    <t>Network Operator - run switching sheet</t>
  </si>
  <si>
    <t>Cancel AP - remove earths - complete return switching</t>
  </si>
  <si>
    <t xml:space="preserve">Update network schematics (patches) and GIS mapping </t>
  </si>
  <si>
    <t>Asset relocation or streetlighting (not forming part of other categories)</t>
  </si>
  <si>
    <t xml:space="preserve">Existing Service Description (2014-19) </t>
  </si>
  <si>
    <t>Field Officer</t>
  </si>
  <si>
    <t>Bottom Up Estimation</t>
  </si>
  <si>
    <t xml:space="preserve"> - </t>
  </si>
  <si>
    <t>R1a</t>
  </si>
  <si>
    <t>Operating Costs (on IO's, work orders, cost objects, cost centres)</t>
  </si>
  <si>
    <t>Project Code</t>
  </si>
  <si>
    <t>FY22/23</t>
  </si>
  <si>
    <t>Access Permit  (fixed fee) NT</t>
  </si>
  <si>
    <t>Access Permit  (fixed fee) OT</t>
  </si>
  <si>
    <t>NT</t>
  </si>
  <si>
    <t>OT</t>
  </si>
  <si>
    <t>Projected Volumes for FY2019-24 Regulatory Period</t>
  </si>
  <si>
    <t>ANS P&amp;L</t>
  </si>
  <si>
    <t xml:space="preserve">Operating Costs - </t>
  </si>
  <si>
    <t>Historical operating costs referenced from ANS P&amp;L Report.</t>
  </si>
  <si>
    <t>Operating costs and labour hours recorded are for field labour only, due to time reporting requirements. Additional time input required from supporting roles such as Network Operations. Historical Operating costs therefore is not a true reflection of providing this service. Bottom up build factors includes additional labour to perform AP.</t>
  </si>
  <si>
    <t>ACSCW 30530 - Access Permit</t>
  </si>
  <si>
    <t>Service description - Asset relocation or streetlighting - (not forming part of other categories) added into description.</t>
  </si>
  <si>
    <t>Changes to detailed service description.</t>
  </si>
  <si>
    <t xml:space="preserve">New Complex (Hrly rate) service added. To allow for project for larger technical switching requirements </t>
  </si>
  <si>
    <t>RIN</t>
  </si>
  <si>
    <t>Estimated have been provided on the work effort that will be required to complete each service.
Forecast volumes based on historical FY16/17 volumes.</t>
  </si>
  <si>
    <t>Access Permit - Outage Recheduled</t>
  </si>
  <si>
    <t>Access Permit - Rescheduled</t>
  </si>
  <si>
    <t>Reschedule outage request, review network configuration and resubmit NAR</t>
  </si>
  <si>
    <t>Revisit  network configuration upgrade such as Power On "patches" and GIS maps</t>
  </si>
  <si>
    <t>Re- Write switching sheet (pre and approved)</t>
  </si>
  <si>
    <r>
      <t xml:space="preserve">
</t>
    </r>
    <r>
      <rPr>
        <b/>
        <sz val="10"/>
        <color theme="1"/>
        <rFont val="Arial"/>
        <family val="2"/>
      </rPr>
      <t>Access Permit</t>
    </r>
    <r>
      <rPr>
        <sz val="10"/>
        <color theme="1"/>
        <rFont val="Arial"/>
        <family val="2"/>
      </rPr>
      <t xml:space="preserve">
This service fee includes network access and may include without limitation:
&gt; Access to Essential Energy’s distribution network through the provision on an Access Permit issued to authorised personnel;
&gt; Researching, documenting and completion of a Network  Access Request (NAR) including a site visit as required;
&gt; Documenting the actual switching process;
&gt; Programming the work;
&gt; Control room activities;
&gt; Fitting and removing of Access Permit earths;
&gt; The actual switching of the high and low voltage networks;
&gt; Notification of affected customers and NECF compliance (EE notified);
&gt; Cable ID, stab, cut and phase;
&gt; Reinstate network and testing;
&gt; Meeting requirements of the National Energy Retail Law (NSW) and the National Energy Retail Rules;
&gt; Travel costs
The access permit charge is the maximum per access permit.
*Essential Energy may impose an additional overtime hourly rate for services provided outside the hrs of 7:30am - 4:00pm Mon - Fri (ordinary hrs). Where Standard AP start or finish times are exceeded as a continuation of work, additional overtime hourly rates will be charged at applicable published labour classes.
Overtime may occur as a result of: 
&gt; Failure to complete AP associated work within requested ordinary hrs;
&gt; Where an outage is requested outside of ordinary hrs (does not include when Essential Energy requires that the work be performed outside ordinary hours). In this situation the Overtime Access Permit Fee applies.
</t>
    </r>
    <r>
      <rPr>
        <b/>
        <sz val="10"/>
        <rFont val="Arial"/>
        <family val="2"/>
      </rPr>
      <t xml:space="preserve">
* A rescheduled Access Permit Outage fee will be charged where an ASP cancels an outage request within 10 days lead time prior to the scheduled outage.</t>
    </r>
    <r>
      <rPr>
        <sz val="10"/>
        <color theme="1"/>
        <rFont val="Arial"/>
        <family val="2"/>
      </rPr>
      <t xml:space="preserve">
Excludes -  Provision of MG (Motor Generator) and Live Line to maintain supply where temporary supply arrangements are requested by an ASP and / or as prescribed in the design information requirements, to maintain a continued but temporary supply to otherwise impacted customers during contestable connection works. These are services are in addition and covered by another quoted service.</t>
    </r>
  </si>
  <si>
    <t>Complete site assessment in field to verify switching sheet and NECF compliance</t>
  </si>
  <si>
    <t>FY17/18</t>
  </si>
  <si>
    <t>FY18/19</t>
  </si>
  <si>
    <t>FY14/15 revenue  - N/A</t>
  </si>
  <si>
    <t>FY15/16 revenue  - Actuals</t>
  </si>
  <si>
    <t>FY16/17 revenue  - Actuals</t>
  </si>
  <si>
    <t>FY17/18 revenue  - Pro rata based on YTD Dec17 values</t>
  </si>
  <si>
    <t xml:space="preserve">FY18/19 revenue  - Estimated </t>
  </si>
  <si>
    <t>FY14/15 operating costs  - N/A</t>
  </si>
  <si>
    <t>FY15/16 operating costs  - Actuals</t>
  </si>
  <si>
    <t>FY16/17 operating costs  - Actuals</t>
  </si>
  <si>
    <t>FY17/18 operating costs  - Pro rata based on YTD Dec17 values</t>
  </si>
  <si>
    <t xml:space="preserve">FY18/19 operating costs  - Estimated </t>
  </si>
  <si>
    <t>Re-scheduled Access Permit Outage</t>
  </si>
  <si>
    <t>Proposed Fee ($2018/19 - Excl GST)</t>
  </si>
  <si>
    <t>Total Direct Costs $2018/19</t>
  </si>
  <si>
    <t>Total Indirect Costs $2018/19</t>
  </si>
  <si>
    <t>TOTAL COSTS $2018/19</t>
  </si>
  <si>
    <t>Access Permit - All</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</si>
  <si>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</si>
  <si>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</si>
  <si>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</si>
  <si>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</si>
  <si>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</si>
  <si>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</si>
  <si>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</si>
  <si>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</si>
  <si>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</si>
  <si>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</si>
  <si>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</si>
  <si>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</si>
  <si>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</si>
  <si>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Labour escalation</t>
  </si>
  <si>
    <t>Contractor rate increase</t>
  </si>
  <si>
    <t>Overhead rate</t>
  </si>
  <si>
    <t>Average non-system charge</t>
  </si>
  <si>
    <t>WACC rate</t>
  </si>
  <si>
    <t>ORDINARY LABOUR 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</si>
  <si>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</si>
  <si>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</si>
  <si>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</si>
  <si>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</si>
  <si>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</si>
  <si>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</si>
  <si>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</si>
  <si>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</si>
  <si>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</si>
  <si>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</si>
  <si>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</si>
  <si>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</si>
  <si>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</si>
  <si>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4.1 Access Permit</t>
  </si>
  <si>
    <t>Access Permit - Recheduled (cancelled outage)</t>
  </si>
  <si>
    <t>OVERTIME  LABOUR TIME</t>
  </si>
  <si>
    <t>Access Permit - Recheduled</t>
  </si>
  <si>
    <t>Real 2018-19 (including labour escalation)</t>
  </si>
  <si>
    <t>Labour</t>
  </si>
  <si>
    <t>Fleet</t>
  </si>
  <si>
    <t>Total costs before OHDs, non-system and margin</t>
  </si>
  <si>
    <t>Labour - Bottom up Estimation calculated using both field (R4)  input and supporting role input such as system control and planned works group (R1a &amp; R2a).</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</si>
  <si>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</si>
  <si>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Access Permit
This service fee includes network access and may include without limitation:
&gt; Access to Essential Energy’s distribution network through the provision on an Access Permit issued to authorised personnel;
&gt; Researching, documenting and completion of a Network  Access Request (NAR) including a site visit as required;
&gt; Documenting the actual switching process;
&gt; Programming the work;
&gt; Control room activities;
&gt; Fitting and removing of Access Permit earths;
&gt; The actual switching of the high and low voltage networks;
&gt; Notification of affected customers and NECF compliance (EE notified);
&gt; Cable ID, stab, cut and phase;
&gt; Reinstate network and testing;
&gt; Meeting requirements of the National Energy Retail Law (NSW) and the National Energy Retail Rules;
&gt; Travel costs
The access permit charge is the maximum per access permit.
*Essential Energy may impose an additional overtime hourly rate for services provided outside the hrs of 7:30am - 4:00pm Mon - Fri (ordinary hrs). Where Standard AP start or finish times are exceeded as a continuation of work, additional overtime hourly rates will be charged at applicable published labour classes.
Overtime may occur as a result of: 
&gt; Failure to complete AP associated work within requested ordinary hrs;
&gt; Where an outage is requested outside of ordinary hrs (does not include when Essential Energy requires that the work be performed outside ordinary hours). In this situation the Overtime Access Permit Fee applies.
* A rescheduled Access Permit Outage fee will be charged where an ASP cancels an outage request within 10 days lead time prior to the scheduled outage.
Excludes -  Provision of MG (Motor Generator) and Live Line to maintain supply where temporary supply arrangements are requested by an ASP and / or as prescribed in the design information requirements, to maintain a continued but temporary supply to otherwise impacted customers during contestable connection works. These are services are in addition and covered by another quoted service.</t>
  </si>
  <si>
    <t>Historical revenue referenced from ANS P&amp;L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</si>
</sst>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s>
  <fonts count="3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sz val="10"/>
      <color theme="1"/>
      <name val="Calibri"/>
      <family val="2"/>
      <scheme val="minor"/>
    </font>
    <font>
      <b/>
      <sz val="7"/>
      <color theme="1"/>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6">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 fillId="0" borderId="0"/>
  </cellStyleXfs>
  <cellXfs count="309">
    <xf numFmtId="0" fontId="0" fillId="0" borderId="0" xfId="0"/>
    <xf numFmtId="0" fontId="3" fillId="0" borderId="0" xfId="0" applyFont="1"/>
    <xf numFmtId="0" fontId="8" fillId="5" borderId="3" xfId="0" applyFont="1" applyFill="1" applyBorder="1"/>
    <xf numFmtId="0" fontId="3" fillId="4" borderId="4" xfId="0" applyFont="1" applyFill="1" applyBorder="1" applyAlignment="1">
      <alignment horizontal="left"/>
    </xf>
    <xf numFmtId="0" fontId="3" fillId="4" borderId="4" xfId="0" applyFont="1" applyFill="1" applyBorder="1"/>
    <xf numFmtId="166" fontId="3" fillId="4" borderId="4" xfId="2" applyNumberFormat="1" applyFont="1" applyFill="1" applyBorder="1"/>
    <xf numFmtId="0" fontId="3" fillId="4" borderId="3" xfId="0" applyFont="1" applyFill="1" applyBorder="1"/>
    <xf numFmtId="0" fontId="8" fillId="5" borderId="8" xfId="0" applyFont="1" applyFill="1" applyBorder="1"/>
    <xf numFmtId="0" fontId="8" fillId="5" borderId="0" xfId="0" applyFont="1" applyFill="1" applyBorder="1"/>
    <xf numFmtId="166" fontId="8" fillId="5" borderId="8" xfId="2" applyNumberFormat="1" applyFont="1" applyFill="1" applyBorder="1"/>
    <xf numFmtId="0" fontId="3" fillId="4" borderId="5" xfId="0" applyFont="1" applyFill="1" applyBorder="1"/>
    <xf numFmtId="3" fontId="3" fillId="4" borderId="4"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0" fontId="8" fillId="5" borderId="1" xfId="0" applyFont="1" applyFill="1" applyBorder="1"/>
    <xf numFmtId="0" fontId="5" fillId="5" borderId="1" xfId="0" applyFont="1" applyFill="1" applyBorder="1"/>
    <xf numFmtId="166" fontId="8" fillId="5" borderId="9" xfId="2" applyNumberFormat="1" applyFont="1" applyFill="1" applyBorder="1"/>
    <xf numFmtId="166" fontId="8" fillId="5" borderId="10" xfId="2" applyNumberFormat="1" applyFont="1" applyFill="1" applyBorder="1"/>
    <xf numFmtId="0" fontId="6" fillId="8" borderId="0" xfId="0" applyFont="1" applyFill="1"/>
    <xf numFmtId="0" fontId="9" fillId="8" borderId="0" xfId="0" applyFont="1" applyFill="1"/>
    <xf numFmtId="0" fontId="8" fillId="9" borderId="7" xfId="0" applyFont="1" applyFill="1" applyBorder="1" applyAlignment="1">
      <alignment horizontal="right"/>
    </xf>
    <xf numFmtId="0" fontId="8" fillId="9" borderId="8" xfId="0" applyFont="1" applyFill="1" applyBorder="1" applyAlignment="1">
      <alignment horizontal="right"/>
    </xf>
    <xf numFmtId="0" fontId="3" fillId="10" borderId="4" xfId="0" applyFont="1" applyFill="1" applyBorder="1"/>
    <xf numFmtId="166" fontId="3" fillId="10" borderId="4" xfId="2" applyNumberFormat="1" applyFont="1" applyFill="1" applyBorder="1"/>
    <xf numFmtId="0" fontId="6" fillId="8" borderId="12" xfId="0" applyFont="1" applyFill="1" applyBorder="1"/>
    <xf numFmtId="0" fontId="9" fillId="8" borderId="12" xfId="0" applyFont="1" applyFill="1" applyBorder="1"/>
    <xf numFmtId="0" fontId="3" fillId="0" borderId="0" xfId="0" applyFont="1" applyAlignment="1">
      <alignment horizontal="left" indent="15"/>
    </xf>
    <xf numFmtId="0" fontId="3" fillId="0" borderId="0" xfId="0" applyFont="1" applyFill="1"/>
    <xf numFmtId="0" fontId="8" fillId="9" borderId="0" xfId="0" applyFont="1" applyFill="1" applyBorder="1" applyAlignment="1">
      <alignment horizontal="left"/>
    </xf>
    <xf numFmtId="0" fontId="7" fillId="7" borderId="0" xfId="0" applyFont="1" applyFill="1" applyBorder="1" applyAlignment="1">
      <alignment horizontal="left"/>
    </xf>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6" fillId="8" borderId="10" xfId="0" applyFont="1" applyFill="1" applyBorder="1"/>
    <xf numFmtId="0" fontId="8" fillId="9" borderId="4" xfId="0" applyFont="1" applyFill="1" applyBorder="1"/>
    <xf numFmtId="0" fontId="3" fillId="6" borderId="0" xfId="0" applyFont="1" applyFill="1"/>
    <xf numFmtId="168" fontId="3" fillId="7" borderId="10" xfId="0" applyNumberFormat="1" applyFont="1" applyFill="1" applyBorder="1" applyAlignment="1">
      <alignment horizontal="center"/>
    </xf>
    <xf numFmtId="0" fontId="7" fillId="7" borderId="8" xfId="0" applyFont="1" applyFill="1" applyBorder="1" applyAlignment="1">
      <alignment horizontal="left"/>
    </xf>
    <xf numFmtId="0" fontId="9" fillId="8" borderId="0" xfId="0" applyFont="1" applyFill="1" applyBorder="1"/>
    <xf numFmtId="0" fontId="9" fillId="8" borderId="2" xfId="0" applyFont="1" applyFill="1" applyBorder="1"/>
    <xf numFmtId="0" fontId="3" fillId="7" borderId="0" xfId="0" applyFont="1" applyFill="1" applyBorder="1" applyAlignment="1">
      <alignment horizontal="left"/>
    </xf>
    <xf numFmtId="0" fontId="3" fillId="0" borderId="0" xfId="0" applyFont="1" applyAlignment="1">
      <alignment horizontal="left"/>
    </xf>
    <xf numFmtId="0" fontId="3" fillId="0" borderId="0" xfId="0" applyFont="1" applyFill="1" applyBorder="1" applyAlignment="1">
      <alignment horizontal="left"/>
    </xf>
    <xf numFmtId="0" fontId="8" fillId="2" borderId="3" xfId="0" applyFont="1" applyFill="1" applyBorder="1"/>
    <xf numFmtId="0" fontId="3" fillId="7" borderId="0" xfId="0" applyFont="1" applyFill="1" applyAlignment="1">
      <alignment horizontal="left"/>
    </xf>
    <xf numFmtId="0" fontId="8" fillId="2" borderId="1" xfId="0" applyFont="1" applyFill="1" applyBorder="1"/>
    <xf numFmtId="166" fontId="5" fillId="0" borderId="0" xfId="2" applyNumberFormat="1" applyFont="1"/>
    <xf numFmtId="0" fontId="8" fillId="2" borderId="6" xfId="0" applyFont="1" applyFill="1" applyBorder="1"/>
    <xf numFmtId="166" fontId="8" fillId="2" borderId="7" xfId="2" applyNumberFormat="1" applyFont="1" applyFill="1" applyBorder="1"/>
    <xf numFmtId="10" fontId="3" fillId="0" borderId="0" xfId="1" applyNumberFormat="1" applyFont="1"/>
    <xf numFmtId="10" fontId="3" fillId="0" borderId="0" xfId="0" applyNumberFormat="1" applyFont="1"/>
    <xf numFmtId="169" fontId="3" fillId="0" borderId="0" xfId="1" applyNumberFormat="1" applyFont="1"/>
    <xf numFmtId="0" fontId="6" fillId="8" borderId="6" xfId="0" applyFont="1" applyFill="1" applyBorder="1" applyAlignment="1">
      <alignment horizontal="left"/>
    </xf>
    <xf numFmtId="0" fontId="8" fillId="2" borderId="6" xfId="0" applyFont="1" applyFill="1" applyBorder="1" applyAlignment="1">
      <alignment horizontal="left"/>
    </xf>
    <xf numFmtId="0" fontId="8" fillId="2" borderId="7" xfId="0" applyFont="1" applyFill="1" applyBorder="1" applyAlignment="1">
      <alignment horizontal="right"/>
    </xf>
    <xf numFmtId="0" fontId="8" fillId="2" borderId="8" xfId="0" applyFont="1" applyFill="1" applyBorder="1" applyAlignment="1">
      <alignment horizontal="right"/>
    </xf>
    <xf numFmtId="167" fontId="5" fillId="0" borderId="0" xfId="3" applyNumberFormat="1" applyFont="1" applyAlignment="1"/>
    <xf numFmtId="170" fontId="8" fillId="2" borderId="7" xfId="2" applyNumberFormat="1" applyFont="1" applyFill="1" applyBorder="1" applyAlignment="1"/>
    <xf numFmtId="167" fontId="11" fillId="0" borderId="0" xfId="3" applyNumberFormat="1" applyFont="1" applyAlignment="1">
      <alignment horizontal="right"/>
    </xf>
    <xf numFmtId="167" fontId="11" fillId="0" borderId="0" xfId="3" applyNumberFormat="1" applyFont="1" applyAlignment="1">
      <alignment horizontal="center" vertical="center"/>
    </xf>
    <xf numFmtId="0" fontId="3" fillId="0" borderId="0" xfId="0" applyFont="1" applyFill="1" applyAlignment="1">
      <alignment horizontal="left"/>
    </xf>
    <xf numFmtId="0" fontId="12" fillId="0" borderId="0" xfId="0" applyFont="1"/>
    <xf numFmtId="0" fontId="3" fillId="2" borderId="1" xfId="0" applyFont="1" applyFill="1" applyBorder="1" applyAlignment="1">
      <alignment horizontal="center"/>
    </xf>
    <xf numFmtId="168" fontId="3" fillId="7" borderId="5" xfId="0" applyNumberFormat="1" applyFont="1" applyFill="1" applyBorder="1" applyAlignment="1">
      <alignment horizontal="center"/>
    </xf>
    <xf numFmtId="0" fontId="8" fillId="9" borderId="9" xfId="0" applyFont="1" applyFill="1" applyBorder="1"/>
    <xf numFmtId="0" fontId="13" fillId="2" borderId="4" xfId="0" applyFont="1" applyFill="1" applyBorder="1" applyAlignment="1">
      <alignment horizontal="center" vertical="center" wrapText="1"/>
    </xf>
    <xf numFmtId="0" fontId="8" fillId="5" borderId="7" xfId="0" applyFont="1" applyFill="1" applyBorder="1" applyAlignment="1">
      <alignment horizontal="center"/>
    </xf>
    <xf numFmtId="0" fontId="8" fillId="9" borderId="9" xfId="0" applyFont="1" applyFill="1" applyBorder="1" applyAlignment="1">
      <alignment horizontal="left" vertical="center"/>
    </xf>
    <xf numFmtId="168" fontId="3" fillId="3" borderId="3" xfId="0" applyNumberFormat="1" applyFont="1" applyFill="1" applyBorder="1" applyAlignment="1">
      <alignment horizontal="center"/>
    </xf>
    <xf numFmtId="3" fontId="3" fillId="10" borderId="4" xfId="0" applyNumberFormat="1" applyFont="1" applyFill="1" applyBorder="1"/>
    <xf numFmtId="0" fontId="3" fillId="7" borderId="0" xfId="0" quotePrefix="1" applyFont="1" applyFill="1" applyBorder="1" applyAlignment="1">
      <alignment horizontal="left" vertical="top"/>
    </xf>
    <xf numFmtId="0" fontId="3" fillId="7" borderId="0" xfId="0" applyFont="1" applyFill="1" applyBorder="1" applyAlignment="1">
      <alignment horizontal="left" vertical="top"/>
    </xf>
    <xf numFmtId="168" fontId="3" fillId="3" borderId="4" xfId="0" applyNumberFormat="1" applyFont="1" applyFill="1" applyBorder="1" applyAlignment="1">
      <alignment horizontal="center" vertical="center"/>
    </xf>
    <xf numFmtId="0" fontId="3" fillId="10" borderId="4" xfId="0" applyFont="1" applyFill="1" applyBorder="1" applyAlignment="1">
      <alignment horizontal="left"/>
    </xf>
    <xf numFmtId="0" fontId="8" fillId="11" borderId="7" xfId="0" applyFont="1" applyFill="1" applyBorder="1" applyAlignment="1">
      <alignment horizontal="left"/>
    </xf>
    <xf numFmtId="0" fontId="8" fillId="11" borderId="7" xfId="0" applyFont="1" applyFill="1" applyBorder="1" applyAlignment="1">
      <alignment horizontal="center"/>
    </xf>
    <xf numFmtId="0" fontId="8" fillId="11" borderId="8" xfId="0" applyFont="1" applyFill="1" applyBorder="1" applyAlignment="1">
      <alignment horizontal="right"/>
    </xf>
    <xf numFmtId="0" fontId="8" fillId="5" borderId="8" xfId="0" applyFont="1" applyFill="1" applyBorder="1" applyAlignment="1">
      <alignment horizontal="center"/>
    </xf>
    <xf numFmtId="168" fontId="3" fillId="3" borderId="8" xfId="0" applyNumberFormat="1" applyFont="1" applyFill="1" applyBorder="1" applyAlignment="1">
      <alignment horizontal="center" vertical="center"/>
    </xf>
    <xf numFmtId="168" fontId="3" fillId="3" borderId="0" xfId="0" applyNumberFormat="1" applyFont="1" applyFill="1" applyBorder="1" applyAlignment="1">
      <alignment horizontal="center" vertical="center"/>
    </xf>
    <xf numFmtId="168" fontId="3" fillId="7" borderId="3" xfId="0" applyNumberFormat="1" applyFont="1" applyFill="1" applyBorder="1" applyAlignment="1">
      <alignment horizontal="center"/>
    </xf>
    <xf numFmtId="168" fontId="3" fillId="7" borderId="2" xfId="0" applyNumberFormat="1" applyFont="1" applyFill="1" applyBorder="1" applyAlignment="1">
      <alignment horizontal="center"/>
    </xf>
    <xf numFmtId="0" fontId="3" fillId="7"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8" fillId="9" borderId="10" xfId="0" applyFont="1" applyFill="1" applyBorder="1" applyAlignment="1">
      <alignment vertical="center"/>
    </xf>
    <xf numFmtId="166" fontId="3" fillId="10" borderId="4" xfId="2" applyNumberFormat="1" applyFont="1" applyFill="1" applyBorder="1" applyAlignment="1">
      <alignment horizontal="right"/>
    </xf>
    <xf numFmtId="0" fontId="8" fillId="11" borderId="8" xfId="0" applyFont="1" applyFill="1" applyBorder="1" applyAlignment="1">
      <alignment horizontal="center"/>
    </xf>
    <xf numFmtId="166" fontId="3" fillId="10" borderId="5" xfId="2" applyNumberFormat="1" applyFont="1" applyFill="1" applyBorder="1"/>
    <xf numFmtId="0" fontId="10" fillId="4" borderId="1" xfId="0" applyFont="1" applyFill="1" applyBorder="1" applyAlignment="1">
      <alignment vertical="top" wrapText="1"/>
    </xf>
    <xf numFmtId="0" fontId="10" fillId="4" borderId="0" xfId="0" applyFont="1" applyFill="1" applyBorder="1" applyAlignment="1">
      <alignment vertical="top" wrapText="1"/>
    </xf>
    <xf numFmtId="0" fontId="14" fillId="0" borderId="0" xfId="0" applyFont="1"/>
    <xf numFmtId="0" fontId="15" fillId="8" borderId="11" xfId="0" applyFont="1" applyFill="1" applyBorder="1"/>
    <xf numFmtId="0" fontId="16" fillId="8" borderId="12" xfId="0" applyFont="1" applyFill="1" applyBorder="1"/>
    <xf numFmtId="0" fontId="17" fillId="5" borderId="4" xfId="0" applyFont="1" applyFill="1" applyBorder="1"/>
    <xf numFmtId="0" fontId="17" fillId="5" borderId="4" xfId="0" applyFont="1" applyFill="1" applyBorder="1" applyAlignment="1">
      <alignment horizontal="center"/>
    </xf>
    <xf numFmtId="0" fontId="17" fillId="5" borderId="5" xfId="0" applyFont="1" applyFill="1" applyBorder="1" applyAlignment="1">
      <alignment horizontal="center"/>
    </xf>
    <xf numFmtId="0" fontId="17" fillId="5" borderId="5" xfId="0" applyFont="1" applyFill="1" applyBorder="1" applyAlignment="1">
      <alignment horizontal="right"/>
    </xf>
    <xf numFmtId="0" fontId="18" fillId="4" borderId="4" xfId="0" applyFont="1" applyFill="1" applyBorder="1"/>
    <xf numFmtId="166" fontId="18" fillId="10" borderId="5" xfId="2" applyNumberFormat="1" applyFont="1" applyFill="1" applyBorder="1" applyAlignment="1">
      <alignment horizontal="right"/>
    </xf>
    <xf numFmtId="166" fontId="18" fillId="10" borderId="5" xfId="2" applyNumberFormat="1" applyFont="1" applyFill="1" applyBorder="1" applyAlignment="1">
      <alignment horizontal="center"/>
    </xf>
    <xf numFmtId="0" fontId="18" fillId="4" borderId="5" xfId="0" applyFont="1" applyFill="1" applyBorder="1"/>
    <xf numFmtId="166" fontId="18" fillId="4" borderId="5" xfId="2" applyNumberFormat="1" applyFont="1" applyFill="1" applyBorder="1" applyAlignment="1">
      <alignment horizontal="center"/>
    </xf>
    <xf numFmtId="0" fontId="17" fillId="5" borderId="10" xfId="0" applyFont="1" applyFill="1" applyBorder="1"/>
    <xf numFmtId="0" fontId="20" fillId="5" borderId="1" xfId="0" applyFont="1" applyFill="1" applyBorder="1"/>
    <xf numFmtId="166" fontId="17" fillId="5" borderId="9" xfId="2" applyNumberFormat="1" applyFont="1" applyFill="1" applyBorder="1"/>
    <xf numFmtId="166" fontId="17" fillId="11" borderId="9" xfId="2" applyNumberFormat="1" applyFont="1" applyFill="1" applyBorder="1"/>
    <xf numFmtId="166" fontId="17" fillId="5" borderId="10" xfId="2" applyNumberFormat="1" applyFont="1" applyFill="1" applyBorder="1"/>
    <xf numFmtId="0" fontId="17" fillId="0" borderId="0" xfId="0" applyFont="1" applyFill="1" applyBorder="1"/>
    <xf numFmtId="0" fontId="20" fillId="0" borderId="0" xfId="0" applyFont="1" applyFill="1" applyBorder="1"/>
    <xf numFmtId="166" fontId="17" fillId="0" borderId="0" xfId="2" applyNumberFormat="1" applyFont="1" applyFill="1" applyBorder="1"/>
    <xf numFmtId="0" fontId="15" fillId="8" borderId="8" xfId="0" applyFont="1" applyFill="1" applyBorder="1"/>
    <xf numFmtId="0" fontId="16" fillId="8" borderId="0" xfId="0" applyFont="1" applyFill="1"/>
    <xf numFmtId="3" fontId="18" fillId="10" borderId="4" xfId="0" applyNumberFormat="1" applyFont="1" applyFill="1" applyBorder="1" applyAlignment="1">
      <alignment horizontal="right"/>
    </xf>
    <xf numFmtId="3" fontId="18" fillId="4" borderId="4" xfId="0" applyNumberFormat="1" applyFont="1" applyFill="1" applyBorder="1" applyAlignment="1">
      <alignment horizontal="right"/>
    </xf>
    <xf numFmtId="0" fontId="14" fillId="0" borderId="6" xfId="0" applyFont="1" applyBorder="1"/>
    <xf numFmtId="0" fontId="17" fillId="5" borderId="6" xfId="0" applyFont="1" applyFill="1" applyBorder="1" applyAlignment="1">
      <alignment horizontal="left"/>
    </xf>
    <xf numFmtId="0" fontId="18" fillId="0" borderId="0" xfId="0" applyFont="1"/>
    <xf numFmtId="0" fontId="19" fillId="0" borderId="0" xfId="0" applyFont="1"/>
    <xf numFmtId="0" fontId="21" fillId="4" borderId="0" xfId="0" applyFont="1" applyFill="1" applyBorder="1" applyAlignment="1">
      <alignment vertical="top" wrapText="1"/>
    </xf>
    <xf numFmtId="0" fontId="21" fillId="4" borderId="0" xfId="0" applyFont="1" applyFill="1" applyBorder="1" applyAlignment="1">
      <alignment horizontal="left" vertical="top" wrapText="1"/>
    </xf>
    <xf numFmtId="0" fontId="18" fillId="4" borderId="8" xfId="0" quotePrefix="1" applyFont="1" applyFill="1" applyBorder="1" applyAlignment="1">
      <alignment vertical="top"/>
    </xf>
    <xf numFmtId="0" fontId="18" fillId="4" borderId="0" xfId="0" applyFont="1" applyFill="1" applyBorder="1" applyAlignment="1">
      <alignment vertical="top"/>
    </xf>
    <xf numFmtId="168" fontId="3" fillId="7" borderId="2" xfId="0" applyNumberFormat="1" applyFont="1" applyFill="1" applyBorder="1" applyAlignment="1">
      <alignment horizontal="left"/>
    </xf>
    <xf numFmtId="0" fontId="17" fillId="5" borderId="4" xfId="0" applyFont="1" applyFill="1" applyBorder="1" applyAlignment="1">
      <alignment horizontal="left"/>
    </xf>
    <xf numFmtId="0" fontId="17" fillId="5" borderId="4" xfId="0" applyFont="1" applyFill="1" applyBorder="1" applyAlignment="1">
      <alignment horizontal="right"/>
    </xf>
    <xf numFmtId="0" fontId="3" fillId="4" borderId="4" xfId="0" quotePrefix="1" applyFont="1" applyFill="1" applyBorder="1"/>
    <xf numFmtId="0" fontId="18" fillId="4" borderId="4" xfId="0" quotePrefix="1" applyFont="1" applyFill="1" applyBorder="1"/>
    <xf numFmtId="0" fontId="17" fillId="11" borderId="4" xfId="0" applyFont="1" applyFill="1" applyBorder="1"/>
    <xf numFmtId="3" fontId="17" fillId="5" borderId="4" xfId="0" applyNumberFormat="1" applyFont="1" applyFill="1" applyBorder="1"/>
    <xf numFmtId="0" fontId="8" fillId="11" borderId="4" xfId="0" applyFont="1" applyFill="1" applyBorder="1" applyAlignment="1">
      <alignment horizontal="left"/>
    </xf>
    <xf numFmtId="0" fontId="8" fillId="11" borderId="4" xfId="0" applyFont="1" applyFill="1" applyBorder="1" applyAlignment="1">
      <alignment horizontal="center"/>
    </xf>
    <xf numFmtId="0" fontId="8" fillId="11" borderId="4" xfId="0" applyFont="1" applyFill="1" applyBorder="1" applyAlignment="1">
      <alignment horizontal="right"/>
    </xf>
    <xf numFmtId="0" fontId="8" fillId="11" borderId="4" xfId="0" applyFont="1" applyFill="1" applyBorder="1"/>
    <xf numFmtId="3" fontId="8" fillId="5" borderId="4" xfId="0" applyNumberFormat="1" applyFont="1" applyFill="1" applyBorder="1"/>
    <xf numFmtId="0" fontId="8" fillId="5" borderId="4" xfId="0" applyFont="1" applyFill="1" applyBorder="1" applyAlignment="1">
      <alignment horizontal="left"/>
    </xf>
    <xf numFmtId="0" fontId="8" fillId="5" borderId="4" xfId="0" applyFont="1" applyFill="1" applyBorder="1" applyAlignment="1">
      <alignment horizontal="center"/>
    </xf>
    <xf numFmtId="0" fontId="8" fillId="5" borderId="4" xfId="0" applyFont="1" applyFill="1" applyBorder="1" applyAlignment="1">
      <alignment horizontal="right"/>
    </xf>
    <xf numFmtId="166" fontId="8" fillId="5" borderId="4" xfId="2" applyNumberFormat="1" applyFont="1" applyFill="1" applyBorder="1"/>
    <xf numFmtId="0" fontId="22" fillId="0" borderId="0" xfId="0" applyFont="1"/>
    <xf numFmtId="0" fontId="24" fillId="8" borderId="8" xfId="0" applyNumberFormat="1" applyFont="1" applyFill="1" applyBorder="1" applyAlignment="1">
      <alignment horizontal="left"/>
    </xf>
    <xf numFmtId="0" fontId="23" fillId="8" borderId="0" xfId="0" applyFont="1" applyFill="1" applyAlignment="1">
      <alignment horizontal="center"/>
    </xf>
    <xf numFmtId="2" fontId="23" fillId="8" borderId="0" xfId="0" applyNumberFormat="1" applyFont="1" applyFill="1" applyAlignment="1">
      <alignment horizontal="center"/>
    </xf>
    <xf numFmtId="1" fontId="23" fillId="8" borderId="0" xfId="0" applyNumberFormat="1" applyFont="1" applyFill="1" applyAlignment="1">
      <alignment horizontal="left"/>
    </xf>
    <xf numFmtId="2" fontId="23" fillId="8" borderId="0" xfId="0" applyNumberFormat="1" applyFont="1" applyFill="1" applyAlignment="1">
      <alignment horizontal="left"/>
    </xf>
    <xf numFmtId="0" fontId="23" fillId="8" borderId="0" xfId="0" applyFont="1" applyFill="1" applyAlignment="1">
      <alignment horizontal="left"/>
    </xf>
    <xf numFmtId="0" fontId="22" fillId="0" borderId="0" xfId="0" applyFont="1" applyFill="1"/>
    <xf numFmtId="0" fontId="23" fillId="0" borderId="0" xfId="0" applyFont="1" applyFill="1" applyAlignment="1">
      <alignment horizontal="left"/>
    </xf>
    <xf numFmtId="0" fontId="23" fillId="0" borderId="0" xfId="0" applyFont="1" applyFill="1" applyAlignment="1">
      <alignment horizontal="center"/>
    </xf>
    <xf numFmtId="2" fontId="23" fillId="0" borderId="0" xfId="0" applyNumberFormat="1" applyFont="1" applyFill="1" applyAlignment="1">
      <alignment horizontal="center"/>
    </xf>
    <xf numFmtId="1" fontId="23" fillId="0" borderId="0" xfId="0" applyNumberFormat="1" applyFont="1" applyFill="1" applyAlignment="1">
      <alignment horizontal="left"/>
    </xf>
    <xf numFmtId="2" fontId="23" fillId="0" borderId="0" xfId="0" applyNumberFormat="1" applyFont="1" applyFill="1" applyAlignment="1">
      <alignment horizontal="left"/>
    </xf>
    <xf numFmtId="0" fontId="23" fillId="8" borderId="9" xfId="0" applyFont="1" applyFill="1" applyBorder="1" applyAlignment="1">
      <alignment horizontal="center" vertical="center"/>
    </xf>
    <xf numFmtId="2" fontId="23" fillId="8" borderId="4" xfId="0" applyNumberFormat="1" applyFont="1" applyFill="1" applyBorder="1" applyAlignment="1">
      <alignment horizontal="center" vertical="center" wrapText="1"/>
    </xf>
    <xf numFmtId="1" fontId="23" fillId="8" borderId="4" xfId="0" applyNumberFormat="1" applyFont="1" applyFill="1" applyBorder="1" applyAlignment="1">
      <alignment horizontal="center" vertical="center" wrapText="1"/>
    </xf>
    <xf numFmtId="0" fontId="23" fillId="8" borderId="4" xfId="0" applyFont="1" applyFill="1" applyBorder="1" applyAlignment="1">
      <alignment horizontal="center" vertical="center" wrapText="1"/>
    </xf>
    <xf numFmtId="0" fontId="22" fillId="0" borderId="8" xfId="0" applyFont="1" applyBorder="1"/>
    <xf numFmtId="168" fontId="25" fillId="9" borderId="0" xfId="0" applyNumberFormat="1" applyFont="1" applyFill="1" applyBorder="1" applyAlignment="1">
      <alignment horizontal="left"/>
    </xf>
    <xf numFmtId="0" fontId="26" fillId="10" borderId="4" xfId="0" applyFont="1" applyFill="1" applyBorder="1" applyAlignment="1">
      <alignment horizontal="left" vertical="center"/>
    </xf>
    <xf numFmtId="0" fontId="26" fillId="10" borderId="4" xfId="0" applyFont="1" applyFill="1" applyBorder="1" applyAlignment="1">
      <alignment horizontal="center"/>
    </xf>
    <xf numFmtId="2" fontId="26" fillId="10" borderId="4" xfId="0" applyNumberFormat="1" applyFont="1" applyFill="1" applyBorder="1" applyAlignment="1">
      <alignment horizontal="center"/>
    </xf>
    <xf numFmtId="1" fontId="26" fillId="10" borderId="4" xfId="0" applyNumberFormat="1" applyFont="1" applyFill="1" applyBorder="1" applyAlignment="1">
      <alignment horizontal="center"/>
    </xf>
    <xf numFmtId="2" fontId="26" fillId="10" borderId="4" xfId="3" applyNumberFormat="1" applyFont="1" applyFill="1" applyBorder="1" applyAlignment="1">
      <alignment horizontal="center"/>
    </xf>
    <xf numFmtId="168" fontId="26" fillId="10" borderId="4" xfId="0" applyNumberFormat="1" applyFont="1" applyFill="1" applyBorder="1" applyAlignment="1">
      <alignment horizontal="center"/>
    </xf>
    <xf numFmtId="1" fontId="26" fillId="10" borderId="10" xfId="0" applyNumberFormat="1" applyFont="1" applyFill="1" applyBorder="1" applyAlignment="1">
      <alignment horizontal="center"/>
    </xf>
    <xf numFmtId="2" fontId="26" fillId="10" borderId="10" xfId="3" applyNumberFormat="1" applyFont="1" applyFill="1" applyBorder="1" applyAlignment="1">
      <alignment horizontal="center"/>
    </xf>
    <xf numFmtId="0" fontId="22" fillId="0" borderId="6" xfId="0" applyFont="1" applyBorder="1"/>
    <xf numFmtId="0" fontId="26" fillId="10" borderId="1" xfId="0" applyFont="1" applyFill="1" applyBorder="1" applyAlignment="1">
      <alignment horizontal="left" vertical="center" wrapText="1"/>
    </xf>
    <xf numFmtId="0" fontId="26" fillId="10" borderId="4" xfId="0" applyFont="1" applyFill="1" applyBorder="1" applyAlignment="1">
      <alignment horizontal="center" vertical="center"/>
    </xf>
    <xf numFmtId="2" fontId="26" fillId="10" borderId="4" xfId="0" applyNumberFormat="1" applyFont="1" applyFill="1" applyBorder="1" applyAlignment="1">
      <alignment horizontal="center" vertical="center"/>
    </xf>
    <xf numFmtId="1" fontId="26" fillId="10" borderId="4" xfId="0" applyNumberFormat="1" applyFont="1" applyFill="1" applyBorder="1" applyAlignment="1">
      <alignment horizontal="center" vertical="center"/>
    </xf>
    <xf numFmtId="2" fontId="26" fillId="10" borderId="4" xfId="3" applyNumberFormat="1" applyFont="1" applyFill="1" applyBorder="1" applyAlignment="1">
      <alignment horizontal="center" vertical="center"/>
    </xf>
    <xf numFmtId="0" fontId="26" fillId="10" borderId="4" xfId="0" applyFont="1" applyFill="1" applyBorder="1" applyAlignment="1">
      <alignment horizontal="left" vertical="center" wrapText="1"/>
    </xf>
    <xf numFmtId="0" fontId="22" fillId="0" borderId="0" xfId="0" applyFont="1" applyBorder="1"/>
    <xf numFmtId="2" fontId="25" fillId="11" borderId="4" xfId="0" applyNumberFormat="1" applyFont="1" applyFill="1" applyBorder="1" applyAlignment="1">
      <alignment horizontal="center"/>
    </xf>
    <xf numFmtId="0" fontId="27" fillId="0" borderId="0" xfId="0" applyFont="1"/>
    <xf numFmtId="0" fontId="27" fillId="0" borderId="0" xfId="0" applyFont="1" applyAlignment="1">
      <alignment horizontal="center"/>
    </xf>
    <xf numFmtId="2" fontId="27" fillId="0" borderId="0" xfId="0" applyNumberFormat="1" applyFont="1" applyBorder="1" applyAlignment="1">
      <alignment horizontal="center"/>
    </xf>
    <xf numFmtId="1" fontId="27" fillId="0" borderId="0" xfId="0" applyNumberFormat="1" applyFont="1"/>
    <xf numFmtId="2" fontId="27" fillId="0" borderId="0" xfId="0" applyNumberFormat="1" applyFont="1" applyBorder="1"/>
    <xf numFmtId="168" fontId="27" fillId="0" borderId="1" xfId="0" applyNumberFormat="1" applyFont="1" applyBorder="1" applyAlignment="1">
      <alignment horizontal="center"/>
    </xf>
    <xf numFmtId="0" fontId="22" fillId="0" borderId="0" xfId="0" applyFont="1" applyAlignment="1">
      <alignment horizontal="center"/>
    </xf>
    <xf numFmtId="2" fontId="22" fillId="0" borderId="0" xfId="0" applyNumberFormat="1" applyFont="1" applyAlignment="1">
      <alignment horizontal="center"/>
    </xf>
    <xf numFmtId="1" fontId="22" fillId="0" borderId="0" xfId="0" applyNumberFormat="1" applyFont="1"/>
    <xf numFmtId="2" fontId="22" fillId="0" borderId="0" xfId="0" applyNumberFormat="1" applyFont="1"/>
    <xf numFmtId="168" fontId="22" fillId="0" borderId="0" xfId="0" applyNumberFormat="1" applyFont="1" applyAlignment="1">
      <alignment horizontal="center"/>
    </xf>
    <xf numFmtId="0" fontId="29" fillId="2" borderId="4" xfId="0" applyFont="1" applyFill="1" applyBorder="1" applyAlignment="1">
      <alignment horizontal="center" vertical="center"/>
    </xf>
    <xf numFmtId="166" fontId="19" fillId="11" borderId="5" xfId="2" applyNumberFormat="1" applyFont="1" applyFill="1" applyBorder="1"/>
    <xf numFmtId="3" fontId="19" fillId="11" borderId="4" xfId="0" applyNumberFormat="1" applyFont="1" applyFill="1" applyBorder="1"/>
    <xf numFmtId="0" fontId="23" fillId="8" borderId="8" xfId="0" applyFont="1" applyFill="1" applyBorder="1" applyAlignment="1"/>
    <xf numFmtId="0" fontId="23" fillId="8" borderId="0" xfId="0" applyFont="1" applyFill="1" applyBorder="1" applyAlignment="1"/>
    <xf numFmtId="2" fontId="23" fillId="8" borderId="9" xfId="0" applyNumberFormat="1" applyFont="1" applyFill="1" applyBorder="1" applyAlignment="1">
      <alignment horizontal="center" vertical="center" wrapText="1"/>
    </xf>
    <xf numFmtId="1" fontId="23" fillId="8" borderId="9" xfId="0" applyNumberFormat="1" applyFont="1" applyFill="1" applyBorder="1" applyAlignment="1">
      <alignment horizontal="center" vertical="center" wrapText="1"/>
    </xf>
    <xf numFmtId="168" fontId="25" fillId="9" borderId="0" xfId="0" applyNumberFormat="1" applyFont="1" applyFill="1" applyBorder="1" applyAlignment="1"/>
    <xf numFmtId="168" fontId="25" fillId="9" borderId="5" xfId="0" applyNumberFormat="1" applyFont="1" applyFill="1" applyBorder="1" applyAlignment="1"/>
    <xf numFmtId="168" fontId="25" fillId="9" borderId="2" xfId="0" applyNumberFormat="1" applyFont="1" applyFill="1" applyBorder="1" applyAlignment="1"/>
    <xf numFmtId="2" fontId="6" fillId="8" borderId="9" xfId="0" applyNumberFormat="1" applyFont="1" applyFill="1" applyBorder="1" applyAlignment="1">
      <alignment horizontal="center" vertical="center" wrapText="1"/>
    </xf>
    <xf numFmtId="0" fontId="6" fillId="8" borderId="9" xfId="0" applyFont="1" applyFill="1" applyBorder="1" applyAlignment="1">
      <alignment horizontal="center" vertical="center" wrapText="1"/>
    </xf>
    <xf numFmtId="2" fontId="5" fillId="10" borderId="4" xfId="3" applyNumberFormat="1" applyFont="1" applyFill="1" applyBorder="1" applyAlignment="1">
      <alignment horizontal="center"/>
    </xf>
    <xf numFmtId="0" fontId="22" fillId="0" borderId="12" xfId="0" applyFont="1" applyBorder="1"/>
    <xf numFmtId="3" fontId="5" fillId="10" borderId="4" xfId="3" applyNumberFormat="1" applyFont="1" applyFill="1" applyBorder="1" applyAlignment="1">
      <alignment horizontal="center"/>
    </xf>
    <xf numFmtId="0" fontId="27" fillId="0" borderId="1" xfId="0" applyFont="1" applyBorder="1"/>
    <xf numFmtId="0" fontId="23" fillId="8" borderId="13" xfId="0" applyFont="1" applyFill="1" applyBorder="1" applyAlignment="1">
      <alignment horizontal="left"/>
    </xf>
    <xf numFmtId="0" fontId="24" fillId="8" borderId="11" xfId="0" applyNumberFormat="1" applyFont="1" applyFill="1" applyBorder="1" applyAlignment="1">
      <alignment horizontal="left"/>
    </xf>
    <xf numFmtId="0" fontId="23" fillId="8" borderId="12" xfId="0" applyFont="1" applyFill="1" applyBorder="1" applyAlignment="1">
      <alignment horizontal="center"/>
    </xf>
    <xf numFmtId="2" fontId="23" fillId="8" borderId="12" xfId="0" applyNumberFormat="1" applyFont="1" applyFill="1" applyBorder="1" applyAlignment="1">
      <alignment horizontal="center"/>
    </xf>
    <xf numFmtId="1" fontId="23" fillId="8" borderId="12" xfId="0" applyNumberFormat="1" applyFont="1" applyFill="1" applyBorder="1" applyAlignment="1">
      <alignment horizontal="left"/>
    </xf>
    <xf numFmtId="2" fontId="23" fillId="8" borderId="12" xfId="0" applyNumberFormat="1" applyFont="1" applyFill="1" applyBorder="1" applyAlignment="1">
      <alignment horizontal="left"/>
    </xf>
    <xf numFmtId="0" fontId="23" fillId="8" borderId="12" xfId="0" applyFont="1" applyFill="1" applyBorder="1" applyAlignment="1">
      <alignment horizontal="left"/>
    </xf>
    <xf numFmtId="0" fontId="23" fillId="8" borderId="15" xfId="0" applyFont="1" applyFill="1" applyBorder="1" applyAlignment="1">
      <alignment horizontal="left"/>
    </xf>
    <xf numFmtId="168" fontId="25" fillId="9" borderId="1" xfId="0" applyNumberFormat="1" applyFont="1" applyFill="1" applyBorder="1" applyAlignment="1"/>
    <xf numFmtId="168" fontId="25" fillId="9" borderId="13" xfId="0" applyNumberFormat="1" applyFont="1" applyFill="1" applyBorder="1" applyAlignment="1"/>
    <xf numFmtId="168" fontId="8" fillId="9" borderId="1" xfId="0" applyNumberFormat="1" applyFont="1" applyFill="1" applyBorder="1" applyAlignment="1"/>
    <xf numFmtId="168" fontId="8" fillId="9" borderId="13" xfId="0" applyNumberFormat="1" applyFont="1" applyFill="1" applyBorder="1" applyAlignment="1">
      <alignment horizontal="left"/>
    </xf>
    <xf numFmtId="10" fontId="0" fillId="0" borderId="0" xfId="1" applyNumberFormat="1" applyFont="1"/>
    <xf numFmtId="10" fontId="0" fillId="0" borderId="0" xfId="0" applyNumberFormat="1"/>
    <xf numFmtId="0" fontId="30" fillId="0" borderId="0" xfId="0" applyFont="1"/>
    <xf numFmtId="165" fontId="6" fillId="15" borderId="4" xfId="3" applyFont="1" applyFill="1" applyBorder="1" applyAlignment="1">
      <alignment horizontal="left"/>
    </xf>
    <xf numFmtId="165" fontId="6"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1" fontId="3" fillId="5" borderId="4" xfId="3" applyNumberFormat="1" applyFont="1" applyFill="1" applyBorder="1"/>
    <xf numFmtId="165" fontId="7" fillId="5" borderId="4" xfId="3" applyFont="1" applyFill="1" applyBorder="1"/>
    <xf numFmtId="171" fontId="7" fillId="5" borderId="4" xfId="3" applyNumberFormat="1" applyFont="1" applyFill="1" applyBorder="1"/>
    <xf numFmtId="0" fontId="7" fillId="5" borderId="5" xfId="0" applyFont="1" applyFill="1" applyBorder="1"/>
    <xf numFmtId="0" fontId="0" fillId="0" borderId="0" xfId="0" applyFont="1"/>
    <xf numFmtId="0" fontId="7" fillId="5" borderId="0" xfId="0" applyFont="1" applyFill="1" applyBorder="1"/>
    <xf numFmtId="0" fontId="28" fillId="0" borderId="0" xfId="0" applyFont="1"/>
    <xf numFmtId="0" fontId="8" fillId="0" borderId="8" xfId="0" applyFont="1" applyFill="1" applyBorder="1"/>
    <xf numFmtId="0" fontId="31" fillId="4" borderId="5" xfId="0" applyFont="1" applyFill="1" applyBorder="1"/>
    <xf numFmtId="0" fontId="7" fillId="4" borderId="5" xfId="0" applyFont="1" applyFill="1" applyBorder="1"/>
    <xf numFmtId="165" fontId="32" fillId="10" borderId="4" xfId="3" applyFont="1" applyFill="1" applyBorder="1"/>
    <xf numFmtId="165" fontId="3" fillId="10" borderId="4" xfId="3" applyFont="1" applyFill="1" applyBorder="1"/>
    <xf numFmtId="165" fontId="7" fillId="5" borderId="4" xfId="3" applyFont="1" applyFill="1" applyBorder="1" applyAlignment="1">
      <alignment horizontal="left"/>
    </xf>
    <xf numFmtId="165" fontId="32" fillId="5" borderId="4" xfId="3" applyFont="1" applyFill="1" applyBorder="1"/>
    <xf numFmtId="0" fontId="7" fillId="4" borderId="4" xfId="0" applyFont="1" applyFill="1" applyBorder="1" applyAlignment="1">
      <alignment horizontal="left"/>
    </xf>
    <xf numFmtId="165" fontId="33" fillId="10" borderId="4" xfId="3" applyFont="1" applyFill="1" applyBorder="1"/>
    <xf numFmtId="165" fontId="7" fillId="10" borderId="4" xfId="3" applyFont="1" applyFill="1" applyBorder="1"/>
    <xf numFmtId="0" fontId="3" fillId="4" borderId="7" xfId="0" applyFont="1" applyFill="1" applyBorder="1" applyAlignment="1">
      <alignment horizontal="left"/>
    </xf>
    <xf numFmtId="171" fontId="3" fillId="10" borderId="4" xfId="3" applyNumberFormat="1" applyFont="1" applyFill="1" applyBorder="1"/>
    <xf numFmtId="166" fontId="7" fillId="11" borderId="4" xfId="2" applyNumberFormat="1" applyFont="1" applyFill="1" applyBorder="1"/>
    <xf numFmtId="3" fontId="7" fillId="11" borderId="4" xfId="0" applyNumberFormat="1" applyFont="1" applyFill="1" applyBorder="1"/>
    <xf numFmtId="0" fontId="3" fillId="4" borderId="3" xfId="0" applyFont="1" applyFill="1" applyBorder="1" applyAlignment="1">
      <alignment horizontal="left" indent="1"/>
    </xf>
    <xf numFmtId="0" fontId="7" fillId="4" borderId="4" xfId="0" applyFont="1" applyFill="1" applyBorder="1"/>
    <xf numFmtId="166" fontId="3" fillId="10" borderId="5" xfId="2" applyNumberFormat="1" applyFont="1" applyFill="1" applyBorder="1" applyAlignment="1">
      <alignment horizontal="center"/>
    </xf>
    <xf numFmtId="166" fontId="7" fillId="5" borderId="5" xfId="2" applyNumberFormat="1" applyFont="1" applyFill="1" applyBorder="1" applyAlignment="1">
      <alignment horizontal="center"/>
    </xf>
    <xf numFmtId="0" fontId="7" fillId="4" borderId="3" xfId="0" applyFont="1" applyFill="1" applyBorder="1"/>
    <xf numFmtId="166" fontId="7" fillId="10" borderId="5" xfId="2" applyNumberFormat="1" applyFont="1" applyFill="1" applyBorder="1" applyAlignment="1">
      <alignment horizontal="center"/>
    </xf>
    <xf numFmtId="166" fontId="7" fillId="11" borderId="5" xfId="2" applyNumberFormat="1" applyFont="1" applyFill="1" applyBorder="1"/>
    <xf numFmtId="0" fontId="5" fillId="10" borderId="14" xfId="0" applyFont="1" applyFill="1" applyBorder="1" applyAlignment="1">
      <alignment horizontal="left" vertical="center"/>
    </xf>
    <xf numFmtId="0" fontId="17" fillId="5" borderId="5" xfId="0" applyFont="1" applyFill="1" applyBorder="1"/>
    <xf numFmtId="0" fontId="20" fillId="5" borderId="2" xfId="0" applyFont="1" applyFill="1" applyBorder="1"/>
    <xf numFmtId="0" fontId="20" fillId="5" borderId="3" xfId="0" applyFont="1" applyFill="1" applyBorder="1"/>
    <xf numFmtId="165" fontId="33" fillId="5" borderId="4" xfId="3" applyFont="1" applyFill="1" applyBorder="1"/>
    <xf numFmtId="0" fontId="3" fillId="7" borderId="1" xfId="0" applyFont="1" applyFill="1" applyBorder="1" applyAlignment="1">
      <alignment horizontal="left" wrapText="1"/>
    </xf>
    <xf numFmtId="0" fontId="3" fillId="7" borderId="0" xfId="0" applyFont="1" applyFill="1" applyBorder="1" applyAlignment="1">
      <alignment horizontal="left" wrapText="1"/>
    </xf>
    <xf numFmtId="0" fontId="3" fillId="7" borderId="0" xfId="0" quotePrefix="1" applyFont="1" applyFill="1" applyBorder="1" applyAlignment="1">
      <alignment horizontal="left" vertical="top" wrapText="1"/>
    </xf>
    <xf numFmtId="168" fontId="5" fillId="7" borderId="2" xfId="0" applyNumberFormat="1" applyFont="1" applyFill="1" applyBorder="1" applyAlignment="1">
      <alignment horizontal="left"/>
    </xf>
    <xf numFmtId="168" fontId="5" fillId="7" borderId="3" xfId="0" applyNumberFormat="1" applyFont="1" applyFill="1" applyBorder="1" applyAlignment="1">
      <alignment horizontal="left"/>
    </xf>
    <xf numFmtId="0" fontId="2" fillId="7" borderId="1" xfId="0" applyFont="1" applyFill="1" applyBorder="1" applyAlignment="1">
      <alignment horizontal="left" vertical="top" wrapText="1"/>
    </xf>
    <xf numFmtId="0" fontId="2" fillId="7" borderId="0" xfId="0" applyFont="1" applyFill="1" applyBorder="1" applyAlignment="1">
      <alignment horizontal="left" vertical="top" wrapText="1"/>
    </xf>
    <xf numFmtId="0" fontId="7" fillId="7" borderId="5" xfId="0" applyNumberFormat="1" applyFont="1" applyFill="1" applyBorder="1" applyAlignment="1">
      <alignment horizontal="left" wrapText="1"/>
    </xf>
    <xf numFmtId="0" fontId="7" fillId="7" borderId="2" xfId="0" applyNumberFormat="1" applyFont="1" applyFill="1" applyBorder="1" applyAlignment="1">
      <alignment horizontal="left" wrapText="1"/>
    </xf>
    <xf numFmtId="0" fontId="8" fillId="9" borderId="10" xfId="0" applyFont="1" applyFill="1" applyBorder="1" applyAlignment="1">
      <alignment horizontal="left" vertical="center"/>
    </xf>
    <xf numFmtId="0" fontId="8" fillId="9" borderId="8" xfId="0" applyFont="1" applyFill="1" applyBorder="1" applyAlignment="1">
      <alignment horizontal="left" vertical="center"/>
    </xf>
    <xf numFmtId="0" fontId="8" fillId="9" borderId="11" xfId="0" applyFont="1" applyFill="1" applyBorder="1" applyAlignment="1">
      <alignment horizontal="left" vertical="center"/>
    </xf>
    <xf numFmtId="0" fontId="2" fillId="4" borderId="1" xfId="0" applyNumberFormat="1" applyFont="1" applyFill="1" applyBorder="1" applyAlignment="1">
      <alignment horizontal="left" vertical="top" wrapText="1"/>
    </xf>
    <xf numFmtId="0" fontId="3" fillId="4" borderId="1" xfId="0" applyNumberFormat="1" applyFont="1" applyFill="1" applyBorder="1" applyAlignment="1">
      <alignment horizontal="left" vertical="top" wrapText="1"/>
    </xf>
    <xf numFmtId="0" fontId="3" fillId="4" borderId="0" xfId="0" applyNumberFormat="1" applyFont="1" applyFill="1" applyBorder="1" applyAlignment="1">
      <alignment horizontal="left" vertical="top" wrapText="1"/>
    </xf>
    <xf numFmtId="0" fontId="7" fillId="9" borderId="8" xfId="0" applyFont="1" applyFill="1" applyBorder="1" applyAlignment="1">
      <alignment horizontal="left"/>
    </xf>
    <xf numFmtId="0" fontId="7" fillId="9" borderId="0" xfId="0" applyFont="1" applyFill="1" applyBorder="1" applyAlignment="1">
      <alignment horizontal="left"/>
    </xf>
    <xf numFmtId="0" fontId="6"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21" fillId="4" borderId="10" xfId="0" applyFont="1" applyFill="1" applyBorder="1" applyAlignment="1">
      <alignment horizontal="left" vertical="top" wrapText="1"/>
    </xf>
    <xf numFmtId="0" fontId="21" fillId="4" borderId="1" xfId="0" applyFont="1" applyFill="1" applyBorder="1" applyAlignment="1">
      <alignment horizontal="left" vertical="top" wrapText="1"/>
    </xf>
    <xf numFmtId="0" fontId="21" fillId="4" borderId="8" xfId="0" applyFont="1" applyFill="1" applyBorder="1" applyAlignment="1">
      <alignment horizontal="left" vertical="top" wrapText="1"/>
    </xf>
    <xf numFmtId="0" fontId="21" fillId="4" borderId="0" xfId="0" applyFont="1" applyFill="1" applyBorder="1" applyAlignment="1">
      <alignment horizontal="left" vertical="top" wrapText="1"/>
    </xf>
    <xf numFmtId="0" fontId="18" fillId="4" borderId="1" xfId="0" quotePrefix="1" applyFont="1" applyFill="1" applyBorder="1" applyAlignment="1">
      <alignment horizontal="left" vertical="top" wrapText="1"/>
    </xf>
    <xf numFmtId="0" fontId="18" fillId="4" borderId="8" xfId="0" quotePrefix="1" applyFont="1" applyFill="1" applyBorder="1" applyAlignment="1">
      <alignment horizontal="left" vertical="top" wrapText="1"/>
    </xf>
    <xf numFmtId="0" fontId="18" fillId="4" borderId="0" xfId="0" quotePrefix="1" applyFont="1" applyFill="1" applyBorder="1" applyAlignment="1">
      <alignment horizontal="left" vertical="top" wrapText="1"/>
    </xf>
    <xf numFmtId="0" fontId="23" fillId="8" borderId="10" xfId="0" applyFont="1" applyFill="1" applyBorder="1" applyAlignment="1">
      <alignment horizontal="left"/>
    </xf>
    <xf numFmtId="0" fontId="23" fillId="8" borderId="1" xfId="0" applyFont="1" applyFill="1" applyBorder="1" applyAlignment="1">
      <alignment horizontal="left"/>
    </xf>
    <xf numFmtId="0" fontId="25" fillId="11" borderId="5" xfId="0" applyFont="1" applyFill="1" applyBorder="1" applyAlignment="1">
      <alignment horizontal="left" vertical="center"/>
    </xf>
    <xf numFmtId="0" fontId="25" fillId="11" borderId="2" xfId="0" applyFont="1" applyFill="1" applyBorder="1" applyAlignment="1">
      <alignment horizontal="left" vertical="center"/>
    </xf>
    <xf numFmtId="0" fontId="25" fillId="11" borderId="3" xfId="0" applyFont="1" applyFill="1" applyBorder="1" applyAlignment="1">
      <alignment horizontal="left" vertical="center"/>
    </xf>
    <xf numFmtId="168" fontId="25" fillId="9" borderId="5" xfId="0" applyNumberFormat="1" applyFont="1" applyFill="1" applyBorder="1" applyAlignment="1">
      <alignment horizontal="left"/>
    </xf>
    <xf numFmtId="168" fontId="25" fillId="9" borderId="1" xfId="0" applyNumberFormat="1" applyFont="1" applyFill="1" applyBorder="1" applyAlignment="1">
      <alignment horizontal="left"/>
    </xf>
    <xf numFmtId="168" fontId="25" fillId="9" borderId="13" xfId="0" applyNumberFormat="1" applyFont="1" applyFill="1" applyBorder="1" applyAlignment="1">
      <alignment horizontal="left"/>
    </xf>
    <xf numFmtId="0" fontId="6" fillId="12" borderId="0" xfId="0" applyFont="1" applyFill="1" applyBorder="1" applyAlignment="1">
      <alignment horizontal="center"/>
    </xf>
    <xf numFmtId="2" fontId="6" fillId="13" borderId="0" xfId="0" applyNumberFormat="1" applyFont="1" applyFill="1" applyAlignment="1">
      <alignment horizontal="center"/>
    </xf>
    <xf numFmtId="0" fontId="3" fillId="4" borderId="1"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10" fontId="30" fillId="14" borderId="12" xfId="0" applyNumberFormat="1" applyFont="1" applyFill="1" applyBorder="1" applyAlignment="1">
      <alignment horizontal="center"/>
    </xf>
    <xf numFmtId="10" fontId="30" fillId="14" borderId="0" xfId="0" applyNumberFormat="1"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5" fillId="4" borderId="1" xfId="0" applyFont="1" applyFill="1" applyBorder="1" applyAlignment="1">
      <alignment horizontal="left" vertical="top"/>
    </xf>
    <xf numFmtId="0" fontId="5" fillId="4" borderId="0" xfId="0" applyFont="1" applyFill="1" applyBorder="1" applyAlignment="1">
      <alignment horizontal="left" vertical="top"/>
    </xf>
    <xf numFmtId="0" fontId="6" fillId="8" borderId="12" xfId="0" applyFont="1" applyFill="1" applyBorder="1" applyAlignment="1">
      <alignment horizontal="center"/>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A6A6A6"/>
      <color rgb="FFD9D9D9"/>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73"/>
  <sheetViews>
    <sheetView showGridLines="0" zoomScale="90" zoomScaleNormal="90" workbookViewId="0">
      <selection activeCell="B12" sqref="B12:H24"/>
    </sheetView>
  </sheetViews>
  <sheetFormatPr defaultColWidth="9.140625" defaultRowHeight="12.75" x14ac:dyDescent="0.2"/>
  <cols>
    <col min="1" max="1" width="2.42578125" style="1" customWidth="1"/>
    <col min="2" max="2" width="41.85546875" style="1" customWidth="1"/>
    <col min="3" max="3" width="33.85546875" style="1" customWidth="1"/>
    <col min="4" max="4" width="14.2851562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38" t="s">
        <v>7</v>
      </c>
      <c r="C2" s="25"/>
      <c r="D2" s="25"/>
      <c r="E2" s="25"/>
      <c r="F2" s="25"/>
      <c r="G2" s="25"/>
      <c r="H2" s="25"/>
      <c r="O2" s="33"/>
      <c r="P2" s="33"/>
      <c r="Q2" s="33"/>
      <c r="R2" s="33"/>
      <c r="S2" s="33"/>
    </row>
    <row r="3" spans="2:19" ht="75.75" customHeight="1" x14ac:dyDescent="0.2">
      <c r="B3" s="40" t="s">
        <v>59</v>
      </c>
      <c r="C3" s="266" t="s">
        <v>70</v>
      </c>
      <c r="D3" s="267"/>
      <c r="E3" s="267"/>
      <c r="F3" s="267"/>
      <c r="G3" s="267"/>
      <c r="H3" s="267"/>
      <c r="M3" s="41"/>
      <c r="N3" s="41"/>
      <c r="O3" s="33"/>
      <c r="P3" s="33"/>
      <c r="Q3" s="33"/>
      <c r="R3" s="33"/>
      <c r="S3" s="33"/>
    </row>
    <row r="4" spans="2:19" ht="55.5" customHeight="1" x14ac:dyDescent="0.2">
      <c r="B4" s="70"/>
      <c r="C4" s="68"/>
      <c r="D4" s="71" t="s">
        <v>56</v>
      </c>
      <c r="E4" s="71" t="s">
        <v>57</v>
      </c>
      <c r="F4" s="71" t="s">
        <v>58</v>
      </c>
      <c r="G4" s="71" t="s">
        <v>67</v>
      </c>
      <c r="H4" s="71" t="s">
        <v>87</v>
      </c>
      <c r="M4" s="41"/>
      <c r="N4" s="41"/>
      <c r="O4" s="33"/>
      <c r="P4" s="33"/>
      <c r="Q4" s="33"/>
      <c r="R4" s="33"/>
      <c r="S4" s="33"/>
    </row>
    <row r="5" spans="2:19" x14ac:dyDescent="0.2">
      <c r="B5" s="40" t="s">
        <v>13</v>
      </c>
      <c r="C5" s="68"/>
      <c r="D5" s="191" t="s">
        <v>47</v>
      </c>
      <c r="E5" s="191" t="s">
        <v>47</v>
      </c>
      <c r="F5" s="191" t="s">
        <v>47</v>
      </c>
      <c r="G5" s="191" t="s">
        <v>47</v>
      </c>
      <c r="H5" s="191" t="s">
        <v>47</v>
      </c>
      <c r="M5" s="41"/>
      <c r="N5" s="41"/>
      <c r="O5" s="33"/>
      <c r="P5" s="33"/>
      <c r="Q5" s="33"/>
      <c r="R5" s="33"/>
      <c r="S5" s="33"/>
    </row>
    <row r="6" spans="2:19" x14ac:dyDescent="0.2">
      <c r="B6" s="73" t="s">
        <v>41</v>
      </c>
      <c r="C6" s="69"/>
      <c r="D6" s="42">
        <v>2705.05</v>
      </c>
      <c r="E6" s="42">
        <v>2705.05</v>
      </c>
      <c r="F6" s="42">
        <v>2705.05</v>
      </c>
      <c r="G6" s="42">
        <v>2705.05</v>
      </c>
      <c r="H6" s="42">
        <v>2705.05</v>
      </c>
      <c r="M6" s="41"/>
      <c r="N6" s="41"/>
      <c r="O6" s="33"/>
      <c r="P6" s="33"/>
      <c r="Q6" s="33"/>
      <c r="R6" s="33"/>
      <c r="S6" s="33"/>
    </row>
    <row r="7" spans="2:19" x14ac:dyDescent="0.2">
      <c r="B7" s="268" t="s">
        <v>131</v>
      </c>
      <c r="C7" s="86" t="s">
        <v>98</v>
      </c>
      <c r="D7" s="74">
        <f>'Proposed price'!Q20</f>
        <v>2895.5041189578137</v>
      </c>
      <c r="E7" s="78">
        <f>'Proposed price'!Q20</f>
        <v>2895.5041189578137</v>
      </c>
      <c r="F7" s="78">
        <f>'Proposed price'!Q20</f>
        <v>2895.5041189578137</v>
      </c>
      <c r="G7" s="78">
        <f>'Proposed price'!Q20</f>
        <v>2895.5041189578137</v>
      </c>
      <c r="H7" s="78">
        <f>'Proposed price'!Q20</f>
        <v>2895.5041189578137</v>
      </c>
      <c r="O7" s="33"/>
      <c r="P7" s="33"/>
      <c r="Q7" s="33"/>
      <c r="R7" s="33"/>
      <c r="S7" s="33"/>
    </row>
    <row r="8" spans="2:19" x14ac:dyDescent="0.2">
      <c r="B8" s="269"/>
      <c r="C8" s="87" t="s">
        <v>99</v>
      </c>
      <c r="D8" s="74">
        <f>'Proposed price'!Q40</f>
        <v>4021.4187628567565</v>
      </c>
      <c r="E8" s="84">
        <f>'Proposed price'!Q40</f>
        <v>4021.4187628567565</v>
      </c>
      <c r="F8" s="85">
        <f>'Proposed price'!Q40</f>
        <v>4021.4187628567565</v>
      </c>
      <c r="G8" s="85">
        <f>'Proposed price'!Q40</f>
        <v>4021.4187628567565</v>
      </c>
      <c r="H8" s="85">
        <f>'Proposed price'!Q40</f>
        <v>4021.4187628567565</v>
      </c>
      <c r="O8" s="33"/>
      <c r="P8" s="33"/>
      <c r="Q8" s="33"/>
      <c r="R8" s="33"/>
      <c r="S8" s="33"/>
    </row>
    <row r="9" spans="2:19" ht="15" customHeight="1" x14ac:dyDescent="0.2">
      <c r="B9" s="270"/>
      <c r="C9" s="128" t="s">
        <v>130</v>
      </c>
      <c r="D9" s="74">
        <f>'Proposed price'!AH14</f>
        <v>714.30989571001373</v>
      </c>
      <c r="E9" s="84">
        <f>D9</f>
        <v>714.30989571001373</v>
      </c>
      <c r="F9" s="85">
        <f>D9</f>
        <v>714.30989571001373</v>
      </c>
      <c r="G9" s="85">
        <f>D9</f>
        <v>714.30989571001373</v>
      </c>
      <c r="H9" s="85">
        <f>D9</f>
        <v>714.30989571001373</v>
      </c>
      <c r="O9" s="33"/>
      <c r="P9" s="33"/>
      <c r="Q9" s="33"/>
      <c r="R9" s="33"/>
      <c r="S9" s="33"/>
    </row>
    <row r="10" spans="2:19" x14ac:dyDescent="0.2">
      <c r="B10" s="90" t="s">
        <v>48</v>
      </c>
      <c r="C10" s="262" t="s">
        <v>90</v>
      </c>
      <c r="D10" s="263"/>
      <c r="E10" s="43"/>
      <c r="F10" s="35"/>
      <c r="G10" s="35"/>
      <c r="H10" s="35"/>
      <c r="O10" s="33"/>
      <c r="P10" s="33"/>
      <c r="Q10" s="33"/>
      <c r="R10" s="33"/>
      <c r="S10" s="33"/>
    </row>
    <row r="11" spans="2:19" x14ac:dyDescent="0.2">
      <c r="B11" s="39" t="s">
        <v>5</v>
      </c>
      <c r="C11" s="44"/>
      <c r="D11" s="44"/>
      <c r="E11" s="45"/>
      <c r="F11" s="45"/>
      <c r="G11" s="45"/>
      <c r="H11" s="45"/>
      <c r="O11" s="33"/>
      <c r="P11" s="33"/>
      <c r="Q11" s="33"/>
      <c r="R11" s="33"/>
      <c r="S11" s="33"/>
    </row>
    <row r="12" spans="2:19" ht="286.5" customHeight="1" x14ac:dyDescent="0.2">
      <c r="B12" s="264" t="s">
        <v>116</v>
      </c>
      <c r="C12" s="264"/>
      <c r="D12" s="264"/>
      <c r="E12" s="264"/>
      <c r="F12" s="264"/>
      <c r="G12" s="264"/>
      <c r="H12" s="264"/>
      <c r="O12" s="33"/>
      <c r="P12" s="33"/>
      <c r="Q12" s="33"/>
      <c r="R12" s="33"/>
      <c r="S12" s="33"/>
    </row>
    <row r="13" spans="2:19" ht="12.75" customHeight="1" x14ac:dyDescent="0.2">
      <c r="B13" s="265"/>
      <c r="C13" s="265"/>
      <c r="D13" s="265"/>
      <c r="E13" s="265"/>
      <c r="F13" s="265"/>
      <c r="G13" s="265"/>
      <c r="H13" s="265"/>
      <c r="O13" s="33"/>
      <c r="P13" s="33"/>
      <c r="Q13" s="33"/>
      <c r="R13" s="33"/>
      <c r="S13" s="33"/>
    </row>
    <row r="14" spans="2:19" ht="12.75" customHeight="1" x14ac:dyDescent="0.2">
      <c r="B14" s="265"/>
      <c r="C14" s="265"/>
      <c r="D14" s="265"/>
      <c r="E14" s="265"/>
      <c r="F14" s="265"/>
      <c r="G14" s="265"/>
      <c r="H14" s="265"/>
      <c r="O14" s="33"/>
      <c r="P14" s="33"/>
      <c r="Q14" s="33"/>
      <c r="R14" s="33"/>
      <c r="S14" s="33"/>
    </row>
    <row r="15" spans="2:19" ht="12.75" customHeight="1" x14ac:dyDescent="0.2">
      <c r="B15" s="265"/>
      <c r="C15" s="265"/>
      <c r="D15" s="265"/>
      <c r="E15" s="265"/>
      <c r="F15" s="265"/>
      <c r="G15" s="265"/>
      <c r="H15" s="265"/>
      <c r="O15" s="33"/>
      <c r="P15" s="33"/>
      <c r="Q15" s="33"/>
      <c r="R15" s="33"/>
      <c r="S15" s="33"/>
    </row>
    <row r="16" spans="2:19" ht="12.75" customHeight="1" x14ac:dyDescent="0.2">
      <c r="B16" s="265"/>
      <c r="C16" s="265"/>
      <c r="D16" s="265"/>
      <c r="E16" s="265"/>
      <c r="F16" s="265"/>
      <c r="G16" s="265"/>
      <c r="H16" s="265"/>
      <c r="O16" s="33"/>
      <c r="P16" s="33"/>
      <c r="Q16" s="33"/>
      <c r="R16" s="33"/>
      <c r="S16" s="33"/>
    </row>
    <row r="17" spans="2:19" ht="12.75" customHeight="1" x14ac:dyDescent="0.2">
      <c r="B17" s="265"/>
      <c r="C17" s="265"/>
      <c r="D17" s="265"/>
      <c r="E17" s="265"/>
      <c r="F17" s="265"/>
      <c r="G17" s="265"/>
      <c r="H17" s="265"/>
      <c r="O17" s="33"/>
      <c r="P17" s="33"/>
      <c r="Q17" s="33"/>
      <c r="R17" s="33"/>
      <c r="S17" s="33"/>
    </row>
    <row r="18" spans="2:19" ht="12.75" customHeight="1" x14ac:dyDescent="0.2">
      <c r="B18" s="265"/>
      <c r="C18" s="265"/>
      <c r="D18" s="265"/>
      <c r="E18" s="265"/>
      <c r="F18" s="265"/>
      <c r="G18" s="265"/>
      <c r="H18" s="265"/>
      <c r="O18" s="33"/>
      <c r="P18" s="33"/>
      <c r="Q18" s="33"/>
      <c r="R18" s="33"/>
      <c r="S18" s="33"/>
    </row>
    <row r="19" spans="2:19" ht="12.75" customHeight="1" x14ac:dyDescent="0.2">
      <c r="B19" s="265"/>
      <c r="C19" s="265"/>
      <c r="D19" s="265"/>
      <c r="E19" s="265"/>
      <c r="F19" s="265"/>
      <c r="G19" s="265"/>
      <c r="H19" s="265"/>
      <c r="O19" s="33"/>
      <c r="P19" s="33"/>
      <c r="Q19" s="33"/>
      <c r="R19" s="33"/>
      <c r="S19" s="33"/>
    </row>
    <row r="20" spans="2:19" ht="12.75" customHeight="1" x14ac:dyDescent="0.2">
      <c r="B20" s="265"/>
      <c r="C20" s="265"/>
      <c r="D20" s="265"/>
      <c r="E20" s="265"/>
      <c r="F20" s="265"/>
      <c r="G20" s="265"/>
      <c r="H20" s="265"/>
      <c r="O20" s="33"/>
      <c r="P20" s="33"/>
      <c r="Q20" s="33"/>
      <c r="R20" s="33"/>
      <c r="S20" s="33"/>
    </row>
    <row r="21" spans="2:19" ht="12.75" customHeight="1" x14ac:dyDescent="0.2">
      <c r="B21" s="265"/>
      <c r="C21" s="265"/>
      <c r="D21" s="265"/>
      <c r="E21" s="265"/>
      <c r="F21" s="265"/>
      <c r="G21" s="265"/>
      <c r="H21" s="265"/>
      <c r="O21" s="33"/>
      <c r="P21" s="33"/>
      <c r="Q21" s="33"/>
      <c r="R21" s="33"/>
      <c r="S21" s="33"/>
    </row>
    <row r="22" spans="2:19" ht="12.75" customHeight="1" x14ac:dyDescent="0.2">
      <c r="B22" s="265"/>
      <c r="C22" s="265"/>
      <c r="D22" s="265"/>
      <c r="E22" s="265"/>
      <c r="F22" s="265"/>
      <c r="G22" s="265"/>
      <c r="H22" s="265"/>
      <c r="O22" s="33"/>
      <c r="P22" s="33"/>
      <c r="Q22" s="33"/>
      <c r="R22" s="33"/>
      <c r="S22" s="33"/>
    </row>
    <row r="23" spans="2:19" ht="12.75" customHeight="1" x14ac:dyDescent="0.2">
      <c r="B23" s="265"/>
      <c r="C23" s="265"/>
      <c r="D23" s="265"/>
      <c r="E23" s="265"/>
      <c r="F23" s="265"/>
      <c r="G23" s="265"/>
      <c r="H23" s="265"/>
      <c r="O23" s="33"/>
      <c r="P23" s="33"/>
      <c r="Q23" s="33"/>
      <c r="R23" s="33"/>
      <c r="S23" s="33"/>
    </row>
    <row r="24" spans="2:19" ht="31.5" customHeight="1" x14ac:dyDescent="0.2">
      <c r="B24" s="265"/>
      <c r="C24" s="265"/>
      <c r="D24" s="265"/>
      <c r="E24" s="265"/>
      <c r="F24" s="265"/>
      <c r="G24" s="265"/>
      <c r="H24" s="265"/>
      <c r="O24" s="33"/>
      <c r="P24" s="33"/>
      <c r="Q24" s="33"/>
      <c r="R24" s="33"/>
      <c r="S24" s="33"/>
    </row>
    <row r="25" spans="2:19" ht="31.5" customHeight="1" x14ac:dyDescent="0.2">
      <c r="B25" s="88"/>
      <c r="C25" s="88"/>
      <c r="D25" s="88"/>
      <c r="E25" s="88"/>
      <c r="F25" s="88"/>
      <c r="G25" s="88"/>
      <c r="H25" s="88"/>
      <c r="O25" s="33"/>
      <c r="P25" s="33"/>
      <c r="Q25" s="33"/>
      <c r="R25" s="33"/>
      <c r="S25" s="33"/>
    </row>
    <row r="26" spans="2:19" s="33" customFormat="1" x14ac:dyDescent="0.2">
      <c r="B26" s="89"/>
      <c r="C26" s="89"/>
      <c r="D26" s="89"/>
      <c r="E26" s="89"/>
      <c r="F26" s="89"/>
      <c r="G26" s="89"/>
      <c r="H26" s="89"/>
    </row>
    <row r="27" spans="2:19" s="33" customFormat="1" x14ac:dyDescent="0.2">
      <c r="B27" s="89"/>
      <c r="C27" s="89"/>
      <c r="D27" s="89"/>
      <c r="E27" s="89"/>
      <c r="F27" s="89"/>
      <c r="G27" s="89"/>
      <c r="H27" s="89"/>
    </row>
    <row r="28" spans="2:19" x14ac:dyDescent="0.2">
      <c r="B28" s="24" t="s">
        <v>34</v>
      </c>
      <c r="C28" s="25"/>
      <c r="D28" s="25"/>
      <c r="E28" s="25"/>
      <c r="F28" s="25"/>
      <c r="G28" s="25"/>
      <c r="H28" s="25"/>
      <c r="O28" s="33"/>
      <c r="P28" s="33"/>
      <c r="Q28" s="33"/>
      <c r="R28" s="33"/>
      <c r="S28" s="33"/>
    </row>
    <row r="29" spans="2:19" x14ac:dyDescent="0.2">
      <c r="B29" s="260"/>
      <c r="C29" s="260"/>
      <c r="D29" s="260"/>
      <c r="E29" s="260"/>
      <c r="F29" s="260"/>
      <c r="G29" s="260"/>
      <c r="H29" s="260"/>
    </row>
    <row r="30" spans="2:19" ht="129.75" customHeight="1" x14ac:dyDescent="0.2">
      <c r="B30" s="261" t="s">
        <v>177</v>
      </c>
      <c r="C30" s="261"/>
      <c r="D30" s="261"/>
      <c r="E30" s="261"/>
      <c r="F30" s="261"/>
      <c r="G30" s="261"/>
      <c r="H30" s="261"/>
      <c r="I30" s="33"/>
    </row>
    <row r="31" spans="2:19" x14ac:dyDescent="0.2">
      <c r="B31" s="46"/>
      <c r="C31" s="46"/>
      <c r="D31" s="46"/>
      <c r="E31" s="46"/>
      <c r="F31" s="46"/>
      <c r="G31" s="46"/>
      <c r="H31" s="46"/>
    </row>
    <row r="32" spans="2:19" x14ac:dyDescent="0.2">
      <c r="B32" s="47"/>
      <c r="C32" s="47"/>
      <c r="D32" s="47"/>
      <c r="E32" s="47"/>
      <c r="F32" s="47"/>
      <c r="G32" s="47"/>
      <c r="H32" s="47"/>
    </row>
    <row r="33" spans="2:9" x14ac:dyDescent="0.2">
      <c r="B33" s="24" t="s">
        <v>42</v>
      </c>
      <c r="C33" s="25"/>
      <c r="D33" s="25"/>
      <c r="E33" s="25"/>
      <c r="F33" s="25"/>
      <c r="G33" s="25"/>
      <c r="H33" s="25"/>
    </row>
    <row r="34" spans="2:9" x14ac:dyDescent="0.2">
      <c r="B34" s="260" t="s">
        <v>68</v>
      </c>
      <c r="C34" s="260"/>
      <c r="D34" s="260"/>
      <c r="E34" s="260"/>
      <c r="F34" s="260"/>
      <c r="G34" s="260"/>
      <c r="H34" s="260"/>
    </row>
    <row r="35" spans="2:9" x14ac:dyDescent="0.2">
      <c r="B35" s="260" t="s">
        <v>106</v>
      </c>
      <c r="C35" s="260"/>
      <c r="D35" s="260"/>
      <c r="E35" s="260"/>
      <c r="F35" s="260"/>
      <c r="G35" s="260"/>
      <c r="H35" s="260"/>
    </row>
    <row r="36" spans="2:9" x14ac:dyDescent="0.2">
      <c r="B36" s="261" t="s">
        <v>108</v>
      </c>
      <c r="C36" s="261"/>
      <c r="D36" s="261"/>
      <c r="E36" s="261"/>
      <c r="F36" s="261"/>
      <c r="G36" s="261"/>
      <c r="H36" s="261"/>
    </row>
    <row r="37" spans="2:9" x14ac:dyDescent="0.2">
      <c r="B37" s="76" t="s">
        <v>107</v>
      </c>
      <c r="C37" s="77"/>
      <c r="D37" s="77"/>
      <c r="E37" s="77"/>
      <c r="F37" s="77"/>
      <c r="G37" s="77"/>
      <c r="H37" s="77"/>
    </row>
    <row r="38" spans="2:9" ht="14.25" customHeight="1" x14ac:dyDescent="0.2">
      <c r="B38" s="260" t="s">
        <v>176</v>
      </c>
      <c r="C38" s="260"/>
      <c r="D38" s="260"/>
      <c r="E38" s="260"/>
      <c r="F38" s="260"/>
      <c r="G38" s="260"/>
      <c r="H38" s="260"/>
    </row>
    <row r="39" spans="2:9" ht="14.25" customHeight="1" x14ac:dyDescent="0.2">
      <c r="B39" s="260"/>
      <c r="C39" s="260"/>
      <c r="D39" s="260"/>
      <c r="E39" s="260"/>
      <c r="F39" s="260"/>
      <c r="G39" s="260"/>
      <c r="H39" s="260"/>
    </row>
    <row r="40" spans="2:9" x14ac:dyDescent="0.2">
      <c r="B40" s="46"/>
      <c r="C40" s="46"/>
      <c r="D40" s="46"/>
      <c r="E40" s="46"/>
      <c r="F40" s="46"/>
      <c r="G40" s="46"/>
      <c r="H40" s="46"/>
    </row>
    <row r="41" spans="2:9" x14ac:dyDescent="0.2">
      <c r="B41" s="46"/>
      <c r="C41" s="46"/>
      <c r="D41" s="46"/>
      <c r="E41" s="46"/>
      <c r="F41" s="46"/>
      <c r="G41" s="46"/>
      <c r="H41" s="46"/>
    </row>
    <row r="42" spans="2:9" x14ac:dyDescent="0.2">
      <c r="B42" s="46"/>
      <c r="C42" s="46"/>
      <c r="D42" s="46"/>
      <c r="E42" s="46"/>
      <c r="F42" s="46"/>
      <c r="G42" s="46"/>
      <c r="H42" s="46"/>
    </row>
    <row r="43" spans="2:9" x14ac:dyDescent="0.2">
      <c r="B43" s="46"/>
      <c r="C43" s="46"/>
      <c r="D43" s="46"/>
      <c r="E43" s="46"/>
      <c r="F43" s="46"/>
      <c r="G43" s="46"/>
      <c r="H43" s="46"/>
    </row>
    <row r="44" spans="2:9" x14ac:dyDescent="0.2">
      <c r="B44" s="48"/>
      <c r="C44" s="48"/>
      <c r="D44" s="48"/>
      <c r="E44" s="48"/>
      <c r="F44" s="48"/>
      <c r="G44" s="48"/>
      <c r="H44" s="48"/>
      <c r="I44" s="33"/>
    </row>
    <row r="45" spans="2:9" x14ac:dyDescent="0.2">
      <c r="B45" s="24" t="s">
        <v>6</v>
      </c>
    </row>
    <row r="46" spans="2:9" x14ac:dyDescent="0.2">
      <c r="B46" s="49" t="s">
        <v>14</v>
      </c>
      <c r="C46" s="50" t="s">
        <v>29</v>
      </c>
      <c r="D46" s="50"/>
      <c r="E46" s="50"/>
      <c r="F46" s="50"/>
      <c r="G46" s="50"/>
      <c r="H46" s="50"/>
    </row>
    <row r="47" spans="2:9" x14ac:dyDescent="0.2">
      <c r="B47" s="51" t="s">
        <v>45</v>
      </c>
      <c r="C47" s="50" t="s">
        <v>51</v>
      </c>
      <c r="D47" s="50"/>
      <c r="E47" s="50"/>
      <c r="F47" s="50"/>
      <c r="G47" s="50"/>
      <c r="H47" s="50"/>
    </row>
    <row r="48" spans="2:9" x14ac:dyDescent="0.2">
      <c r="B48" s="51" t="s">
        <v>46</v>
      </c>
      <c r="C48" s="50" t="s">
        <v>52</v>
      </c>
      <c r="D48" s="50"/>
      <c r="E48" s="50"/>
      <c r="F48" s="50"/>
      <c r="G48" s="50"/>
      <c r="H48" s="50"/>
    </row>
    <row r="49" spans="2:8" x14ac:dyDescent="0.2">
      <c r="B49" s="51" t="s">
        <v>15</v>
      </c>
      <c r="C49" s="50" t="s">
        <v>30</v>
      </c>
      <c r="D49" s="50"/>
      <c r="E49" s="50"/>
      <c r="F49" s="50"/>
      <c r="G49" s="50"/>
      <c r="H49" s="50"/>
    </row>
    <row r="52" spans="2:8" x14ac:dyDescent="0.2">
      <c r="B52" s="24" t="s">
        <v>35</v>
      </c>
      <c r="C52" s="25"/>
      <c r="D52" s="25"/>
      <c r="E52" s="25"/>
      <c r="F52" s="25"/>
      <c r="G52" s="25"/>
      <c r="H52" s="25"/>
    </row>
    <row r="54" spans="2:8" x14ac:dyDescent="0.2">
      <c r="B54" s="37"/>
      <c r="C54" s="26" t="s">
        <v>36</v>
      </c>
      <c r="D54" s="26" t="s">
        <v>37</v>
      </c>
      <c r="E54" s="26" t="s">
        <v>38</v>
      </c>
      <c r="F54" s="26" t="s">
        <v>40</v>
      </c>
      <c r="G54" s="26" t="s">
        <v>39</v>
      </c>
      <c r="H54" s="27" t="s">
        <v>1</v>
      </c>
    </row>
    <row r="55" spans="2:8" x14ac:dyDescent="0.2">
      <c r="C55" s="52"/>
      <c r="D55" s="52"/>
      <c r="E55" s="52"/>
      <c r="F55" s="52"/>
      <c r="G55" s="52"/>
      <c r="H55" s="52"/>
    </row>
    <row r="56" spans="2:8" x14ac:dyDescent="0.2">
      <c r="B56" s="53" t="s">
        <v>132</v>
      </c>
      <c r="C56" s="54">
        <f>'Forecast Revenue - Costs'!D29</f>
        <v>2486531.4955158341</v>
      </c>
      <c r="D56" s="54">
        <f>'Forecast Revenue - Costs'!E29</f>
        <v>2486531.4955158341</v>
      </c>
      <c r="E56" s="54">
        <f>'Forecast Revenue - Costs'!F29</f>
        <v>2509913.3731096559</v>
      </c>
      <c r="F56" s="54">
        <f>'Forecast Revenue - Costs'!G29</f>
        <v>2559624.2056567273</v>
      </c>
      <c r="G56" s="54">
        <f>'Forecast Revenue - Costs'!H29</f>
        <v>2811132.1848328863</v>
      </c>
      <c r="H56" s="54">
        <f>SUM(C56:G56)</f>
        <v>12853732.754630938</v>
      </c>
    </row>
    <row r="57" spans="2:8" x14ac:dyDescent="0.2">
      <c r="C57" s="55"/>
      <c r="D57" s="56"/>
      <c r="E57" s="55"/>
      <c r="F57" s="55"/>
      <c r="G57" s="55"/>
    </row>
    <row r="58" spans="2:8" x14ac:dyDescent="0.2">
      <c r="B58" s="53" t="s">
        <v>133</v>
      </c>
      <c r="C58" s="54">
        <f>SUM('Forecast Revenue - Costs'!D30:D32)</f>
        <v>1813786.4966761945</v>
      </c>
      <c r="D58" s="54">
        <f>SUM('Forecast Revenue - Costs'!E30:E32)</f>
        <v>1813786.4966761945</v>
      </c>
      <c r="E58" s="54">
        <f>SUM('Forecast Revenue - Costs'!F30:F32)</f>
        <v>1830842.276553944</v>
      </c>
      <c r="F58" s="54">
        <f>SUM('Forecast Revenue - Costs'!G30:G32)</f>
        <v>1867103.5654115402</v>
      </c>
      <c r="G58" s="54">
        <f>SUM('Forecast Revenue - Costs'!H30:H32)</f>
        <v>2050564.6545868451</v>
      </c>
      <c r="H58" s="54">
        <f>SUM(C58:G58)</f>
        <v>9376083.4899047166</v>
      </c>
    </row>
    <row r="59" spans="2:8" x14ac:dyDescent="0.2">
      <c r="C59" s="55"/>
      <c r="D59" s="56"/>
      <c r="E59" s="55"/>
      <c r="F59" s="55"/>
      <c r="G59" s="55"/>
    </row>
    <row r="60" spans="2:8" x14ac:dyDescent="0.2">
      <c r="B60" s="53" t="s">
        <v>134</v>
      </c>
      <c r="C60" s="54">
        <f t="shared" ref="C60:H60" si="0">+C56+C58</f>
        <v>4300317.9921920281</v>
      </c>
      <c r="D60" s="54">
        <f t="shared" si="0"/>
        <v>4300317.9921920281</v>
      </c>
      <c r="E60" s="54">
        <f t="shared" si="0"/>
        <v>4340755.6496636001</v>
      </c>
      <c r="F60" s="54">
        <f t="shared" si="0"/>
        <v>4426727.7710682675</v>
      </c>
      <c r="G60" s="54">
        <f t="shared" si="0"/>
        <v>4861696.8394197319</v>
      </c>
      <c r="H60" s="54">
        <f t="shared" si="0"/>
        <v>22229816.244535655</v>
      </c>
    </row>
    <row r="61" spans="2:8" x14ac:dyDescent="0.2">
      <c r="C61" s="57"/>
      <c r="D61" s="57"/>
      <c r="E61" s="57"/>
      <c r="F61" s="57"/>
      <c r="G61" s="57"/>
    </row>
    <row r="62" spans="2:8" x14ac:dyDescent="0.2">
      <c r="B62" s="58" t="s">
        <v>6</v>
      </c>
    </row>
    <row r="63" spans="2:8" ht="14.25" customHeight="1" x14ac:dyDescent="0.2">
      <c r="B63" s="259"/>
      <c r="C63" s="259"/>
      <c r="D63" s="259"/>
      <c r="E63" s="259"/>
      <c r="F63" s="259"/>
      <c r="G63" s="259"/>
      <c r="H63" s="259"/>
    </row>
    <row r="64" spans="2:8" x14ac:dyDescent="0.2">
      <c r="B64" s="260"/>
      <c r="C64" s="260"/>
      <c r="D64" s="260"/>
      <c r="E64" s="260"/>
      <c r="F64" s="260"/>
      <c r="G64" s="260"/>
      <c r="H64" s="260"/>
    </row>
    <row r="65" spans="2:8" ht="27.75" customHeight="1" x14ac:dyDescent="0.2">
      <c r="B65" s="260"/>
      <c r="C65" s="260"/>
      <c r="D65" s="260"/>
      <c r="E65" s="260"/>
      <c r="F65" s="260"/>
      <c r="G65" s="260"/>
      <c r="H65" s="260"/>
    </row>
    <row r="68" spans="2:8" x14ac:dyDescent="0.2">
      <c r="B68" s="24" t="s">
        <v>100</v>
      </c>
      <c r="C68" s="25"/>
      <c r="D68" s="25"/>
      <c r="E68" s="25"/>
      <c r="F68" s="25"/>
      <c r="G68" s="25"/>
      <c r="H68" s="25"/>
    </row>
    <row r="69" spans="2:8" x14ac:dyDescent="0.2">
      <c r="B69" s="12"/>
    </row>
    <row r="70" spans="2:8" x14ac:dyDescent="0.2">
      <c r="B70" s="59"/>
      <c r="C70" s="60" t="s">
        <v>36</v>
      </c>
      <c r="D70" s="60" t="s">
        <v>37</v>
      </c>
      <c r="E70" s="60" t="s">
        <v>38</v>
      </c>
      <c r="F70" s="60" t="s">
        <v>40</v>
      </c>
      <c r="G70" s="60" t="s">
        <v>39</v>
      </c>
      <c r="H70" s="61" t="s">
        <v>1</v>
      </c>
    </row>
    <row r="71" spans="2:8" x14ac:dyDescent="0.2">
      <c r="C71" s="62"/>
      <c r="D71" s="62"/>
      <c r="E71" s="62"/>
      <c r="F71" s="62"/>
      <c r="G71" s="62"/>
      <c r="H71" s="62"/>
    </row>
    <row r="72" spans="2:8" x14ac:dyDescent="0.2">
      <c r="B72" s="59" t="s">
        <v>12</v>
      </c>
      <c r="C72" s="63">
        <f>'Forecast Revenue - Costs'!D12</f>
        <v>1230</v>
      </c>
      <c r="D72" s="63">
        <f>'Forecast Revenue - Costs'!E12</f>
        <v>1230</v>
      </c>
      <c r="E72" s="63">
        <f>'Forecast Revenue - Costs'!F12</f>
        <v>1230</v>
      </c>
      <c r="F72" s="63">
        <f>'Forecast Revenue - Costs'!G12</f>
        <v>1230</v>
      </c>
      <c r="G72" s="63">
        <f>'Forecast Revenue - Costs'!H12</f>
        <v>1330</v>
      </c>
      <c r="H72" s="63">
        <f>SUM(C72:G72)</f>
        <v>6250</v>
      </c>
    </row>
    <row r="73" spans="2:8" x14ac:dyDescent="0.2">
      <c r="C73" s="64"/>
      <c r="D73" s="64"/>
      <c r="E73" s="64"/>
      <c r="F73" s="64"/>
      <c r="G73" s="64"/>
      <c r="H73" s="65"/>
    </row>
  </sheetData>
  <mergeCells count="12">
    <mergeCell ref="C10:D10"/>
    <mergeCell ref="B12:H24"/>
    <mergeCell ref="C3:H3"/>
    <mergeCell ref="B29:H29"/>
    <mergeCell ref="B30:H30"/>
    <mergeCell ref="B7:B9"/>
    <mergeCell ref="B63:H65"/>
    <mergeCell ref="B34:H34"/>
    <mergeCell ref="B35:H35"/>
    <mergeCell ref="B36:H36"/>
    <mergeCell ref="B39:H39"/>
    <mergeCell ref="B38:H3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3" sqref="D3:K3"/>
    </sheetView>
  </sheetViews>
  <sheetFormatPr defaultColWidth="9.140625" defaultRowHeight="12.75" x14ac:dyDescent="0.2"/>
  <cols>
    <col min="1" max="1" width="2.28515625" style="1" customWidth="1"/>
    <col min="2" max="2" width="2.42578125" style="47" customWidth="1"/>
    <col min="3" max="3" width="10.140625" style="47" customWidth="1"/>
    <col min="4" max="9" width="13.140625" style="47" customWidth="1"/>
    <col min="10" max="11" width="9.140625" style="47"/>
    <col min="12" max="12" width="5.28515625" style="47" customWidth="1"/>
    <col min="13" max="13" width="2.42578125" style="1" customWidth="1"/>
    <col min="14" max="16384" width="9.140625" style="1"/>
  </cols>
  <sheetData>
    <row r="1" spans="2:14" ht="9" customHeight="1" x14ac:dyDescent="0.2"/>
    <row r="2" spans="2:14" ht="18" customHeight="1" x14ac:dyDescent="0.2">
      <c r="B2" s="36" t="s">
        <v>16</v>
      </c>
      <c r="C2" s="36"/>
      <c r="D2" s="36"/>
      <c r="E2" s="36"/>
      <c r="F2" s="36"/>
      <c r="G2" s="36"/>
      <c r="H2" s="36"/>
      <c r="I2" s="36"/>
      <c r="J2" s="36"/>
      <c r="K2" s="36"/>
    </row>
    <row r="3" spans="2:14" x14ac:dyDescent="0.2">
      <c r="B3" s="34" t="s">
        <v>0</v>
      </c>
      <c r="C3" s="37"/>
      <c r="D3" s="274" t="str">
        <f>'AER Summary'!C3</f>
        <v>Access Permit</v>
      </c>
      <c r="E3" s="275"/>
      <c r="F3" s="275"/>
      <c r="G3" s="275"/>
      <c r="H3" s="275"/>
      <c r="I3" s="275"/>
      <c r="J3" s="275"/>
      <c r="K3" s="275"/>
      <c r="N3" s="32"/>
    </row>
    <row r="4" spans="2:14" x14ac:dyDescent="0.2">
      <c r="N4" s="32"/>
    </row>
    <row r="5" spans="2:14" x14ac:dyDescent="0.2">
      <c r="B5" s="276" t="s">
        <v>88</v>
      </c>
      <c r="C5" s="276"/>
      <c r="D5" s="276"/>
      <c r="E5" s="276"/>
      <c r="F5" s="276"/>
      <c r="G5" s="276"/>
      <c r="H5" s="276"/>
      <c r="I5" s="276"/>
      <c r="J5" s="276"/>
      <c r="K5" s="276"/>
      <c r="N5" s="32"/>
    </row>
    <row r="6" spans="2:14" ht="258.75" customHeight="1" x14ac:dyDescent="0.2">
      <c r="B6" s="277" t="s">
        <v>72</v>
      </c>
      <c r="C6" s="278"/>
      <c r="D6" s="278"/>
      <c r="E6" s="278"/>
      <c r="F6" s="278"/>
      <c r="G6" s="278"/>
      <c r="H6" s="278"/>
      <c r="I6" s="278"/>
      <c r="J6" s="278"/>
      <c r="K6" s="278"/>
      <c r="N6" s="32"/>
    </row>
    <row r="9" spans="2:14" x14ac:dyDescent="0.2">
      <c r="B9" s="276" t="s">
        <v>43</v>
      </c>
      <c r="C9" s="276"/>
      <c r="D9" s="276"/>
      <c r="E9" s="276"/>
      <c r="F9" s="276"/>
      <c r="G9" s="276"/>
      <c r="H9" s="276"/>
      <c r="I9" s="276"/>
      <c r="J9" s="276"/>
      <c r="K9" s="276"/>
    </row>
    <row r="10" spans="2:14" ht="15" customHeight="1" x14ac:dyDescent="0.2">
      <c r="B10" s="279" t="s">
        <v>73</v>
      </c>
      <c r="C10" s="279"/>
      <c r="D10" s="279"/>
      <c r="E10" s="279"/>
      <c r="F10" s="279"/>
      <c r="G10" s="279"/>
      <c r="H10" s="279"/>
      <c r="I10" s="279"/>
      <c r="J10" s="279"/>
      <c r="K10" s="279"/>
    </row>
    <row r="11" spans="2:14" ht="24.75" customHeight="1" x14ac:dyDescent="0.2">
      <c r="B11" s="280"/>
      <c r="C11" s="280"/>
      <c r="D11" s="280"/>
      <c r="E11" s="280"/>
      <c r="F11" s="280"/>
      <c r="G11" s="280"/>
      <c r="H11" s="280"/>
      <c r="I11" s="280"/>
      <c r="J11" s="280"/>
      <c r="K11" s="280"/>
      <c r="L11" s="66"/>
      <c r="M11" s="33"/>
      <c r="N11" s="33"/>
    </row>
    <row r="12" spans="2:14" x14ac:dyDescent="0.2">
      <c r="B12" s="280"/>
      <c r="C12" s="280"/>
      <c r="D12" s="280"/>
      <c r="E12" s="280"/>
      <c r="F12" s="280"/>
      <c r="G12" s="280"/>
      <c r="H12" s="280"/>
      <c r="I12" s="280"/>
      <c r="J12" s="280"/>
      <c r="K12" s="280"/>
      <c r="L12" s="66"/>
      <c r="M12" s="33"/>
      <c r="N12" s="33"/>
    </row>
    <row r="13" spans="2:14" x14ac:dyDescent="0.2">
      <c r="B13" s="280"/>
      <c r="C13" s="280"/>
      <c r="D13" s="280"/>
      <c r="E13" s="280"/>
      <c r="F13" s="280"/>
      <c r="G13" s="280"/>
      <c r="H13" s="280"/>
      <c r="I13" s="280"/>
      <c r="J13" s="280"/>
      <c r="K13" s="280"/>
      <c r="L13" s="66"/>
      <c r="M13" s="33"/>
      <c r="N13" s="33"/>
    </row>
    <row r="14" spans="2:14" ht="48" customHeight="1" x14ac:dyDescent="0.2">
      <c r="B14" s="280"/>
      <c r="C14" s="280"/>
      <c r="D14" s="280"/>
      <c r="E14" s="280"/>
      <c r="F14" s="280"/>
      <c r="G14" s="280"/>
      <c r="H14" s="280"/>
      <c r="I14" s="280"/>
      <c r="J14" s="280"/>
      <c r="K14" s="280"/>
      <c r="L14" s="66"/>
      <c r="M14" s="33"/>
      <c r="N14" s="33"/>
    </row>
    <row r="15" spans="2:14" x14ac:dyDescent="0.2">
      <c r="B15" s="280"/>
      <c r="C15" s="280"/>
      <c r="D15" s="280"/>
      <c r="E15" s="280"/>
      <c r="F15" s="280"/>
      <c r="G15" s="280"/>
      <c r="H15" s="280"/>
      <c r="I15" s="280"/>
      <c r="J15" s="280"/>
      <c r="K15" s="280"/>
      <c r="L15" s="66"/>
      <c r="M15" s="33"/>
      <c r="N15" s="33"/>
    </row>
    <row r="16" spans="2:14" ht="103.5" customHeight="1" x14ac:dyDescent="0.2">
      <c r="B16" s="280"/>
      <c r="C16" s="280"/>
      <c r="D16" s="280"/>
      <c r="E16" s="280"/>
      <c r="F16" s="280"/>
      <c r="G16" s="280"/>
      <c r="H16" s="280"/>
      <c r="I16" s="280"/>
      <c r="J16" s="280"/>
      <c r="K16" s="280"/>
      <c r="L16" s="66"/>
      <c r="M16" s="33"/>
      <c r="N16" s="33"/>
    </row>
    <row r="17" spans="2:14" x14ac:dyDescent="0.2">
      <c r="L17" s="66"/>
      <c r="M17" s="33"/>
      <c r="N17" s="33"/>
    </row>
    <row r="18" spans="2:14" x14ac:dyDescent="0.2">
      <c r="L18" s="66"/>
      <c r="M18" s="33"/>
      <c r="N18" s="33"/>
    </row>
    <row r="19" spans="2:14" x14ac:dyDescent="0.2">
      <c r="B19" s="276" t="s">
        <v>44</v>
      </c>
      <c r="C19" s="276"/>
      <c r="D19" s="276"/>
      <c r="E19" s="276"/>
      <c r="F19" s="276"/>
      <c r="G19" s="276"/>
      <c r="H19" s="276"/>
      <c r="I19" s="276"/>
      <c r="J19" s="276"/>
      <c r="K19" s="276"/>
      <c r="L19" s="66"/>
      <c r="M19" s="33"/>
      <c r="N19" s="33"/>
    </row>
    <row r="20" spans="2:14" ht="409.5" customHeight="1" x14ac:dyDescent="0.2">
      <c r="B20" s="271" t="s">
        <v>178</v>
      </c>
      <c r="C20" s="272"/>
      <c r="D20" s="272"/>
      <c r="E20" s="272"/>
      <c r="F20" s="272"/>
      <c r="G20" s="272"/>
      <c r="H20" s="272"/>
      <c r="I20" s="272"/>
      <c r="J20" s="272"/>
      <c r="K20" s="272"/>
    </row>
    <row r="21" spans="2:14" ht="73.5" customHeight="1" x14ac:dyDescent="0.2">
      <c r="B21" s="273"/>
      <c r="C21" s="273"/>
      <c r="D21" s="273"/>
      <c r="E21" s="273"/>
      <c r="F21" s="273"/>
      <c r="G21" s="273"/>
      <c r="H21" s="273"/>
      <c r="I21" s="273"/>
      <c r="J21" s="273"/>
      <c r="K21" s="273"/>
    </row>
    <row r="34" spans="2:12" x14ac:dyDescent="0.2">
      <c r="B34" s="1"/>
      <c r="C34" s="1"/>
      <c r="D34" s="1"/>
      <c r="E34" s="1"/>
      <c r="F34" s="1"/>
      <c r="G34" s="1"/>
      <c r="H34" s="1"/>
      <c r="I34" s="1"/>
      <c r="J34" s="1"/>
      <c r="K34" s="1"/>
      <c r="L34" s="1"/>
    </row>
  </sheetData>
  <mergeCells count="7">
    <mergeCell ref="B20:K21"/>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zoomScaleNormal="100" workbookViewId="0">
      <selection activeCell="B37" sqref="B37"/>
    </sheetView>
  </sheetViews>
  <sheetFormatPr defaultColWidth="9.140625" defaultRowHeight="12.75" x14ac:dyDescent="0.2"/>
  <cols>
    <col min="1" max="1" width="3.5703125" style="96" customWidth="1"/>
    <col min="2" max="2" width="58.7109375" style="96" customWidth="1"/>
    <col min="3" max="3" width="65.140625" style="96" customWidth="1"/>
    <col min="4" max="4" width="14.140625" style="96" customWidth="1"/>
    <col min="5" max="5" width="13.85546875" style="96" customWidth="1"/>
    <col min="6" max="8" width="13.5703125" style="96" customWidth="1"/>
    <col min="9" max="9" width="12.7109375" style="96" customWidth="1"/>
    <col min="10" max="16384" width="9.140625" style="96"/>
  </cols>
  <sheetData>
    <row r="2" spans="1:9" x14ac:dyDescent="0.2">
      <c r="B2" s="97" t="s">
        <v>93</v>
      </c>
      <c r="C2" s="98"/>
      <c r="D2" s="98"/>
      <c r="E2" s="98"/>
      <c r="F2" s="98"/>
      <c r="G2" s="98"/>
      <c r="H2" s="98"/>
      <c r="I2" s="98"/>
    </row>
    <row r="3" spans="1:9" x14ac:dyDescent="0.2">
      <c r="B3" s="99" t="s">
        <v>20</v>
      </c>
      <c r="C3" s="99" t="s">
        <v>3</v>
      </c>
      <c r="D3" s="100" t="s">
        <v>62</v>
      </c>
      <c r="E3" s="100" t="s">
        <v>61</v>
      </c>
      <c r="F3" s="100" t="s">
        <v>60</v>
      </c>
      <c r="G3" s="101" t="s">
        <v>118</v>
      </c>
      <c r="H3" s="101" t="s">
        <v>119</v>
      </c>
      <c r="I3" s="102" t="s">
        <v>1</v>
      </c>
    </row>
    <row r="4" spans="1:9" x14ac:dyDescent="0.2">
      <c r="B4" s="103" t="s">
        <v>21</v>
      </c>
      <c r="C4" s="103" t="s">
        <v>89</v>
      </c>
      <c r="D4" s="104" t="s">
        <v>91</v>
      </c>
      <c r="E4" s="105">
        <v>1557291.05</v>
      </c>
      <c r="F4" s="105">
        <v>1299635.94</v>
      </c>
      <c r="G4" s="105">
        <v>1614043.66</v>
      </c>
      <c r="H4" s="105">
        <f>G4*102.5%</f>
        <v>1654394.7514999998</v>
      </c>
      <c r="I4" s="192">
        <f>SUM(D4:H4)</f>
        <v>6125365.4014999997</v>
      </c>
    </row>
    <row r="5" spans="1:9" x14ac:dyDescent="0.2">
      <c r="B5" s="103" t="s">
        <v>23</v>
      </c>
      <c r="C5" s="106"/>
      <c r="D5" s="105"/>
      <c r="E5" s="105">
        <v>869.149</v>
      </c>
      <c r="F5" s="105">
        <v>2544.88</v>
      </c>
      <c r="G5" s="105">
        <v>55.44</v>
      </c>
      <c r="H5" s="105">
        <f t="shared" ref="H5:H8" si="0">G5*102.5%</f>
        <v>56.825999999999993</v>
      </c>
      <c r="I5" s="192">
        <f t="shared" ref="I5:I8" si="1">SUM(D5:H5)</f>
        <v>3526.2950000000001</v>
      </c>
    </row>
    <row r="6" spans="1:9" x14ac:dyDescent="0.2">
      <c r="B6" s="103" t="s">
        <v>24</v>
      </c>
      <c r="C6" s="103"/>
      <c r="D6" s="105">
        <v>0</v>
      </c>
      <c r="E6" s="105">
        <v>402826.72</v>
      </c>
      <c r="F6" s="105">
        <v>400010.37</v>
      </c>
      <c r="G6" s="105">
        <v>428807.58</v>
      </c>
      <c r="H6" s="105">
        <f t="shared" si="0"/>
        <v>439527.76949999999</v>
      </c>
      <c r="I6" s="192">
        <f t="shared" si="1"/>
        <v>1671172.4394999999</v>
      </c>
    </row>
    <row r="7" spans="1:9" x14ac:dyDescent="0.2">
      <c r="B7" s="103" t="s">
        <v>25</v>
      </c>
      <c r="C7" s="103"/>
      <c r="D7" s="105"/>
      <c r="E7" s="105">
        <v>1279.47</v>
      </c>
      <c r="F7" s="105">
        <v>7052.59</v>
      </c>
      <c r="G7" s="105">
        <v>6195.75</v>
      </c>
      <c r="H7" s="105">
        <f t="shared" si="0"/>
        <v>6350.6437499999993</v>
      </c>
      <c r="I7" s="192">
        <f t="shared" si="1"/>
        <v>20878.453750000001</v>
      </c>
    </row>
    <row r="8" spans="1:9" x14ac:dyDescent="0.2">
      <c r="B8" s="103" t="s">
        <v>22</v>
      </c>
      <c r="C8" s="103"/>
      <c r="D8" s="107"/>
      <c r="E8" s="107">
        <v>1156809.3999999999</v>
      </c>
      <c r="F8" s="107">
        <v>1118181.44</v>
      </c>
      <c r="G8" s="107">
        <v>1206736.7</v>
      </c>
      <c r="H8" s="105">
        <f t="shared" si="0"/>
        <v>1236905.1174999999</v>
      </c>
      <c r="I8" s="192">
        <f t="shared" si="1"/>
        <v>4718632.6574999997</v>
      </c>
    </row>
    <row r="9" spans="1:9" x14ac:dyDescent="0.2">
      <c r="B9" s="108" t="s">
        <v>1</v>
      </c>
      <c r="C9" s="109"/>
      <c r="D9" s="110">
        <f>SUM(D4:D8)</f>
        <v>0</v>
      </c>
      <c r="E9" s="110">
        <f>SUM(E4:E8)</f>
        <v>3119075.7889999999</v>
      </c>
      <c r="F9" s="111">
        <f t="shared" ref="F9:H9" si="2">SUM(F4:F8)</f>
        <v>2827425.2199999997</v>
      </c>
      <c r="G9" s="111">
        <f t="shared" si="2"/>
        <v>3255839.13</v>
      </c>
      <c r="H9" s="111">
        <f t="shared" si="2"/>
        <v>3337235.1082499996</v>
      </c>
      <c r="I9" s="112">
        <f>SUM(I4:I8)</f>
        <v>12539575.24725</v>
      </c>
    </row>
    <row r="10" spans="1:9" x14ac:dyDescent="0.2">
      <c r="B10" s="113"/>
      <c r="C10" s="114"/>
      <c r="D10" s="115"/>
      <c r="E10" s="115"/>
      <c r="F10" s="115"/>
      <c r="G10" s="115"/>
      <c r="H10" s="115"/>
      <c r="I10" s="115"/>
    </row>
    <row r="11" spans="1:9" x14ac:dyDescent="0.2">
      <c r="B11" s="116" t="s">
        <v>10</v>
      </c>
      <c r="C11" s="117"/>
      <c r="D11" s="117"/>
      <c r="E11" s="117"/>
      <c r="F11" s="117"/>
      <c r="G11" s="117"/>
      <c r="H11" s="117"/>
      <c r="I11" s="117"/>
    </row>
    <row r="12" spans="1:9" x14ac:dyDescent="0.2">
      <c r="B12" s="129" t="s">
        <v>4</v>
      </c>
      <c r="C12" s="129" t="s">
        <v>9</v>
      </c>
      <c r="D12" s="100" t="s">
        <v>62</v>
      </c>
      <c r="E12" s="100" t="s">
        <v>61</v>
      </c>
      <c r="F12" s="100" t="s">
        <v>60</v>
      </c>
      <c r="G12" s="100" t="s">
        <v>118</v>
      </c>
      <c r="H12" s="100" t="s">
        <v>119</v>
      </c>
      <c r="I12" s="130" t="s">
        <v>1</v>
      </c>
    </row>
    <row r="13" spans="1:9" x14ac:dyDescent="0.2">
      <c r="B13" s="103" t="s">
        <v>19</v>
      </c>
      <c r="C13" s="131" t="s">
        <v>109</v>
      </c>
      <c r="D13" s="11">
        <v>1517</v>
      </c>
      <c r="E13" s="11">
        <v>1802</v>
      </c>
      <c r="F13" s="75">
        <v>1433</v>
      </c>
      <c r="G13" s="118">
        <v>1400</v>
      </c>
      <c r="H13" s="118">
        <v>1400</v>
      </c>
      <c r="I13" s="193">
        <f>SUM(D13:H13)</f>
        <v>7552</v>
      </c>
    </row>
    <row r="14" spans="1:9" x14ac:dyDescent="0.2">
      <c r="B14" s="103"/>
      <c r="C14" s="132"/>
      <c r="D14" s="119"/>
      <c r="E14" s="119"/>
      <c r="F14" s="118"/>
      <c r="G14" s="118"/>
      <c r="H14" s="118"/>
      <c r="I14" s="193"/>
    </row>
    <row r="15" spans="1:9" x14ac:dyDescent="0.2">
      <c r="A15" s="120"/>
      <c r="B15" s="133" t="s">
        <v>53</v>
      </c>
      <c r="C15" s="99"/>
      <c r="D15" s="134">
        <f>SUM(D13:D14)</f>
        <v>1517</v>
      </c>
      <c r="E15" s="134">
        <f>SUM(E13:E14)</f>
        <v>1802</v>
      </c>
      <c r="F15" s="134">
        <f t="shared" ref="F15:I15" si="3">SUM(F13:F14)</f>
        <v>1433</v>
      </c>
      <c r="G15" s="134">
        <f t="shared" si="3"/>
        <v>1400</v>
      </c>
      <c r="H15" s="134">
        <f t="shared" si="3"/>
        <v>1400</v>
      </c>
      <c r="I15" s="134">
        <f t="shared" si="3"/>
        <v>7552</v>
      </c>
    </row>
    <row r="17" spans="1:9" x14ac:dyDescent="0.2">
      <c r="A17" s="120"/>
      <c r="B17" s="121" t="s">
        <v>6</v>
      </c>
      <c r="C17" s="122"/>
      <c r="D17" s="123"/>
      <c r="E17" s="123"/>
      <c r="F17" s="123"/>
      <c r="G17" s="123"/>
      <c r="H17" s="123"/>
      <c r="I17" s="123"/>
    </row>
    <row r="18" spans="1:9" x14ac:dyDescent="0.2">
      <c r="B18" s="281" t="s">
        <v>104</v>
      </c>
      <c r="C18" s="282"/>
      <c r="D18" s="282"/>
      <c r="E18" s="282"/>
      <c r="F18" s="282"/>
      <c r="G18" s="282"/>
      <c r="H18" s="282"/>
      <c r="I18" s="282"/>
    </row>
    <row r="19" spans="1:9" x14ac:dyDescent="0.2">
      <c r="B19" s="283"/>
      <c r="C19" s="284"/>
      <c r="D19" s="284"/>
      <c r="E19" s="284"/>
      <c r="F19" s="284"/>
      <c r="G19" s="284"/>
      <c r="H19" s="284"/>
      <c r="I19" s="284"/>
    </row>
    <row r="20" spans="1:9" x14ac:dyDescent="0.2">
      <c r="B20" s="124" t="s">
        <v>125</v>
      </c>
      <c r="C20" s="125"/>
      <c r="D20" s="125"/>
      <c r="E20" s="125"/>
      <c r="F20" s="125"/>
      <c r="G20" s="125"/>
      <c r="H20" s="125"/>
      <c r="I20" s="125"/>
    </row>
    <row r="21" spans="1:9" x14ac:dyDescent="0.2">
      <c r="B21" s="124" t="s">
        <v>126</v>
      </c>
      <c r="C21" s="125"/>
      <c r="D21" s="125"/>
      <c r="E21" s="125"/>
      <c r="F21" s="125"/>
      <c r="G21" s="125"/>
      <c r="H21" s="125"/>
      <c r="I21" s="125"/>
    </row>
    <row r="22" spans="1:9" x14ac:dyDescent="0.2">
      <c r="B22" s="124" t="s">
        <v>127</v>
      </c>
      <c r="C22" s="125"/>
      <c r="D22" s="125"/>
      <c r="E22" s="125"/>
      <c r="F22" s="125"/>
      <c r="G22" s="125"/>
      <c r="H22" s="125"/>
      <c r="I22" s="125"/>
    </row>
    <row r="23" spans="1:9" x14ac:dyDescent="0.2">
      <c r="B23" s="124" t="s">
        <v>128</v>
      </c>
      <c r="C23" s="125"/>
      <c r="D23" s="125"/>
      <c r="E23" s="125"/>
      <c r="F23" s="125"/>
      <c r="G23" s="125"/>
      <c r="H23" s="125"/>
      <c r="I23" s="125"/>
    </row>
    <row r="24" spans="1:9" x14ac:dyDescent="0.2">
      <c r="B24" s="125" t="s">
        <v>129</v>
      </c>
      <c r="C24" s="125"/>
      <c r="D24" s="125"/>
      <c r="E24" s="125"/>
      <c r="F24" s="125"/>
      <c r="G24" s="125"/>
      <c r="H24" s="125"/>
      <c r="I24" s="125"/>
    </row>
    <row r="25" spans="1:9" x14ac:dyDescent="0.2">
      <c r="B25" s="122"/>
      <c r="C25" s="122"/>
      <c r="D25" s="123"/>
      <c r="E25" s="123"/>
      <c r="F25" s="123"/>
      <c r="G25" s="123"/>
      <c r="H25" s="123"/>
      <c r="I25" s="123"/>
    </row>
    <row r="26" spans="1:9" x14ac:dyDescent="0.2">
      <c r="B26" s="116" t="s">
        <v>102</v>
      </c>
      <c r="C26" s="117"/>
      <c r="D26" s="117"/>
      <c r="E26" s="117"/>
      <c r="F26" s="117"/>
      <c r="G26" s="117"/>
      <c r="H26" s="117"/>
      <c r="I26" s="117"/>
    </row>
    <row r="27" spans="1:9" x14ac:dyDescent="0.2">
      <c r="B27" s="255" t="s">
        <v>11</v>
      </c>
      <c r="C27" s="256"/>
      <c r="D27" s="256"/>
      <c r="E27" s="256"/>
      <c r="F27" s="256"/>
      <c r="G27" s="256"/>
      <c r="H27" s="256"/>
      <c r="I27" s="257"/>
    </row>
    <row r="28" spans="1:9" x14ac:dyDescent="0.2">
      <c r="B28" s="307" t="s">
        <v>103</v>
      </c>
      <c r="C28" s="285"/>
      <c r="D28" s="285"/>
      <c r="E28" s="285"/>
      <c r="F28" s="285"/>
      <c r="G28" s="285"/>
      <c r="H28" s="285"/>
      <c r="I28" s="285"/>
    </row>
    <row r="29" spans="1:9" x14ac:dyDescent="0.2">
      <c r="B29" s="286"/>
      <c r="C29" s="287"/>
      <c r="D29" s="287"/>
      <c r="E29" s="287"/>
      <c r="F29" s="287"/>
      <c r="G29" s="287"/>
      <c r="H29" s="287"/>
      <c r="I29" s="287"/>
    </row>
    <row r="30" spans="1:9" x14ac:dyDescent="0.2">
      <c r="B30" s="126"/>
      <c r="C30" s="127"/>
      <c r="D30" s="127"/>
      <c r="E30" s="127"/>
      <c r="F30" s="127"/>
      <c r="G30" s="127"/>
      <c r="H30" s="127"/>
      <c r="I30" s="127"/>
    </row>
  </sheetData>
  <mergeCells count="2">
    <mergeCell ref="B18:I19"/>
    <mergeCell ref="B28:I29"/>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AH40"/>
  <sheetViews>
    <sheetView showGridLines="0" zoomScale="80" zoomScaleNormal="80" workbookViewId="0">
      <selection activeCell="H7" sqref="H7"/>
    </sheetView>
  </sheetViews>
  <sheetFormatPr defaultColWidth="9.140625" defaultRowHeight="12.75" x14ac:dyDescent="0.2"/>
  <cols>
    <col min="1" max="1" width="2.28515625" style="144" customWidth="1"/>
    <col min="2" max="2" width="75.42578125" style="144" customWidth="1"/>
    <col min="3" max="3" width="15.140625" style="186" bestFit="1" customWidth="1"/>
    <col min="4" max="4" width="9.140625" style="187"/>
    <col min="5" max="5" width="9.140625" style="188"/>
    <col min="6" max="9" width="9.140625" style="189"/>
    <col min="10" max="10" width="10.28515625" style="189" bestFit="1" customWidth="1"/>
    <col min="11" max="13" width="9.140625" style="189"/>
    <col min="14" max="14" width="12" style="189" customWidth="1"/>
    <col min="15" max="15" width="9.140625" style="144"/>
    <col min="16" max="16" width="10.28515625" style="190" customWidth="1"/>
    <col min="17" max="17" width="10.5703125" style="190" customWidth="1"/>
    <col min="18" max="18" width="2.85546875" style="144" customWidth="1"/>
    <col min="19" max="19" width="80.85546875" style="144" customWidth="1"/>
    <col min="20" max="20" width="16" style="144" customWidth="1"/>
    <col min="21" max="21" width="10.5703125" style="144" customWidth="1"/>
    <col min="22" max="22" width="13.5703125" style="144" customWidth="1"/>
    <col min="23" max="31" width="12.5703125" style="144" customWidth="1"/>
    <col min="32" max="32" width="12.85546875" style="144" customWidth="1"/>
    <col min="33" max="33" width="12.28515625" style="144" customWidth="1"/>
    <col min="34" max="34" width="11" style="144" customWidth="1"/>
    <col min="35" max="16384" width="9.140625" style="144"/>
  </cols>
  <sheetData>
    <row r="2" spans="1:34" x14ac:dyDescent="0.2">
      <c r="B2" s="194" t="s">
        <v>55</v>
      </c>
      <c r="C2" s="195"/>
      <c r="D2" s="195"/>
      <c r="E2" s="195"/>
      <c r="F2" s="195"/>
      <c r="G2" s="195"/>
      <c r="H2" s="296" t="s">
        <v>147</v>
      </c>
      <c r="I2" s="296"/>
      <c r="J2" s="296"/>
      <c r="K2" s="296"/>
      <c r="L2" s="296"/>
      <c r="M2" s="296"/>
      <c r="N2" s="296"/>
      <c r="O2" s="296"/>
      <c r="P2" s="296"/>
      <c r="Q2" s="296"/>
      <c r="S2" s="194" t="s">
        <v>55</v>
      </c>
      <c r="T2" s="195"/>
      <c r="U2" s="195"/>
      <c r="V2" s="195"/>
      <c r="W2" s="195"/>
      <c r="X2" s="195"/>
      <c r="Y2" s="296" t="s">
        <v>147</v>
      </c>
      <c r="Z2" s="296"/>
      <c r="AA2" s="296"/>
      <c r="AB2" s="296"/>
      <c r="AC2" s="296"/>
      <c r="AD2" s="296"/>
      <c r="AE2" s="296"/>
      <c r="AF2" s="296"/>
      <c r="AG2" s="296"/>
      <c r="AH2" s="296"/>
    </row>
    <row r="3" spans="1:34" ht="15.75" x14ac:dyDescent="0.25">
      <c r="B3" s="145" t="s">
        <v>74</v>
      </c>
      <c r="C3" s="146"/>
      <c r="D3" s="147"/>
      <c r="E3" s="148"/>
      <c r="F3" s="149"/>
      <c r="G3" s="149"/>
      <c r="H3" s="297" t="s">
        <v>148</v>
      </c>
      <c r="I3" s="297"/>
      <c r="J3" s="297"/>
      <c r="K3" s="297"/>
      <c r="L3" s="297"/>
      <c r="M3" s="297"/>
      <c r="N3" s="297"/>
      <c r="O3" s="297"/>
      <c r="P3" s="297"/>
      <c r="Q3" s="297"/>
      <c r="S3" s="145" t="s">
        <v>112</v>
      </c>
      <c r="T3" s="150"/>
      <c r="U3" s="150"/>
      <c r="V3" s="150"/>
      <c r="W3" s="150"/>
      <c r="X3" s="150"/>
      <c r="Y3" s="297" t="s">
        <v>148</v>
      </c>
      <c r="Z3" s="297"/>
      <c r="AA3" s="297"/>
      <c r="AB3" s="297"/>
      <c r="AC3" s="297"/>
      <c r="AD3" s="297"/>
      <c r="AE3" s="297"/>
      <c r="AF3" s="297"/>
      <c r="AG3" s="297"/>
      <c r="AH3" s="297"/>
    </row>
    <row r="4" spans="1:34" s="151" customFormat="1" ht="3" customHeight="1" x14ac:dyDescent="0.2">
      <c r="B4" s="152"/>
      <c r="C4" s="153"/>
      <c r="D4" s="154"/>
      <c r="E4" s="155"/>
      <c r="F4" s="156"/>
      <c r="G4" s="156"/>
      <c r="H4" s="156"/>
      <c r="I4" s="156"/>
      <c r="J4" s="156"/>
      <c r="K4" s="156"/>
      <c r="L4" s="156"/>
      <c r="M4" s="156"/>
      <c r="N4" s="156"/>
      <c r="O4" s="152"/>
      <c r="P4" s="152"/>
      <c r="Q4" s="152"/>
      <c r="S4" s="152"/>
      <c r="T4" s="152"/>
      <c r="U4" s="152"/>
      <c r="V4" s="152"/>
      <c r="W4" s="152"/>
      <c r="X4" s="152"/>
      <c r="Y4" s="152"/>
      <c r="Z4" s="152"/>
      <c r="AA4" s="152"/>
      <c r="AB4" s="152"/>
      <c r="AC4" s="152"/>
      <c r="AD4" s="152"/>
      <c r="AE4" s="152"/>
      <c r="AF4" s="152"/>
      <c r="AG4" s="152"/>
      <c r="AH4" s="152"/>
    </row>
    <row r="5" spans="1:34" ht="63.75" x14ac:dyDescent="0.2">
      <c r="B5" s="157" t="s">
        <v>18</v>
      </c>
      <c r="C5" s="157" t="s">
        <v>31</v>
      </c>
      <c r="D5" s="196" t="s">
        <v>69</v>
      </c>
      <c r="E5" s="197" t="s">
        <v>33</v>
      </c>
      <c r="F5" s="196" t="s">
        <v>32</v>
      </c>
      <c r="G5" s="201" t="s">
        <v>136</v>
      </c>
      <c r="H5" s="201" t="s">
        <v>137</v>
      </c>
      <c r="I5" s="201" t="s">
        <v>138</v>
      </c>
      <c r="J5" s="201" t="s">
        <v>139</v>
      </c>
      <c r="K5" s="202" t="s">
        <v>140</v>
      </c>
      <c r="L5" s="202" t="s">
        <v>141</v>
      </c>
      <c r="M5" s="201" t="s">
        <v>142</v>
      </c>
      <c r="N5" s="201" t="s">
        <v>143</v>
      </c>
      <c r="O5" s="201" t="s">
        <v>144</v>
      </c>
      <c r="P5" s="201" t="s">
        <v>145</v>
      </c>
      <c r="Q5" s="201" t="s">
        <v>146</v>
      </c>
      <c r="R5" s="161"/>
      <c r="S5" s="157" t="s">
        <v>18</v>
      </c>
      <c r="T5" s="157" t="s">
        <v>31</v>
      </c>
      <c r="U5" s="160" t="s">
        <v>69</v>
      </c>
      <c r="V5" s="160" t="s">
        <v>33</v>
      </c>
      <c r="W5" s="160" t="s">
        <v>32</v>
      </c>
      <c r="X5" s="201" t="s">
        <v>136</v>
      </c>
      <c r="Y5" s="201" t="s">
        <v>137</v>
      </c>
      <c r="Z5" s="201" t="s">
        <v>138</v>
      </c>
      <c r="AA5" s="201" t="s">
        <v>139</v>
      </c>
      <c r="AB5" s="202" t="s">
        <v>140</v>
      </c>
      <c r="AC5" s="202" t="s">
        <v>141</v>
      </c>
      <c r="AD5" s="201" t="s">
        <v>142</v>
      </c>
      <c r="AE5" s="201" t="s">
        <v>143</v>
      </c>
      <c r="AF5" s="201" t="s">
        <v>144</v>
      </c>
      <c r="AG5" s="201" t="s">
        <v>145</v>
      </c>
      <c r="AH5" s="201" t="s">
        <v>146</v>
      </c>
    </row>
    <row r="6" spans="1:34" x14ac:dyDescent="0.2">
      <c r="B6" s="198" t="s">
        <v>96</v>
      </c>
      <c r="C6" s="198"/>
      <c r="D6" s="198"/>
      <c r="E6" s="198"/>
      <c r="F6" s="198"/>
      <c r="G6" s="217"/>
      <c r="H6" s="217"/>
      <c r="I6" s="217"/>
      <c r="J6" s="217"/>
      <c r="K6" s="217"/>
      <c r="L6" s="217"/>
      <c r="M6" s="217"/>
      <c r="N6" s="217"/>
      <c r="O6" s="217"/>
      <c r="P6" s="217"/>
      <c r="Q6" s="218"/>
      <c r="R6" s="178"/>
      <c r="S6" s="199" t="s">
        <v>111</v>
      </c>
      <c r="T6" s="200"/>
      <c r="U6" s="215"/>
      <c r="V6" s="215"/>
      <c r="W6" s="215"/>
      <c r="X6" s="215"/>
      <c r="Y6" s="215"/>
      <c r="Z6" s="215"/>
      <c r="AA6" s="215"/>
      <c r="AB6" s="215"/>
      <c r="AC6" s="215"/>
      <c r="AD6" s="215"/>
      <c r="AE6" s="215"/>
      <c r="AF6" s="215"/>
      <c r="AG6" s="216"/>
      <c r="AH6" s="162"/>
    </row>
    <row r="7" spans="1:34" x14ac:dyDescent="0.2">
      <c r="B7" s="254" t="s">
        <v>75</v>
      </c>
      <c r="C7" s="164" t="s">
        <v>71</v>
      </c>
      <c r="D7" s="165">
        <v>2</v>
      </c>
      <c r="E7" s="166">
        <v>1</v>
      </c>
      <c r="F7" s="167">
        <f>E7*D7</f>
        <v>2</v>
      </c>
      <c r="G7" s="205">
        <v>0</v>
      </c>
      <c r="H7" s="203">
        <f>IF(G7=0,VLOOKUP(C:C,[1]Inputs!$B$20:$H$25,7,FALSE)*F7,VLOOKUP(C:C,[1]Inputs!$B$20:$I$25,8,FALSE)*F7)</f>
        <v>159.67669293933002</v>
      </c>
      <c r="I7" s="203">
        <f>VLOOKUP(C:C,[1]Inputs!$C$54:$G$59,5,FALSE)*F7</f>
        <v>39.464872576692635</v>
      </c>
      <c r="J7" s="203"/>
      <c r="K7" s="203"/>
      <c r="L7" s="203"/>
      <c r="M7" s="203">
        <f>SUM(H7:J7)</f>
        <v>199.14156551602267</v>
      </c>
      <c r="N7" s="203">
        <f>[1]Inputs!$M$43*M7</f>
        <v>92.785354833023334</v>
      </c>
      <c r="O7" s="203">
        <f>[1]Inputs!$M$48*M7</f>
        <v>31.937843374343384</v>
      </c>
      <c r="P7" s="203">
        <f>[1]Inputs!$H$13*SUM(M7:O7)</f>
        <v>20.539503315337356</v>
      </c>
      <c r="Q7" s="203">
        <f t="shared" ref="Q7" si="0">SUM(M7:P7)</f>
        <v>344.40426703872674</v>
      </c>
      <c r="S7" s="163" t="s">
        <v>113</v>
      </c>
      <c r="T7" s="164" t="s">
        <v>71</v>
      </c>
      <c r="U7" s="165">
        <v>1</v>
      </c>
      <c r="V7" s="166">
        <v>1</v>
      </c>
      <c r="W7" s="167">
        <f>V7*U7</f>
        <v>1</v>
      </c>
      <c r="X7" s="205">
        <v>0</v>
      </c>
      <c r="Y7" s="203">
        <f>IF(X7=0,VLOOKUP(T:T,[1]Inputs!$B$20:$H$25,7,FALSE)*W7,VLOOKUP(T:T,[1]Inputs!$B$20:$I$25,8,FALSE)*W7)</f>
        <v>79.838346469665012</v>
      </c>
      <c r="Z7" s="203">
        <f>VLOOKUP(T:T,[1]Inputs!$C$54:$G$59,5,FALSE)*W7</f>
        <v>19.732436288346317</v>
      </c>
      <c r="AA7" s="203"/>
      <c r="AB7" s="203"/>
      <c r="AC7" s="203"/>
      <c r="AD7" s="203">
        <f>SUM(Y7:AA7)</f>
        <v>99.570782758011333</v>
      </c>
      <c r="AE7" s="203">
        <f>[1]Inputs!$M$43*AD7</f>
        <v>46.392677416511667</v>
      </c>
      <c r="AF7" s="203">
        <f>[1]Inputs!$M$48*AD7</f>
        <v>15.968921687171692</v>
      </c>
      <c r="AG7" s="203">
        <f>[1]Inputs!$H$13*SUM(AD7:AF7)</f>
        <v>10.269751657668678</v>
      </c>
      <c r="AH7" s="203">
        <f t="shared" ref="AH7" si="1">SUM(AD7:AG7)</f>
        <v>172.20213351936337</v>
      </c>
    </row>
    <row r="8" spans="1:34" ht="15" customHeight="1" x14ac:dyDescent="0.2">
      <c r="B8" s="163" t="s">
        <v>76</v>
      </c>
      <c r="C8" s="164" t="s">
        <v>92</v>
      </c>
      <c r="D8" s="165">
        <v>1</v>
      </c>
      <c r="E8" s="166">
        <v>1</v>
      </c>
      <c r="F8" s="167">
        <f t="shared" ref="F8:F18" si="2">E8*D8</f>
        <v>1</v>
      </c>
      <c r="G8" s="205">
        <v>0</v>
      </c>
      <c r="H8" s="203">
        <f>IF(G8=0,VLOOKUP(C:C,[1]Inputs!$B$20:$H$25,7,FALSE)*F8,VLOOKUP(C:C,[1]Inputs!$B$20:$I$25,8,FALSE)*F8)</f>
        <v>73.74148301772</v>
      </c>
      <c r="I8" s="203">
        <f>VLOOKUP(C:C,[1]Inputs!$C$54:$G$59,5,FALSE)*F8</f>
        <v>0</v>
      </c>
      <c r="J8" s="203"/>
      <c r="K8" s="203"/>
      <c r="L8" s="203"/>
      <c r="M8" s="203">
        <f t="shared" ref="M8:M18" si="3">SUM(H8:J8)</f>
        <v>73.74148301772</v>
      </c>
      <c r="N8" s="203">
        <f>[1]Inputs!$M$43*M8</f>
        <v>34.358119310666993</v>
      </c>
      <c r="O8" s="203">
        <f>[1]Inputs!$M$48*M8</f>
        <v>11.826480969500322</v>
      </c>
      <c r="P8" s="203">
        <f>[1]Inputs!$H$13*SUM(M8:O8)</f>
        <v>7.6057122027520139</v>
      </c>
      <c r="Q8" s="203">
        <f t="shared" ref="Q8:Q18" si="4">SUM(M8:P8)</f>
        <v>127.53179550063933</v>
      </c>
      <c r="R8" s="178"/>
      <c r="S8" s="163" t="s">
        <v>76</v>
      </c>
      <c r="T8" s="164" t="s">
        <v>92</v>
      </c>
      <c r="U8" s="165">
        <v>0.25</v>
      </c>
      <c r="V8" s="166">
        <v>1</v>
      </c>
      <c r="W8" s="167">
        <f t="shared" ref="W8:W13" si="5">V8*U8</f>
        <v>0.25</v>
      </c>
      <c r="X8" s="205">
        <v>0</v>
      </c>
      <c r="Y8" s="203">
        <f>IF(X8=0,VLOOKUP(T:T,[1]Inputs!$B$20:$H$25,7,FALSE)*W8,VLOOKUP(T:T,[1]Inputs!$B$20:$I$25,8,FALSE)*W8)</f>
        <v>18.43537075443</v>
      </c>
      <c r="Z8" s="203">
        <f>VLOOKUP(T:T,[1]Inputs!$C$54:$G$59,5,FALSE)*W8</f>
        <v>0</v>
      </c>
      <c r="AA8" s="203"/>
      <c r="AB8" s="203"/>
      <c r="AC8" s="203"/>
      <c r="AD8" s="203">
        <f>SUM(Y8:AA8)</f>
        <v>18.43537075443</v>
      </c>
      <c r="AE8" s="203">
        <f>[1]Inputs!$M$43*AD8</f>
        <v>8.5895298276667482</v>
      </c>
      <c r="AF8" s="203">
        <f>[1]Inputs!$M$48*AD8</f>
        <v>2.9566202423750805</v>
      </c>
      <c r="AG8" s="203">
        <f>[1]Inputs!$H$13*SUM(AD8:AF8)</f>
        <v>1.9014280506880035</v>
      </c>
      <c r="AH8" s="203">
        <f t="shared" ref="AH8:AH9" si="6">SUM(AD8:AG8)</f>
        <v>31.882948875159833</v>
      </c>
    </row>
    <row r="9" spans="1:34" ht="13.5" customHeight="1" x14ac:dyDescent="0.2">
      <c r="A9" s="171"/>
      <c r="B9" s="172" t="s">
        <v>77</v>
      </c>
      <c r="C9" s="173" t="s">
        <v>92</v>
      </c>
      <c r="D9" s="174">
        <v>1</v>
      </c>
      <c r="E9" s="175">
        <v>1</v>
      </c>
      <c r="F9" s="176">
        <f t="shared" si="2"/>
        <v>1</v>
      </c>
      <c r="G9" s="205">
        <v>0</v>
      </c>
      <c r="H9" s="203">
        <f>IF(G9=0,VLOOKUP(C:C,[1]Inputs!$B$20:$H$25,7,FALSE)*F9,VLOOKUP(C:C,[1]Inputs!$B$20:$I$25,8,FALSE)*F9)</f>
        <v>73.74148301772</v>
      </c>
      <c r="I9" s="203">
        <f>VLOOKUP(C:C,[1]Inputs!$C$54:$G$59,5,FALSE)*F9</f>
        <v>0</v>
      </c>
      <c r="J9" s="203"/>
      <c r="K9" s="203"/>
      <c r="L9" s="203"/>
      <c r="M9" s="203">
        <f t="shared" si="3"/>
        <v>73.74148301772</v>
      </c>
      <c r="N9" s="203">
        <f>[1]Inputs!$M$43*M9</f>
        <v>34.358119310666993</v>
      </c>
      <c r="O9" s="203">
        <f>[1]Inputs!$M$48*M9</f>
        <v>11.826480969500322</v>
      </c>
      <c r="P9" s="203">
        <f>[1]Inputs!$H$13*SUM(M9:O9)</f>
        <v>7.6057122027520139</v>
      </c>
      <c r="Q9" s="203">
        <f t="shared" si="4"/>
        <v>127.53179550063933</v>
      </c>
      <c r="R9" s="178"/>
      <c r="S9" s="163" t="s">
        <v>114</v>
      </c>
      <c r="T9" s="164" t="s">
        <v>92</v>
      </c>
      <c r="U9" s="165">
        <v>0.25</v>
      </c>
      <c r="V9" s="166">
        <v>1</v>
      </c>
      <c r="W9" s="167">
        <f t="shared" si="5"/>
        <v>0.25</v>
      </c>
      <c r="X9" s="205">
        <v>0</v>
      </c>
      <c r="Y9" s="203">
        <f>IF(X9=0,VLOOKUP(T:T,[1]Inputs!$B$20:$H$25,7,FALSE)*W9,VLOOKUP(T:T,[1]Inputs!$B$20:$I$25,8,FALSE)*W9)</f>
        <v>18.43537075443</v>
      </c>
      <c r="Z9" s="203">
        <f>VLOOKUP(T:T,[1]Inputs!$C$54:$G$59,5,FALSE)*W9</f>
        <v>0</v>
      </c>
      <c r="AA9" s="203"/>
      <c r="AB9" s="203"/>
      <c r="AC9" s="203"/>
      <c r="AD9" s="203">
        <f t="shared" ref="AD9:AD13" si="7">SUM(Y9:AA9)</f>
        <v>18.43537075443</v>
      </c>
      <c r="AE9" s="203">
        <f>[1]Inputs!$M$43*AD9</f>
        <v>8.5895298276667482</v>
      </c>
      <c r="AF9" s="203">
        <f>[1]Inputs!$M$48*AD9</f>
        <v>2.9566202423750805</v>
      </c>
      <c r="AG9" s="203">
        <f>[1]Inputs!$H$13*SUM(AD9:AF9)</f>
        <v>1.9014280506880035</v>
      </c>
      <c r="AH9" s="203">
        <f t="shared" si="6"/>
        <v>31.882948875159833</v>
      </c>
    </row>
    <row r="10" spans="1:34" x14ac:dyDescent="0.2">
      <c r="B10" s="177" t="s">
        <v>78</v>
      </c>
      <c r="C10" s="164" t="s">
        <v>54</v>
      </c>
      <c r="D10" s="165">
        <v>0.5</v>
      </c>
      <c r="E10" s="166">
        <v>1</v>
      </c>
      <c r="F10" s="167">
        <f t="shared" si="2"/>
        <v>0.5</v>
      </c>
      <c r="G10" s="205">
        <v>0</v>
      </c>
      <c r="H10" s="203">
        <f>IF(G10=0,VLOOKUP(C:C,[1]Inputs!$B$20:$H$25,7,FALSE)*F10,VLOOKUP(C:C,[1]Inputs!$B$20:$I$25,8,FALSE)*F10)</f>
        <v>51.630298810072496</v>
      </c>
      <c r="I10" s="203">
        <f>VLOOKUP(C:C,[1]Inputs!$C$54:$G$59,5,FALSE)*F10</f>
        <v>0</v>
      </c>
      <c r="J10" s="203"/>
      <c r="K10" s="203"/>
      <c r="L10" s="203"/>
      <c r="M10" s="203">
        <f t="shared" si="3"/>
        <v>51.630298810072496</v>
      </c>
      <c r="N10" s="203">
        <f>[1]Inputs!$M$43*M10</f>
        <v>24.055930176174893</v>
      </c>
      <c r="O10" s="203">
        <f>[1]Inputs!$M$48*M10</f>
        <v>8.2803426421490585</v>
      </c>
      <c r="P10" s="203">
        <f>[1]Inputs!$H$13*SUM(M10:O10)</f>
        <v>5.3251599726729033</v>
      </c>
      <c r="Q10" s="203">
        <f t="shared" si="4"/>
        <v>89.291731601069358</v>
      </c>
      <c r="S10" s="163" t="s">
        <v>78</v>
      </c>
      <c r="T10" s="164" t="s">
        <v>54</v>
      </c>
      <c r="U10" s="165">
        <v>0.25</v>
      </c>
      <c r="V10" s="166">
        <v>1</v>
      </c>
      <c r="W10" s="167">
        <f t="shared" si="5"/>
        <v>0.25</v>
      </c>
      <c r="X10" s="205">
        <v>0</v>
      </c>
      <c r="Y10" s="203">
        <f>IF(X10=0,VLOOKUP(T:T,[1]Inputs!$B$20:$H$25,7,FALSE)*W10,VLOOKUP(T:T,[1]Inputs!$B$20:$I$25,8,FALSE)*W10)</f>
        <v>25.815149405036248</v>
      </c>
      <c r="Z10" s="203">
        <f>VLOOKUP(T:T,[1]Inputs!$C$54:$G$59,5,FALSE)*W10</f>
        <v>0</v>
      </c>
      <c r="AA10" s="203"/>
      <c r="AB10" s="203"/>
      <c r="AC10" s="203"/>
      <c r="AD10" s="203">
        <f t="shared" si="7"/>
        <v>25.815149405036248</v>
      </c>
      <c r="AE10" s="203">
        <f>[1]Inputs!$M$43*AD10</f>
        <v>12.027965088087447</v>
      </c>
      <c r="AF10" s="203">
        <f>[1]Inputs!$M$48*AD10</f>
        <v>4.1401713210745292</v>
      </c>
      <c r="AG10" s="203">
        <f>[1]Inputs!$H$13*SUM(AD10:AF10)</f>
        <v>2.6625799863364517</v>
      </c>
      <c r="AH10" s="203">
        <f t="shared" ref="AH10:AH13" si="8">SUM(AD10:AG10)</f>
        <v>44.645865800534679</v>
      </c>
    </row>
    <row r="11" spans="1:34" x14ac:dyDescent="0.2">
      <c r="B11" s="163" t="s">
        <v>79</v>
      </c>
      <c r="C11" s="164" t="s">
        <v>54</v>
      </c>
      <c r="D11" s="165">
        <v>1</v>
      </c>
      <c r="E11" s="166">
        <v>1</v>
      </c>
      <c r="F11" s="167">
        <f t="shared" si="2"/>
        <v>1</v>
      </c>
      <c r="G11" s="205">
        <v>0</v>
      </c>
      <c r="H11" s="203">
        <f>IF(G11=0,VLOOKUP(C:C,[1]Inputs!$B$20:$H$25,7,FALSE)*F11,VLOOKUP(C:C,[1]Inputs!$B$20:$I$25,8,FALSE)*F11)</f>
        <v>103.26059762014499</v>
      </c>
      <c r="I11" s="203">
        <f>VLOOKUP(C:C,[1]Inputs!$C$54:$G$59,5,FALSE)*F11</f>
        <v>0</v>
      </c>
      <c r="J11" s="203"/>
      <c r="K11" s="203"/>
      <c r="L11" s="203"/>
      <c r="M11" s="203">
        <f t="shared" si="3"/>
        <v>103.26059762014499</v>
      </c>
      <c r="N11" s="203">
        <f>[1]Inputs!$M$43*M11</f>
        <v>48.111860352349787</v>
      </c>
      <c r="O11" s="203">
        <f>[1]Inputs!$M$48*M11</f>
        <v>16.560685284298117</v>
      </c>
      <c r="P11" s="203">
        <f>[1]Inputs!$H$13*SUM(M11:O11)</f>
        <v>10.650319945345807</v>
      </c>
      <c r="Q11" s="203">
        <f t="shared" si="4"/>
        <v>178.58346320213872</v>
      </c>
      <c r="S11" s="163" t="s">
        <v>115</v>
      </c>
      <c r="T11" s="164" t="s">
        <v>54</v>
      </c>
      <c r="U11" s="165">
        <v>0.5</v>
      </c>
      <c r="V11" s="166">
        <v>1</v>
      </c>
      <c r="W11" s="167">
        <f t="shared" si="5"/>
        <v>0.5</v>
      </c>
      <c r="X11" s="205">
        <v>0</v>
      </c>
      <c r="Y11" s="203">
        <f>IF(X11=0,VLOOKUP(T:T,[1]Inputs!$B$20:$H$25,7,FALSE)*W11,VLOOKUP(T:T,[1]Inputs!$B$20:$I$25,8,FALSE)*W11)</f>
        <v>51.630298810072496</v>
      </c>
      <c r="Z11" s="203">
        <f>VLOOKUP(T:T,[1]Inputs!$C$54:$G$59,5,FALSE)*W11</f>
        <v>0</v>
      </c>
      <c r="AA11" s="203"/>
      <c r="AB11" s="203"/>
      <c r="AC11" s="203"/>
      <c r="AD11" s="203">
        <f t="shared" si="7"/>
        <v>51.630298810072496</v>
      </c>
      <c r="AE11" s="203">
        <f>[1]Inputs!$M$43*AD11</f>
        <v>24.055930176174893</v>
      </c>
      <c r="AF11" s="203">
        <f>[1]Inputs!$M$48*AD11</f>
        <v>8.2803426421490585</v>
      </c>
      <c r="AG11" s="203">
        <f>[1]Inputs!$H$13*SUM(AD11:AF11)</f>
        <v>5.3251599726729033</v>
      </c>
      <c r="AH11" s="203">
        <f t="shared" si="8"/>
        <v>89.291731601069358</v>
      </c>
    </row>
    <row r="12" spans="1:34" x14ac:dyDescent="0.2">
      <c r="B12" s="163" t="s">
        <v>117</v>
      </c>
      <c r="C12" s="164" t="s">
        <v>71</v>
      </c>
      <c r="D12" s="165">
        <v>1</v>
      </c>
      <c r="E12" s="166">
        <v>1</v>
      </c>
      <c r="F12" s="167">
        <f t="shared" si="2"/>
        <v>1</v>
      </c>
      <c r="G12" s="205">
        <v>0</v>
      </c>
      <c r="H12" s="203">
        <f>IF(G12=0,VLOOKUP(C:C,[1]Inputs!$B$20:$H$25,7,FALSE)*F12,VLOOKUP(C:C,[1]Inputs!$B$20:$I$25,8,FALSE)*F12)</f>
        <v>79.838346469665012</v>
      </c>
      <c r="I12" s="203">
        <f>VLOOKUP(C:C,[1]Inputs!$C$54:$G$59,5,FALSE)*F12</f>
        <v>19.732436288346317</v>
      </c>
      <c r="J12" s="203"/>
      <c r="K12" s="203"/>
      <c r="L12" s="203"/>
      <c r="M12" s="203">
        <f t="shared" si="3"/>
        <v>99.570782758011333</v>
      </c>
      <c r="N12" s="203">
        <f>[1]Inputs!$M$43*M12</f>
        <v>46.392677416511667</v>
      </c>
      <c r="O12" s="203">
        <f>[1]Inputs!$M$48*M12</f>
        <v>15.968921687171692</v>
      </c>
      <c r="P12" s="203">
        <f>[1]Inputs!$H$13*SUM(M12:O12)</f>
        <v>10.269751657668678</v>
      </c>
      <c r="Q12" s="203">
        <f t="shared" si="4"/>
        <v>172.20213351936337</v>
      </c>
      <c r="R12" s="204"/>
      <c r="S12" s="163" t="s">
        <v>80</v>
      </c>
      <c r="T12" s="164" t="s">
        <v>71</v>
      </c>
      <c r="U12" s="165">
        <v>1</v>
      </c>
      <c r="V12" s="166">
        <v>1</v>
      </c>
      <c r="W12" s="167">
        <f t="shared" si="5"/>
        <v>1</v>
      </c>
      <c r="X12" s="205">
        <v>0</v>
      </c>
      <c r="Y12" s="203">
        <f>IF(X12=0,VLOOKUP(T:T,[1]Inputs!$B$20:$H$25,7,FALSE)*W12,VLOOKUP(T:T,[1]Inputs!$B$20:$I$25,8,FALSE)*W12)</f>
        <v>79.838346469665012</v>
      </c>
      <c r="Z12" s="203">
        <f>VLOOKUP(T:T,[1]Inputs!$C$54:$G$59,5,FALSE)*W12</f>
        <v>19.732436288346317</v>
      </c>
      <c r="AA12" s="203"/>
      <c r="AB12" s="203"/>
      <c r="AC12" s="203"/>
      <c r="AD12" s="203">
        <f t="shared" si="7"/>
        <v>99.570782758011333</v>
      </c>
      <c r="AE12" s="203">
        <f>[1]Inputs!$M$43*AD12</f>
        <v>46.392677416511667</v>
      </c>
      <c r="AF12" s="203">
        <f>[1]Inputs!$M$48*AD12</f>
        <v>15.968921687171692</v>
      </c>
      <c r="AG12" s="203">
        <f>[1]Inputs!$H$13*SUM(AD12:AF12)</f>
        <v>10.269751657668678</v>
      </c>
      <c r="AH12" s="203">
        <f t="shared" si="8"/>
        <v>172.20213351936337</v>
      </c>
    </row>
    <row r="13" spans="1:34" x14ac:dyDescent="0.2">
      <c r="B13" s="163" t="s">
        <v>83</v>
      </c>
      <c r="C13" s="164" t="s">
        <v>71</v>
      </c>
      <c r="D13" s="165">
        <v>1</v>
      </c>
      <c r="E13" s="166">
        <v>2</v>
      </c>
      <c r="F13" s="167">
        <f t="shared" si="2"/>
        <v>2</v>
      </c>
      <c r="G13" s="205">
        <v>0</v>
      </c>
      <c r="H13" s="203">
        <f>IF(G13=0,VLOOKUP(C:C,[1]Inputs!$B$20:$H$25,7,FALSE)*F13,VLOOKUP(C:C,[1]Inputs!$B$20:$I$25,8,FALSE)*F13)</f>
        <v>159.67669293933002</v>
      </c>
      <c r="I13" s="203">
        <f>VLOOKUP(C:C,[1]Inputs!$C$54:$G$59,5,FALSE)*F13</f>
        <v>39.464872576692635</v>
      </c>
      <c r="J13" s="203"/>
      <c r="K13" s="203"/>
      <c r="L13" s="203"/>
      <c r="M13" s="203">
        <f t="shared" si="3"/>
        <v>199.14156551602267</v>
      </c>
      <c r="N13" s="203">
        <f>[1]Inputs!$M$43*M13</f>
        <v>92.785354833023334</v>
      </c>
      <c r="O13" s="203">
        <f>[1]Inputs!$M$48*M13</f>
        <v>31.937843374343384</v>
      </c>
      <c r="P13" s="203">
        <f>[1]Inputs!$H$13*SUM(M13:O13)</f>
        <v>20.539503315337356</v>
      </c>
      <c r="Q13" s="203">
        <f t="shared" si="4"/>
        <v>344.40426703872674</v>
      </c>
      <c r="R13" s="178"/>
      <c r="S13" s="163" t="s">
        <v>83</v>
      </c>
      <c r="T13" s="164" t="s">
        <v>71</v>
      </c>
      <c r="U13" s="165">
        <v>1</v>
      </c>
      <c r="V13" s="166">
        <v>1</v>
      </c>
      <c r="W13" s="167">
        <f t="shared" si="5"/>
        <v>1</v>
      </c>
      <c r="X13" s="205">
        <v>0</v>
      </c>
      <c r="Y13" s="203">
        <f>IF(X13=0,VLOOKUP(T:T,[1]Inputs!$B$20:$H$25,7,FALSE)*W13,VLOOKUP(T:T,[1]Inputs!$B$20:$I$25,8,FALSE)*W13)</f>
        <v>79.838346469665012</v>
      </c>
      <c r="Z13" s="203">
        <f>VLOOKUP(T:T,[1]Inputs!$C$54:$G$59,5,FALSE)*W13</f>
        <v>19.732436288346317</v>
      </c>
      <c r="AA13" s="203"/>
      <c r="AB13" s="203"/>
      <c r="AC13" s="203"/>
      <c r="AD13" s="203">
        <f t="shared" si="7"/>
        <v>99.570782758011333</v>
      </c>
      <c r="AE13" s="203">
        <f>[1]Inputs!$M$43*AD13</f>
        <v>46.392677416511667</v>
      </c>
      <c r="AF13" s="203">
        <f>[1]Inputs!$M$48*AD13</f>
        <v>15.968921687171692</v>
      </c>
      <c r="AG13" s="203">
        <f>[1]Inputs!$H$13*SUM(AD13:AF13)</f>
        <v>10.269751657668678</v>
      </c>
      <c r="AH13" s="203">
        <f t="shared" si="8"/>
        <v>172.20213351936337</v>
      </c>
    </row>
    <row r="14" spans="1:34" x14ac:dyDescent="0.2">
      <c r="B14" s="163" t="s">
        <v>84</v>
      </c>
      <c r="C14" s="164" t="s">
        <v>54</v>
      </c>
      <c r="D14" s="165">
        <v>0.5</v>
      </c>
      <c r="E14" s="166">
        <v>1</v>
      </c>
      <c r="F14" s="167">
        <f t="shared" si="2"/>
        <v>0.5</v>
      </c>
      <c r="G14" s="205">
        <v>0</v>
      </c>
      <c r="H14" s="203">
        <f>IF(G14=0,VLOOKUP(C:C,[1]Inputs!$B$20:$H$25,7,FALSE)*F14,VLOOKUP(C:C,[1]Inputs!$B$20:$I$25,8,FALSE)*F14)</f>
        <v>51.630298810072496</v>
      </c>
      <c r="I14" s="203">
        <f>VLOOKUP(C:C,[1]Inputs!$C$54:$G$59,5,FALSE)*F14</f>
        <v>0</v>
      </c>
      <c r="J14" s="203"/>
      <c r="K14" s="203"/>
      <c r="L14" s="203"/>
      <c r="M14" s="203">
        <f t="shared" si="3"/>
        <v>51.630298810072496</v>
      </c>
      <c r="N14" s="203">
        <f>[1]Inputs!$M$43*M14</f>
        <v>24.055930176174893</v>
      </c>
      <c r="O14" s="203">
        <f>[1]Inputs!$M$48*M14</f>
        <v>8.2803426421490585</v>
      </c>
      <c r="P14" s="203">
        <f>[1]Inputs!$H$13*SUM(M14:O14)</f>
        <v>5.3251599726729033</v>
      </c>
      <c r="Q14" s="203">
        <f t="shared" si="4"/>
        <v>89.291731601069358</v>
      </c>
      <c r="R14" s="178"/>
      <c r="S14" s="290" t="s">
        <v>1</v>
      </c>
      <c r="T14" s="291"/>
      <c r="U14" s="291"/>
      <c r="V14" s="292"/>
      <c r="W14" s="179">
        <f>SUM(W7:W13)</f>
        <v>4.25</v>
      </c>
      <c r="X14" s="179">
        <f t="shared" ref="X14:AH14" si="9">SUM(X7:X13)</f>
        <v>0</v>
      </c>
      <c r="Y14" s="179">
        <f t="shared" si="9"/>
        <v>353.83122913296376</v>
      </c>
      <c r="Z14" s="179">
        <f t="shared" si="9"/>
        <v>59.197308865038949</v>
      </c>
      <c r="AA14" s="179">
        <f t="shared" si="9"/>
        <v>0</v>
      </c>
      <c r="AB14" s="179">
        <f t="shared" si="9"/>
        <v>0</v>
      </c>
      <c r="AC14" s="179">
        <f t="shared" si="9"/>
        <v>0</v>
      </c>
      <c r="AD14" s="179">
        <f t="shared" si="9"/>
        <v>413.02853799800272</v>
      </c>
      <c r="AE14" s="179">
        <f t="shared" si="9"/>
        <v>192.44098716913084</v>
      </c>
      <c r="AF14" s="179">
        <f t="shared" si="9"/>
        <v>66.24051950948882</v>
      </c>
      <c r="AG14" s="179">
        <f t="shared" si="9"/>
        <v>42.599851033391403</v>
      </c>
      <c r="AH14" s="179">
        <f t="shared" si="9"/>
        <v>714.30989571001373</v>
      </c>
    </row>
    <row r="15" spans="1:34" x14ac:dyDescent="0.2">
      <c r="B15" s="163" t="s">
        <v>81</v>
      </c>
      <c r="C15" s="164" t="s">
        <v>71</v>
      </c>
      <c r="D15" s="165">
        <v>2</v>
      </c>
      <c r="E15" s="166">
        <v>2</v>
      </c>
      <c r="F15" s="167">
        <f t="shared" si="2"/>
        <v>4</v>
      </c>
      <c r="G15" s="205">
        <v>0</v>
      </c>
      <c r="H15" s="203">
        <f>IF(G15=0,VLOOKUP(C:C,[1]Inputs!$B$20:$H$25,7,FALSE)*F15,VLOOKUP(C:C,[1]Inputs!$B$20:$I$25,8,FALSE)*F15)</f>
        <v>319.35338587866005</v>
      </c>
      <c r="I15" s="203">
        <f>VLOOKUP(C:C,[1]Inputs!$C$54:$G$59,5,FALSE)*F15</f>
        <v>78.929745153385269</v>
      </c>
      <c r="J15" s="203"/>
      <c r="K15" s="203"/>
      <c r="L15" s="203"/>
      <c r="M15" s="203">
        <f t="shared" si="3"/>
        <v>398.28313103204533</v>
      </c>
      <c r="N15" s="203">
        <f>[1]Inputs!$M$43*M15</f>
        <v>185.57070966604667</v>
      </c>
      <c r="O15" s="203">
        <f>[1]Inputs!$M$48*M15</f>
        <v>63.875686748686768</v>
      </c>
      <c r="P15" s="203">
        <f>[1]Inputs!$H$13*SUM(M15:O15)</f>
        <v>41.079006630674712</v>
      </c>
      <c r="Q15" s="203">
        <f t="shared" si="4"/>
        <v>688.80853407745349</v>
      </c>
    </row>
    <row r="16" spans="1:34" x14ac:dyDescent="0.2">
      <c r="B16" s="163" t="s">
        <v>82</v>
      </c>
      <c r="C16" s="164" t="s">
        <v>71</v>
      </c>
      <c r="D16" s="165">
        <v>1</v>
      </c>
      <c r="E16" s="166">
        <v>2</v>
      </c>
      <c r="F16" s="167">
        <f t="shared" si="2"/>
        <v>2</v>
      </c>
      <c r="G16" s="205">
        <v>0</v>
      </c>
      <c r="H16" s="203">
        <f>IF(G16=0,VLOOKUP(C:C,[1]Inputs!$B$20:$H$25,7,FALSE)*F16,VLOOKUP(C:C,[1]Inputs!$B$20:$I$25,8,FALSE)*F16)</f>
        <v>159.67669293933002</v>
      </c>
      <c r="I16" s="203">
        <f>VLOOKUP(C:C,[1]Inputs!$C$54:$G$59,5,FALSE)*F16</f>
        <v>39.464872576692635</v>
      </c>
      <c r="J16" s="203"/>
      <c r="K16" s="203"/>
      <c r="L16" s="203"/>
      <c r="M16" s="203">
        <f t="shared" si="3"/>
        <v>199.14156551602267</v>
      </c>
      <c r="N16" s="203">
        <f>[1]Inputs!$M$43*M16</f>
        <v>92.785354833023334</v>
      </c>
      <c r="O16" s="203">
        <f>[1]Inputs!$M$48*M16</f>
        <v>31.937843374343384</v>
      </c>
      <c r="P16" s="203">
        <f>[1]Inputs!$H$13*SUM(M16:O16)</f>
        <v>20.539503315337356</v>
      </c>
      <c r="Q16" s="203">
        <f t="shared" si="4"/>
        <v>344.40426703872674</v>
      </c>
    </row>
    <row r="17" spans="2:18" x14ac:dyDescent="0.2">
      <c r="B17" s="163" t="s">
        <v>85</v>
      </c>
      <c r="C17" s="164" t="s">
        <v>71</v>
      </c>
      <c r="D17" s="165">
        <v>1</v>
      </c>
      <c r="E17" s="166">
        <v>2</v>
      </c>
      <c r="F17" s="167">
        <f t="shared" si="2"/>
        <v>2</v>
      </c>
      <c r="G17" s="205">
        <v>0</v>
      </c>
      <c r="H17" s="203">
        <f>IF(G17=0,VLOOKUP(C:C,[1]Inputs!$B$20:$H$25,7,FALSE)*F17,VLOOKUP(C:C,[1]Inputs!$B$20:$I$25,8,FALSE)*F17)</f>
        <v>159.67669293933002</v>
      </c>
      <c r="I17" s="203">
        <f>VLOOKUP(C:C,[1]Inputs!$C$54:$G$59,5,FALSE)*F17</f>
        <v>39.464872576692635</v>
      </c>
      <c r="J17" s="203"/>
      <c r="K17" s="203"/>
      <c r="L17" s="203"/>
      <c r="M17" s="203">
        <f t="shared" si="3"/>
        <v>199.14156551602267</v>
      </c>
      <c r="N17" s="203">
        <f>[1]Inputs!$M$43*M17</f>
        <v>92.785354833023334</v>
      </c>
      <c r="O17" s="203">
        <f>[1]Inputs!$M$48*M17</f>
        <v>31.937843374343384</v>
      </c>
      <c r="P17" s="203">
        <f>[1]Inputs!$H$13*SUM(M17:O17)</f>
        <v>20.539503315337356</v>
      </c>
      <c r="Q17" s="203">
        <f t="shared" si="4"/>
        <v>344.40426703872674</v>
      </c>
    </row>
    <row r="18" spans="2:18" x14ac:dyDescent="0.2">
      <c r="B18" s="163" t="s">
        <v>86</v>
      </c>
      <c r="C18" s="164" t="s">
        <v>54</v>
      </c>
      <c r="D18" s="165">
        <v>0.25</v>
      </c>
      <c r="E18" s="166">
        <v>1</v>
      </c>
      <c r="F18" s="167">
        <f t="shared" si="2"/>
        <v>0.25</v>
      </c>
      <c r="G18" s="205">
        <v>0</v>
      </c>
      <c r="H18" s="203">
        <f>IF(G18=0,VLOOKUP(C:C,[1]Inputs!$B$20:$H$25,7,FALSE)*F18,VLOOKUP(C:C,[1]Inputs!$B$20:$I$25,8,FALSE)*F18)</f>
        <v>25.815149405036248</v>
      </c>
      <c r="I18" s="203">
        <f>VLOOKUP(C:C,[1]Inputs!$C$54:$G$59,5,FALSE)*F18</f>
        <v>0</v>
      </c>
      <c r="J18" s="203"/>
      <c r="K18" s="203"/>
      <c r="L18" s="203"/>
      <c r="M18" s="203">
        <f t="shared" si="3"/>
        <v>25.815149405036248</v>
      </c>
      <c r="N18" s="203">
        <f>[1]Inputs!$M$43*M18</f>
        <v>12.027965088087447</v>
      </c>
      <c r="O18" s="203">
        <f>[1]Inputs!$M$48*M18</f>
        <v>4.1401713210745292</v>
      </c>
      <c r="P18" s="203">
        <f>[1]Inputs!$H$13*SUM(M18:O18)</f>
        <v>2.6625799863364517</v>
      </c>
      <c r="Q18" s="203">
        <f t="shared" si="4"/>
        <v>44.645865800534679</v>
      </c>
    </row>
    <row r="19" spans="2:18" x14ac:dyDescent="0.2">
      <c r="B19" s="163"/>
      <c r="C19" s="164"/>
      <c r="D19" s="165"/>
      <c r="E19" s="169"/>
      <c r="F19" s="170"/>
      <c r="G19" s="170"/>
      <c r="H19" s="170"/>
      <c r="I19" s="170"/>
      <c r="J19" s="170"/>
      <c r="K19" s="170"/>
      <c r="L19" s="170"/>
      <c r="M19" s="170"/>
      <c r="N19" s="170"/>
      <c r="O19" s="168"/>
      <c r="P19" s="168"/>
      <c r="Q19" s="168"/>
    </row>
    <row r="20" spans="2:18" x14ac:dyDescent="0.2">
      <c r="B20" s="290" t="s">
        <v>1</v>
      </c>
      <c r="C20" s="291"/>
      <c r="D20" s="291"/>
      <c r="E20" s="292"/>
      <c r="F20" s="179">
        <f>SUM(F7:F19)</f>
        <v>17.25</v>
      </c>
      <c r="G20" s="179">
        <f t="shared" ref="G20:Q20" si="10">SUM(G7:G19)</f>
        <v>0</v>
      </c>
      <c r="H20" s="179">
        <f t="shared" si="10"/>
        <v>1417.7178147864113</v>
      </c>
      <c r="I20" s="179">
        <f t="shared" si="10"/>
        <v>256.52167174850211</v>
      </c>
      <c r="J20" s="179">
        <f t="shared" si="10"/>
        <v>0</v>
      </c>
      <c r="K20" s="179">
        <f t="shared" si="10"/>
        <v>0</v>
      </c>
      <c r="L20" s="179">
        <f t="shared" si="10"/>
        <v>0</v>
      </c>
      <c r="M20" s="179">
        <f t="shared" si="10"/>
        <v>1674.2394865349136</v>
      </c>
      <c r="N20" s="179">
        <f t="shared" si="10"/>
        <v>780.07273082877271</v>
      </c>
      <c r="O20" s="179">
        <f t="shared" si="10"/>
        <v>268.5104857619034</v>
      </c>
      <c r="P20" s="179">
        <f t="shared" si="10"/>
        <v>172.6814158322249</v>
      </c>
      <c r="Q20" s="179">
        <f t="shared" si="10"/>
        <v>2895.5041189578137</v>
      </c>
      <c r="R20" s="161"/>
    </row>
    <row r="21" spans="2:18" x14ac:dyDescent="0.2">
      <c r="B21" s="180"/>
      <c r="C21" s="181"/>
      <c r="D21" s="182"/>
      <c r="E21" s="183"/>
      <c r="F21" s="184"/>
      <c r="G21" s="184"/>
      <c r="H21" s="184"/>
      <c r="I21" s="184"/>
      <c r="J21" s="184"/>
      <c r="K21" s="184"/>
      <c r="L21" s="184"/>
      <c r="M21" s="184"/>
      <c r="N21" s="184"/>
      <c r="O21" s="206"/>
      <c r="P21" s="185"/>
      <c r="Q21" s="185"/>
    </row>
    <row r="22" spans="2:18" x14ac:dyDescent="0.2">
      <c r="B22" s="288" t="s">
        <v>55</v>
      </c>
      <c r="C22" s="289"/>
      <c r="D22" s="289"/>
      <c r="E22" s="289"/>
      <c r="F22" s="289"/>
      <c r="G22" s="289"/>
      <c r="H22" s="289"/>
      <c r="I22" s="289"/>
      <c r="J22" s="289"/>
      <c r="K22" s="289"/>
      <c r="L22" s="289"/>
      <c r="M22" s="289"/>
      <c r="N22" s="289"/>
      <c r="O22" s="289"/>
      <c r="P22" s="289"/>
      <c r="Q22" s="207"/>
    </row>
    <row r="23" spans="2:18" ht="15.75" x14ac:dyDescent="0.25">
      <c r="B23" s="208" t="s">
        <v>74</v>
      </c>
      <c r="C23" s="209"/>
      <c r="D23" s="210"/>
      <c r="E23" s="211"/>
      <c r="F23" s="212"/>
      <c r="G23" s="212"/>
      <c r="H23" s="212"/>
      <c r="I23" s="212"/>
      <c r="J23" s="212"/>
      <c r="K23" s="212"/>
      <c r="L23" s="212"/>
      <c r="M23" s="212"/>
      <c r="N23" s="212"/>
      <c r="O23" s="213"/>
      <c r="P23" s="213"/>
      <c r="Q23" s="214"/>
    </row>
    <row r="24" spans="2:18" x14ac:dyDescent="0.2">
      <c r="B24" s="152"/>
      <c r="C24" s="153"/>
      <c r="D24" s="154"/>
      <c r="E24" s="155"/>
      <c r="F24" s="156"/>
      <c r="G24" s="156"/>
      <c r="H24" s="156"/>
      <c r="I24" s="156"/>
      <c r="J24" s="156"/>
      <c r="K24" s="156"/>
      <c r="L24" s="156"/>
      <c r="M24" s="156"/>
      <c r="N24" s="156"/>
      <c r="O24" s="152"/>
      <c r="P24" s="152"/>
      <c r="Q24" s="152"/>
      <c r="R24" s="151"/>
    </row>
    <row r="25" spans="2:18" ht="63.75" x14ac:dyDescent="0.2">
      <c r="B25" s="157" t="s">
        <v>18</v>
      </c>
      <c r="C25" s="157" t="s">
        <v>31</v>
      </c>
      <c r="D25" s="158" t="s">
        <v>69</v>
      </c>
      <c r="E25" s="159" t="s">
        <v>33</v>
      </c>
      <c r="F25" s="158" t="s">
        <v>32</v>
      </c>
      <c r="G25" s="201" t="s">
        <v>136</v>
      </c>
      <c r="H25" s="201" t="s">
        <v>137</v>
      </c>
      <c r="I25" s="201" t="s">
        <v>138</v>
      </c>
      <c r="J25" s="201" t="s">
        <v>139</v>
      </c>
      <c r="K25" s="202" t="s">
        <v>140</v>
      </c>
      <c r="L25" s="202" t="s">
        <v>141</v>
      </c>
      <c r="M25" s="201" t="s">
        <v>142</v>
      </c>
      <c r="N25" s="201" t="s">
        <v>143</v>
      </c>
      <c r="O25" s="201" t="s">
        <v>144</v>
      </c>
      <c r="P25" s="201" t="s">
        <v>145</v>
      </c>
      <c r="Q25" s="201" t="s">
        <v>146</v>
      </c>
      <c r="R25" s="161"/>
    </row>
    <row r="26" spans="2:18" x14ac:dyDescent="0.2">
      <c r="B26" s="293" t="s">
        <v>97</v>
      </c>
      <c r="C26" s="294"/>
      <c r="D26" s="294"/>
      <c r="E26" s="294"/>
      <c r="F26" s="294"/>
      <c r="G26" s="294"/>
      <c r="H26" s="294"/>
      <c r="I26" s="294"/>
      <c r="J26" s="294"/>
      <c r="K26" s="294"/>
      <c r="L26" s="294"/>
      <c r="M26" s="294"/>
      <c r="N26" s="294"/>
      <c r="O26" s="294"/>
      <c r="P26" s="295"/>
      <c r="Q26" s="162"/>
      <c r="R26" s="161"/>
    </row>
    <row r="27" spans="2:18" x14ac:dyDescent="0.2">
      <c r="B27" s="163" t="s">
        <v>75</v>
      </c>
      <c r="C27" s="164" t="s">
        <v>71</v>
      </c>
      <c r="D27" s="165">
        <v>2</v>
      </c>
      <c r="E27" s="166">
        <v>1</v>
      </c>
      <c r="F27" s="167">
        <f>E27*D27</f>
        <v>2</v>
      </c>
      <c r="G27" s="205">
        <v>0</v>
      </c>
      <c r="H27" s="203">
        <f>IF(G27=0,VLOOKUP(C:C,[1]Inputs!$B$20:$H$25,7,FALSE)*F27,VLOOKUP(C:C,[1]Inputs!$B$20:$I$25,8,FALSE)*F27)</f>
        <v>159.67669293933002</v>
      </c>
      <c r="I27" s="203">
        <f>VLOOKUP(C:C,[1]Inputs!$C$54:$G$59,5,FALSE)*F27</f>
        <v>39.464872576692635</v>
      </c>
      <c r="J27" s="203"/>
      <c r="K27" s="203"/>
      <c r="L27" s="203"/>
      <c r="M27" s="203">
        <f>SUM(H27:J27)</f>
        <v>199.14156551602267</v>
      </c>
      <c r="N27" s="203">
        <f>[1]Inputs!$M$43*M27</f>
        <v>92.785354833023334</v>
      </c>
      <c r="O27" s="203">
        <f>[1]Inputs!$M$48*M27</f>
        <v>31.937843374343384</v>
      </c>
      <c r="P27" s="203">
        <f>[1]Inputs!$H$13*SUM(M27:O27)</f>
        <v>20.539503315337356</v>
      </c>
      <c r="Q27" s="203">
        <f t="shared" ref="Q27" si="11">SUM(M27:P27)</f>
        <v>344.40426703872674</v>
      </c>
    </row>
    <row r="28" spans="2:18" x14ac:dyDescent="0.2">
      <c r="B28" s="163" t="s">
        <v>76</v>
      </c>
      <c r="C28" s="164" t="s">
        <v>92</v>
      </c>
      <c r="D28" s="165">
        <v>1</v>
      </c>
      <c r="E28" s="166">
        <v>1</v>
      </c>
      <c r="F28" s="167">
        <f t="shared" ref="F28:F38" si="12">E28*D28</f>
        <v>1</v>
      </c>
      <c r="G28" s="205">
        <v>0</v>
      </c>
      <c r="H28" s="203">
        <f>IF(G28=0,VLOOKUP(C:C,[1]Inputs!$B$20:$H$25,7,FALSE)*F28,VLOOKUP(C:C,[1]Inputs!$B$20:$I$25,8,FALSE)*F28)</f>
        <v>73.74148301772</v>
      </c>
      <c r="I28" s="203">
        <f>VLOOKUP(C:C,[1]Inputs!$C$54:$G$59,5,FALSE)*F28</f>
        <v>0</v>
      </c>
      <c r="J28" s="203"/>
      <c r="K28" s="203"/>
      <c r="L28" s="203"/>
      <c r="M28" s="203">
        <f t="shared" ref="M28:M38" si="13">SUM(H28:J28)</f>
        <v>73.74148301772</v>
      </c>
      <c r="N28" s="203">
        <f>[1]Inputs!$M$43*M28</f>
        <v>34.358119310666993</v>
      </c>
      <c r="O28" s="203">
        <f>[1]Inputs!$M$48*M28</f>
        <v>11.826480969500322</v>
      </c>
      <c r="P28" s="203">
        <f>[1]Inputs!$H$13*SUM(M28:O28)</f>
        <v>7.6057122027520139</v>
      </c>
      <c r="Q28" s="203">
        <f t="shared" ref="Q28:Q38" si="14">SUM(M28:P28)</f>
        <v>127.53179550063933</v>
      </c>
      <c r="R28" s="178"/>
    </row>
    <row r="29" spans="2:18" x14ac:dyDescent="0.2">
      <c r="B29" s="172" t="s">
        <v>77</v>
      </c>
      <c r="C29" s="173" t="s">
        <v>92</v>
      </c>
      <c r="D29" s="174">
        <v>1</v>
      </c>
      <c r="E29" s="175">
        <v>1</v>
      </c>
      <c r="F29" s="176">
        <f t="shared" si="12"/>
        <v>1</v>
      </c>
      <c r="G29" s="205">
        <v>0</v>
      </c>
      <c r="H29" s="203">
        <f>IF(G29=0,VLOOKUP(C:C,[1]Inputs!$B$20:$H$25,7,FALSE)*F29,VLOOKUP(C:C,[1]Inputs!$B$20:$I$25,8,FALSE)*F29)</f>
        <v>73.74148301772</v>
      </c>
      <c r="I29" s="203">
        <f>VLOOKUP(C:C,[1]Inputs!$C$54:$G$59,5,FALSE)*F29</f>
        <v>0</v>
      </c>
      <c r="J29" s="203"/>
      <c r="K29" s="203"/>
      <c r="L29" s="203"/>
      <c r="M29" s="203">
        <f t="shared" si="13"/>
        <v>73.74148301772</v>
      </c>
      <c r="N29" s="203">
        <f>[1]Inputs!$M$43*M29</f>
        <v>34.358119310666993</v>
      </c>
      <c r="O29" s="203">
        <f>[1]Inputs!$M$48*M29</f>
        <v>11.826480969500322</v>
      </c>
      <c r="P29" s="203">
        <f>[1]Inputs!$H$13*SUM(M29:O29)</f>
        <v>7.6057122027520139</v>
      </c>
      <c r="Q29" s="203">
        <f t="shared" si="14"/>
        <v>127.53179550063933</v>
      </c>
      <c r="R29" s="178"/>
    </row>
    <row r="30" spans="2:18" x14ac:dyDescent="0.2">
      <c r="B30" s="177" t="s">
        <v>78</v>
      </c>
      <c r="C30" s="164" t="s">
        <v>54</v>
      </c>
      <c r="D30" s="165">
        <v>0.5</v>
      </c>
      <c r="E30" s="166">
        <v>1</v>
      </c>
      <c r="F30" s="167">
        <f t="shared" si="12"/>
        <v>0.5</v>
      </c>
      <c r="G30" s="205">
        <v>0</v>
      </c>
      <c r="H30" s="203">
        <f>IF(G30=0,VLOOKUP(C:C,[1]Inputs!$B$20:$H$25,7,FALSE)*F30,VLOOKUP(C:C,[1]Inputs!$B$20:$I$25,8,FALSE)*F30)</f>
        <v>51.630298810072496</v>
      </c>
      <c r="I30" s="203">
        <f>VLOOKUP(C:C,[1]Inputs!$C$54:$G$59,5,FALSE)*F30</f>
        <v>0</v>
      </c>
      <c r="J30" s="203"/>
      <c r="K30" s="203"/>
      <c r="L30" s="203"/>
      <c r="M30" s="203">
        <f t="shared" si="13"/>
        <v>51.630298810072496</v>
      </c>
      <c r="N30" s="203">
        <f>[1]Inputs!$M$43*M30</f>
        <v>24.055930176174893</v>
      </c>
      <c r="O30" s="203">
        <f>[1]Inputs!$M$48*M30</f>
        <v>8.2803426421490585</v>
      </c>
      <c r="P30" s="203">
        <f>[1]Inputs!$H$13*SUM(M30:O30)</f>
        <v>5.3251599726729033</v>
      </c>
      <c r="Q30" s="203">
        <f t="shared" si="14"/>
        <v>89.291731601069358</v>
      </c>
    </row>
    <row r="31" spans="2:18" x14ac:dyDescent="0.2">
      <c r="B31" s="163" t="s">
        <v>79</v>
      </c>
      <c r="C31" s="164" t="s">
        <v>54</v>
      </c>
      <c r="D31" s="165">
        <v>1</v>
      </c>
      <c r="E31" s="166">
        <v>1</v>
      </c>
      <c r="F31" s="167">
        <f t="shared" si="12"/>
        <v>1</v>
      </c>
      <c r="G31" s="205">
        <v>0</v>
      </c>
      <c r="H31" s="203">
        <f>IF(G31=0,VLOOKUP(C:C,[1]Inputs!$B$20:$H$25,7,FALSE)*F31,VLOOKUP(C:C,[1]Inputs!$B$20:$I$25,8,FALSE)*F31)</f>
        <v>103.26059762014499</v>
      </c>
      <c r="I31" s="203">
        <f>VLOOKUP(C:C,[1]Inputs!$C$54:$G$59,5,FALSE)*F31</f>
        <v>0</v>
      </c>
      <c r="J31" s="203"/>
      <c r="K31" s="203"/>
      <c r="L31" s="203"/>
      <c r="M31" s="203">
        <f t="shared" si="13"/>
        <v>103.26059762014499</v>
      </c>
      <c r="N31" s="203">
        <f>[1]Inputs!$M$43*M31</f>
        <v>48.111860352349787</v>
      </c>
      <c r="O31" s="203">
        <f>[1]Inputs!$M$48*M31</f>
        <v>16.560685284298117</v>
      </c>
      <c r="P31" s="203">
        <f>[1]Inputs!$H$13*SUM(M31:O31)</f>
        <v>10.650319945345807</v>
      </c>
      <c r="Q31" s="203">
        <f t="shared" si="14"/>
        <v>178.58346320213872</v>
      </c>
    </row>
    <row r="32" spans="2:18" x14ac:dyDescent="0.2">
      <c r="B32" s="163" t="s">
        <v>117</v>
      </c>
      <c r="C32" s="164" t="s">
        <v>71</v>
      </c>
      <c r="D32" s="165">
        <v>1</v>
      </c>
      <c r="E32" s="166">
        <v>1</v>
      </c>
      <c r="F32" s="167">
        <f t="shared" si="12"/>
        <v>1</v>
      </c>
      <c r="G32" s="205">
        <v>0</v>
      </c>
      <c r="H32" s="203">
        <f>IF(G32=0,VLOOKUP(C:C,[1]Inputs!$B$20:$H$25,7,FALSE)*F32,VLOOKUP(C:C,[1]Inputs!$B$20:$I$25,8,FALSE)*F32)</f>
        <v>79.838346469665012</v>
      </c>
      <c r="I32" s="203">
        <f>VLOOKUP(C:C,[1]Inputs!$C$54:$G$59,5,FALSE)*F32</f>
        <v>19.732436288346317</v>
      </c>
      <c r="J32" s="203"/>
      <c r="K32" s="203"/>
      <c r="L32" s="203"/>
      <c r="M32" s="203">
        <f t="shared" si="13"/>
        <v>99.570782758011333</v>
      </c>
      <c r="N32" s="203">
        <f>[1]Inputs!$M$43*M32</f>
        <v>46.392677416511667</v>
      </c>
      <c r="O32" s="203">
        <f>[1]Inputs!$M$48*M32</f>
        <v>15.968921687171692</v>
      </c>
      <c r="P32" s="203">
        <f>[1]Inputs!$H$13*SUM(M32:O32)</f>
        <v>10.269751657668678</v>
      </c>
      <c r="Q32" s="203">
        <f t="shared" si="14"/>
        <v>172.20213351936337</v>
      </c>
      <c r="R32" s="204"/>
    </row>
    <row r="33" spans="2:18" x14ac:dyDescent="0.2">
      <c r="B33" s="163" t="s">
        <v>83</v>
      </c>
      <c r="C33" s="164" t="s">
        <v>71</v>
      </c>
      <c r="D33" s="165">
        <v>1</v>
      </c>
      <c r="E33" s="166">
        <v>2</v>
      </c>
      <c r="F33" s="167">
        <f t="shared" si="12"/>
        <v>2</v>
      </c>
      <c r="G33" s="205">
        <v>1</v>
      </c>
      <c r="H33" s="203">
        <f>IF(G33=0,VLOOKUP(C:C,[1]Inputs!$B$20:$H$25,7,FALSE)*F33,VLOOKUP(C:C,[1]Inputs!$B$20:$I$25,8,FALSE)*F33)</f>
        <v>289.88205116634543</v>
      </c>
      <c r="I33" s="203">
        <f>VLOOKUP(C:C,[1]Inputs!$C$54:$G$59,5,FALSE)*F33</f>
        <v>39.464872576692635</v>
      </c>
      <c r="J33" s="203"/>
      <c r="K33" s="203"/>
      <c r="L33" s="203"/>
      <c r="M33" s="203">
        <f t="shared" si="13"/>
        <v>329.34692374303808</v>
      </c>
      <c r="N33" s="203">
        <f>[1]Inputs!$M$43*M33</f>
        <v>153.45149619306255</v>
      </c>
      <c r="O33" s="203">
        <f>[1]Inputs!$M$48*M33</f>
        <v>52.819864296389937</v>
      </c>
      <c r="P33" s="203">
        <f>[1]Inputs!$H$13*SUM(M33:O33)</f>
        <v>33.968911586024561</v>
      </c>
      <c r="Q33" s="203">
        <f t="shared" si="14"/>
        <v>569.58719581851517</v>
      </c>
      <c r="R33" s="178"/>
    </row>
    <row r="34" spans="2:18" x14ac:dyDescent="0.2">
      <c r="B34" s="163" t="s">
        <v>84</v>
      </c>
      <c r="C34" s="164" t="s">
        <v>54</v>
      </c>
      <c r="D34" s="165">
        <v>0.5</v>
      </c>
      <c r="E34" s="166">
        <v>1</v>
      </c>
      <c r="F34" s="167">
        <f t="shared" si="12"/>
        <v>0.5</v>
      </c>
      <c r="G34" s="205">
        <v>0</v>
      </c>
      <c r="H34" s="203">
        <f>IF(G34=0,VLOOKUP(C:C,[1]Inputs!$B$20:$H$25,7,FALSE)*F34,VLOOKUP(C:C,[1]Inputs!$B$20:$I$25,8,FALSE)*F34)</f>
        <v>51.630298810072496</v>
      </c>
      <c r="I34" s="203">
        <f>VLOOKUP(C:C,[1]Inputs!$C$54:$G$59,5,FALSE)*F34</f>
        <v>0</v>
      </c>
      <c r="J34" s="203"/>
      <c r="K34" s="203"/>
      <c r="L34" s="203"/>
      <c r="M34" s="203">
        <f t="shared" si="13"/>
        <v>51.630298810072496</v>
      </c>
      <c r="N34" s="203">
        <f>[1]Inputs!$M$43*M34</f>
        <v>24.055930176174893</v>
      </c>
      <c r="O34" s="203">
        <f>[1]Inputs!$M$48*M34</f>
        <v>8.2803426421490585</v>
      </c>
      <c r="P34" s="203">
        <f>[1]Inputs!$H$13*SUM(M34:O34)</f>
        <v>5.3251599726729033</v>
      </c>
      <c r="Q34" s="203">
        <f t="shared" si="14"/>
        <v>89.291731601069358</v>
      </c>
      <c r="R34" s="178"/>
    </row>
    <row r="35" spans="2:18" x14ac:dyDescent="0.2">
      <c r="B35" s="163" t="s">
        <v>81</v>
      </c>
      <c r="C35" s="164" t="s">
        <v>71</v>
      </c>
      <c r="D35" s="165">
        <v>2</v>
      </c>
      <c r="E35" s="166">
        <v>2</v>
      </c>
      <c r="F35" s="167">
        <f t="shared" si="12"/>
        <v>4</v>
      </c>
      <c r="G35" s="205">
        <v>1</v>
      </c>
      <c r="H35" s="203">
        <f>IF(G35=0,VLOOKUP(C:C,[1]Inputs!$B$20:$H$25,7,FALSE)*F35,VLOOKUP(C:C,[1]Inputs!$B$20:$I$25,8,FALSE)*F35)</f>
        <v>579.76410233269087</v>
      </c>
      <c r="I35" s="203">
        <f>VLOOKUP(C:C,[1]Inputs!$C$54:$G$59,5,FALSE)*F35</f>
        <v>78.929745153385269</v>
      </c>
      <c r="J35" s="203"/>
      <c r="K35" s="203"/>
      <c r="L35" s="203"/>
      <c r="M35" s="203">
        <f t="shared" si="13"/>
        <v>658.69384748607615</v>
      </c>
      <c r="N35" s="203">
        <f>[1]Inputs!$M$43*M35</f>
        <v>306.90299238612511</v>
      </c>
      <c r="O35" s="203">
        <f>[1]Inputs!$M$48*M35</f>
        <v>105.63972859277987</v>
      </c>
      <c r="P35" s="203">
        <f>[1]Inputs!$H$13*SUM(M35:O35)</f>
        <v>67.937823172049121</v>
      </c>
      <c r="Q35" s="203">
        <f t="shared" si="14"/>
        <v>1139.1743916370303</v>
      </c>
    </row>
    <row r="36" spans="2:18" x14ac:dyDescent="0.2">
      <c r="B36" s="163" t="s">
        <v>82</v>
      </c>
      <c r="C36" s="164" t="s">
        <v>71</v>
      </c>
      <c r="D36" s="165">
        <v>1</v>
      </c>
      <c r="E36" s="166">
        <v>2</v>
      </c>
      <c r="F36" s="167">
        <f t="shared" si="12"/>
        <v>2</v>
      </c>
      <c r="G36" s="205">
        <v>1</v>
      </c>
      <c r="H36" s="203">
        <f>IF(G36=0,VLOOKUP(C:C,[1]Inputs!$B$20:$H$25,7,FALSE)*F36,VLOOKUP(C:C,[1]Inputs!$B$20:$I$25,8,FALSE)*F36)</f>
        <v>289.88205116634543</v>
      </c>
      <c r="I36" s="203">
        <f>VLOOKUP(C:C,[1]Inputs!$C$54:$G$59,5,FALSE)*F36</f>
        <v>39.464872576692635</v>
      </c>
      <c r="J36" s="203"/>
      <c r="K36" s="203"/>
      <c r="L36" s="203"/>
      <c r="M36" s="203">
        <f t="shared" si="13"/>
        <v>329.34692374303808</v>
      </c>
      <c r="N36" s="203">
        <f>[1]Inputs!$M$43*M36</f>
        <v>153.45149619306255</v>
      </c>
      <c r="O36" s="203">
        <f>[1]Inputs!$M$48*M36</f>
        <v>52.819864296389937</v>
      </c>
      <c r="P36" s="203">
        <f>[1]Inputs!$H$13*SUM(M36:O36)</f>
        <v>33.968911586024561</v>
      </c>
      <c r="Q36" s="203">
        <f t="shared" si="14"/>
        <v>569.58719581851517</v>
      </c>
    </row>
    <row r="37" spans="2:18" x14ac:dyDescent="0.2">
      <c r="B37" s="163" t="s">
        <v>85</v>
      </c>
      <c r="C37" s="164" t="s">
        <v>71</v>
      </c>
      <c r="D37" s="165">
        <v>1</v>
      </c>
      <c r="E37" s="166">
        <v>2</v>
      </c>
      <c r="F37" s="167">
        <f t="shared" si="12"/>
        <v>2</v>
      </c>
      <c r="G37" s="205">
        <v>1</v>
      </c>
      <c r="H37" s="203">
        <f>IF(G37=0,VLOOKUP(C:C,[1]Inputs!$B$20:$H$25,7,FALSE)*F37,VLOOKUP(C:C,[1]Inputs!$B$20:$I$25,8,FALSE)*F37)</f>
        <v>289.88205116634543</v>
      </c>
      <c r="I37" s="203">
        <f>VLOOKUP(C:C,[1]Inputs!$C$54:$G$59,5,FALSE)*F37</f>
        <v>39.464872576692635</v>
      </c>
      <c r="J37" s="203"/>
      <c r="K37" s="203"/>
      <c r="L37" s="203"/>
      <c r="M37" s="203">
        <f t="shared" si="13"/>
        <v>329.34692374303808</v>
      </c>
      <c r="N37" s="203">
        <f>[1]Inputs!$M$43*M37</f>
        <v>153.45149619306255</v>
      </c>
      <c r="O37" s="203">
        <f>[1]Inputs!$M$48*M37</f>
        <v>52.819864296389937</v>
      </c>
      <c r="P37" s="203">
        <f>[1]Inputs!$H$13*SUM(M37:O37)</f>
        <v>33.968911586024561</v>
      </c>
      <c r="Q37" s="203">
        <f t="shared" si="14"/>
        <v>569.58719581851517</v>
      </c>
    </row>
    <row r="38" spans="2:18" x14ac:dyDescent="0.2">
      <c r="B38" s="163" t="s">
        <v>86</v>
      </c>
      <c r="C38" s="164" t="s">
        <v>54</v>
      </c>
      <c r="D38" s="165">
        <v>0.25</v>
      </c>
      <c r="E38" s="166">
        <v>1</v>
      </c>
      <c r="F38" s="167">
        <f t="shared" si="12"/>
        <v>0.25</v>
      </c>
      <c r="G38" s="205">
        <v>0</v>
      </c>
      <c r="H38" s="203">
        <f>IF(G38=0,VLOOKUP(C:C,[1]Inputs!$B$20:$H$25,7,FALSE)*F38,VLOOKUP(C:C,[1]Inputs!$B$20:$I$25,8,FALSE)*F38)</f>
        <v>25.815149405036248</v>
      </c>
      <c r="I38" s="203">
        <f>VLOOKUP(C:C,[1]Inputs!$C$54:$G$59,5,FALSE)*F38</f>
        <v>0</v>
      </c>
      <c r="J38" s="203"/>
      <c r="K38" s="203"/>
      <c r="L38" s="203"/>
      <c r="M38" s="203">
        <f t="shared" si="13"/>
        <v>25.815149405036248</v>
      </c>
      <c r="N38" s="203">
        <f>[1]Inputs!$M$43*M38</f>
        <v>12.027965088087447</v>
      </c>
      <c r="O38" s="203">
        <f>[1]Inputs!$M$48*M38</f>
        <v>4.1401713210745292</v>
      </c>
      <c r="P38" s="203">
        <f>[1]Inputs!$H$13*SUM(M38:O38)</f>
        <v>2.6625799863364517</v>
      </c>
      <c r="Q38" s="203">
        <f t="shared" si="14"/>
        <v>44.645865800534679</v>
      </c>
    </row>
    <row r="39" spans="2:18" x14ac:dyDescent="0.2">
      <c r="B39" s="163"/>
      <c r="C39" s="164"/>
      <c r="D39" s="165"/>
      <c r="E39" s="169"/>
      <c r="F39" s="170"/>
      <c r="G39" s="170"/>
      <c r="H39" s="170"/>
      <c r="I39" s="170"/>
      <c r="J39" s="170"/>
      <c r="K39" s="170"/>
      <c r="L39" s="170"/>
      <c r="M39" s="170"/>
      <c r="N39" s="170"/>
      <c r="O39" s="168"/>
      <c r="P39" s="168"/>
      <c r="Q39" s="168"/>
    </row>
    <row r="40" spans="2:18" x14ac:dyDescent="0.2">
      <c r="B40" s="290" t="s">
        <v>1</v>
      </c>
      <c r="C40" s="291"/>
      <c r="D40" s="291"/>
      <c r="E40" s="292"/>
      <c r="F40" s="179">
        <f>SUM(F27:F39)</f>
        <v>17.25</v>
      </c>
      <c r="G40" s="179">
        <f t="shared" ref="G40:Q40" si="15">SUM(G27:G39)</f>
        <v>4</v>
      </c>
      <c r="H40" s="179">
        <f t="shared" si="15"/>
        <v>2068.7446059214885</v>
      </c>
      <c r="I40" s="179">
        <f t="shared" si="15"/>
        <v>256.52167174850211</v>
      </c>
      <c r="J40" s="179">
        <f t="shared" si="15"/>
        <v>0</v>
      </c>
      <c r="K40" s="179">
        <f t="shared" si="15"/>
        <v>0</v>
      </c>
      <c r="L40" s="179">
        <f t="shared" si="15"/>
        <v>0</v>
      </c>
      <c r="M40" s="179">
        <f t="shared" si="15"/>
        <v>2325.2662776699908</v>
      </c>
      <c r="N40" s="179">
        <f t="shared" si="15"/>
        <v>1083.4034376289687</v>
      </c>
      <c r="O40" s="179">
        <f t="shared" si="15"/>
        <v>372.92059037213619</v>
      </c>
      <c r="P40" s="179">
        <f t="shared" si="15"/>
        <v>239.82845718566094</v>
      </c>
      <c r="Q40" s="179">
        <f t="shared" si="15"/>
        <v>4021.4187628567565</v>
      </c>
      <c r="R40" s="161"/>
    </row>
  </sheetData>
  <mergeCells count="9">
    <mergeCell ref="B22:P22"/>
    <mergeCell ref="B20:E20"/>
    <mergeCell ref="B26:P26"/>
    <mergeCell ref="B40:E40"/>
    <mergeCell ref="Y2:AH2"/>
    <mergeCell ref="Y3:AH3"/>
    <mergeCell ref="H2:Q2"/>
    <mergeCell ref="H3:Q3"/>
    <mergeCell ref="S14:V14"/>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tabSelected="1" workbookViewId="0">
      <selection activeCell="B33" sqref="B33"/>
    </sheetView>
  </sheetViews>
  <sheetFormatPr defaultColWidth="9.140625" defaultRowHeight="12.75" x14ac:dyDescent="0.2"/>
  <cols>
    <col min="1" max="1" width="3.140625" style="67" customWidth="1"/>
    <col min="2" max="2" width="80" style="67" bestFit="1" customWidth="1"/>
    <col min="3" max="3" width="65.140625" style="67" customWidth="1"/>
    <col min="4" max="4" width="12.85546875" style="67" customWidth="1"/>
    <col min="5" max="5" width="11.7109375" style="67" customWidth="1"/>
    <col min="6" max="8" width="12" style="67" customWidth="1"/>
    <col min="9" max="9" width="12.7109375" style="67" customWidth="1"/>
    <col min="10" max="16384" width="9.140625" style="67"/>
  </cols>
  <sheetData>
    <row r="2" spans="2:9" x14ac:dyDescent="0.2">
      <c r="B2" s="24" t="s">
        <v>8</v>
      </c>
      <c r="C2" s="25"/>
      <c r="D2" s="25"/>
      <c r="E2" s="25"/>
      <c r="F2" s="25"/>
      <c r="G2" s="25"/>
      <c r="H2" s="25"/>
      <c r="I2" s="25"/>
    </row>
    <row r="3" spans="2:9" x14ac:dyDescent="0.2">
      <c r="B3" s="1"/>
      <c r="C3" s="1"/>
      <c r="D3" s="1"/>
      <c r="E3" s="1"/>
      <c r="F3" s="1"/>
      <c r="G3" s="1"/>
      <c r="H3" s="1"/>
      <c r="I3" s="1"/>
    </row>
    <row r="4" spans="2:9" x14ac:dyDescent="0.2">
      <c r="B4" s="24" t="s">
        <v>2</v>
      </c>
      <c r="C4" s="25"/>
      <c r="D4" s="25"/>
      <c r="E4" s="25"/>
      <c r="F4" s="25"/>
      <c r="G4" s="25"/>
      <c r="H4" s="25"/>
      <c r="I4" s="25"/>
    </row>
    <row r="5" spans="2:9" x14ac:dyDescent="0.2">
      <c r="B5" s="80" t="s">
        <v>94</v>
      </c>
      <c r="C5" s="80" t="s">
        <v>9</v>
      </c>
      <c r="D5" s="81" t="s">
        <v>62</v>
      </c>
      <c r="E5" s="81" t="s">
        <v>61</v>
      </c>
      <c r="F5" s="81" t="s">
        <v>60</v>
      </c>
      <c r="G5" s="92" t="s">
        <v>118</v>
      </c>
      <c r="H5" s="92" t="s">
        <v>119</v>
      </c>
      <c r="I5" s="82" t="s">
        <v>1</v>
      </c>
    </row>
    <row r="6" spans="2:9" ht="13.5" customHeight="1" x14ac:dyDescent="0.2">
      <c r="B6" s="79" t="s">
        <v>105</v>
      </c>
      <c r="C6" s="28" t="s">
        <v>101</v>
      </c>
      <c r="D6" s="91" t="s">
        <v>91</v>
      </c>
      <c r="E6" s="29">
        <v>3121481.49</v>
      </c>
      <c r="F6" s="29">
        <v>3874742.09</v>
      </c>
      <c r="G6" s="93">
        <v>3478186.46</v>
      </c>
      <c r="H6" s="93">
        <f>G6*102.5%</f>
        <v>3565141.1214999994</v>
      </c>
      <c r="I6" s="253">
        <f>SUM(D6:H6)</f>
        <v>14039551.161499999</v>
      </c>
    </row>
    <row r="7" spans="2:9" x14ac:dyDescent="0.2">
      <c r="B7" s="6"/>
      <c r="C7" s="28"/>
      <c r="D7" s="29"/>
      <c r="E7" s="29"/>
      <c r="F7" s="29"/>
      <c r="G7" s="93"/>
      <c r="H7" s="93"/>
      <c r="I7" s="253">
        <f>SUM(D7:F7)</f>
        <v>0</v>
      </c>
    </row>
    <row r="8" spans="2:9" x14ac:dyDescent="0.2">
      <c r="B8" s="6"/>
      <c r="C8" s="28"/>
      <c r="D8" s="29"/>
      <c r="E8" s="29"/>
      <c r="F8" s="29"/>
      <c r="G8" s="93"/>
      <c r="H8" s="93"/>
      <c r="I8" s="253">
        <f>SUM(D8:F8)</f>
        <v>0</v>
      </c>
    </row>
    <row r="9" spans="2:9" x14ac:dyDescent="0.2">
      <c r="B9" s="6"/>
      <c r="C9" s="28"/>
      <c r="D9" s="29"/>
      <c r="E9" s="29"/>
      <c r="F9" s="29"/>
      <c r="G9" s="93"/>
      <c r="H9" s="93"/>
      <c r="I9" s="253">
        <f>SUM(D9:F9)</f>
        <v>0</v>
      </c>
    </row>
    <row r="10" spans="2:9" x14ac:dyDescent="0.2">
      <c r="B10" s="7" t="s">
        <v>1</v>
      </c>
      <c r="C10" s="8"/>
      <c r="D10" s="9">
        <f>SUM(D6:D9)</f>
        <v>0</v>
      </c>
      <c r="E10" s="9">
        <f>SUM(E6:E6)</f>
        <v>3121481.49</v>
      </c>
      <c r="F10" s="9">
        <f>SUM(F6:F6)</f>
        <v>3874742.09</v>
      </c>
      <c r="G10" s="9">
        <f t="shared" ref="G10:H10" si="0">SUM(G6:G6)</f>
        <v>3478186.46</v>
      </c>
      <c r="H10" s="9">
        <f t="shared" si="0"/>
        <v>3565141.1214999994</v>
      </c>
      <c r="I10" s="9">
        <f t="shared" ref="I10" si="1">SUM(I6:I9)</f>
        <v>14039551.161499999</v>
      </c>
    </row>
    <row r="11" spans="2:9" x14ac:dyDescent="0.2">
      <c r="B11" s="1"/>
      <c r="C11" s="1"/>
      <c r="D11" s="1"/>
      <c r="E11" s="1"/>
      <c r="F11" s="1"/>
      <c r="G11" s="1"/>
      <c r="H11" s="1"/>
      <c r="I11" s="1"/>
    </row>
    <row r="12" spans="2:9" x14ac:dyDescent="0.2">
      <c r="B12" s="24" t="s">
        <v>10</v>
      </c>
      <c r="C12" s="25"/>
      <c r="D12" s="25"/>
      <c r="E12" s="25"/>
      <c r="F12" s="25"/>
      <c r="G12" s="25"/>
      <c r="H12" s="25"/>
      <c r="I12" s="25"/>
    </row>
    <row r="13" spans="2:9" x14ac:dyDescent="0.2">
      <c r="B13" s="135" t="s">
        <v>4</v>
      </c>
      <c r="C13" s="135" t="s">
        <v>9</v>
      </c>
      <c r="D13" s="136"/>
      <c r="E13" s="136"/>
      <c r="F13" s="136"/>
      <c r="G13" s="136" t="s">
        <v>118</v>
      </c>
      <c r="H13" s="136" t="s">
        <v>119</v>
      </c>
      <c r="I13" s="137" t="s">
        <v>1</v>
      </c>
    </row>
    <row r="14" spans="2:9" x14ac:dyDescent="0.2">
      <c r="B14" s="4" t="s">
        <v>19</v>
      </c>
      <c r="C14" s="131" t="s">
        <v>109</v>
      </c>
      <c r="D14" s="11">
        <v>1517</v>
      </c>
      <c r="E14" s="11">
        <v>1802</v>
      </c>
      <c r="F14" s="75">
        <v>1433</v>
      </c>
      <c r="G14" s="75">
        <v>1400</v>
      </c>
      <c r="H14" s="75">
        <v>1400</v>
      </c>
      <c r="I14" s="246">
        <f>SUM(D14:H14)</f>
        <v>7552</v>
      </c>
    </row>
    <row r="15" spans="2:9" x14ac:dyDescent="0.2">
      <c r="B15" s="4"/>
      <c r="C15" s="131"/>
      <c r="D15" s="11"/>
      <c r="E15" s="11"/>
      <c r="F15" s="75"/>
      <c r="G15" s="75"/>
      <c r="H15" s="75"/>
      <c r="I15" s="246">
        <f>SUM(D15:F15)</f>
        <v>0</v>
      </c>
    </row>
    <row r="16" spans="2:9" x14ac:dyDescent="0.2">
      <c r="B16" s="4"/>
      <c r="C16" s="4"/>
      <c r="D16" s="11"/>
      <c r="E16" s="11"/>
      <c r="F16" s="11"/>
      <c r="G16" s="11"/>
      <c r="H16" s="11"/>
      <c r="I16" s="246">
        <f>SUM(D16:F16)</f>
        <v>0</v>
      </c>
    </row>
    <row r="17" spans="2:9" x14ac:dyDescent="0.2">
      <c r="B17" s="138" t="s">
        <v>17</v>
      </c>
      <c r="C17" s="18"/>
      <c r="D17" s="139">
        <f t="shared" ref="D17:H17" si="2">SUM(D14:D16)</f>
        <v>1517</v>
      </c>
      <c r="E17" s="139">
        <f t="shared" si="2"/>
        <v>1802</v>
      </c>
      <c r="F17" s="139">
        <f t="shared" si="2"/>
        <v>1433</v>
      </c>
      <c r="G17" s="139">
        <f t="shared" si="2"/>
        <v>1400</v>
      </c>
      <c r="H17" s="139">
        <f t="shared" si="2"/>
        <v>1400</v>
      </c>
      <c r="I17" s="139">
        <f>SUM(I14:I16)</f>
        <v>7552</v>
      </c>
    </row>
    <row r="18" spans="2:9" x14ac:dyDescent="0.2">
      <c r="B18" s="1"/>
      <c r="C18" s="1"/>
      <c r="D18" s="12"/>
      <c r="E18" s="12"/>
      <c r="F18" s="12"/>
      <c r="G18" s="12"/>
      <c r="H18" s="12"/>
      <c r="I18" s="12"/>
    </row>
    <row r="19" spans="2:9" x14ac:dyDescent="0.2">
      <c r="B19" s="13" t="s">
        <v>6</v>
      </c>
      <c r="C19" s="1"/>
      <c r="D19" s="12"/>
      <c r="E19" s="12"/>
      <c r="F19" s="12"/>
      <c r="G19" s="12"/>
      <c r="H19" s="12"/>
      <c r="I19" s="12"/>
    </row>
    <row r="20" spans="2:9" x14ac:dyDescent="0.2">
      <c r="B20" s="94" t="s">
        <v>120</v>
      </c>
      <c r="C20" s="94"/>
      <c r="D20" s="94"/>
      <c r="E20" s="94"/>
      <c r="F20" s="94"/>
      <c r="G20" s="94"/>
      <c r="H20" s="94"/>
      <c r="I20" s="94"/>
    </row>
    <row r="21" spans="2:9" x14ac:dyDescent="0.2">
      <c r="B21" s="95" t="s">
        <v>121</v>
      </c>
      <c r="C21" s="95"/>
      <c r="D21" s="95"/>
      <c r="E21" s="95"/>
      <c r="F21" s="95"/>
      <c r="G21" s="95"/>
      <c r="H21" s="95"/>
      <c r="I21" s="95"/>
    </row>
    <row r="22" spans="2:9" x14ac:dyDescent="0.2">
      <c r="B22" s="95" t="s">
        <v>122</v>
      </c>
      <c r="C22" s="95"/>
      <c r="D22" s="95"/>
      <c r="E22" s="95"/>
      <c r="F22" s="95"/>
      <c r="G22" s="95"/>
      <c r="H22" s="95"/>
      <c r="I22" s="95"/>
    </row>
    <row r="23" spans="2:9" x14ac:dyDescent="0.2">
      <c r="B23" s="95" t="s">
        <v>123</v>
      </c>
      <c r="C23" s="95"/>
      <c r="D23" s="95"/>
      <c r="E23" s="95"/>
      <c r="F23" s="95"/>
      <c r="G23" s="95"/>
      <c r="H23" s="95"/>
      <c r="I23" s="95"/>
    </row>
    <row r="24" spans="2:9" x14ac:dyDescent="0.2">
      <c r="B24" s="95" t="s">
        <v>124</v>
      </c>
      <c r="C24" s="95"/>
      <c r="D24" s="95"/>
      <c r="E24" s="95"/>
      <c r="F24" s="95"/>
      <c r="G24" s="95"/>
      <c r="H24" s="95"/>
      <c r="I24" s="95"/>
    </row>
    <row r="25" spans="2:9" x14ac:dyDescent="0.2">
      <c r="B25" s="1"/>
      <c r="C25" s="1"/>
      <c r="D25" s="12"/>
      <c r="E25" s="12"/>
      <c r="F25" s="12"/>
      <c r="G25" s="12"/>
      <c r="H25" s="12"/>
      <c r="I25" s="12"/>
    </row>
    <row r="26" spans="2:9" x14ac:dyDescent="0.2">
      <c r="B26" s="24" t="s">
        <v>2</v>
      </c>
      <c r="C26" s="25"/>
      <c r="D26" s="25"/>
      <c r="E26" s="25"/>
      <c r="F26" s="25"/>
      <c r="G26" s="25"/>
      <c r="H26" s="25"/>
      <c r="I26" s="25"/>
    </row>
    <row r="27" spans="2:9" x14ac:dyDescent="0.2">
      <c r="B27" s="14" t="s">
        <v>11</v>
      </c>
      <c r="C27" s="15"/>
      <c r="D27" s="15"/>
      <c r="E27" s="15"/>
      <c r="F27" s="15"/>
      <c r="G27" s="15"/>
      <c r="H27" s="15"/>
      <c r="I27" s="15"/>
    </row>
    <row r="28" spans="2:9" x14ac:dyDescent="0.2">
      <c r="B28" s="308" t="s">
        <v>179</v>
      </c>
      <c r="C28" s="298"/>
      <c r="D28" s="298"/>
      <c r="E28" s="298"/>
      <c r="F28" s="298"/>
      <c r="G28" s="298"/>
      <c r="H28" s="298"/>
      <c r="I28" s="298"/>
    </row>
    <row r="29" spans="2:9" x14ac:dyDescent="0.2">
      <c r="B29" s="299"/>
      <c r="C29" s="299"/>
      <c r="D29" s="299"/>
      <c r="E29" s="299"/>
      <c r="F29" s="299"/>
      <c r="G29" s="299"/>
      <c r="H29" s="299"/>
      <c r="I29" s="299"/>
    </row>
    <row r="30" spans="2:9" x14ac:dyDescent="0.2">
      <c r="B30" s="16"/>
      <c r="C30" s="17"/>
      <c r="D30" s="17"/>
      <c r="E30" s="17"/>
      <c r="F30" s="17"/>
      <c r="G30" s="17"/>
      <c r="H30" s="17"/>
      <c r="I30" s="17"/>
    </row>
  </sheetData>
  <mergeCells count="1">
    <mergeCell ref="B28:I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A3B94-7C2D-4216-A928-AC87B925E2E3}">
  <dimension ref="B1:O40"/>
  <sheetViews>
    <sheetView workbookViewId="0">
      <selection activeCell="D12" sqref="D1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149</v>
      </c>
      <c r="D1" s="219">
        <f>[1]Inputs!H16</f>
        <v>1</v>
      </c>
      <c r="E1" s="219">
        <f>[1]Inputs!I16</f>
        <v>1</v>
      </c>
      <c r="F1" s="219">
        <f>[1]Inputs!J16</f>
        <v>1.0109999999999999</v>
      </c>
      <c r="G1" s="219">
        <f>[1]Inputs!K16</f>
        <v>1.0231319999999999</v>
      </c>
      <c r="H1" s="219">
        <f>[1]Inputs!L16</f>
        <v>1.0337725727999998</v>
      </c>
      <c r="K1" s="220">
        <f>D1</f>
        <v>1</v>
      </c>
      <c r="L1" s="220">
        <f t="shared" ref="L1:O5" si="0">E1</f>
        <v>1</v>
      </c>
      <c r="M1" s="220">
        <f t="shared" si="0"/>
        <v>1.0109999999999999</v>
      </c>
      <c r="N1" s="220">
        <f t="shared" si="0"/>
        <v>1.0231319999999999</v>
      </c>
      <c r="O1" s="220">
        <f t="shared" si="0"/>
        <v>1.0337725727999998</v>
      </c>
    </row>
    <row r="2" spans="2:15" x14ac:dyDescent="0.25">
      <c r="B2" t="s">
        <v>150</v>
      </c>
      <c r="D2" s="219">
        <f>[1]Inputs!H61</f>
        <v>0.04</v>
      </c>
      <c r="E2" s="219">
        <f>[1]Inputs!I61</f>
        <v>0.04</v>
      </c>
      <c r="F2" s="219">
        <f>[1]Inputs!J61</f>
        <v>0.04</v>
      </c>
      <c r="G2" s="219">
        <f>[1]Inputs!K61</f>
        <v>0.04</v>
      </c>
      <c r="H2" s="219">
        <f>[1]Inputs!L61</f>
        <v>0.04</v>
      </c>
      <c r="K2" s="220"/>
      <c r="L2" s="220"/>
      <c r="M2" s="220"/>
      <c r="N2" s="220"/>
      <c r="O2" s="220"/>
    </row>
    <row r="3" spans="2:15" x14ac:dyDescent="0.25">
      <c r="B3" t="s">
        <v>151</v>
      </c>
      <c r="D3" s="220">
        <f>[1]Inputs!$M$43</f>
        <v>0.46592661151676018</v>
      </c>
      <c r="E3" s="220">
        <f>[1]Inputs!$M$43</f>
        <v>0.46592661151676018</v>
      </c>
      <c r="F3" s="220">
        <f>[1]Inputs!$M$43</f>
        <v>0.46592661151676018</v>
      </c>
      <c r="G3" s="220">
        <f>[1]Inputs!$M$43</f>
        <v>0.46592661151676018</v>
      </c>
      <c r="H3" s="220">
        <f>[1]Inputs!$M$43</f>
        <v>0.46592661151676018</v>
      </c>
      <c r="K3" s="220">
        <f t="shared" ref="K3:K5" si="1">D3</f>
        <v>0.46592661151676018</v>
      </c>
      <c r="L3" s="220">
        <f t="shared" si="0"/>
        <v>0.46592661151676018</v>
      </c>
      <c r="M3" s="220">
        <f t="shared" si="0"/>
        <v>0.46592661151676018</v>
      </c>
      <c r="N3" s="220">
        <f t="shared" si="0"/>
        <v>0.46592661151676018</v>
      </c>
      <c r="O3" s="220">
        <f t="shared" si="0"/>
        <v>0.46592661151676018</v>
      </c>
    </row>
    <row r="4" spans="2:15" x14ac:dyDescent="0.25">
      <c r="B4" t="s">
        <v>152</v>
      </c>
      <c r="D4" s="220">
        <f>[1]Inputs!$M$48</f>
        <v>0.16037758511933414</v>
      </c>
      <c r="E4" s="220">
        <f>[1]Inputs!$M$48</f>
        <v>0.16037758511933414</v>
      </c>
      <c r="F4" s="220">
        <f>[1]Inputs!$M$48</f>
        <v>0.16037758511933414</v>
      </c>
      <c r="G4" s="220">
        <f>[1]Inputs!$M$48</f>
        <v>0.16037758511933414</v>
      </c>
      <c r="H4" s="220">
        <f>[1]Inputs!$M$48</f>
        <v>0.16037758511933414</v>
      </c>
      <c r="K4" s="220">
        <f t="shared" si="1"/>
        <v>0.16037758511933414</v>
      </c>
      <c r="L4" s="220">
        <f t="shared" si="0"/>
        <v>0.16037758511933414</v>
      </c>
      <c r="M4" s="220">
        <f t="shared" si="0"/>
        <v>0.16037758511933414</v>
      </c>
      <c r="N4" s="220">
        <f t="shared" si="0"/>
        <v>0.16037758511933414</v>
      </c>
      <c r="O4" s="220">
        <f t="shared" si="0"/>
        <v>0.16037758511933414</v>
      </c>
    </row>
    <row r="5" spans="2:15" x14ac:dyDescent="0.25">
      <c r="B5" t="s">
        <v>153</v>
      </c>
      <c r="D5" s="220">
        <f>[1]Inputs!$H$13</f>
        <v>6.3420000000000004E-2</v>
      </c>
      <c r="E5" s="220">
        <f>[1]Inputs!$H$13</f>
        <v>6.3420000000000004E-2</v>
      </c>
      <c r="F5" s="220">
        <f>[1]Inputs!$H$13</f>
        <v>6.3420000000000004E-2</v>
      </c>
      <c r="G5" s="220">
        <f>[1]Inputs!$H$13</f>
        <v>6.3420000000000004E-2</v>
      </c>
      <c r="H5" s="220">
        <f>[1]Inputs!$H$13</f>
        <v>6.3420000000000004E-2</v>
      </c>
      <c r="K5" s="220">
        <f t="shared" si="1"/>
        <v>6.3420000000000004E-2</v>
      </c>
      <c r="L5" s="220">
        <f t="shared" si="0"/>
        <v>6.3420000000000004E-2</v>
      </c>
      <c r="M5" s="220">
        <f t="shared" si="0"/>
        <v>6.3420000000000004E-2</v>
      </c>
      <c r="N5" s="220">
        <f t="shared" si="0"/>
        <v>6.3420000000000004E-2</v>
      </c>
      <c r="O5" s="220">
        <f t="shared" si="0"/>
        <v>6.3420000000000004E-2</v>
      </c>
    </row>
    <row r="6" spans="2:15" s="221" customFormat="1" ht="15.75" x14ac:dyDescent="0.25">
      <c r="D6" s="300" t="s">
        <v>154</v>
      </c>
      <c r="E6" s="300"/>
      <c r="F6" s="300"/>
      <c r="G6" s="300"/>
      <c r="H6" s="300"/>
      <c r="J6" s="301" t="s">
        <v>170</v>
      </c>
      <c r="K6" s="301"/>
      <c r="L6" s="301"/>
      <c r="M6" s="301"/>
      <c r="N6" s="301"/>
      <c r="O6" s="301"/>
    </row>
    <row r="7" spans="2:15" x14ac:dyDescent="0.25">
      <c r="B7" s="222" t="s">
        <v>168</v>
      </c>
      <c r="C7" s="223"/>
      <c r="D7" s="223" t="s">
        <v>155</v>
      </c>
      <c r="E7" s="223" t="s">
        <v>156</v>
      </c>
      <c r="F7" s="223" t="s">
        <v>157</v>
      </c>
      <c r="G7" s="223" t="s">
        <v>158</v>
      </c>
      <c r="H7" s="223" t="s">
        <v>159</v>
      </c>
      <c r="J7" s="223"/>
      <c r="K7" s="223" t="s">
        <v>155</v>
      </c>
      <c r="L7" s="223" t="s">
        <v>156</v>
      </c>
      <c r="M7" s="223" t="s">
        <v>157</v>
      </c>
      <c r="N7" s="223" t="s">
        <v>158</v>
      </c>
      <c r="O7" s="223" t="s">
        <v>159</v>
      </c>
    </row>
    <row r="8" spans="2:15" x14ac:dyDescent="0.25">
      <c r="B8" s="224" t="s">
        <v>137</v>
      </c>
      <c r="C8" s="225"/>
      <c r="D8" s="226">
        <f>(D19*D$27)+(D31*D$39)</f>
        <v>1711876.3146176825</v>
      </c>
      <c r="E8" s="226">
        <f t="shared" ref="E8:H8" si="2">(E19*E$27)+(E31*E$39)</f>
        <v>1711876.3146176825</v>
      </c>
      <c r="F8" s="226">
        <f t="shared" si="2"/>
        <v>1730706.9540784769</v>
      </c>
      <c r="G8" s="226">
        <f t="shared" si="2"/>
        <v>1770741.6673402202</v>
      </c>
      <c r="H8" s="226">
        <f t="shared" si="2"/>
        <v>1982143.6193157476</v>
      </c>
      <c r="J8" s="225"/>
      <c r="K8" s="226">
        <f t="shared" ref="K8:K14" si="3">(K19*K$27)+(K31*K$39)</f>
        <v>413748.92118429771</v>
      </c>
      <c r="L8" s="226">
        <f t="shared" ref="L8:O8" si="4">(L19*L$27)+(L31*L$39)</f>
        <v>413748.92118429771</v>
      </c>
      <c r="M8" s="226">
        <f t="shared" si="4"/>
        <v>418300.15931732499</v>
      </c>
      <c r="N8" s="226">
        <f t="shared" si="4"/>
        <v>427976.2786026533</v>
      </c>
      <c r="O8" s="226">
        <f t="shared" si="4"/>
        <v>442430.13862843439</v>
      </c>
    </row>
    <row r="9" spans="2:15" x14ac:dyDescent="0.25">
      <c r="B9" s="224" t="s">
        <v>138</v>
      </c>
      <c r="C9" s="225"/>
      <c r="D9" s="226">
        <f t="shared" ref="D9:D14" si="5">(D20*D$27)+(D32*D$39)</f>
        <v>309601.92536415369</v>
      </c>
      <c r="E9" s="226">
        <f t="shared" ref="E9:H9" si="6">(E20*E$27)+(E32*E$39)</f>
        <v>309601.92536415369</v>
      </c>
      <c r="F9" s="226">
        <f t="shared" si="6"/>
        <v>309601.92536415369</v>
      </c>
      <c r="G9" s="226">
        <f t="shared" si="6"/>
        <v>309601.92536415369</v>
      </c>
      <c r="H9" s="226">
        <f t="shared" si="6"/>
        <v>335254.09253900388</v>
      </c>
      <c r="J9" s="225"/>
      <c r="K9" s="226">
        <f t="shared" si="3"/>
        <v>51304.334349700424</v>
      </c>
      <c r="L9" s="226">
        <f t="shared" ref="L9:O9" si="7">(L20*L$27)+(L32*L$39)</f>
        <v>51304.334349700424</v>
      </c>
      <c r="M9" s="226">
        <f t="shared" si="7"/>
        <v>51304.334349700424</v>
      </c>
      <c r="N9" s="226">
        <f t="shared" si="7"/>
        <v>51304.334349700424</v>
      </c>
      <c r="O9" s="226">
        <f t="shared" si="7"/>
        <v>51304.334349700424</v>
      </c>
    </row>
    <row r="10" spans="2:15" x14ac:dyDescent="0.25">
      <c r="B10" s="224" t="s">
        <v>139</v>
      </c>
      <c r="C10" s="225"/>
      <c r="D10" s="226">
        <f t="shared" si="5"/>
        <v>0</v>
      </c>
      <c r="E10" s="226">
        <f t="shared" ref="E10:H10" si="8">(E21*E$27)+(E33*E$39)</f>
        <v>0</v>
      </c>
      <c r="F10" s="226">
        <f t="shared" si="8"/>
        <v>0</v>
      </c>
      <c r="G10" s="226">
        <f t="shared" si="8"/>
        <v>0</v>
      </c>
      <c r="H10" s="226">
        <f t="shared" si="8"/>
        <v>0</v>
      </c>
      <c r="J10" s="225"/>
      <c r="K10" s="226">
        <f t="shared" si="3"/>
        <v>0</v>
      </c>
      <c r="L10" s="226">
        <f t="shared" ref="L10:O10" si="9">(L21*L$27)+(L33*L$39)</f>
        <v>0</v>
      </c>
      <c r="M10" s="226">
        <f t="shared" si="9"/>
        <v>0</v>
      </c>
      <c r="N10" s="226">
        <f t="shared" si="9"/>
        <v>0</v>
      </c>
      <c r="O10" s="226">
        <f t="shared" si="9"/>
        <v>0</v>
      </c>
    </row>
    <row r="11" spans="2:15" x14ac:dyDescent="0.25">
      <c r="B11" s="227" t="s">
        <v>160</v>
      </c>
      <c r="C11" s="227"/>
      <c r="D11" s="228">
        <f t="shared" si="5"/>
        <v>2021478.2399818359</v>
      </c>
      <c r="E11" s="228">
        <f t="shared" ref="E11:H11" si="10">(E22*E$27)+(E34*E$39)</f>
        <v>2021478.2399818359</v>
      </c>
      <c r="F11" s="228">
        <f t="shared" si="10"/>
        <v>2040308.8794426303</v>
      </c>
      <c r="G11" s="228">
        <f t="shared" si="10"/>
        <v>2080343.5927043736</v>
      </c>
      <c r="H11" s="228">
        <f t="shared" si="10"/>
        <v>2317397.7118547517</v>
      </c>
      <c r="J11" s="227"/>
      <c r="K11" s="228">
        <f t="shared" si="3"/>
        <v>465053.25553399813</v>
      </c>
      <c r="L11" s="228">
        <f t="shared" ref="L11:O11" si="11">(L22*L$27)+(L34*L$39)</f>
        <v>465053.25553399813</v>
      </c>
      <c r="M11" s="228">
        <f t="shared" si="11"/>
        <v>469604.49366702541</v>
      </c>
      <c r="N11" s="228">
        <f t="shared" si="11"/>
        <v>479280.61295235372</v>
      </c>
      <c r="O11" s="228">
        <f t="shared" si="11"/>
        <v>493734.47297813481</v>
      </c>
    </row>
    <row r="12" spans="2:15" x14ac:dyDescent="0.25">
      <c r="B12" s="225" t="s">
        <v>143</v>
      </c>
      <c r="C12" s="225"/>
      <c r="D12" s="226">
        <f t="shared" si="5"/>
        <v>941860.50660960097</v>
      </c>
      <c r="E12" s="226">
        <f t="shared" ref="E12:H12" si="12">(E23*E$27)+(E35*E$39)</f>
        <v>941860.50660960097</v>
      </c>
      <c r="F12" s="226">
        <f t="shared" si="12"/>
        <v>950634.20264626271</v>
      </c>
      <c r="G12" s="226">
        <f t="shared" si="12"/>
        <v>969287.44093935192</v>
      </c>
      <c r="H12" s="226">
        <f t="shared" si="12"/>
        <v>1079737.2634211776</v>
      </c>
      <c r="J12" s="225"/>
      <c r="K12" s="226">
        <f t="shared" si="3"/>
        <v>216680.68752579374</v>
      </c>
      <c r="L12" s="226">
        <f t="shared" ref="L12:O12" si="13">(L23*L$27)+(L35*L$39)</f>
        <v>216680.68752579374</v>
      </c>
      <c r="M12" s="226">
        <f t="shared" si="13"/>
        <v>218801.23048732104</v>
      </c>
      <c r="N12" s="226">
        <f t="shared" si="13"/>
        <v>223309.59195856604</v>
      </c>
      <c r="O12" s="226">
        <f t="shared" si="13"/>
        <v>230044.02998371574</v>
      </c>
    </row>
    <row r="13" spans="2:15" x14ac:dyDescent="0.25">
      <c r="B13" s="225" t="s">
        <v>144</v>
      </c>
      <c r="C13" s="225"/>
      <c r="D13" s="226">
        <f t="shared" si="5"/>
        <v>324199.79849956871</v>
      </c>
      <c r="E13" s="226">
        <f t="shared" ref="E13:H13" si="14">(E24*E$27)+(E36*E$39)</f>
        <v>324199.79849956871</v>
      </c>
      <c r="F13" s="226">
        <f t="shared" si="14"/>
        <v>327219.81098254368</v>
      </c>
      <c r="G13" s="226">
        <f t="shared" si="14"/>
        <v>333640.48161640711</v>
      </c>
      <c r="H13" s="226">
        <f t="shared" si="14"/>
        <v>371658.64878833562</v>
      </c>
      <c r="J13" s="225"/>
      <c r="K13" s="226">
        <f t="shared" si="3"/>
        <v>74584.118074427242</v>
      </c>
      <c r="L13" s="226">
        <f t="shared" ref="L13:O13" si="15">(L24*L$27)+(L36*L$39)</f>
        <v>74584.118074427242</v>
      </c>
      <c r="M13" s="226">
        <f t="shared" si="15"/>
        <v>75314.03465550518</v>
      </c>
      <c r="N13" s="226">
        <f t="shared" si="15"/>
        <v>76865.867299812759</v>
      </c>
      <c r="O13" s="226">
        <f t="shared" si="15"/>
        <v>79183.942466400404</v>
      </c>
    </row>
    <row r="14" spans="2:15" x14ac:dyDescent="0.25">
      <c r="B14" s="225" t="s">
        <v>161</v>
      </c>
      <c r="C14" s="225"/>
      <c r="D14" s="226">
        <f t="shared" si="5"/>
        <v>208495.69452967157</v>
      </c>
      <c r="E14" s="226">
        <f t="shared" ref="E14:H14" si="16">(E25*E$27)+(E37*E$39)</f>
        <v>208495.69452967157</v>
      </c>
      <c r="F14" s="226">
        <f t="shared" si="16"/>
        <v>210437.89067859057</v>
      </c>
      <c r="G14" s="226">
        <f t="shared" si="16"/>
        <v>214567.07949779759</v>
      </c>
      <c r="H14" s="226">
        <f t="shared" si="16"/>
        <v>239016.89163815571</v>
      </c>
      <c r="J14" s="225"/>
      <c r="K14" s="226">
        <f t="shared" si="3"/>
        <v>47965.691437132184</v>
      </c>
      <c r="L14" s="226">
        <f t="shared" ref="L14:O14" si="17">(L25*L$27)+(L37*L$39)</f>
        <v>47965.691437132184</v>
      </c>
      <c r="M14" s="226">
        <f t="shared" si="17"/>
        <v>48435.107103720795</v>
      </c>
      <c r="N14" s="226">
        <f t="shared" si="17"/>
        <v>49433.104099604658</v>
      </c>
      <c r="O14" s="226">
        <f t="shared" si="17"/>
        <v>50923.878289059678</v>
      </c>
    </row>
    <row r="15" spans="2:15" s="230" customFormat="1" x14ac:dyDescent="0.25">
      <c r="B15" s="229" t="s">
        <v>162</v>
      </c>
      <c r="C15" s="225"/>
      <c r="D15" s="228">
        <f>SUM(D11:D14)</f>
        <v>3496034.2396206772</v>
      </c>
      <c r="E15" s="228">
        <f t="shared" ref="E15:H15" si="18">SUM(E11:E14)</f>
        <v>3496034.2396206772</v>
      </c>
      <c r="F15" s="228">
        <f t="shared" si="18"/>
        <v>3528600.7837500274</v>
      </c>
      <c r="G15" s="228">
        <f t="shared" si="18"/>
        <v>3597838.5947579299</v>
      </c>
      <c r="H15" s="228">
        <f t="shared" si="18"/>
        <v>4007810.5157024204</v>
      </c>
      <c r="J15" s="225"/>
      <c r="K15" s="228">
        <f>SUM(K11:K14)</f>
        <v>804283.75257135124</v>
      </c>
      <c r="L15" s="228">
        <f t="shared" ref="L15" si="19">SUM(L11:L14)</f>
        <v>804283.75257135124</v>
      </c>
      <c r="M15" s="228">
        <f t="shared" ref="M15" si="20">SUM(M11:M14)</f>
        <v>812154.86591357237</v>
      </c>
      <c r="N15" s="228">
        <f t="shared" ref="N15" si="21">SUM(N11:N14)</f>
        <v>828889.17631033715</v>
      </c>
      <c r="O15" s="228">
        <f t="shared" ref="O15" si="22">SUM(O11:O14)</f>
        <v>853886.32371731056</v>
      </c>
    </row>
    <row r="16" spans="2:15" s="232" customFormat="1" x14ac:dyDescent="0.25">
      <c r="B16" s="231" t="s">
        <v>163</v>
      </c>
      <c r="C16" s="227"/>
      <c r="D16" s="228">
        <f>D28+D40-D15</f>
        <v>0</v>
      </c>
      <c r="E16" s="228">
        <f t="shared" ref="E16:H16" si="23">E28+E40-E15</f>
        <v>0</v>
      </c>
      <c r="F16" s="228">
        <f t="shared" si="23"/>
        <v>0</v>
      </c>
      <c r="G16" s="228">
        <f t="shared" si="23"/>
        <v>0</v>
      </c>
      <c r="H16" s="228">
        <f t="shared" si="23"/>
        <v>0</v>
      </c>
      <c r="J16" s="227"/>
      <c r="K16" s="228">
        <f>K28+K40-K15</f>
        <v>0</v>
      </c>
      <c r="L16" s="228">
        <f t="shared" ref="L16" si="24">L28+L40-L15</f>
        <v>0</v>
      </c>
      <c r="M16" s="228">
        <f t="shared" ref="M16" si="25">M28+M40-M15</f>
        <v>0</v>
      </c>
      <c r="N16" s="228">
        <f t="shared" ref="N16" si="26">N28+N40-N15</f>
        <v>0</v>
      </c>
      <c r="O16" s="228">
        <f t="shared" ref="O16" si="27">O28+O40-O15</f>
        <v>0</v>
      </c>
    </row>
    <row r="17" spans="2:15" s="232" customFormat="1" x14ac:dyDescent="0.25">
      <c r="C17" s="233"/>
    </row>
    <row r="18" spans="2:15" x14ac:dyDescent="0.25">
      <c r="B18" s="234" t="s">
        <v>135</v>
      </c>
      <c r="C18" s="235"/>
      <c r="D18" s="302" t="s">
        <v>164</v>
      </c>
      <c r="E18" s="303"/>
      <c r="F18" s="303"/>
      <c r="G18" s="303"/>
      <c r="H18" s="303"/>
      <c r="J18" s="235"/>
      <c r="K18" s="302" t="s">
        <v>164</v>
      </c>
      <c r="L18" s="303"/>
      <c r="M18" s="303"/>
      <c r="N18" s="303"/>
      <c r="O18" s="303"/>
    </row>
    <row r="19" spans="2:15" x14ac:dyDescent="0.25">
      <c r="B19" s="3" t="s">
        <v>137</v>
      </c>
      <c r="C19" s="236">
        <f>'Proposed price'!H20</f>
        <v>1417.7178147864113</v>
      </c>
      <c r="D19" s="237">
        <f>C19*D$1</f>
        <v>1417.7178147864113</v>
      </c>
      <c r="E19" s="237">
        <f>D19*E1</f>
        <v>1417.7178147864113</v>
      </c>
      <c r="F19" s="237">
        <f>E19*F1</f>
        <v>1433.3127107490616</v>
      </c>
      <c r="G19" s="237">
        <f>F19*G1</f>
        <v>1466.4681003741089</v>
      </c>
      <c r="H19" s="237">
        <f>G19*H1</f>
        <v>1515.9945010528709</v>
      </c>
      <c r="J19" s="236">
        <f>'Proposed price'!H40</f>
        <v>2068.7446059214885</v>
      </c>
      <c r="K19" s="237">
        <f>J19*K$1</f>
        <v>2068.7446059214885</v>
      </c>
      <c r="L19" s="237">
        <f>K19*L1</f>
        <v>2068.7446059214885</v>
      </c>
      <c r="M19" s="237">
        <f>L19*M1</f>
        <v>2091.5007965866248</v>
      </c>
      <c r="N19" s="237">
        <f>M19*N1</f>
        <v>2139.8813930132665</v>
      </c>
      <c r="O19" s="237">
        <f>N19*O1</f>
        <v>2212.1506931421718</v>
      </c>
    </row>
    <row r="20" spans="2:15" x14ac:dyDescent="0.25">
      <c r="B20" s="3" t="s">
        <v>138</v>
      </c>
      <c r="C20" s="236">
        <f>'Proposed price'!I20</f>
        <v>256.52167174850211</v>
      </c>
      <c r="D20" s="237">
        <f>C20</f>
        <v>256.52167174850211</v>
      </c>
      <c r="E20" s="237">
        <f t="shared" ref="E20:H21" si="28">D20</f>
        <v>256.52167174850211</v>
      </c>
      <c r="F20" s="237">
        <f t="shared" si="28"/>
        <v>256.52167174850211</v>
      </c>
      <c r="G20" s="237">
        <f t="shared" si="28"/>
        <v>256.52167174850211</v>
      </c>
      <c r="H20" s="237">
        <f t="shared" si="28"/>
        <v>256.52167174850211</v>
      </c>
      <c r="J20" s="236">
        <f>'Proposed price'!I40</f>
        <v>256.52167174850211</v>
      </c>
      <c r="K20" s="237">
        <f>J20</f>
        <v>256.52167174850211</v>
      </c>
      <c r="L20" s="237">
        <f t="shared" ref="L20:O21" si="29">K20</f>
        <v>256.52167174850211</v>
      </c>
      <c r="M20" s="237">
        <f t="shared" si="29"/>
        <v>256.52167174850211</v>
      </c>
      <c r="N20" s="237">
        <f t="shared" si="29"/>
        <v>256.52167174850211</v>
      </c>
      <c r="O20" s="237">
        <f t="shared" si="29"/>
        <v>256.52167174850211</v>
      </c>
    </row>
    <row r="21" spans="2:15" x14ac:dyDescent="0.25">
      <c r="B21" s="3" t="s">
        <v>139</v>
      </c>
      <c r="C21" s="236">
        <f>'Proposed price'!J20</f>
        <v>0</v>
      </c>
      <c r="D21" s="237">
        <f>C21</f>
        <v>0</v>
      </c>
      <c r="E21" s="237">
        <f t="shared" si="28"/>
        <v>0</v>
      </c>
      <c r="F21" s="237">
        <f t="shared" si="28"/>
        <v>0</v>
      </c>
      <c r="G21" s="237">
        <f t="shared" si="28"/>
        <v>0</v>
      </c>
      <c r="H21" s="237">
        <f t="shared" si="28"/>
        <v>0</v>
      </c>
      <c r="J21" s="236">
        <f>'Proposed price'!J40</f>
        <v>0</v>
      </c>
      <c r="K21" s="237">
        <f>J21</f>
        <v>0</v>
      </c>
      <c r="L21" s="237">
        <f t="shared" si="29"/>
        <v>0</v>
      </c>
      <c r="M21" s="237">
        <f t="shared" si="29"/>
        <v>0</v>
      </c>
      <c r="N21" s="237">
        <f t="shared" si="29"/>
        <v>0</v>
      </c>
      <c r="O21" s="237">
        <f t="shared" si="29"/>
        <v>0</v>
      </c>
    </row>
    <row r="22" spans="2:15" s="232" customFormat="1" x14ac:dyDescent="0.25">
      <c r="B22" s="238" t="s">
        <v>160</v>
      </c>
      <c r="C22" s="258">
        <f>'Proposed price'!M20</f>
        <v>1674.2394865349136</v>
      </c>
      <c r="D22" s="227">
        <f>SUM(D19:D21)</f>
        <v>1674.2394865349133</v>
      </c>
      <c r="E22" s="227">
        <f t="shared" ref="E22:H22" si="30">SUM(E19:E21)</f>
        <v>1674.2394865349133</v>
      </c>
      <c r="F22" s="227">
        <f t="shared" si="30"/>
        <v>1689.8343824975636</v>
      </c>
      <c r="G22" s="227">
        <f t="shared" si="30"/>
        <v>1722.9897721226109</v>
      </c>
      <c r="H22" s="227">
        <f t="shared" si="30"/>
        <v>1772.5161728013729</v>
      </c>
      <c r="J22" s="258">
        <f>'Proposed price'!M40</f>
        <v>2325.2662776699908</v>
      </c>
      <c r="K22" s="227">
        <f>SUM(K19:K21)</f>
        <v>2325.2662776699908</v>
      </c>
      <c r="L22" s="227">
        <f t="shared" ref="L22:O22" si="31">SUM(L19:L21)</f>
        <v>2325.2662776699908</v>
      </c>
      <c r="M22" s="227">
        <f t="shared" si="31"/>
        <v>2348.0224683351271</v>
      </c>
      <c r="N22" s="227">
        <f t="shared" si="31"/>
        <v>2396.4030647617687</v>
      </c>
      <c r="O22" s="227">
        <f t="shared" si="31"/>
        <v>2468.6723648906741</v>
      </c>
    </row>
    <row r="23" spans="2:15" x14ac:dyDescent="0.25">
      <c r="B23" s="3" t="s">
        <v>143</v>
      </c>
      <c r="C23" s="236">
        <f>'Proposed price'!N20</f>
        <v>780.07273082877271</v>
      </c>
      <c r="D23" s="237">
        <f>D22*D$3</f>
        <v>780.07273082877259</v>
      </c>
      <c r="E23" s="237">
        <f t="shared" ref="E23:H23" si="32">E22*E$3</f>
        <v>780.07273082877259</v>
      </c>
      <c r="F23" s="237">
        <f t="shared" si="32"/>
        <v>787.33880786160671</v>
      </c>
      <c r="G23" s="237">
        <f t="shared" si="32"/>
        <v>802.78678620312292</v>
      </c>
      <c r="H23" s="237">
        <f t="shared" si="32"/>
        <v>825.86245425199979</v>
      </c>
      <c r="J23" s="236">
        <f>'Proposed price'!N40</f>
        <v>1083.4034376289687</v>
      </c>
      <c r="K23" s="237">
        <f>K22*K$3</f>
        <v>1083.4034376289687</v>
      </c>
      <c r="L23" s="237">
        <f t="shared" ref="L23:O23" si="33">L22*L$3</f>
        <v>1083.4034376289687</v>
      </c>
      <c r="M23" s="237">
        <f t="shared" si="33"/>
        <v>1094.0061524366051</v>
      </c>
      <c r="N23" s="237">
        <f t="shared" si="33"/>
        <v>1116.5479597928302</v>
      </c>
      <c r="O23" s="237">
        <f t="shared" si="33"/>
        <v>1150.2201499185787</v>
      </c>
    </row>
    <row r="24" spans="2:15" x14ac:dyDescent="0.25">
      <c r="B24" s="3" t="s">
        <v>144</v>
      </c>
      <c r="C24" s="236">
        <f>'Proposed price'!O20</f>
        <v>268.5104857619034</v>
      </c>
      <c r="D24" s="237">
        <f>D22*D$4</f>
        <v>268.51048576190334</v>
      </c>
      <c r="E24" s="237">
        <f t="shared" ref="E24:H24" si="34">E22*E$4</f>
        <v>268.51048576190334</v>
      </c>
      <c r="F24" s="237">
        <f t="shared" si="34"/>
        <v>271.01155751658047</v>
      </c>
      <c r="G24" s="237">
        <f t="shared" si="34"/>
        <v>276.32893883833617</v>
      </c>
      <c r="H24" s="237">
        <f t="shared" si="34"/>
        <v>284.27186337884859</v>
      </c>
      <c r="J24" s="236">
        <f>'Proposed price'!O40</f>
        <v>372.92059037213619</v>
      </c>
      <c r="K24" s="237">
        <f>K22*K$4</f>
        <v>372.92059037213619</v>
      </c>
      <c r="L24" s="237">
        <f t="shared" ref="L24:O24" si="35">L22*L$4</f>
        <v>372.92059037213619</v>
      </c>
      <c r="M24" s="237">
        <f t="shared" si="35"/>
        <v>376.5701732775259</v>
      </c>
      <c r="N24" s="237">
        <f t="shared" si="35"/>
        <v>384.3293364990638</v>
      </c>
      <c r="O24" s="237">
        <f t="shared" si="35"/>
        <v>395.91971233200201</v>
      </c>
    </row>
    <row r="25" spans="2:15" x14ac:dyDescent="0.25">
      <c r="B25" s="3" t="s">
        <v>145</v>
      </c>
      <c r="C25" s="236">
        <f>'Proposed price'!P20</f>
        <v>172.6814158322249</v>
      </c>
      <c r="D25" s="237">
        <f>SUM(D22:D24)*D$5</f>
        <v>172.68141583222487</v>
      </c>
      <c r="E25" s="237">
        <f t="shared" ref="E25:H25" si="36">SUM(E22:E24)*E$5</f>
        <v>172.68141583222487</v>
      </c>
      <c r="F25" s="237">
        <f t="shared" si="36"/>
        <v>174.28987671028014</v>
      </c>
      <c r="G25" s="237">
        <f t="shared" si="36"/>
        <v>177.70953063014531</v>
      </c>
      <c r="H25" s="237">
        <f t="shared" si="36"/>
        <v>182.81769410321149</v>
      </c>
      <c r="J25" s="236">
        <f>'Proposed price'!P40</f>
        <v>239.82845718566094</v>
      </c>
      <c r="K25" s="237">
        <f>SUM(K22:K24)*K$5</f>
        <v>239.82845718566091</v>
      </c>
      <c r="L25" s="237">
        <f t="shared" ref="L25:O25" si="37">SUM(L22:L24)*L$5</f>
        <v>239.82845718566091</v>
      </c>
      <c r="M25" s="237">
        <f t="shared" si="37"/>
        <v>242.17553551860397</v>
      </c>
      <c r="N25" s="237">
        <f t="shared" si="37"/>
        <v>247.16552049802328</v>
      </c>
      <c r="O25" s="237">
        <f t="shared" si="37"/>
        <v>254.61939144529839</v>
      </c>
    </row>
    <row r="26" spans="2:15" s="232" customFormat="1" x14ac:dyDescent="0.25">
      <c r="B26" s="240" t="s">
        <v>165</v>
      </c>
      <c r="C26" s="241">
        <f>'Proposed price'!Q20</f>
        <v>2895.5041189578137</v>
      </c>
      <c r="D26" s="242">
        <f>SUM(D22:D25)</f>
        <v>2895.5041189578142</v>
      </c>
      <c r="E26" s="242">
        <f t="shared" ref="E26:H26" si="38">SUM(E22:E25)</f>
        <v>2895.5041189578142</v>
      </c>
      <c r="F26" s="242">
        <f t="shared" si="38"/>
        <v>2922.474624586031</v>
      </c>
      <c r="G26" s="242">
        <f t="shared" si="38"/>
        <v>2979.815027794215</v>
      </c>
      <c r="H26" s="242">
        <f t="shared" si="38"/>
        <v>3065.468184535433</v>
      </c>
      <c r="J26" s="241">
        <f>'Proposed price'!Q40</f>
        <v>4021.4187628567565</v>
      </c>
      <c r="K26" s="242">
        <f>SUM(K22:K25)</f>
        <v>4021.418762856757</v>
      </c>
      <c r="L26" s="242">
        <f t="shared" ref="L26:O26" si="39">SUM(L22:L25)</f>
        <v>4021.418762856757</v>
      </c>
      <c r="M26" s="242">
        <f t="shared" si="39"/>
        <v>4060.774329567862</v>
      </c>
      <c r="N26" s="242">
        <f t="shared" si="39"/>
        <v>4144.4458815516855</v>
      </c>
      <c r="O26" s="242">
        <f t="shared" si="39"/>
        <v>4269.4316185865537</v>
      </c>
    </row>
    <row r="27" spans="2:15" x14ac:dyDescent="0.25">
      <c r="B27" s="243" t="s">
        <v>166</v>
      </c>
      <c r="C27" s="237"/>
      <c r="D27" s="244">
        <f>'Forecast Revenue - Costs'!D$10</f>
        <v>1200</v>
      </c>
      <c r="E27" s="244">
        <f>'Forecast Revenue - Costs'!E$10</f>
        <v>1200</v>
      </c>
      <c r="F27" s="244">
        <f>'Forecast Revenue - Costs'!F$10</f>
        <v>1200</v>
      </c>
      <c r="G27" s="244">
        <f>'Forecast Revenue - Costs'!G$10</f>
        <v>1200</v>
      </c>
      <c r="H27" s="244">
        <f>'Forecast Revenue - Costs'!H$10</f>
        <v>1300</v>
      </c>
      <c r="J27" s="237"/>
      <c r="K27" s="244">
        <v>200</v>
      </c>
      <c r="L27" s="244">
        <v>200</v>
      </c>
      <c r="M27" s="244">
        <v>200</v>
      </c>
      <c r="N27" s="244">
        <v>200</v>
      </c>
      <c r="O27" s="244">
        <v>200</v>
      </c>
    </row>
    <row r="28" spans="2:15" s="232" customFormat="1" x14ac:dyDescent="0.25">
      <c r="B28" s="229" t="s">
        <v>167</v>
      </c>
      <c r="C28" s="227"/>
      <c r="D28" s="228">
        <f>D26*D27</f>
        <v>3474604.9427493769</v>
      </c>
      <c r="E28" s="228">
        <f t="shared" ref="E28:H28" si="40">E26*E27</f>
        <v>3474604.9427493769</v>
      </c>
      <c r="F28" s="228">
        <f t="shared" si="40"/>
        <v>3506969.5495032375</v>
      </c>
      <c r="G28" s="228">
        <f t="shared" si="40"/>
        <v>3575778.0333530582</v>
      </c>
      <c r="H28" s="228">
        <f t="shared" si="40"/>
        <v>3985108.6398960631</v>
      </c>
      <c r="J28" s="227"/>
      <c r="K28" s="228">
        <f>K27*K26</f>
        <v>804283.75257135136</v>
      </c>
      <c r="L28" s="228">
        <f t="shared" ref="L28:O28" si="41">L27*L26</f>
        <v>804283.75257135136</v>
      </c>
      <c r="M28" s="228">
        <f t="shared" si="41"/>
        <v>812154.86591357237</v>
      </c>
      <c r="N28" s="228">
        <f t="shared" si="41"/>
        <v>828889.17631033715</v>
      </c>
      <c r="O28" s="228">
        <f t="shared" si="41"/>
        <v>853886.32371731079</v>
      </c>
    </row>
    <row r="30" spans="2:15" x14ac:dyDescent="0.25">
      <c r="B30" s="234" t="s">
        <v>169</v>
      </c>
      <c r="C30" s="235"/>
      <c r="D30" s="302" t="s">
        <v>164</v>
      </c>
      <c r="E30" s="303"/>
      <c r="F30" s="303"/>
      <c r="G30" s="303"/>
      <c r="H30" s="303"/>
      <c r="J30" s="235"/>
      <c r="K30" s="302" t="s">
        <v>164</v>
      </c>
      <c r="L30" s="303"/>
      <c r="M30" s="303"/>
      <c r="N30" s="303"/>
      <c r="O30" s="303"/>
    </row>
    <row r="31" spans="2:15" x14ac:dyDescent="0.25">
      <c r="B31" s="3" t="s">
        <v>137</v>
      </c>
      <c r="C31" s="236">
        <f>'Proposed price'!Y14</f>
        <v>353.83122913296376</v>
      </c>
      <c r="D31" s="237">
        <f>C31*D$1</f>
        <v>353.83122913296376</v>
      </c>
      <c r="E31" s="237">
        <f t="shared" ref="E31:H31" si="42">D31*E$1</f>
        <v>353.83122913296376</v>
      </c>
      <c r="F31" s="237">
        <f t="shared" si="42"/>
        <v>357.72337265342634</v>
      </c>
      <c r="G31" s="237">
        <f t="shared" si="42"/>
        <v>365.99822970964539</v>
      </c>
      <c r="H31" s="237">
        <f t="shared" si="42"/>
        <v>378.35893156718544</v>
      </c>
      <c r="J31" s="236"/>
      <c r="K31" s="237">
        <f>J31*K$1</f>
        <v>0</v>
      </c>
      <c r="L31" s="237">
        <f t="shared" ref="L31:O31" si="43">K31*L$1</f>
        <v>0</v>
      </c>
      <c r="M31" s="237">
        <f t="shared" si="43"/>
        <v>0</v>
      </c>
      <c r="N31" s="237">
        <f t="shared" si="43"/>
        <v>0</v>
      </c>
      <c r="O31" s="237">
        <f t="shared" si="43"/>
        <v>0</v>
      </c>
    </row>
    <row r="32" spans="2:15" x14ac:dyDescent="0.25">
      <c r="B32" s="3" t="s">
        <v>138</v>
      </c>
      <c r="C32" s="236">
        <f>'Proposed price'!Z14</f>
        <v>59.197308865038949</v>
      </c>
      <c r="D32" s="237">
        <f>C32</f>
        <v>59.197308865038949</v>
      </c>
      <c r="E32" s="237">
        <f>D32</f>
        <v>59.197308865038949</v>
      </c>
      <c r="F32" s="237">
        <f t="shared" ref="F32:H32" si="44">E32</f>
        <v>59.197308865038949</v>
      </c>
      <c r="G32" s="237">
        <f t="shared" si="44"/>
        <v>59.197308865038949</v>
      </c>
      <c r="H32" s="237">
        <f t="shared" si="44"/>
        <v>59.197308865038949</v>
      </c>
      <c r="J32" s="236"/>
      <c r="K32" s="237">
        <f>J32</f>
        <v>0</v>
      </c>
      <c r="L32" s="237">
        <f t="shared" ref="L32:O33" si="45">K32</f>
        <v>0</v>
      </c>
      <c r="M32" s="237">
        <f t="shared" si="45"/>
        <v>0</v>
      </c>
      <c r="N32" s="237">
        <f t="shared" si="45"/>
        <v>0</v>
      </c>
      <c r="O32" s="237">
        <f t="shared" si="45"/>
        <v>0</v>
      </c>
    </row>
    <row r="33" spans="2:15" x14ac:dyDescent="0.25">
      <c r="B33" s="3" t="s">
        <v>139</v>
      </c>
      <c r="C33" s="236">
        <f>'Proposed price'!AA14</f>
        <v>0</v>
      </c>
      <c r="D33" s="237">
        <f>C33</f>
        <v>0</v>
      </c>
      <c r="E33" s="237">
        <f t="shared" ref="E33:H33" si="46">D33</f>
        <v>0</v>
      </c>
      <c r="F33" s="237">
        <f t="shared" si="46"/>
        <v>0</v>
      </c>
      <c r="G33" s="237">
        <f t="shared" si="46"/>
        <v>0</v>
      </c>
      <c r="H33" s="237">
        <f t="shared" si="46"/>
        <v>0</v>
      </c>
      <c r="J33" s="236"/>
      <c r="K33" s="237">
        <f>J33</f>
        <v>0</v>
      </c>
      <c r="L33" s="237">
        <f t="shared" si="45"/>
        <v>0</v>
      </c>
      <c r="M33" s="237">
        <f t="shared" si="45"/>
        <v>0</v>
      </c>
      <c r="N33" s="237">
        <f t="shared" si="45"/>
        <v>0</v>
      </c>
      <c r="O33" s="237">
        <f t="shared" si="45"/>
        <v>0</v>
      </c>
    </row>
    <row r="34" spans="2:15" x14ac:dyDescent="0.25">
      <c r="B34" s="238" t="s">
        <v>160</v>
      </c>
      <c r="C34" s="258">
        <f>'Proposed price'!AD14</f>
        <v>413.02853799800272</v>
      </c>
      <c r="D34" s="227">
        <f>SUM(D31:D33)</f>
        <v>413.02853799800272</v>
      </c>
      <c r="E34" s="227">
        <f t="shared" ref="E34:H34" si="47">SUM(E31:E33)</f>
        <v>413.02853799800272</v>
      </c>
      <c r="F34" s="227">
        <f t="shared" si="47"/>
        <v>416.9206815184653</v>
      </c>
      <c r="G34" s="227">
        <f t="shared" si="47"/>
        <v>425.19553857468435</v>
      </c>
      <c r="H34" s="227">
        <f t="shared" si="47"/>
        <v>437.5562404322244</v>
      </c>
      <c r="J34" s="239"/>
      <c r="K34" s="225">
        <f>SUM(K31:K33)</f>
        <v>0</v>
      </c>
      <c r="L34" s="225">
        <f t="shared" ref="L34:O34" si="48">SUM(L31:L33)</f>
        <v>0</v>
      </c>
      <c r="M34" s="225">
        <f t="shared" si="48"/>
        <v>0</v>
      </c>
      <c r="N34" s="225">
        <f t="shared" si="48"/>
        <v>0</v>
      </c>
      <c r="O34" s="225">
        <f t="shared" si="48"/>
        <v>0</v>
      </c>
    </row>
    <row r="35" spans="2:15" x14ac:dyDescent="0.25">
      <c r="B35" s="3" t="s">
        <v>143</v>
      </c>
      <c r="C35" s="236">
        <f>'Proposed price'!AE14</f>
        <v>192.44098716913084</v>
      </c>
      <c r="D35" s="237">
        <f>D34*D$3</f>
        <v>192.44098716913084</v>
      </c>
      <c r="E35" s="237">
        <f t="shared" ref="E35:H35" si="49">E34*E$3</f>
        <v>192.44098716913084</v>
      </c>
      <c r="F35" s="237">
        <f t="shared" si="49"/>
        <v>194.25444041115688</v>
      </c>
      <c r="G35" s="237">
        <f t="shared" si="49"/>
        <v>198.10991652014658</v>
      </c>
      <c r="H35" s="237">
        <f t="shared" si="49"/>
        <v>203.86909645259914</v>
      </c>
      <c r="J35" s="236"/>
      <c r="K35" s="237">
        <f>K34*K$3</f>
        <v>0</v>
      </c>
      <c r="L35" s="237">
        <f t="shared" ref="L35:O35" si="50">L34*L$3</f>
        <v>0</v>
      </c>
      <c r="M35" s="237">
        <f t="shared" si="50"/>
        <v>0</v>
      </c>
      <c r="N35" s="237">
        <f t="shared" si="50"/>
        <v>0</v>
      </c>
      <c r="O35" s="237">
        <f t="shared" si="50"/>
        <v>0</v>
      </c>
    </row>
    <row r="36" spans="2:15" x14ac:dyDescent="0.25">
      <c r="B36" s="3" t="s">
        <v>144</v>
      </c>
      <c r="C36" s="236">
        <f>'Proposed price'!AF14</f>
        <v>66.24051950948882</v>
      </c>
      <c r="D36" s="237">
        <f>D34*D$4</f>
        <v>66.24051950948882</v>
      </c>
      <c r="E36" s="237">
        <f t="shared" ref="E36:H36" si="51">E34*E$4</f>
        <v>66.24051950948882</v>
      </c>
      <c r="F36" s="237">
        <f t="shared" si="51"/>
        <v>66.864732088238469</v>
      </c>
      <c r="G36" s="237">
        <f t="shared" si="51"/>
        <v>68.191833680122556</v>
      </c>
      <c r="H36" s="237">
        <f t="shared" si="51"/>
        <v>70.174213194414904</v>
      </c>
      <c r="J36" s="236"/>
      <c r="K36" s="237">
        <f>K34*K$4</f>
        <v>0</v>
      </c>
      <c r="L36" s="237">
        <f t="shared" ref="L36:O36" si="52">L34*L$4</f>
        <v>0</v>
      </c>
      <c r="M36" s="237">
        <f t="shared" si="52"/>
        <v>0</v>
      </c>
      <c r="N36" s="237">
        <f t="shared" si="52"/>
        <v>0</v>
      </c>
      <c r="O36" s="237">
        <f t="shared" si="52"/>
        <v>0</v>
      </c>
    </row>
    <row r="37" spans="2:15" x14ac:dyDescent="0.25">
      <c r="B37" s="3" t="s">
        <v>145</v>
      </c>
      <c r="C37" s="236">
        <f>'Proposed price'!AG14</f>
        <v>42.599851033391403</v>
      </c>
      <c r="D37" s="237">
        <f>SUM(D34:D36)*D$5</f>
        <v>42.599851033391396</v>
      </c>
      <c r="E37" s="237">
        <f t="shared" ref="E37:H37" si="53">SUM(E34:E36)*E$5</f>
        <v>42.599851033391396</v>
      </c>
      <c r="F37" s="237">
        <f t="shared" si="53"/>
        <v>43.001287541812722</v>
      </c>
      <c r="G37" s="237">
        <f t="shared" si="53"/>
        <v>43.854758054107549</v>
      </c>
      <c r="H37" s="237">
        <f t="shared" si="53"/>
        <v>45.129643466025307</v>
      </c>
      <c r="J37" s="236"/>
      <c r="K37" s="237">
        <f>SUM(K34:K36)*K$5</f>
        <v>0</v>
      </c>
      <c r="L37" s="237">
        <f t="shared" ref="L37:O37" si="54">SUM(L34:L36)*L$5</f>
        <v>0</v>
      </c>
      <c r="M37" s="237">
        <f t="shared" si="54"/>
        <v>0</v>
      </c>
      <c r="N37" s="237">
        <f t="shared" si="54"/>
        <v>0</v>
      </c>
      <c r="O37" s="237">
        <f t="shared" si="54"/>
        <v>0</v>
      </c>
    </row>
    <row r="38" spans="2:15" s="232" customFormat="1" x14ac:dyDescent="0.25">
      <c r="B38" s="240" t="s">
        <v>165</v>
      </c>
      <c r="C38" s="241">
        <f>'Proposed price'!AH14</f>
        <v>714.30989571001373</v>
      </c>
      <c r="D38" s="242">
        <f>SUM(D34:D37)</f>
        <v>714.30989571001373</v>
      </c>
      <c r="E38" s="242">
        <f t="shared" ref="E38:H38" si="55">SUM(E34:E37)</f>
        <v>714.30989571001373</v>
      </c>
      <c r="F38" s="242">
        <f t="shared" si="55"/>
        <v>721.04114155967341</v>
      </c>
      <c r="G38" s="242">
        <f t="shared" si="55"/>
        <v>735.35204682906101</v>
      </c>
      <c r="H38" s="242">
        <f t="shared" si="55"/>
        <v>756.7291935452638</v>
      </c>
      <c r="J38" s="241"/>
      <c r="K38" s="242">
        <f>SUM(K34:K37)</f>
        <v>0</v>
      </c>
      <c r="L38" s="242">
        <f t="shared" ref="L38:O38" si="56">SUM(L34:L37)</f>
        <v>0</v>
      </c>
      <c r="M38" s="242">
        <f t="shared" si="56"/>
        <v>0</v>
      </c>
      <c r="N38" s="242">
        <f t="shared" si="56"/>
        <v>0</v>
      </c>
      <c r="O38" s="242">
        <f t="shared" si="56"/>
        <v>0</v>
      </c>
    </row>
    <row r="39" spans="2:15" x14ac:dyDescent="0.25">
      <c r="B39" s="243" t="s">
        <v>166</v>
      </c>
      <c r="C39" s="237"/>
      <c r="D39" s="244">
        <f>'Forecast Revenue - Costs'!D11</f>
        <v>30</v>
      </c>
      <c r="E39" s="244">
        <f>'Forecast Revenue - Costs'!E11</f>
        <v>30</v>
      </c>
      <c r="F39" s="244">
        <f>'Forecast Revenue - Costs'!F11</f>
        <v>30</v>
      </c>
      <c r="G39" s="244">
        <f>'Forecast Revenue - Costs'!G11</f>
        <v>30</v>
      </c>
      <c r="H39" s="244">
        <f>'Forecast Revenue - Costs'!H11</f>
        <v>30</v>
      </c>
      <c r="J39" s="237"/>
      <c r="K39" s="244"/>
      <c r="L39" s="244"/>
      <c r="M39" s="244"/>
      <c r="N39" s="244"/>
      <c r="O39" s="244"/>
    </row>
    <row r="40" spans="2:15" s="232" customFormat="1" x14ac:dyDescent="0.25">
      <c r="B40" s="229" t="s">
        <v>167</v>
      </c>
      <c r="C40" s="227"/>
      <c r="D40" s="228">
        <f>D38*D39</f>
        <v>21429.296871300412</v>
      </c>
      <c r="E40" s="228">
        <f t="shared" ref="E40:H40" si="57">E38*E39</f>
        <v>21429.296871300412</v>
      </c>
      <c r="F40" s="228">
        <f t="shared" si="57"/>
        <v>21631.234246790202</v>
      </c>
      <c r="G40" s="228">
        <f t="shared" si="57"/>
        <v>22060.561404871831</v>
      </c>
      <c r="H40" s="228">
        <f t="shared" si="57"/>
        <v>22701.875806357915</v>
      </c>
      <c r="J40" s="227"/>
      <c r="K40" s="228">
        <f>K39*K38</f>
        <v>0</v>
      </c>
      <c r="L40" s="228">
        <f t="shared" ref="L40:O40" si="58">L39*L38</f>
        <v>0</v>
      </c>
      <c r="M40" s="228">
        <f t="shared" si="58"/>
        <v>0</v>
      </c>
      <c r="N40" s="228">
        <f t="shared" si="58"/>
        <v>0</v>
      </c>
      <c r="O40" s="228">
        <f t="shared" si="58"/>
        <v>0</v>
      </c>
    </row>
  </sheetData>
  <mergeCells count="6">
    <mergeCell ref="D6:H6"/>
    <mergeCell ref="J6:O6"/>
    <mergeCell ref="D18:H18"/>
    <mergeCell ref="K18:O18"/>
    <mergeCell ref="D30:H30"/>
    <mergeCell ref="K30:O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zoomScaleNormal="100" workbookViewId="0">
      <selection activeCell="F12" sqref="F12"/>
    </sheetView>
  </sheetViews>
  <sheetFormatPr defaultRowHeight="15" x14ac:dyDescent="0.25"/>
  <cols>
    <col min="1" max="1" width="3.28515625" customWidth="1"/>
    <col min="2" max="2" width="64.85546875" customWidth="1"/>
    <col min="3" max="3" width="55.7109375" customWidth="1"/>
    <col min="4" max="8" width="14" bestFit="1" customWidth="1"/>
    <col min="9" max="9" width="12.7109375" customWidth="1"/>
  </cols>
  <sheetData>
    <row r="2" spans="2:9" x14ac:dyDescent="0.25">
      <c r="B2" s="24" t="s">
        <v>50</v>
      </c>
      <c r="C2" s="25"/>
      <c r="D2" s="25"/>
      <c r="E2" s="25"/>
      <c r="F2" s="25"/>
      <c r="G2" s="25"/>
      <c r="H2" s="25"/>
      <c r="I2" s="25"/>
    </row>
    <row r="3" spans="2:9" x14ac:dyDescent="0.25">
      <c r="B3" s="140" t="s">
        <v>94</v>
      </c>
      <c r="C3" s="140" t="s">
        <v>3</v>
      </c>
      <c r="D3" s="141" t="s">
        <v>63</v>
      </c>
      <c r="E3" s="141" t="s">
        <v>64</v>
      </c>
      <c r="F3" s="141" t="s">
        <v>65</v>
      </c>
      <c r="G3" s="141" t="s">
        <v>95</v>
      </c>
      <c r="H3" s="141" t="s">
        <v>66</v>
      </c>
      <c r="I3" s="142" t="s">
        <v>1</v>
      </c>
    </row>
    <row r="4" spans="2:9" x14ac:dyDescent="0.25">
      <c r="B4" s="3" t="s">
        <v>105</v>
      </c>
      <c r="C4" s="4" t="s">
        <v>70</v>
      </c>
      <c r="D4" s="29">
        <f>'Forecasts by year'!D28+'Forecasts by year'!K28</f>
        <v>4278888.6953207282</v>
      </c>
      <c r="E4" s="29">
        <f>'Forecasts by year'!E28+'Forecasts by year'!L28</f>
        <v>4278888.6953207282</v>
      </c>
      <c r="F4" s="29">
        <f>'Forecasts by year'!F28+'Forecasts by year'!M28</f>
        <v>4319124.4154168097</v>
      </c>
      <c r="G4" s="29">
        <f>'Forecasts by year'!G28+'Forecasts by year'!N28</f>
        <v>4404667.2096633948</v>
      </c>
      <c r="H4" s="29">
        <f>'Forecasts by year'!H28+'Forecasts by year'!O28</f>
        <v>4838994.9636133742</v>
      </c>
      <c r="I4" s="245">
        <f>SUM(D4:H4)</f>
        <v>22120563.979335032</v>
      </c>
    </row>
    <row r="5" spans="2:9" x14ac:dyDescent="0.25">
      <c r="B5" s="4"/>
      <c r="C5" s="131" t="s">
        <v>171</v>
      </c>
      <c r="D5" s="5">
        <f>'Forecasts by year'!D40</f>
        <v>21429.296871300412</v>
      </c>
      <c r="E5" s="5">
        <f>'Forecasts by year'!E40</f>
        <v>21429.296871300412</v>
      </c>
      <c r="F5" s="5">
        <f>'Forecasts by year'!F40</f>
        <v>21631.234246790202</v>
      </c>
      <c r="G5" s="5">
        <f>'Forecasts by year'!G40</f>
        <v>22060.561404871831</v>
      </c>
      <c r="H5" s="5">
        <f>'Forecasts by year'!H40</f>
        <v>22701.875806357915</v>
      </c>
      <c r="I5" s="245">
        <f>SUM(D5:H5)</f>
        <v>109252.26520062076</v>
      </c>
    </row>
    <row r="6" spans="2:9" x14ac:dyDescent="0.25">
      <c r="B6" s="18" t="s">
        <v>1</v>
      </c>
      <c r="C6" s="18"/>
      <c r="D6" s="143">
        <f t="shared" ref="D6:I6" si="0">SUM(D4:D5)</f>
        <v>4300317.992192029</v>
      </c>
      <c r="E6" s="143">
        <f t="shared" si="0"/>
        <v>4300317.992192029</v>
      </c>
      <c r="F6" s="143">
        <f t="shared" si="0"/>
        <v>4340755.6496636001</v>
      </c>
      <c r="G6" s="143">
        <f t="shared" si="0"/>
        <v>4426727.7710682666</v>
      </c>
      <c r="H6" s="143">
        <f t="shared" si="0"/>
        <v>4861696.8394197319</v>
      </c>
      <c r="I6" s="143">
        <f t="shared" si="0"/>
        <v>22229816.244535655</v>
      </c>
    </row>
    <row r="7" spans="2:9" x14ac:dyDescent="0.25">
      <c r="B7" s="1"/>
      <c r="C7" s="1"/>
      <c r="D7" s="1"/>
      <c r="E7" s="1"/>
      <c r="F7" s="1"/>
      <c r="G7" s="1"/>
      <c r="H7" s="1"/>
      <c r="I7" s="1"/>
    </row>
    <row r="8" spans="2:9" x14ac:dyDescent="0.25">
      <c r="B8" s="24" t="s">
        <v>27</v>
      </c>
      <c r="C8" s="25"/>
      <c r="D8" s="25"/>
      <c r="E8" s="25"/>
      <c r="F8" s="25"/>
      <c r="G8" s="25"/>
      <c r="H8" s="25"/>
      <c r="I8" s="25"/>
    </row>
    <row r="9" spans="2:9" x14ac:dyDescent="0.25">
      <c r="B9" s="140" t="s">
        <v>94</v>
      </c>
      <c r="C9" s="140" t="s">
        <v>3</v>
      </c>
      <c r="D9" s="141" t="s">
        <v>63</v>
      </c>
      <c r="E9" s="141" t="s">
        <v>64</v>
      </c>
      <c r="F9" s="141" t="s">
        <v>65</v>
      </c>
      <c r="G9" s="141" t="s">
        <v>95</v>
      </c>
      <c r="H9" s="141" t="s">
        <v>66</v>
      </c>
      <c r="I9" s="142" t="s">
        <v>1</v>
      </c>
    </row>
    <row r="10" spans="2:9" x14ac:dyDescent="0.25">
      <c r="B10" s="3" t="s">
        <v>105</v>
      </c>
      <c r="C10" s="4" t="str">
        <f>C4</f>
        <v>Access Permit</v>
      </c>
      <c r="D10" s="75">
        <v>1200</v>
      </c>
      <c r="E10" s="75">
        <v>1200</v>
      </c>
      <c r="F10" s="75">
        <v>1200</v>
      </c>
      <c r="G10" s="75">
        <v>1200</v>
      </c>
      <c r="H10" s="75">
        <v>1300</v>
      </c>
      <c r="I10" s="246">
        <f>SUM(D10:H10)</f>
        <v>6100</v>
      </c>
    </row>
    <row r="11" spans="2:9" x14ac:dyDescent="0.25">
      <c r="B11" s="4"/>
      <c r="C11" s="131" t="s">
        <v>171</v>
      </c>
      <c r="D11" s="11">
        <v>30</v>
      </c>
      <c r="E11" s="11">
        <v>30</v>
      </c>
      <c r="F11" s="11">
        <v>30</v>
      </c>
      <c r="G11" s="11">
        <v>30</v>
      </c>
      <c r="H11" s="11">
        <v>30</v>
      </c>
      <c r="I11" s="246">
        <f>SUM(D11:H11)</f>
        <v>150</v>
      </c>
    </row>
    <row r="12" spans="2:9" x14ac:dyDescent="0.25">
      <c r="B12" s="18" t="s">
        <v>17</v>
      </c>
      <c r="C12" s="18"/>
      <c r="D12" s="139">
        <f t="shared" ref="D12:I12" si="1">SUM(D10:D11)</f>
        <v>1230</v>
      </c>
      <c r="E12" s="139">
        <f t="shared" si="1"/>
        <v>1230</v>
      </c>
      <c r="F12" s="139">
        <f t="shared" si="1"/>
        <v>1230</v>
      </c>
      <c r="G12" s="139">
        <f t="shared" si="1"/>
        <v>1230</v>
      </c>
      <c r="H12" s="139">
        <f t="shared" si="1"/>
        <v>1330</v>
      </c>
      <c r="I12" s="139">
        <f t="shared" si="1"/>
        <v>6250</v>
      </c>
    </row>
    <row r="13" spans="2:9" x14ac:dyDescent="0.25">
      <c r="B13" s="1"/>
      <c r="C13" s="1"/>
      <c r="D13" s="12"/>
      <c r="E13" s="12"/>
      <c r="F13" s="12"/>
      <c r="G13" s="12"/>
      <c r="H13" s="12"/>
      <c r="I13" s="12"/>
    </row>
    <row r="14" spans="2:9" x14ac:dyDescent="0.25">
      <c r="B14" s="13" t="s">
        <v>6</v>
      </c>
      <c r="C14" s="1"/>
      <c r="D14" s="12"/>
      <c r="E14" s="12"/>
      <c r="F14" s="12"/>
      <c r="G14" s="12"/>
      <c r="H14" s="12"/>
      <c r="I14" s="12"/>
    </row>
    <row r="15" spans="2:9" x14ac:dyDescent="0.25">
      <c r="B15" s="304"/>
      <c r="C15" s="304"/>
      <c r="D15" s="304"/>
      <c r="E15" s="304"/>
      <c r="F15" s="304"/>
      <c r="G15" s="304"/>
      <c r="H15" s="304"/>
      <c r="I15" s="304"/>
    </row>
    <row r="16" spans="2:9" x14ac:dyDescent="0.25">
      <c r="B16" s="305"/>
      <c r="C16" s="305"/>
      <c r="D16" s="305"/>
      <c r="E16" s="305"/>
      <c r="F16" s="305"/>
      <c r="G16" s="305"/>
      <c r="H16" s="305"/>
      <c r="I16" s="305"/>
    </row>
    <row r="17" spans="2:9" x14ac:dyDescent="0.25">
      <c r="B17" s="1"/>
      <c r="C17" s="1"/>
      <c r="D17" s="12"/>
      <c r="E17" s="12"/>
      <c r="F17" s="12"/>
      <c r="G17" s="12"/>
      <c r="H17" s="12"/>
      <c r="I17" s="12"/>
    </row>
    <row r="18" spans="2:9" x14ac:dyDescent="0.25">
      <c r="B18" s="24" t="s">
        <v>28</v>
      </c>
      <c r="C18" s="25"/>
      <c r="D18" s="25"/>
      <c r="E18" s="25"/>
      <c r="F18" s="25"/>
      <c r="G18" s="25"/>
      <c r="H18" s="25"/>
      <c r="I18" s="25"/>
    </row>
    <row r="19" spans="2:9" x14ac:dyDescent="0.25">
      <c r="B19" s="14" t="s">
        <v>26</v>
      </c>
      <c r="C19" s="15"/>
      <c r="D19" s="15"/>
      <c r="E19" s="15"/>
      <c r="F19" s="15"/>
      <c r="G19" s="15"/>
      <c r="H19" s="15"/>
      <c r="I19" s="15"/>
    </row>
    <row r="20" spans="2:9" x14ac:dyDescent="0.25">
      <c r="B20" s="298" t="s">
        <v>110</v>
      </c>
      <c r="C20" s="298"/>
      <c r="D20" s="298"/>
      <c r="E20" s="298"/>
      <c r="F20" s="298"/>
      <c r="G20" s="298"/>
      <c r="H20" s="298"/>
      <c r="I20" s="298"/>
    </row>
    <row r="21" spans="2:9" x14ac:dyDescent="0.25">
      <c r="B21" s="299"/>
      <c r="C21" s="299"/>
      <c r="D21" s="299"/>
      <c r="E21" s="299"/>
      <c r="F21" s="299"/>
      <c r="G21" s="299"/>
      <c r="H21" s="299"/>
      <c r="I21" s="299"/>
    </row>
    <row r="22" spans="2:9" x14ac:dyDescent="0.25">
      <c r="B22" s="16"/>
      <c r="C22" s="17"/>
      <c r="D22" s="17"/>
      <c r="E22" s="17"/>
      <c r="F22" s="17"/>
      <c r="G22" s="17"/>
      <c r="H22" s="17"/>
      <c r="I22" s="17"/>
    </row>
    <row r="23" spans="2:9" x14ac:dyDescent="0.25">
      <c r="B23" s="1"/>
      <c r="C23" s="1"/>
      <c r="D23" s="1"/>
      <c r="E23" s="1"/>
      <c r="F23" s="1"/>
      <c r="G23" s="1"/>
      <c r="H23" s="1"/>
      <c r="I23" s="1"/>
    </row>
    <row r="24" spans="2:9" x14ac:dyDescent="0.25">
      <c r="B24" s="30" t="s">
        <v>49</v>
      </c>
      <c r="C24" s="31"/>
      <c r="D24" s="306" t="s">
        <v>172</v>
      </c>
      <c r="E24" s="306"/>
      <c r="F24" s="306"/>
      <c r="G24" s="306"/>
      <c r="H24" s="306"/>
      <c r="I24" s="31"/>
    </row>
    <row r="25" spans="2:9" ht="15.75" customHeight="1" x14ac:dyDescent="0.25">
      <c r="B25" s="2" t="s">
        <v>20</v>
      </c>
      <c r="C25" s="18" t="s">
        <v>3</v>
      </c>
      <c r="D25" s="72" t="s">
        <v>63</v>
      </c>
      <c r="E25" s="72" t="s">
        <v>64</v>
      </c>
      <c r="F25" s="72" t="s">
        <v>65</v>
      </c>
      <c r="G25" s="72" t="s">
        <v>95</v>
      </c>
      <c r="H25" s="83" t="s">
        <v>66</v>
      </c>
      <c r="I25" s="19" t="s">
        <v>1</v>
      </c>
    </row>
    <row r="26" spans="2:9" s="232" customFormat="1" x14ac:dyDescent="0.25">
      <c r="B26" s="247" t="s">
        <v>173</v>
      </c>
      <c r="C26" s="248"/>
      <c r="D26" s="249">
        <f>'Forecasts by year'!D8+'Forecasts by year'!K8</f>
        <v>2125625.2358019804</v>
      </c>
      <c r="E26" s="249">
        <f>'Forecasts by year'!E8+'Forecasts by year'!L8</f>
        <v>2125625.2358019804</v>
      </c>
      <c r="F26" s="249">
        <f>'Forecasts by year'!F8+'Forecasts by year'!M8</f>
        <v>2149007.1133958017</v>
      </c>
      <c r="G26" s="249">
        <f>'Forecasts by year'!G8+'Forecasts by year'!N8</f>
        <v>2198717.9459428736</v>
      </c>
      <c r="H26" s="249">
        <f>'Forecasts by year'!H8+'Forecasts by year'!O8</f>
        <v>2424573.757944182</v>
      </c>
      <c r="I26" s="250">
        <f t="shared" ref="I26:I28" si="2">SUM(D26:H26)</f>
        <v>11023549.288886817</v>
      </c>
    </row>
    <row r="27" spans="2:9" s="232" customFormat="1" x14ac:dyDescent="0.25">
      <c r="B27" s="247" t="s">
        <v>174</v>
      </c>
      <c r="C27" s="235"/>
      <c r="D27" s="249">
        <f>'Forecasts by year'!D9+'Forecasts by year'!K9</f>
        <v>360906.25971385412</v>
      </c>
      <c r="E27" s="249">
        <f>'Forecasts by year'!E9+'Forecasts by year'!L9</f>
        <v>360906.25971385412</v>
      </c>
      <c r="F27" s="249">
        <f>'Forecasts by year'!F9+'Forecasts by year'!M9</f>
        <v>360906.25971385412</v>
      </c>
      <c r="G27" s="249">
        <f>'Forecasts by year'!G9+'Forecasts by year'!N9</f>
        <v>360906.25971385412</v>
      </c>
      <c r="H27" s="249">
        <f>'Forecasts by year'!H9+'Forecasts by year'!O9</f>
        <v>386558.4268887043</v>
      </c>
      <c r="I27" s="250">
        <f t="shared" si="2"/>
        <v>1830183.4657441208</v>
      </c>
    </row>
    <row r="28" spans="2:9" s="232" customFormat="1" x14ac:dyDescent="0.25">
      <c r="B28" s="247" t="s">
        <v>139</v>
      </c>
      <c r="C28" s="235"/>
      <c r="D28" s="249">
        <f>'Forecasts by year'!D10+'Forecasts by year'!K10</f>
        <v>0</v>
      </c>
      <c r="E28" s="249">
        <f>'Forecasts by year'!E10+'Forecasts by year'!L10</f>
        <v>0</v>
      </c>
      <c r="F28" s="249">
        <f>'Forecasts by year'!F10+'Forecasts by year'!M10</f>
        <v>0</v>
      </c>
      <c r="G28" s="249">
        <f>'Forecasts by year'!G10+'Forecasts by year'!N10</f>
        <v>0</v>
      </c>
      <c r="H28" s="249">
        <f>'Forecasts by year'!H10+'Forecasts by year'!O10</f>
        <v>0</v>
      </c>
      <c r="I28" s="250">
        <f t="shared" si="2"/>
        <v>0</v>
      </c>
    </row>
    <row r="29" spans="2:9" s="232" customFormat="1" x14ac:dyDescent="0.25">
      <c r="B29" s="251" t="s">
        <v>175</v>
      </c>
      <c r="C29" s="235"/>
      <c r="D29" s="252">
        <f>'Forecasts by year'!D11+'Forecasts by year'!K11</f>
        <v>2486531.4955158341</v>
      </c>
      <c r="E29" s="252">
        <f>'Forecasts by year'!E11+'Forecasts by year'!L11</f>
        <v>2486531.4955158341</v>
      </c>
      <c r="F29" s="252">
        <f>'Forecasts by year'!F11+'Forecasts by year'!M11</f>
        <v>2509913.3731096559</v>
      </c>
      <c r="G29" s="252">
        <f>'Forecasts by year'!G11+'Forecasts by year'!N11</f>
        <v>2559624.2056567273</v>
      </c>
      <c r="H29" s="252">
        <f>'Forecasts by year'!H11+'Forecasts by year'!O11</f>
        <v>2811132.1848328863</v>
      </c>
      <c r="I29" s="250">
        <f>SUM(D29:H29)</f>
        <v>12853732.754630938</v>
      </c>
    </row>
    <row r="30" spans="2:9" x14ac:dyDescent="0.25">
      <c r="B30" s="6" t="s">
        <v>143</v>
      </c>
      <c r="C30" s="10"/>
      <c r="D30" s="249">
        <f>'Forecasts by year'!D12+'Forecasts by year'!K12</f>
        <v>1158541.1941353946</v>
      </c>
      <c r="E30" s="249">
        <f>'Forecasts by year'!E12+'Forecasts by year'!L12</f>
        <v>1158541.1941353946</v>
      </c>
      <c r="F30" s="249">
        <f>'Forecasts by year'!F12+'Forecasts by year'!M12</f>
        <v>1169435.4331335837</v>
      </c>
      <c r="G30" s="249">
        <f>'Forecasts by year'!G12+'Forecasts by year'!N12</f>
        <v>1192597.032897918</v>
      </c>
      <c r="H30" s="249">
        <f>'Forecasts by year'!H12+'Forecasts by year'!O12</f>
        <v>1309781.2934048935</v>
      </c>
      <c r="I30" s="250">
        <f>SUM(D30:H30)</f>
        <v>5988896.1477071848</v>
      </c>
    </row>
    <row r="31" spans="2:9" x14ac:dyDescent="0.25">
      <c r="B31" s="6" t="s">
        <v>144</v>
      </c>
      <c r="C31" s="4"/>
      <c r="D31" s="249">
        <f>'Forecasts by year'!D13+'Forecasts by year'!K13</f>
        <v>398783.91657399596</v>
      </c>
      <c r="E31" s="249">
        <f>'Forecasts by year'!E13+'Forecasts by year'!L13</f>
        <v>398783.91657399596</v>
      </c>
      <c r="F31" s="249">
        <f>'Forecasts by year'!F13+'Forecasts by year'!M13</f>
        <v>402533.84563804884</v>
      </c>
      <c r="G31" s="249">
        <f>'Forecasts by year'!G13+'Forecasts by year'!N13</f>
        <v>410506.3489162199</v>
      </c>
      <c r="H31" s="249">
        <f>'Forecasts by year'!H13+'Forecasts by year'!O13</f>
        <v>450842.59125473601</v>
      </c>
      <c r="I31" s="250">
        <f>SUM(D31:H31)</f>
        <v>2061450.6189569968</v>
      </c>
    </row>
    <row r="32" spans="2:9" x14ac:dyDescent="0.25">
      <c r="B32" s="6" t="s">
        <v>161</v>
      </c>
      <c r="C32" s="4"/>
      <c r="D32" s="249">
        <f>'Forecasts by year'!D14+'Forecasts by year'!K14</f>
        <v>256461.38596680376</v>
      </c>
      <c r="E32" s="249">
        <f>'Forecasts by year'!E14+'Forecasts by year'!L14</f>
        <v>256461.38596680376</v>
      </c>
      <c r="F32" s="249">
        <f>'Forecasts by year'!F14+'Forecasts by year'!M14</f>
        <v>258872.99778231137</v>
      </c>
      <c r="G32" s="249">
        <f>'Forecasts by year'!G14+'Forecasts by year'!N14</f>
        <v>264000.18359740224</v>
      </c>
      <c r="H32" s="249">
        <f>'Forecasts by year'!H14+'Forecasts by year'!O14</f>
        <v>289940.76992721541</v>
      </c>
      <c r="I32" s="250">
        <f>SUM(D32:H32)</f>
        <v>1325736.7232405366</v>
      </c>
    </row>
    <row r="33" spans="2:9" x14ac:dyDescent="0.25">
      <c r="B33" s="20" t="s">
        <v>1</v>
      </c>
      <c r="C33" s="21"/>
      <c r="D33" s="22">
        <f>SUM(D29:D32)</f>
        <v>4300317.9921920281</v>
      </c>
      <c r="E33" s="22">
        <f t="shared" ref="E33:H33" si="3">SUM(E29:E32)</f>
        <v>4300317.9921920281</v>
      </c>
      <c r="F33" s="22">
        <f t="shared" si="3"/>
        <v>4340755.6496636001</v>
      </c>
      <c r="G33" s="22">
        <f t="shared" si="3"/>
        <v>4426727.7710682675</v>
      </c>
      <c r="H33" s="22">
        <f t="shared" si="3"/>
        <v>4861696.8394197319</v>
      </c>
      <c r="I33" s="23">
        <f>SUM(I29:I32)</f>
        <v>22229816.244535659</v>
      </c>
    </row>
  </sheetData>
  <mergeCells count="3">
    <mergeCell ref="B15:I16"/>
    <mergeCell ref="B20:I21"/>
    <mergeCell ref="D24:H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2018-04-17T04:50:14Z</dcterms:modified>
</cp:coreProperties>
</file>