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22\"/>
    </mc:Choice>
  </mc:AlternateContent>
  <xr:revisionPtr revIDLastSave="0" documentId="13_ncr:1_{A4A4F224-6482-4A0A-9608-49579E7F34DA}" xr6:coauthVersionLast="47" xr6:coauthVersionMax="47" xr10:uidLastSave="{00000000-0000-0000-0000-000000000000}"/>
  <bookViews>
    <workbookView xWindow="-120" yWindow="-120" windowWidth="29040" windowHeight="15840"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Explanatory Notes" sheetId="13" r:id="rId7"/>
  </sheets>
  <externalReferences>
    <externalReference r:id="rId8"/>
    <externalReference r:id="rId9"/>
  </externalReferences>
  <definedNames>
    <definedName name="_xlnm.Print_Area" localSheetId="6">'Explanatory Notes'!$A$1:$B$41</definedName>
    <definedName name="_xlnm.Print_Area" localSheetId="4">'Price List_CCF_Excl GST'!$B$2:$N$44</definedName>
    <definedName name="_xlnm.Print_Area" localSheetId="2">'Price List_DUOS_Excl GST'!$B$2:$N$44</definedName>
    <definedName name="_xlnm.Print_Area" localSheetId="0">'Price List_Excl GST'!$B$2:$P$74</definedName>
    <definedName name="_xlnm.Print_Area" localSheetId="1">'Price List_Incl GST'!$A$1:$P$59</definedName>
    <definedName name="_xlnm.Print_Area" localSheetId="5">'Price List_QSS_Excl GST'!$B$2:$N$44</definedName>
    <definedName name="_xlnm.Print_Area" localSheetId="3">'Price List_TUOS_Excl GST'!$B$2:$N$44</definedName>
    <definedName name="YEAR">[1]Outcomes!$B$4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12" l="1"/>
  <c r="I44" i="12"/>
  <c r="H44" i="12"/>
  <c r="G44" i="12"/>
  <c r="F44" i="12"/>
  <c r="E44" i="12"/>
  <c r="I43" i="12"/>
  <c r="H43" i="12"/>
  <c r="G43" i="12"/>
  <c r="F43" i="12"/>
  <c r="E43" i="12"/>
  <c r="M42" i="12"/>
  <c r="I42" i="12"/>
  <c r="H42" i="12"/>
  <c r="G42" i="12"/>
  <c r="F42" i="12"/>
  <c r="E42" i="12"/>
  <c r="M41" i="12"/>
  <c r="I41" i="12"/>
  <c r="H41" i="12"/>
  <c r="G41" i="12"/>
  <c r="F41" i="12"/>
  <c r="E41" i="12"/>
  <c r="I40" i="12"/>
  <c r="H40" i="12"/>
  <c r="G40" i="12"/>
  <c r="F40" i="12"/>
  <c r="E40" i="12"/>
  <c r="H39" i="12"/>
  <c r="G39" i="12"/>
  <c r="F39" i="12"/>
  <c r="L38" i="12"/>
  <c r="K38" i="12"/>
  <c r="J38" i="12"/>
  <c r="H38" i="12"/>
  <c r="G38" i="12"/>
  <c r="F38" i="12"/>
  <c r="E38" i="12"/>
  <c r="L37" i="12"/>
  <c r="K37" i="12"/>
  <c r="J37" i="12"/>
  <c r="H37" i="12"/>
  <c r="G37" i="12"/>
  <c r="F37" i="12"/>
  <c r="E37" i="12"/>
  <c r="J29" i="12"/>
  <c r="I29" i="12"/>
  <c r="H29" i="12"/>
  <c r="F29" i="12"/>
  <c r="G28" i="12"/>
  <c r="F28" i="12"/>
  <c r="M26" i="12"/>
  <c r="L26" i="12"/>
  <c r="K26" i="12"/>
  <c r="J26" i="12"/>
  <c r="I26" i="12"/>
  <c r="H26" i="12"/>
  <c r="F26" i="12"/>
  <c r="M25" i="12"/>
  <c r="L25" i="12"/>
  <c r="K25" i="12"/>
  <c r="J25" i="12"/>
  <c r="I25" i="12"/>
  <c r="H25" i="12"/>
  <c r="F25" i="12"/>
  <c r="K24" i="12"/>
  <c r="J24" i="12"/>
  <c r="I24" i="12"/>
  <c r="H24" i="12"/>
  <c r="F24" i="12"/>
  <c r="M23" i="12"/>
  <c r="L23" i="12"/>
  <c r="K23" i="12"/>
  <c r="J23" i="12"/>
  <c r="I23" i="12"/>
  <c r="H23" i="12"/>
  <c r="F23" i="12"/>
  <c r="M22" i="12"/>
  <c r="L22" i="12"/>
  <c r="K22" i="12"/>
  <c r="J22" i="12"/>
  <c r="I22" i="12"/>
  <c r="H22" i="12"/>
  <c r="F22" i="12"/>
  <c r="J21" i="12"/>
  <c r="I21" i="12"/>
  <c r="H21" i="12"/>
  <c r="F21" i="12"/>
  <c r="K20" i="12"/>
  <c r="J20" i="12"/>
  <c r="I20" i="12"/>
  <c r="H20" i="12"/>
  <c r="F20" i="12"/>
  <c r="J19" i="12"/>
  <c r="I19" i="12"/>
  <c r="H19" i="12"/>
  <c r="F19" i="12"/>
  <c r="J18" i="12"/>
  <c r="I18" i="12"/>
  <c r="H18" i="12"/>
  <c r="F18" i="12"/>
  <c r="G17" i="12"/>
  <c r="F17" i="12"/>
  <c r="G15" i="12"/>
  <c r="F15" i="12"/>
  <c r="G14" i="12"/>
  <c r="F14" i="12"/>
  <c r="K12" i="12"/>
  <c r="J12" i="12"/>
  <c r="I12" i="12"/>
  <c r="H12" i="12"/>
  <c r="F12" i="12"/>
  <c r="J11" i="12"/>
  <c r="I11" i="12"/>
  <c r="H11" i="12"/>
  <c r="F11" i="12"/>
  <c r="J10" i="12"/>
  <c r="I10" i="12"/>
  <c r="H10" i="12"/>
  <c r="F10" i="12"/>
  <c r="G9" i="12"/>
  <c r="F9" i="12"/>
  <c r="M44" i="8"/>
  <c r="I44" i="8"/>
  <c r="H44" i="8"/>
  <c r="G44" i="8"/>
  <c r="F44" i="8"/>
  <c r="E44" i="8"/>
  <c r="I43" i="8"/>
  <c r="H43" i="8"/>
  <c r="G43" i="8"/>
  <c r="F43" i="8"/>
  <c r="E43" i="8"/>
  <c r="M42" i="8"/>
  <c r="I42" i="8"/>
  <c r="H42" i="8"/>
  <c r="G42" i="8"/>
  <c r="F42" i="8"/>
  <c r="E42" i="8"/>
  <c r="M41" i="8"/>
  <c r="I41" i="8"/>
  <c r="H41" i="8"/>
  <c r="G41" i="8"/>
  <c r="F41" i="8"/>
  <c r="E41" i="8"/>
  <c r="I40" i="8"/>
  <c r="H40" i="8"/>
  <c r="G40" i="8"/>
  <c r="F40" i="8"/>
  <c r="E40" i="8"/>
  <c r="H39" i="8"/>
  <c r="G39" i="8"/>
  <c r="F39" i="8"/>
  <c r="L38" i="8"/>
  <c r="K38" i="8"/>
  <c r="J38" i="8"/>
  <c r="H38" i="8"/>
  <c r="G38" i="8"/>
  <c r="F38" i="8"/>
  <c r="E38" i="8"/>
  <c r="L37" i="8"/>
  <c r="K37" i="8"/>
  <c r="J37" i="8"/>
  <c r="H37" i="8"/>
  <c r="G37" i="8"/>
  <c r="F37" i="8"/>
  <c r="E37" i="8"/>
  <c r="J29" i="8"/>
  <c r="I29" i="8"/>
  <c r="H29" i="8"/>
  <c r="F29" i="8"/>
  <c r="G28" i="8"/>
  <c r="F28" i="8"/>
  <c r="M26" i="8"/>
  <c r="L26" i="8"/>
  <c r="K26" i="8"/>
  <c r="J26" i="8"/>
  <c r="I26" i="8"/>
  <c r="H26" i="8"/>
  <c r="F26" i="8"/>
  <c r="M25" i="8"/>
  <c r="L25" i="8"/>
  <c r="K25" i="8"/>
  <c r="J25" i="8"/>
  <c r="I25" i="8"/>
  <c r="H25" i="8"/>
  <c r="F25" i="8"/>
  <c r="K24" i="8"/>
  <c r="J24" i="8"/>
  <c r="I24" i="8"/>
  <c r="H24" i="8"/>
  <c r="F24" i="8"/>
  <c r="M23" i="8"/>
  <c r="L23" i="8"/>
  <c r="K23" i="8"/>
  <c r="J23" i="8"/>
  <c r="I23" i="8"/>
  <c r="H23" i="8"/>
  <c r="F23" i="8"/>
  <c r="M22" i="8"/>
  <c r="L22" i="8"/>
  <c r="K22" i="8"/>
  <c r="J22" i="8"/>
  <c r="I22" i="8"/>
  <c r="H22" i="8"/>
  <c r="F22" i="8"/>
  <c r="J21" i="8"/>
  <c r="I21" i="8"/>
  <c r="H21" i="8"/>
  <c r="F21" i="8"/>
  <c r="K20" i="8"/>
  <c r="J20" i="8"/>
  <c r="I20" i="8"/>
  <c r="H20" i="8"/>
  <c r="F20" i="8"/>
  <c r="J19" i="8"/>
  <c r="I19" i="8"/>
  <c r="H19" i="8"/>
  <c r="F19" i="8"/>
  <c r="J18" i="8"/>
  <c r="I18" i="8"/>
  <c r="H18" i="8"/>
  <c r="F18" i="8"/>
  <c r="G17" i="8"/>
  <c r="F17" i="8"/>
  <c r="G15" i="8"/>
  <c r="F15" i="8"/>
  <c r="G14" i="8"/>
  <c r="F14" i="8"/>
  <c r="K12" i="8"/>
  <c r="J12" i="8"/>
  <c r="I12" i="8"/>
  <c r="H12" i="8"/>
  <c r="F12" i="8"/>
  <c r="J11" i="8"/>
  <c r="I11" i="8"/>
  <c r="H11" i="8"/>
  <c r="F11" i="8"/>
  <c r="J10" i="8"/>
  <c r="I10" i="8"/>
  <c r="H10" i="8"/>
  <c r="F10" i="8"/>
  <c r="G9" i="8"/>
  <c r="F9" i="8"/>
  <c r="I39" i="12"/>
  <c r="E39" i="12"/>
  <c r="I39" i="8"/>
  <c r="E39" i="8"/>
  <c r="M44" i="9"/>
  <c r="I44" i="9"/>
  <c r="H44" i="9"/>
  <c r="G44" i="9"/>
  <c r="F44" i="9"/>
  <c r="E44" i="9"/>
  <c r="I43" i="9"/>
  <c r="H43" i="9"/>
  <c r="G43" i="9"/>
  <c r="F43" i="9"/>
  <c r="E43" i="9"/>
  <c r="M42" i="9"/>
  <c r="I42" i="9"/>
  <c r="H42" i="9"/>
  <c r="G42" i="9"/>
  <c r="F42" i="9"/>
  <c r="E42" i="9"/>
  <c r="M41" i="9"/>
  <c r="I41" i="9"/>
  <c r="H41" i="9"/>
  <c r="G41" i="9"/>
  <c r="F41" i="9"/>
  <c r="E41" i="9"/>
  <c r="I40" i="9"/>
  <c r="H40" i="9"/>
  <c r="G40" i="9"/>
  <c r="F40" i="9"/>
  <c r="E40" i="9"/>
  <c r="I39" i="9"/>
  <c r="H39" i="9"/>
  <c r="G39" i="9"/>
  <c r="F39" i="9"/>
  <c r="E39" i="9"/>
  <c r="L38" i="9"/>
  <c r="K38" i="9"/>
  <c r="J38" i="9"/>
  <c r="H38" i="9"/>
  <c r="G38" i="9"/>
  <c r="F38" i="9"/>
  <c r="E38" i="9"/>
  <c r="L37" i="9"/>
  <c r="K37" i="9"/>
  <c r="J37" i="9"/>
  <c r="H37" i="9"/>
  <c r="G37" i="9"/>
  <c r="F37" i="9"/>
  <c r="E37" i="9"/>
  <c r="J29" i="9"/>
  <c r="I29" i="9"/>
  <c r="H29" i="9"/>
  <c r="F29" i="9"/>
  <c r="G28" i="9"/>
  <c r="F28" i="9"/>
  <c r="M26" i="9"/>
  <c r="L26" i="9"/>
  <c r="K26" i="9"/>
  <c r="J26" i="9"/>
  <c r="I26" i="9"/>
  <c r="H26" i="9"/>
  <c r="F26" i="9"/>
  <c r="M25" i="9"/>
  <c r="L25" i="9"/>
  <c r="K25" i="9"/>
  <c r="J25" i="9"/>
  <c r="I25" i="9"/>
  <c r="H25" i="9"/>
  <c r="F25" i="9"/>
  <c r="K24" i="9"/>
  <c r="J24" i="9"/>
  <c r="I24" i="9"/>
  <c r="H24" i="9"/>
  <c r="F24" i="9"/>
  <c r="M23" i="9"/>
  <c r="L23" i="9"/>
  <c r="K23" i="9"/>
  <c r="J23" i="9"/>
  <c r="I23" i="9"/>
  <c r="H23" i="9"/>
  <c r="F23" i="9"/>
  <c r="M22" i="9"/>
  <c r="L22" i="9"/>
  <c r="K22" i="9"/>
  <c r="J22" i="9"/>
  <c r="I22" i="9"/>
  <c r="H22" i="9"/>
  <c r="F22" i="9"/>
  <c r="J21" i="9"/>
  <c r="I21" i="9"/>
  <c r="H21" i="9"/>
  <c r="F21" i="9"/>
  <c r="K20" i="9"/>
  <c r="J20" i="9"/>
  <c r="I20" i="9"/>
  <c r="H20" i="9"/>
  <c r="F20" i="9"/>
  <c r="J19" i="9"/>
  <c r="I19" i="9"/>
  <c r="H19" i="9"/>
  <c r="F19" i="9"/>
  <c r="J18" i="9"/>
  <c r="I18" i="9"/>
  <c r="H18" i="9"/>
  <c r="F18" i="9"/>
  <c r="G17" i="9"/>
  <c r="F17" i="9"/>
  <c r="G15" i="9"/>
  <c r="F15" i="9"/>
  <c r="G14" i="9"/>
  <c r="F14" i="9"/>
  <c r="K12" i="9"/>
  <c r="J12" i="9"/>
  <c r="I12" i="9"/>
  <c r="H12" i="9"/>
  <c r="F12" i="9"/>
  <c r="J11" i="9"/>
  <c r="I11" i="9"/>
  <c r="H11" i="9"/>
  <c r="F11" i="9"/>
  <c r="J10" i="9"/>
  <c r="I10" i="9"/>
  <c r="H10" i="9"/>
  <c r="F10" i="9"/>
  <c r="G9" i="9"/>
  <c r="F9" i="9"/>
  <c r="M44" i="10"/>
  <c r="I44" i="10"/>
  <c r="H44" i="10"/>
  <c r="G44" i="10"/>
  <c r="F44" i="10"/>
  <c r="E44" i="10"/>
  <c r="I43" i="10"/>
  <c r="H43" i="10"/>
  <c r="G43" i="10"/>
  <c r="F43" i="10"/>
  <c r="E43" i="10"/>
  <c r="M42" i="10"/>
  <c r="I42" i="10"/>
  <c r="H42" i="10"/>
  <c r="G42" i="10"/>
  <c r="F42" i="10"/>
  <c r="E42" i="10"/>
  <c r="M41" i="10"/>
  <c r="I41" i="10"/>
  <c r="H41" i="10"/>
  <c r="G41" i="10"/>
  <c r="F41" i="10"/>
  <c r="E41" i="10"/>
  <c r="I40" i="10"/>
  <c r="H40" i="10"/>
  <c r="G40" i="10"/>
  <c r="F40" i="10"/>
  <c r="E40" i="10"/>
  <c r="M39" i="10"/>
  <c r="I39" i="10"/>
  <c r="H39" i="10"/>
  <c r="G39" i="10"/>
  <c r="F39" i="10"/>
  <c r="E39" i="10"/>
  <c r="L38" i="10"/>
  <c r="K38" i="10"/>
  <c r="J38" i="10"/>
  <c r="H38" i="10"/>
  <c r="G38" i="10"/>
  <c r="F38" i="10"/>
  <c r="E38" i="10"/>
  <c r="L37" i="10"/>
  <c r="K37" i="10"/>
  <c r="J37" i="10"/>
  <c r="H37" i="10"/>
  <c r="G37" i="10"/>
  <c r="F37" i="10"/>
  <c r="E37" i="10"/>
  <c r="J29" i="10"/>
  <c r="I29" i="10"/>
  <c r="H29" i="10"/>
  <c r="F29" i="10"/>
  <c r="G28" i="10"/>
  <c r="F28" i="10"/>
  <c r="M26" i="10"/>
  <c r="L26" i="10"/>
  <c r="K26" i="10"/>
  <c r="J26" i="10"/>
  <c r="I26" i="10"/>
  <c r="H26" i="10"/>
  <c r="F26" i="10"/>
  <c r="M25" i="10"/>
  <c r="L25" i="10"/>
  <c r="K25" i="10"/>
  <c r="J25" i="10"/>
  <c r="I25" i="10"/>
  <c r="H25" i="10"/>
  <c r="F25" i="10"/>
  <c r="K24" i="10"/>
  <c r="J24" i="10"/>
  <c r="I24" i="10"/>
  <c r="H24" i="10"/>
  <c r="F24" i="10"/>
  <c r="M23" i="10"/>
  <c r="L23" i="10"/>
  <c r="K23" i="10"/>
  <c r="J23" i="10"/>
  <c r="I23" i="10"/>
  <c r="H23" i="10"/>
  <c r="F23" i="10"/>
  <c r="M22" i="10"/>
  <c r="L22" i="10"/>
  <c r="K22" i="10"/>
  <c r="J22" i="10"/>
  <c r="I22" i="10"/>
  <c r="H22" i="10"/>
  <c r="F22" i="10"/>
  <c r="J21" i="10"/>
  <c r="I21" i="10"/>
  <c r="H21" i="10"/>
  <c r="F21" i="10"/>
  <c r="K20" i="10"/>
  <c r="J20" i="10"/>
  <c r="I20" i="10"/>
  <c r="H20" i="10"/>
  <c r="F20" i="10"/>
  <c r="J19" i="10"/>
  <c r="I19" i="10"/>
  <c r="H19" i="10"/>
  <c r="F19" i="10"/>
  <c r="J18" i="10"/>
  <c r="I18" i="10"/>
  <c r="H18" i="10"/>
  <c r="F18" i="10"/>
  <c r="G17" i="10"/>
  <c r="F17" i="10"/>
  <c r="G15" i="10"/>
  <c r="F15" i="10"/>
  <c r="G14" i="10"/>
  <c r="F14" i="10"/>
  <c r="K12" i="10"/>
  <c r="J12" i="10"/>
  <c r="I12" i="10"/>
  <c r="H12" i="10"/>
  <c r="F12" i="10"/>
  <c r="J11" i="10"/>
  <c r="I11" i="10"/>
  <c r="H11" i="10"/>
  <c r="F11" i="10"/>
  <c r="J10" i="10"/>
  <c r="I10" i="10"/>
  <c r="H10" i="10"/>
  <c r="F10" i="10"/>
  <c r="G9" i="10"/>
  <c r="F9" i="10"/>
  <c r="M56" i="11"/>
  <c r="I56" i="11"/>
  <c r="H56" i="11"/>
  <c r="G56" i="11"/>
  <c r="F56" i="11"/>
  <c r="D56" i="11"/>
  <c r="I55" i="11"/>
  <c r="H55" i="11"/>
  <c r="G55" i="11"/>
  <c r="F55" i="11"/>
  <c r="D55" i="11"/>
  <c r="M54" i="11"/>
  <c r="I54" i="11"/>
  <c r="H54" i="11"/>
  <c r="G54" i="11"/>
  <c r="F54" i="11"/>
  <c r="D54" i="11"/>
  <c r="M53" i="11"/>
  <c r="I53" i="11"/>
  <c r="H53" i="11"/>
  <c r="G53" i="11"/>
  <c r="F53" i="11"/>
  <c r="D53" i="11"/>
  <c r="I52" i="11"/>
  <c r="H52" i="11"/>
  <c r="G52" i="11"/>
  <c r="F52" i="11"/>
  <c r="D52" i="11"/>
  <c r="M51" i="11"/>
  <c r="H51" i="11"/>
  <c r="G51" i="11"/>
  <c r="F51" i="11"/>
  <c r="D51" i="11"/>
  <c r="L50" i="11"/>
  <c r="K50" i="11"/>
  <c r="J50" i="11"/>
  <c r="H50" i="11"/>
  <c r="G50" i="11"/>
  <c r="F50" i="11"/>
  <c r="D50" i="11"/>
  <c r="L49" i="11"/>
  <c r="K49" i="11"/>
  <c r="J49" i="11"/>
  <c r="H49" i="11"/>
  <c r="G49" i="11"/>
  <c r="F49" i="11"/>
  <c r="D49" i="11"/>
  <c r="J37" i="11"/>
  <c r="I37" i="11"/>
  <c r="H37" i="11"/>
  <c r="F37" i="11"/>
  <c r="G36" i="11"/>
  <c r="F36" i="11"/>
  <c r="M34" i="11"/>
  <c r="L34" i="11"/>
  <c r="K34" i="11"/>
  <c r="J34" i="11"/>
  <c r="I34" i="11"/>
  <c r="H34" i="11"/>
  <c r="F34" i="11"/>
  <c r="M33" i="11"/>
  <c r="L33" i="11"/>
  <c r="K33" i="11"/>
  <c r="J33" i="11"/>
  <c r="I33" i="11"/>
  <c r="H33" i="11"/>
  <c r="F33" i="11"/>
  <c r="K32" i="11"/>
  <c r="J32" i="11"/>
  <c r="I32" i="11"/>
  <c r="H32" i="11"/>
  <c r="F32" i="11"/>
  <c r="M31" i="11"/>
  <c r="L31" i="11"/>
  <c r="K31" i="11"/>
  <c r="J31" i="11"/>
  <c r="I31" i="11"/>
  <c r="H31" i="11"/>
  <c r="F31" i="11"/>
  <c r="M30" i="11"/>
  <c r="L30" i="11"/>
  <c r="K30" i="11"/>
  <c r="J30" i="11"/>
  <c r="I30" i="11"/>
  <c r="H30" i="11"/>
  <c r="F30" i="11"/>
  <c r="J29" i="11"/>
  <c r="I29" i="11"/>
  <c r="H29" i="11"/>
  <c r="F29" i="11"/>
  <c r="K28" i="11"/>
  <c r="J28" i="11"/>
  <c r="I28" i="11"/>
  <c r="H28" i="11"/>
  <c r="F28" i="11"/>
  <c r="J27" i="11"/>
  <c r="I27" i="11"/>
  <c r="H27" i="11"/>
  <c r="F27" i="11"/>
  <c r="J26" i="11"/>
  <c r="I26" i="11"/>
  <c r="H26" i="11"/>
  <c r="F26" i="11"/>
  <c r="G25" i="11"/>
  <c r="F25" i="11"/>
  <c r="G15" i="11"/>
  <c r="F15" i="11"/>
  <c r="G14" i="11"/>
  <c r="F14" i="11"/>
  <c r="K12" i="11"/>
  <c r="J12" i="11"/>
  <c r="I12" i="11"/>
  <c r="H12" i="11"/>
  <c r="F12" i="11"/>
  <c r="J11" i="11"/>
  <c r="I11" i="11"/>
  <c r="H11" i="11"/>
  <c r="F11" i="11"/>
  <c r="J10" i="11"/>
  <c r="I10" i="11"/>
  <c r="H10" i="11"/>
  <c r="F10" i="11"/>
  <c r="G9" i="11"/>
  <c r="F9" i="11"/>
  <c r="L55" i="3"/>
  <c r="H55" i="3"/>
  <c r="G55" i="3"/>
  <c r="F55" i="3"/>
  <c r="E55" i="3"/>
  <c r="D55" i="3"/>
  <c r="H54" i="3"/>
  <c r="G54" i="3"/>
  <c r="F54" i="3"/>
  <c r="E54" i="3"/>
  <c r="D54" i="3"/>
  <c r="L53" i="3"/>
  <c r="H53" i="3"/>
  <c r="G53" i="3"/>
  <c r="F53" i="3"/>
  <c r="E53" i="3"/>
  <c r="D53" i="3"/>
  <c r="L52" i="3"/>
  <c r="H52" i="3"/>
  <c r="G52" i="3"/>
  <c r="F52" i="3"/>
  <c r="E52" i="3"/>
  <c r="D52" i="3"/>
  <c r="H51" i="3"/>
  <c r="G51" i="3"/>
  <c r="F51" i="3"/>
  <c r="E51" i="3"/>
  <c r="D51" i="3"/>
  <c r="L50" i="3"/>
  <c r="H50" i="3"/>
  <c r="G50" i="3"/>
  <c r="F50" i="3"/>
  <c r="E50" i="3"/>
  <c r="D50" i="3"/>
  <c r="K49" i="3"/>
  <c r="J49" i="3"/>
  <c r="I49" i="3"/>
  <c r="G49" i="3"/>
  <c r="F49" i="3"/>
  <c r="E49" i="3"/>
  <c r="D49" i="3"/>
  <c r="K48" i="3"/>
  <c r="J48" i="3"/>
  <c r="I48" i="3"/>
  <c r="G48" i="3"/>
  <c r="F48" i="3"/>
  <c r="E48" i="3"/>
  <c r="D48" i="3"/>
  <c r="J37" i="3"/>
  <c r="I37" i="3"/>
  <c r="H37" i="3"/>
  <c r="F37" i="3"/>
  <c r="G36" i="3"/>
  <c r="F36" i="3"/>
  <c r="M34" i="3"/>
  <c r="L34" i="3"/>
  <c r="K34" i="3"/>
  <c r="J34" i="3"/>
  <c r="I34" i="3"/>
  <c r="H34" i="3"/>
  <c r="F34" i="3"/>
  <c r="M33" i="3"/>
  <c r="L33" i="3"/>
  <c r="K33" i="3"/>
  <c r="J33" i="3"/>
  <c r="I33" i="3"/>
  <c r="H33" i="3"/>
  <c r="F33" i="3"/>
  <c r="K32" i="3"/>
  <c r="J32" i="3"/>
  <c r="I32" i="3"/>
  <c r="H32" i="3"/>
  <c r="F32" i="3"/>
  <c r="M31" i="3"/>
  <c r="L31" i="3"/>
  <c r="K31" i="3"/>
  <c r="J31" i="3"/>
  <c r="I31" i="3"/>
  <c r="H31" i="3"/>
  <c r="F31" i="3"/>
  <c r="M30" i="3"/>
  <c r="L30" i="3"/>
  <c r="K30" i="3"/>
  <c r="J30" i="3"/>
  <c r="I30" i="3"/>
  <c r="H30" i="3"/>
  <c r="F30" i="3"/>
  <c r="J29" i="3"/>
  <c r="I29" i="3"/>
  <c r="H29" i="3"/>
  <c r="F29" i="3"/>
  <c r="K28" i="3"/>
  <c r="J28" i="3"/>
  <c r="I28" i="3"/>
  <c r="H28" i="3"/>
  <c r="F28" i="3"/>
  <c r="J27" i="3"/>
  <c r="I27" i="3"/>
  <c r="H27" i="3"/>
  <c r="F27" i="3"/>
  <c r="J26" i="3"/>
  <c r="I26" i="3"/>
  <c r="H26" i="3"/>
  <c r="F26" i="3"/>
  <c r="G25" i="3"/>
  <c r="F25" i="3"/>
  <c r="G15" i="3"/>
  <c r="F15" i="3"/>
  <c r="G14" i="3"/>
  <c r="F14" i="3"/>
  <c r="K12" i="3"/>
  <c r="J12" i="3"/>
  <c r="I12" i="3"/>
  <c r="H12" i="3"/>
  <c r="F12" i="3"/>
  <c r="J11" i="3"/>
  <c r="I11" i="3"/>
  <c r="H11" i="3"/>
  <c r="F11" i="3"/>
  <c r="J10" i="3"/>
  <c r="I10" i="3"/>
  <c r="H10" i="3"/>
  <c r="F10" i="3"/>
  <c r="G9" i="3"/>
  <c r="F9" i="3"/>
  <c r="B3" i="12" l="1"/>
  <c r="B3" i="8"/>
  <c r="B3" i="9"/>
  <c r="B3" i="10"/>
  <c r="E34" i="11" l="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B42" i="11" l="1"/>
  <c r="B3" i="11"/>
  <c r="B42" i="3"/>
  <c r="E57" i="11" l="1"/>
</calcChain>
</file>

<file path=xl/sharedStrings.xml><?xml version="1.0" encoding="utf-8"?>
<sst xmlns="http://schemas.openxmlformats.org/spreadsheetml/2006/main" count="919" uniqueCount="205">
  <si>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</si>
  <si>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</si>
  <si>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</si>
  <si>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</si>
  <si>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</si>
  <si>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</si>
  <si>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</si>
  <si>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</si>
  <si>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</si>
  <si>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</si>
  <si>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</si>
  <si>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</si>
  <si>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</si>
  <si>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</si>
  <si>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</si>
  <si>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</si>
  <si>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</si>
  <si>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</si>
  <si>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</si>
  <si>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</si>
  <si>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</si>
  <si>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</si>
  <si>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</si>
  <si>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</si>
  <si>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</si>
  <si>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</si>
  <si>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</si>
  <si>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</si>
  <si>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</si>
  <si>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</si>
  <si>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</si>
  <si>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</si>
  <si>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</si>
  <si>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</si>
  <si>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</si>
  <si>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</si>
  <si>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</si>
  <si>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</si>
  <si>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</si>
  <si>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</si>
  <si>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</si>
  <si>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</si>
  <si>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</si>
  <si>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</si>
  <si>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</si>
  <si>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</si>
  <si>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</si>
  <si>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</si>
  <si>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</si>
  <si>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</si>
  <si>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</si>
  <si>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</si>
  <si>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</si>
  <si>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</si>
  <si>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</si>
  <si>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</si>
  <si>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</si>
  <si>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</si>
  <si>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</si>
  <si>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</si>
  <si>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</si>
  <si>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</si>
  <si>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</si>
  <si>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</si>
  <si>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</si>
  <si>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</si>
  <si>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</si>
  <si>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</si>
  <si>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</si>
  <si>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</si>
  <si>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</si>
  <si>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</si>
  <si>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</si>
  <si>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</si>
  <si>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</si>
  <si>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</si>
  <si>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</si>
  <si>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</si>
  <si>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</si>
  <si>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</si>
  <si>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</si>
  <si>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</si>
  <si>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</si>
  <si>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</si>
  <si>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</si>
  <si>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</si>
  <si>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</si>
  <si>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</si>
  <si>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</si>
  <si>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</si>
  <si>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</si>
  <si>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</si>
  <si>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</si>
  <si>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</si>
  <si>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</si>
  <si>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</si>
  <si>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</si>
  <si>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</si>
  <si>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</si>
  <si>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</si>
  <si>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</si>
  <si>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</si>
  <si>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</si>
  <si>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</si>
  <si>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</si>
  <si>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</si>
  <si>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</si>
  <si>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</si>
  <si>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</si>
  <si>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</si>
  <si>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</si>
  <si>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</si>
  <si>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</si>
  <si>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</si>
  <si>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</si>
  <si>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</si>
  <si>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</si>
  <si>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</si>
  <si>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</si>
  <si>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</si>
  <si>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</si>
  <si>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</si>
  <si>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</si>
  <si>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</si>
  <si>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</si>
  <si>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</si>
  <si>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</si>
  <si>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</si>
  <si>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</si>
  <si>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</si>
  <si>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</si>
  <si>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</si>
  <si>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</si>
  <si>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</si>
  <si>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</si>
  <si>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</si>
  <si>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</si>
  <si>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</si>
  <si>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</si>
  <si>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</si>
  <si>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</si>
  <si>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</si>
  <si>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</si>
  <si>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</si>
  <si>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</si>
  <si>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</si>
  <si>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</si>
  <si>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</si>
  <si>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</si>
  <si>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</si>
  <si>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</si>
  <si>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</si>
  <si>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</si>
  <si>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</si>
  <si>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</si>
  <si>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</si>
  <si>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</si>
  <si>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</si>
  <si>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</si>
  <si>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</si>
  <si>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</si>
  <si>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</si>
  <si>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</si>
  <si>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</si>
  <si>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</si>
  <si>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</si>
  <si>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</si>
  <si>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</si>
  <si>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</si>
  <si>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</si>
  <si>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</si>
  <si>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</si>
  <si>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</si>
  <si>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</si>
  <si>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</si>
  <si>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</si>
  <si>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</si>
  <si>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</si>
  <si>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</si>
  <si>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</si>
  <si>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</si>
  <si>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</si>
  <si>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</si>
  <si>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</si>
  <si>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</si>
  <si>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</si>
  <si>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</si>
  <si>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</si>
  <si>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</si>
  <si>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</si>
  <si>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</si>
  <si>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</si>
  <si>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</si>
  <si>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</si>
  <si>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</si>
  <si>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</si>
  <si>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</si>
  <si>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</si>
  <si>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</si>
  <si>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</si>
  <si>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LV ToU &lt;160 MWh</t>
  </si>
  <si>
    <t>Only available to business premises whose consumption does not exceed 160 MWh per year. New customers should be connected on BLNT1AO</t>
  </si>
  <si>
    <t>Not available to new customers.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</si>
  <si>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Not available to new customers.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</si>
  <si>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Effective 1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</si>
</sst>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77">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6" fillId="0" borderId="0" xfId="0" applyFont="1" applyFill="1" applyBorder="1"/>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6" fillId="0" borderId="0" xfId="0" applyFont="1" applyFill="1"/>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4"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5" fillId="5" borderId="0" xfId="0" applyFont="1" applyFill="1"/>
    <xf numFmtId="0" fontId="16" fillId="4" borderId="2" xfId="0" applyFont="1" applyFill="1" applyBorder="1" applyProtection="1"/>
    <xf numFmtId="0" fontId="16" fillId="4" borderId="5" xfId="0" applyFont="1" applyFill="1" applyBorder="1" applyProtection="1"/>
    <xf numFmtId="0" fontId="17" fillId="4" borderId="1" xfId="0" applyFont="1" applyFill="1" applyBorder="1" applyProtection="1"/>
    <xf numFmtId="0" fontId="17" fillId="4" borderId="3" xfId="0" applyFont="1" applyFill="1" applyBorder="1" applyProtection="1"/>
    <xf numFmtId="0" fontId="16" fillId="4" borderId="2" xfId="0" applyFont="1" applyFill="1" applyBorder="1" applyAlignment="1" applyProtection="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5" fillId="0" borderId="0" xfId="0" applyFont="1" applyFill="1" applyBorder="1"/>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0" fontId="20" fillId="0" borderId="18" xfId="0" applyFont="1" applyBorder="1" applyAlignment="1">
      <alignment horizontal="left" vertical="center" wrapText="1"/>
    </xf>
    <xf numFmtId="43" fontId="6" fillId="0" borderId="0" xfId="0" applyNumberFormat="1" applyFont="1" applyFill="1" applyBorder="1"/>
    <xf numFmtId="0" fontId="8" fillId="3" borderId="6" xfId="0" applyFont="1" applyFill="1" applyBorder="1" applyProtection="1"/>
    <xf numFmtId="0" fontId="8" fillId="3" borderId="9" xfId="0" applyFont="1" applyFill="1" applyBorder="1" applyAlignment="1" applyProtection="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Border="1" applyAlignment="1">
      <alignment horizontal="center"/>
    </xf>
    <xf numFmtId="0" fontId="21"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applyAlignment="1"/>
    <xf numFmtId="0" fontId="24" fillId="8" borderId="14" xfId="0" applyFont="1" applyFill="1" applyBorder="1" applyAlignment="1">
      <alignment horizontal="center"/>
    </xf>
    <xf numFmtId="0" fontId="23" fillId="8" borderId="14" xfId="0" applyFont="1" applyFill="1" applyBorder="1"/>
    <xf numFmtId="0" fontId="23" fillId="8" borderId="3" xfId="0" applyFont="1" applyFill="1" applyBorder="1"/>
    <xf numFmtId="0" fontId="23" fillId="8" borderId="0" xfId="0" applyFont="1" applyFill="1" applyBorder="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5" xfId="0" applyFont="1" applyFill="1" applyBorder="1" applyAlignment="1" applyProtection="1">
      <alignment horizontal="center"/>
    </xf>
    <xf numFmtId="0" fontId="26" fillId="8" borderId="8" xfId="0" applyFont="1" applyFill="1" applyBorder="1" applyAlignment="1" applyProtection="1">
      <alignment horizontal="center" wrapText="1"/>
    </xf>
    <xf numFmtId="0" fontId="6" fillId="0" borderId="10" xfId="0" applyFont="1" applyBorder="1" applyAlignment="1">
      <alignment vertical="top" wrapText="1"/>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166" fontId="6" fillId="0" borderId="12" xfId="1" applyNumberFormat="1" applyFont="1" applyFill="1" applyBorder="1" applyAlignment="1" applyProtection="1">
      <alignment vertical="center"/>
      <protection locked="0"/>
    </xf>
    <xf numFmtId="0" fontId="6" fillId="0" borderId="10" xfId="0" applyFont="1" applyBorder="1" applyAlignment="1">
      <alignment horizontal="left" vertical="top" wrapText="1"/>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0" fontId="6" fillId="0" borderId="0" xfId="0" applyFont="1" applyAlignment="1">
      <alignment horizontal="left" wrapText="1"/>
    </xf>
    <xf numFmtId="0" fontId="5" fillId="3" borderId="0" xfId="0" applyFont="1" applyFill="1" applyBorder="1" applyAlignment="1">
      <alignment horizontal="center"/>
    </xf>
    <xf numFmtId="0" fontId="8" fillId="3" borderId="10" xfId="0" applyFont="1" applyFill="1" applyBorder="1" applyAlignment="1" applyProtection="1">
      <alignment horizontal="center" vertical="center"/>
    </xf>
    <xf numFmtId="164" fontId="17" fillId="4" borderId="10" xfId="1" applyNumberFormat="1" applyFont="1" applyFill="1" applyBorder="1" applyAlignment="1" applyProtection="1">
      <alignment horizontal="center"/>
      <protection locked="0"/>
    </xf>
    <xf numFmtId="0" fontId="12" fillId="5" borderId="6" xfId="0" applyFont="1" applyFill="1" applyBorder="1" applyAlignment="1">
      <alignment horizontal="left" vertical="center" wrapText="1"/>
    </xf>
    <xf numFmtId="0" fontId="7" fillId="3" borderId="4" xfId="0" applyFont="1" applyFill="1" applyBorder="1" applyAlignment="1">
      <alignment horizontal="left"/>
    </xf>
    <xf numFmtId="0" fontId="7" fillId="3" borderId="0" xfId="0" applyFont="1" applyFill="1" applyBorder="1" applyAlignment="1">
      <alignment horizontal="left"/>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3" fillId="3" borderId="0" xfId="0" applyFont="1" applyFill="1" applyBorder="1"/>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25" fillId="8" borderId="4" xfId="0" applyFont="1" applyFill="1" applyBorder="1" applyAlignment="1">
      <alignment horizontal="left"/>
    </xf>
    <xf numFmtId="0" fontId="25" fillId="8" borderId="0" xfId="0" applyFont="1" applyFill="1" applyBorder="1" applyAlignment="1">
      <alignment horizontal="left"/>
    </xf>
    <xf numFmtId="0" fontId="24" fillId="8" borderId="0" xfId="0" applyFont="1" applyFill="1" applyBorder="1" applyAlignment="1">
      <alignment horizontal="center"/>
    </xf>
    <xf numFmtId="0" fontId="26" fillId="8" borderId="10" xfId="0" applyFont="1" applyFill="1" applyBorder="1" applyAlignment="1" applyProtection="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8" xfId="0" applyFont="1" applyFill="1" applyBorder="1" applyAlignment="1" applyProtection="1">
      <alignment horizontal="center" vertical="center"/>
    </xf>
    <xf numFmtId="0" fontId="26" fillId="8" borderId="2"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164" fontId="11" fillId="0" borderId="7" xfId="1" applyNumberFormat="1" applyFont="1" applyFill="1" applyBorder="1" applyAlignment="1" applyProtection="1">
      <alignment horizontal="left" vertical="center" wrapText="1"/>
      <protection locked="0"/>
    </xf>
    <xf numFmtId="164" fontId="11" fillId="0" borderId="15" xfId="1" applyNumberFormat="1" applyFont="1" applyFill="1" applyBorder="1" applyAlignment="1" applyProtection="1">
      <alignment horizontal="left" vertical="center" wrapText="1"/>
      <protection locked="0"/>
    </xf>
    <xf numFmtId="43" fontId="11" fillId="0" borderId="11" xfId="1" applyFont="1" applyFill="1" applyBorder="1" applyAlignment="1" applyProtection="1">
      <alignment horizontal="left" vertical="center" wrapText="1"/>
      <protection locked="0"/>
    </xf>
    <xf numFmtId="43" fontId="11" fillId="0" borderId="12" xfId="1"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764722</xdr:colOff>
      <xdr:row>1</xdr:row>
      <xdr:rowOff>27213</xdr:rowOff>
    </xdr:from>
    <xdr:to>
      <xdr:col>12</xdr:col>
      <xdr:colOff>871765</xdr:colOff>
      <xdr:row>4</xdr:row>
      <xdr:rowOff>4535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0847" y="201838"/>
          <a:ext cx="1916793" cy="786947"/>
        </a:xfrm>
        <a:prstGeom prst="rect">
          <a:avLst/>
        </a:prstGeom>
        <a:noFill/>
      </xdr:spPr>
    </xdr:pic>
    <xdr:clientData/>
  </xdr:twoCellAnchor>
  <xdr:twoCellAnchor editAs="oneCell">
    <xdr:from>
      <xdr:col>14</xdr:col>
      <xdr:colOff>979714</xdr:colOff>
      <xdr:row>40</xdr:row>
      <xdr:rowOff>54428</xdr:rowOff>
    </xdr:from>
    <xdr:to>
      <xdr:col>16</xdr:col>
      <xdr:colOff>1179</xdr:colOff>
      <xdr:row>43</xdr:row>
      <xdr:rowOff>907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862239</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40</xdr:row>
      <xdr:rowOff>25400</xdr:rowOff>
    </xdr:from>
    <xdr:to>
      <xdr:col>16</xdr:col>
      <xdr:colOff>3174</xdr:colOff>
      <xdr:row>42</xdr:row>
      <xdr:rowOff>200026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8854440</xdr:colOff>
      <xdr:row>0</xdr:row>
      <xdr:rowOff>30480</xdr:rowOff>
    </xdr:from>
    <xdr:to>
      <xdr:col>2</xdr:col>
      <xdr:colOff>3810</xdr:colOff>
      <xdr:row>3</xdr:row>
      <xdr:rowOff>163830</xdr:rowOff>
    </xdr:to>
    <xdr:pic>
      <xdr:nvPicPr>
        <xdr:cNvPr id="4" name="image1.jpeg">
          <a:extLst>
            <a:ext uri="{FF2B5EF4-FFF2-40B4-BE49-F238E27FC236}">
              <a16:creationId xmlns:a16="http://schemas.microsoft.com/office/drawing/2014/main" id="{124F9224-B2DE-42B8-BA44-74772AD90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3440" y="30480"/>
          <a:ext cx="1413510" cy="71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sential%20Energy%20Revenue%20Model%202022-23_working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BRC paper"/>
      <sheetName val="Inputs"/>
      <sheetName val="Tables"/>
      <sheetName val="Control"/>
      <sheetName val="Outcomes"/>
      <sheetName val="Side Constraint"/>
      <sheetName val="NUOS (t)"/>
      <sheetName val="NUOS (t-1)"/>
      <sheetName val="ARR"/>
      <sheetName val="DUOS (t)"/>
      <sheetName val="DUOS (t-1)"/>
      <sheetName val="LRMC_Res"/>
      <sheetName val="Trans"/>
      <sheetName val="TUOS (t)"/>
      <sheetName val="TUOS (t-1)"/>
      <sheetName val="CCF"/>
      <sheetName val="CCF (t)"/>
      <sheetName val="CCF (t-1)"/>
      <sheetName val="QSS"/>
      <sheetName val="QSS (t)"/>
      <sheetName val="QSS (t-1)"/>
      <sheetName val="TT"/>
      <sheetName val="Q (t)"/>
      <sheetName val="NUOS vs TSS"/>
    </sheetNames>
    <sheetDataSet>
      <sheetData sheetId="0"/>
      <sheetData sheetId="1"/>
      <sheetData sheetId="2"/>
      <sheetData sheetId="3"/>
      <sheetData sheetId="4"/>
      <sheetData sheetId="5"/>
      <sheetData sheetId="6"/>
      <sheetData sheetId="7">
        <row r="10">
          <cell r="B10" t="str">
            <v>BLNN2AU</v>
          </cell>
          <cell r="C10" t="str">
            <v>LV Residential Anytime</v>
          </cell>
          <cell r="D10" t="str">
            <v>t-2</v>
          </cell>
          <cell r="E10">
            <v>332.66661192614254</v>
          </cell>
          <cell r="F10">
            <v>11.326165734926304</v>
          </cell>
          <cell r="G10">
            <v>0</v>
          </cell>
          <cell r="H10">
            <v>0</v>
          </cell>
          <cell r="I10">
            <v>0</v>
          </cell>
          <cell r="J10">
            <v>0</v>
          </cell>
          <cell r="K10">
            <v>0</v>
          </cell>
          <cell r="L10">
            <v>0</v>
          </cell>
          <cell r="M10">
            <v>0</v>
          </cell>
          <cell r="N10">
            <v>0</v>
          </cell>
          <cell r="O10">
            <v>0</v>
          </cell>
        </row>
        <row r="11">
          <cell r="B11" t="str">
            <v>BLNT3AU</v>
          </cell>
          <cell r="C11" t="str">
            <v>LV Residential ToU</v>
          </cell>
          <cell r="D11" t="str">
            <v>t-2</v>
          </cell>
          <cell r="E11">
            <v>332.66661192614254</v>
          </cell>
          <cell r="F11">
            <v>0</v>
          </cell>
          <cell r="G11">
            <v>15.550942940425973</v>
          </cell>
          <cell r="H11">
            <v>12.537900080425725</v>
          </cell>
          <cell r="I11">
            <v>4.895693875861534</v>
          </cell>
          <cell r="J11">
            <v>0</v>
          </cell>
          <cell r="K11">
            <v>0</v>
          </cell>
          <cell r="L11">
            <v>0</v>
          </cell>
          <cell r="M11">
            <v>0</v>
          </cell>
          <cell r="N11">
            <v>0</v>
          </cell>
          <cell r="O11">
            <v>0</v>
          </cell>
        </row>
        <row r="12">
          <cell r="B12" t="str">
            <v>BLNT3AL</v>
          </cell>
          <cell r="C12" t="str">
            <v>LV Residential ToU_Interval meter</v>
          </cell>
          <cell r="D12" t="str">
            <v>t-2</v>
          </cell>
          <cell r="E12">
            <v>332.66661192614254</v>
          </cell>
          <cell r="F12">
            <v>0</v>
          </cell>
          <cell r="G12">
            <v>16.121553356647798</v>
          </cell>
          <cell r="H12">
            <v>12.080020039206371</v>
          </cell>
          <cell r="I12">
            <v>4.895693875861534</v>
          </cell>
          <cell r="J12">
            <v>0</v>
          </cell>
          <cell r="K12">
            <v>0</v>
          </cell>
          <cell r="L12">
            <v>0</v>
          </cell>
          <cell r="M12">
            <v>0</v>
          </cell>
          <cell r="N12">
            <v>0</v>
          </cell>
          <cell r="O12">
            <v>0</v>
          </cell>
        </row>
        <row r="13">
          <cell r="B13" t="str">
            <v>BLND1AR</v>
          </cell>
          <cell r="C13" t="str">
            <v>Small Residential-Opt in Demand</v>
          </cell>
          <cell r="D13" t="str">
            <v>t-2</v>
          </cell>
          <cell r="E13">
            <v>332.66661192614254</v>
          </cell>
          <cell r="F13">
            <v>0</v>
          </cell>
          <cell r="G13">
            <v>5.0692239901543692</v>
          </cell>
          <cell r="H13">
            <v>3.8960847777325029</v>
          </cell>
          <cell r="I13">
            <v>2.4178854952094371</v>
          </cell>
          <cell r="J13">
            <v>0</v>
          </cell>
          <cell r="K13">
            <v>4.1959723392553094</v>
          </cell>
          <cell r="L13">
            <v>0</v>
          </cell>
          <cell r="M13">
            <v>0</v>
          </cell>
          <cell r="N13">
            <v>0</v>
          </cell>
          <cell r="O13">
            <v>0</v>
          </cell>
        </row>
        <row r="14">
          <cell r="B14" t="str">
            <v>BLNC1AU</v>
          </cell>
          <cell r="C14" t="str">
            <v>Energy Saver 1</v>
          </cell>
          <cell r="D14" t="str">
            <v>t-2</v>
          </cell>
          <cell r="E14">
            <v>34.84455807301714</v>
          </cell>
          <cell r="F14">
            <v>2.5316091684471038</v>
          </cell>
          <cell r="G14">
            <v>0</v>
          </cell>
          <cell r="H14">
            <v>0</v>
          </cell>
          <cell r="I14">
            <v>0</v>
          </cell>
          <cell r="J14">
            <v>0</v>
          </cell>
          <cell r="K14">
            <v>0</v>
          </cell>
          <cell r="L14">
            <v>0</v>
          </cell>
          <cell r="M14">
            <v>0</v>
          </cell>
          <cell r="N14">
            <v>0</v>
          </cell>
          <cell r="O14">
            <v>0</v>
          </cell>
        </row>
        <row r="15">
          <cell r="B15" t="str">
            <v>BLNC2AU</v>
          </cell>
          <cell r="C15" t="str">
            <v>Energy Saver 2</v>
          </cell>
          <cell r="D15" t="str">
            <v>t-2</v>
          </cell>
          <cell r="E15">
            <v>34.84455807301714</v>
          </cell>
          <cell r="F15">
            <v>5.250093147616588</v>
          </cell>
          <cell r="G15">
            <v>0</v>
          </cell>
          <cell r="H15">
            <v>0</v>
          </cell>
          <cell r="I15">
            <v>0</v>
          </cell>
          <cell r="J15">
            <v>0</v>
          </cell>
          <cell r="K15">
            <v>0</v>
          </cell>
          <cell r="L15">
            <v>0</v>
          </cell>
          <cell r="M15">
            <v>0</v>
          </cell>
          <cell r="N15">
            <v>0</v>
          </cell>
          <cell r="O15">
            <v>0</v>
          </cell>
        </row>
        <row r="16">
          <cell r="B16" t="str">
            <v>BLNN1AU</v>
          </cell>
          <cell r="C16" t="str">
            <v>LV Small business Anytime</v>
          </cell>
          <cell r="D16" t="str">
            <v>t-2</v>
          </cell>
          <cell r="E16">
            <v>332.66661192614254</v>
          </cell>
          <cell r="F16">
            <v>15.599303766351554</v>
          </cell>
          <cell r="G16">
            <v>0</v>
          </cell>
          <cell r="H16">
            <v>0</v>
          </cell>
          <cell r="I16">
            <v>0</v>
          </cell>
          <cell r="J16">
            <v>0</v>
          </cell>
          <cell r="K16">
            <v>0</v>
          </cell>
          <cell r="L16">
            <v>0</v>
          </cell>
          <cell r="M16">
            <v>0</v>
          </cell>
          <cell r="N16">
            <v>0</v>
          </cell>
          <cell r="O16">
            <v>0</v>
          </cell>
        </row>
        <row r="17">
          <cell r="B17" t="str">
            <v>BLNT2AU</v>
          </cell>
          <cell r="C17" t="str">
            <v>LV ToU &lt; 100MWh</v>
          </cell>
          <cell r="D17" t="str">
            <v>t-2</v>
          </cell>
          <cell r="E17">
            <v>1507.0057296578884</v>
          </cell>
          <cell r="F17">
            <v>0</v>
          </cell>
          <cell r="G17">
            <v>16.562913465189652</v>
          </cell>
          <cell r="H17">
            <v>13.449596935804189</v>
          </cell>
          <cell r="I17">
            <v>7.130236276281428</v>
          </cell>
          <cell r="J17">
            <v>0</v>
          </cell>
          <cell r="K17">
            <v>0</v>
          </cell>
          <cell r="L17">
            <v>0</v>
          </cell>
          <cell r="M17">
            <v>0</v>
          </cell>
          <cell r="N17">
            <v>0</v>
          </cell>
          <cell r="O17">
            <v>0</v>
          </cell>
        </row>
        <row r="18">
          <cell r="B18" t="str">
            <v>BLNT2AL</v>
          </cell>
          <cell r="C18" t="str">
            <v>LV Business ToU_Interval meter</v>
          </cell>
          <cell r="D18" t="str">
            <v>t-2</v>
          </cell>
          <cell r="E18">
            <v>569.08031697609533</v>
          </cell>
          <cell r="F18">
            <v>0</v>
          </cell>
          <cell r="G18">
            <v>17.158901779880608</v>
          </cell>
          <cell r="H18">
            <v>12.971352679584973</v>
          </cell>
          <cell r="I18">
            <v>6.9061390381322854</v>
          </cell>
          <cell r="J18">
            <v>0</v>
          </cell>
          <cell r="K18">
            <v>0</v>
          </cell>
          <cell r="L18">
            <v>0</v>
          </cell>
          <cell r="M18">
            <v>0</v>
          </cell>
          <cell r="N18">
            <v>0</v>
          </cell>
          <cell r="O18">
            <v>0</v>
          </cell>
        </row>
        <row r="19">
          <cell r="B19" t="str">
            <v>BLNT1AO</v>
          </cell>
          <cell r="C19" t="str">
            <v>LV ToU &gt; 100 MWh/yr</v>
          </cell>
          <cell r="D19" t="str">
            <v>t-2</v>
          </cell>
          <cell r="E19">
            <v>1507.0057296578884</v>
          </cell>
          <cell r="F19">
            <v>0</v>
          </cell>
          <cell r="G19">
            <v>16.562913465189652</v>
          </cell>
          <cell r="H19">
            <v>13.449596935804189</v>
          </cell>
          <cell r="I19">
            <v>7.130236276281428</v>
          </cell>
          <cell r="J19">
            <v>0</v>
          </cell>
          <cell r="K19">
            <v>0</v>
          </cell>
          <cell r="L19">
            <v>0</v>
          </cell>
          <cell r="M19">
            <v>0</v>
          </cell>
          <cell r="N19">
            <v>0</v>
          </cell>
          <cell r="O19">
            <v>0</v>
          </cell>
        </row>
        <row r="20">
          <cell r="B20" t="str">
            <v>BLND1AB</v>
          </cell>
          <cell r="C20" t="str">
            <v>Small business-Opt in Demand</v>
          </cell>
          <cell r="D20" t="str">
            <v>t-2</v>
          </cell>
          <cell r="E20">
            <v>569.08031697609533</v>
          </cell>
          <cell r="F20">
            <v>0</v>
          </cell>
          <cell r="G20">
            <v>7.9609071713705228</v>
          </cell>
          <cell r="H20">
            <v>5.9583118114197955</v>
          </cell>
          <cell r="I20">
            <v>3.4258915132985837</v>
          </cell>
          <cell r="J20">
            <v>0</v>
          </cell>
          <cell r="K20">
            <v>6.8184550512898783</v>
          </cell>
          <cell r="L20">
            <v>0</v>
          </cell>
          <cell r="M20">
            <v>0</v>
          </cell>
          <cell r="N20">
            <v>0</v>
          </cell>
          <cell r="O20">
            <v>0</v>
          </cell>
        </row>
        <row r="21">
          <cell r="B21" t="str">
            <v>BLNT1SU</v>
          </cell>
          <cell r="C21" t="str">
            <v>LV ToU &gt; 100 MWh/yr Sth U</v>
          </cell>
          <cell r="D21" t="str">
            <v>t-2</v>
          </cell>
          <cell r="E21">
            <v>2712.9929371193334</v>
          </cell>
          <cell r="F21">
            <v>0</v>
          </cell>
          <cell r="G21">
            <v>17.968810232367019</v>
          </cell>
          <cell r="H21">
            <v>13.948567539357461</v>
          </cell>
          <cell r="I21">
            <v>7.4602854111608146</v>
          </cell>
          <cell r="J21">
            <v>0</v>
          </cell>
          <cell r="K21">
            <v>0</v>
          </cell>
          <cell r="L21">
            <v>0</v>
          </cell>
          <cell r="M21">
            <v>0</v>
          </cell>
          <cell r="N21">
            <v>0</v>
          </cell>
          <cell r="O21">
            <v>0</v>
          </cell>
        </row>
        <row r="22">
          <cell r="B22" t="str">
            <v>BLTTSS2</v>
          </cell>
          <cell r="C22" t="str">
            <v>Tariff Trial - Sun soaker Residential</v>
          </cell>
          <cell r="D22" t="str">
            <v>t-1</v>
          </cell>
          <cell r="E22">
            <v>332.66661192614254</v>
          </cell>
          <cell r="F22">
            <v>0</v>
          </cell>
          <cell r="G22">
            <v>14.100786697927084</v>
          </cell>
          <cell r="H22">
            <v>0</v>
          </cell>
          <cell r="I22">
            <v>4.895693875861534</v>
          </cell>
          <cell r="J22">
            <v>0</v>
          </cell>
          <cell r="K22">
            <v>0</v>
          </cell>
          <cell r="L22">
            <v>0</v>
          </cell>
          <cell r="M22">
            <v>0</v>
          </cell>
          <cell r="N22">
            <v>0</v>
          </cell>
          <cell r="O22">
            <v>0</v>
          </cell>
        </row>
        <row r="23">
          <cell r="B23" t="str">
            <v>BLTTSS1</v>
          </cell>
          <cell r="C23" t="str">
            <v>Tariff Trial - Sun soaker Small Business</v>
          </cell>
          <cell r="D23" t="str">
            <v>t-1</v>
          </cell>
          <cell r="E23">
            <v>569.08031697609533</v>
          </cell>
          <cell r="F23">
            <v>0</v>
          </cell>
          <cell r="G23">
            <v>15.06512722973279</v>
          </cell>
          <cell r="H23">
            <v>0</v>
          </cell>
          <cell r="I23">
            <v>6.9061390381322854</v>
          </cell>
          <cell r="J23">
            <v>0</v>
          </cell>
          <cell r="K23">
            <v>0</v>
          </cell>
          <cell r="L23">
            <v>0</v>
          </cell>
          <cell r="M23">
            <v>0</v>
          </cell>
          <cell r="N23">
            <v>0</v>
          </cell>
          <cell r="O23">
            <v>0</v>
          </cell>
        </row>
        <row r="24">
          <cell r="B24" t="str">
            <v>BLTTEX1</v>
          </cell>
          <cell r="C24" t="str">
            <v>Tariff Trial - Export charge</v>
          </cell>
          <cell r="D24" t="str">
            <v>t</v>
          </cell>
          <cell r="E24">
            <v>0</v>
          </cell>
          <cell r="F24">
            <v>0</v>
          </cell>
          <cell r="G24">
            <v>-11.982818740658409</v>
          </cell>
          <cell r="H24">
            <v>0</v>
          </cell>
          <cell r="I24">
            <v>0</v>
          </cell>
          <cell r="J24">
            <v>0</v>
          </cell>
          <cell r="K24">
            <v>0</v>
          </cell>
          <cell r="L24">
            <v>0</v>
          </cell>
          <cell r="M24">
            <v>0</v>
          </cell>
          <cell r="N24">
            <v>1.05</v>
          </cell>
          <cell r="O24">
            <v>0</v>
          </cell>
        </row>
        <row r="25">
          <cell r="B25" t="str">
            <v>BLTTEX1</v>
          </cell>
          <cell r="C25" t="str">
            <v>Tariff Trial - Export charge sml business</v>
          </cell>
          <cell r="D25" t="str">
            <v>t</v>
          </cell>
          <cell r="E25">
            <v>0</v>
          </cell>
          <cell r="F25">
            <v>0</v>
          </cell>
          <cell r="G25">
            <v>-12.515754608510088</v>
          </cell>
          <cell r="H25">
            <v>0</v>
          </cell>
          <cell r="I25">
            <v>0</v>
          </cell>
          <cell r="J25">
            <v>0</v>
          </cell>
          <cell r="K25">
            <v>0</v>
          </cell>
          <cell r="L25">
            <v>0</v>
          </cell>
          <cell r="M25">
            <v>0</v>
          </cell>
          <cell r="N25">
            <v>1.05</v>
          </cell>
          <cell r="O25">
            <v>0</v>
          </cell>
        </row>
        <row r="26">
          <cell r="B26" t="str">
            <v>TTPTR</v>
          </cell>
          <cell r="C26" t="str">
            <v>Tariff Trial - Critical Peak Rebate</v>
          </cell>
          <cell r="D26" t="str">
            <v>t</v>
          </cell>
          <cell r="E26">
            <v>0</v>
          </cell>
          <cell r="F26">
            <v>0</v>
          </cell>
          <cell r="G26">
            <v>-200</v>
          </cell>
          <cell r="H26">
            <v>0</v>
          </cell>
          <cell r="I26">
            <v>0</v>
          </cell>
          <cell r="J26">
            <v>0</v>
          </cell>
          <cell r="K26">
            <v>0</v>
          </cell>
          <cell r="L26">
            <v>0</v>
          </cell>
          <cell r="M26">
            <v>0</v>
          </cell>
          <cell r="N26">
            <v>0</v>
          </cell>
          <cell r="O26">
            <v>0</v>
          </cell>
        </row>
        <row r="27">
          <cell r="B27" t="str">
            <v>TTCPP</v>
          </cell>
          <cell r="C27" t="str">
            <v>Tariff Trial  - Critical Peak Charge</v>
          </cell>
          <cell r="D27" t="str">
            <v>t</v>
          </cell>
          <cell r="E27">
            <v>0</v>
          </cell>
          <cell r="F27">
            <v>0</v>
          </cell>
          <cell r="G27">
            <v>200</v>
          </cell>
          <cell r="H27">
            <v>0</v>
          </cell>
          <cell r="I27">
            <v>0</v>
          </cell>
          <cell r="J27">
            <v>0</v>
          </cell>
          <cell r="K27">
            <v>0</v>
          </cell>
          <cell r="L27">
            <v>0</v>
          </cell>
          <cell r="M27">
            <v>0</v>
          </cell>
          <cell r="N27">
            <v>0</v>
          </cell>
          <cell r="O27">
            <v>0</v>
          </cell>
        </row>
        <row r="29">
          <cell r="B29" t="str">
            <v>Tariff Class B; Low voltage - Large Business</v>
          </cell>
        </row>
        <row r="30">
          <cell r="B30" t="str">
            <v>BLND3AO</v>
          </cell>
          <cell r="C30" t="str">
            <v>LV ToU Demand 3 Rate</v>
          </cell>
          <cell r="D30" t="str">
            <v>t-2</v>
          </cell>
          <cell r="E30">
            <v>5770.1133206088152</v>
          </cell>
          <cell r="F30">
            <v>0</v>
          </cell>
          <cell r="G30">
            <v>5.0624311101670676</v>
          </cell>
          <cell r="H30">
            <v>4.195626687497084</v>
          </cell>
          <cell r="I30">
            <v>2.7849996546496469</v>
          </cell>
          <cell r="J30">
            <v>0</v>
          </cell>
          <cell r="K30">
            <v>10.225739747083937</v>
          </cell>
          <cell r="L30">
            <v>9.2518597711711781</v>
          </cell>
          <cell r="M30">
            <v>2.306364538136993</v>
          </cell>
          <cell r="N30">
            <v>0</v>
          </cell>
          <cell r="O30">
            <v>0</v>
          </cell>
        </row>
        <row r="31">
          <cell r="B31" t="str">
            <v>BLND3TO</v>
          </cell>
          <cell r="C31" t="str">
            <v>LV ToU Demand-alternate tariff</v>
          </cell>
          <cell r="D31" t="str">
            <v>t-2</v>
          </cell>
          <cell r="E31">
            <v>5770.1133206088152</v>
          </cell>
          <cell r="F31">
            <v>0</v>
          </cell>
          <cell r="G31">
            <v>14.772553844389879</v>
          </cell>
          <cell r="H31">
            <v>11.681847645371118</v>
          </cell>
          <cell r="I31">
            <v>5.2590350481442547</v>
          </cell>
          <cell r="J31">
            <v>0</v>
          </cell>
          <cell r="K31">
            <v>12.513353445051905</v>
          </cell>
          <cell r="L31">
            <v>0</v>
          </cell>
          <cell r="M31">
            <v>0</v>
          </cell>
          <cell r="N31">
            <v>0</v>
          </cell>
          <cell r="O31">
            <v>0</v>
          </cell>
        </row>
        <row r="32">
          <cell r="B32" t="str">
            <v>BLNDTRS</v>
          </cell>
          <cell r="C32" t="str">
            <v>Transitional Demand</v>
          </cell>
          <cell r="D32" t="str">
            <v>t-2</v>
          </cell>
          <cell r="E32">
            <v>5770.1133206088152</v>
          </cell>
          <cell r="F32">
            <v>0</v>
          </cell>
          <cell r="G32">
            <v>5.0624311101670676</v>
          </cell>
          <cell r="H32">
            <v>4.195626687497084</v>
          </cell>
          <cell r="I32">
            <v>2.7849996546496469</v>
          </cell>
          <cell r="J32">
            <v>0</v>
          </cell>
          <cell r="K32">
            <v>10.225739747083937</v>
          </cell>
          <cell r="L32">
            <v>9.2518597711711781</v>
          </cell>
          <cell r="M32">
            <v>2.306364538136993</v>
          </cell>
          <cell r="N32">
            <v>0</v>
          </cell>
          <cell r="O32">
            <v>0</v>
          </cell>
        </row>
        <row r="33">
          <cell r="B33" t="str">
            <v>BLNS1AO</v>
          </cell>
          <cell r="C33" t="str">
            <v>LV ToU avg daily Demand</v>
          </cell>
          <cell r="D33" t="str">
            <v>t-2</v>
          </cell>
          <cell r="E33">
            <v>6195.0228209114284</v>
          </cell>
          <cell r="F33">
            <v>0</v>
          </cell>
          <cell r="G33">
            <v>4.7047075145619752</v>
          </cell>
          <cell r="H33">
            <v>3.9198322457742791</v>
          </cell>
          <cell r="I33">
            <v>2.6591848438630294</v>
          </cell>
          <cell r="J33">
            <v>0</v>
          </cell>
          <cell r="K33">
            <v>12.216571277729495</v>
          </cell>
          <cell r="L33">
            <v>11.053088298898112</v>
          </cell>
          <cell r="M33">
            <v>2.8249324234947673</v>
          </cell>
          <cell r="N33">
            <v>0</v>
          </cell>
          <cell r="O33">
            <v>0</v>
          </cell>
        </row>
        <row r="34">
          <cell r="B34" t="str">
            <v>BLND1CO</v>
          </cell>
          <cell r="C34" t="str">
            <v>LV 1 Rate Dmd Cent</v>
          </cell>
          <cell r="D34" t="str">
            <v>t-2</v>
          </cell>
          <cell r="E34">
            <v>7987.556921662047</v>
          </cell>
          <cell r="F34">
            <v>0</v>
          </cell>
          <cell r="G34">
            <v>7.2070528556442888</v>
          </cell>
          <cell r="H34">
            <v>5.8716570089565927</v>
          </cell>
          <cell r="I34">
            <v>3.2564902611063453</v>
          </cell>
          <cell r="J34">
            <v>18.163497905572672</v>
          </cell>
          <cell r="K34">
            <v>0</v>
          </cell>
          <cell r="L34">
            <v>0</v>
          </cell>
          <cell r="M34">
            <v>0</v>
          </cell>
          <cell r="N34">
            <v>0</v>
          </cell>
          <cell r="O34">
            <v>0</v>
          </cell>
        </row>
        <row r="35">
          <cell r="B35" t="str">
            <v>BLND1SR</v>
          </cell>
          <cell r="C35" t="str">
            <v>LV 1 Rate Dmd Sth Rural</v>
          </cell>
          <cell r="D35" t="str">
            <v>t-2</v>
          </cell>
          <cell r="E35">
            <v>6195.0228209114284</v>
          </cell>
          <cell r="F35">
            <v>0</v>
          </cell>
          <cell r="G35">
            <v>14.720125233221601</v>
          </cell>
          <cell r="H35">
            <v>11.691770692524093</v>
          </cell>
          <cell r="I35">
            <v>5.0038244288808968</v>
          </cell>
          <cell r="J35">
            <v>12.063969261583873</v>
          </cell>
          <cell r="K35">
            <v>0</v>
          </cell>
          <cell r="L35">
            <v>0</v>
          </cell>
          <cell r="M35">
            <v>0</v>
          </cell>
          <cell r="N35">
            <v>4.3857552692253607</v>
          </cell>
          <cell r="O35">
            <v>0</v>
          </cell>
        </row>
        <row r="36">
          <cell r="B36" t="str">
            <v>BLND1SU</v>
          </cell>
          <cell r="C36" t="str">
            <v>LV 1 Rate Dmd Sth Urburn</v>
          </cell>
          <cell r="D36" t="str">
            <v>t-2</v>
          </cell>
          <cell r="E36">
            <v>1666.824600004885</v>
          </cell>
          <cell r="F36">
            <v>0</v>
          </cell>
          <cell r="G36">
            <v>16.551615646218856</v>
          </cell>
          <cell r="H36">
            <v>13.103796296031859</v>
          </cell>
          <cell r="I36">
            <v>6.5394466964810221</v>
          </cell>
          <cell r="J36">
            <v>11.832494102844336</v>
          </cell>
          <cell r="K36">
            <v>0</v>
          </cell>
          <cell r="L36">
            <v>0</v>
          </cell>
          <cell r="M36">
            <v>0</v>
          </cell>
          <cell r="N36">
            <v>4.3913110346972308</v>
          </cell>
          <cell r="O36">
            <v>0</v>
          </cell>
        </row>
        <row r="37">
          <cell r="B37">
            <v>0</v>
          </cell>
          <cell r="C37" t="str">
            <v>Tariff Trial - Grid Scale Battery</v>
          </cell>
          <cell r="D37" t="str">
            <v>t</v>
          </cell>
          <cell r="E37">
            <v>56801.708064820334</v>
          </cell>
          <cell r="F37">
            <v>0</v>
          </cell>
          <cell r="G37">
            <v>0</v>
          </cell>
          <cell r="H37">
            <v>0</v>
          </cell>
          <cell r="I37">
            <v>0</v>
          </cell>
          <cell r="J37">
            <v>0</v>
          </cell>
          <cell r="K37">
            <v>0</v>
          </cell>
          <cell r="L37">
            <v>0</v>
          </cell>
          <cell r="M37">
            <v>0</v>
          </cell>
          <cell r="N37">
            <v>0</v>
          </cell>
          <cell r="O37">
            <v>0</v>
          </cell>
        </row>
        <row r="38">
          <cell r="B38">
            <v>0</v>
          </cell>
          <cell r="C38" t="str">
            <v>Tariff Trial - Peaky Load business</v>
          </cell>
          <cell r="D38" t="str">
            <v>t</v>
          </cell>
          <cell r="E38">
            <v>56801.708064820334</v>
          </cell>
          <cell r="F38">
            <v>0</v>
          </cell>
          <cell r="G38">
            <v>0</v>
          </cell>
          <cell r="H38">
            <v>0</v>
          </cell>
          <cell r="I38">
            <v>0</v>
          </cell>
          <cell r="J38">
            <v>0</v>
          </cell>
          <cell r="K38">
            <v>0</v>
          </cell>
          <cell r="L38">
            <v>0</v>
          </cell>
          <cell r="M38">
            <v>0</v>
          </cell>
          <cell r="N38">
            <v>0</v>
          </cell>
          <cell r="O38">
            <v>0</v>
          </cell>
        </row>
        <row r="40">
          <cell r="B40" t="str">
            <v>Tariff Class C; High voltage - demand</v>
          </cell>
        </row>
        <row r="41">
          <cell r="B41" t="str">
            <v>BHND3AO</v>
          </cell>
          <cell r="C41" t="str">
            <v>HV ToU mthly Demand</v>
          </cell>
          <cell r="D41" t="str">
            <v>t-2</v>
          </cell>
          <cell r="E41">
            <v>7142.4744100649341</v>
          </cell>
          <cell r="F41">
            <v>0</v>
          </cell>
          <cell r="G41">
            <v>3.8543353149158577</v>
          </cell>
          <cell r="H41">
            <v>3.2335618341547052</v>
          </cell>
          <cell r="I41">
            <v>2.6831968995510733</v>
          </cell>
          <cell r="J41">
            <v>0</v>
          </cell>
          <cell r="K41">
            <v>9.2950109617906111</v>
          </cell>
          <cell r="L41">
            <v>8.4097718225724574</v>
          </cell>
          <cell r="M41">
            <v>2.5165938200796036</v>
          </cell>
          <cell r="N41">
            <v>0</v>
          </cell>
          <cell r="O41">
            <v>0</v>
          </cell>
        </row>
        <row r="42">
          <cell r="B42" t="str">
            <v>BHNS1AO</v>
          </cell>
          <cell r="C42" t="str">
            <v>HV ToU avg daily Demand</v>
          </cell>
          <cell r="D42" t="str">
            <v>t-2</v>
          </cell>
          <cell r="E42">
            <v>6942.2691348918124</v>
          </cell>
          <cell r="F42">
            <v>0</v>
          </cell>
          <cell r="G42">
            <v>3.7878684058435592</v>
          </cell>
          <cell r="H42">
            <v>3.2605653923864661</v>
          </cell>
          <cell r="I42">
            <v>2.6753434900661435</v>
          </cell>
          <cell r="J42">
            <v>0</v>
          </cell>
          <cell r="K42">
            <v>9.8426035094340687</v>
          </cell>
          <cell r="L42">
            <v>8.9052126990117735</v>
          </cell>
          <cell r="M42">
            <v>2.6647717301033769</v>
          </cell>
          <cell r="N42">
            <v>0</v>
          </cell>
          <cell r="O42">
            <v>0</v>
          </cell>
        </row>
        <row r="43">
          <cell r="B43" t="str">
            <v>BHND1CO</v>
          </cell>
          <cell r="C43" t="str">
            <v>HV 1 Rate Dmd Cent U</v>
          </cell>
          <cell r="D43" t="str">
            <v>t-2</v>
          </cell>
          <cell r="E43">
            <v>10249.394112742644</v>
          </cell>
          <cell r="F43">
            <v>0</v>
          </cell>
          <cell r="G43">
            <v>7.8097216814072334</v>
          </cell>
          <cell r="H43">
            <v>7.3954720289525069</v>
          </cell>
          <cell r="I43">
            <v>3.3811551672809852</v>
          </cell>
          <cell r="J43">
            <v>13.241047092028197</v>
          </cell>
          <cell r="K43">
            <v>0</v>
          </cell>
          <cell r="L43">
            <v>0</v>
          </cell>
          <cell r="M43">
            <v>0</v>
          </cell>
          <cell r="N43">
            <v>0</v>
          </cell>
          <cell r="O43">
            <v>0</v>
          </cell>
        </row>
        <row r="44">
          <cell r="B44" t="str">
            <v>BHND1SO</v>
          </cell>
          <cell r="C44" t="str">
            <v>HV 1 Rate Dmd Sth U</v>
          </cell>
          <cell r="D44" t="str">
            <v>t-2</v>
          </cell>
          <cell r="E44">
            <v>7639.8332516460305</v>
          </cell>
          <cell r="F44">
            <v>0</v>
          </cell>
          <cell r="G44">
            <v>7.116303029806712</v>
          </cell>
          <cell r="H44">
            <v>6.8045922404339771</v>
          </cell>
          <cell r="I44">
            <v>4.8129808409634975</v>
          </cell>
          <cell r="J44">
            <v>9.5622079641055713</v>
          </cell>
          <cell r="K44">
            <v>0</v>
          </cell>
          <cell r="L44">
            <v>0</v>
          </cell>
          <cell r="M44">
            <v>0</v>
          </cell>
          <cell r="N44">
            <v>3.52158482626924</v>
          </cell>
          <cell r="O44">
            <v>0</v>
          </cell>
        </row>
        <row r="47">
          <cell r="B47" t="str">
            <v>Tariff Class D; Subtransmission</v>
          </cell>
        </row>
        <row r="48">
          <cell r="B48" t="str">
            <v>BSSD3AO</v>
          </cell>
          <cell r="C48" t="str">
            <v>SUB TRANS 3 RATE DEMAND</v>
          </cell>
          <cell r="D48" t="str">
            <v>t-2</v>
          </cell>
          <cell r="E48">
            <v>7089.9569307558413</v>
          </cell>
          <cell r="F48">
            <v>0</v>
          </cell>
          <cell r="G48">
            <v>4.6365283945366613</v>
          </cell>
          <cell r="H48">
            <v>2.7706003239846932</v>
          </cell>
          <cell r="I48">
            <v>2.308851231555797</v>
          </cell>
          <cell r="J48">
            <v>0</v>
          </cell>
          <cell r="K48">
            <v>3.5869241524974123</v>
          </cell>
          <cell r="L48">
            <v>2.5571341437620796</v>
          </cell>
          <cell r="M48">
            <v>1.0193518102816665</v>
          </cell>
          <cell r="N48">
            <v>0</v>
          </cell>
          <cell r="O48">
            <v>0</v>
          </cell>
        </row>
        <row r="49">
          <cell r="B49" t="str">
            <v/>
          </cell>
          <cell r="C49" t="str">
            <v/>
          </cell>
          <cell r="D49" t="str">
            <v/>
          </cell>
          <cell r="E49">
            <v>0</v>
          </cell>
          <cell r="F49">
            <v>0</v>
          </cell>
          <cell r="G49">
            <v>0</v>
          </cell>
          <cell r="H49">
            <v>0</v>
          </cell>
          <cell r="I49">
            <v>0</v>
          </cell>
          <cell r="J49">
            <v>0</v>
          </cell>
          <cell r="K49">
            <v>0</v>
          </cell>
          <cell r="L49">
            <v>0</v>
          </cell>
          <cell r="M49">
            <v>0</v>
          </cell>
          <cell r="N49">
            <v>0</v>
          </cell>
          <cell r="O49">
            <v>0</v>
          </cell>
        </row>
        <row r="50">
          <cell r="B50" t="str">
            <v>BSS04CU</v>
          </cell>
          <cell r="C50" t="str">
            <v>Peak Gold Mines</v>
          </cell>
          <cell r="D50" t="str">
            <v>t-2</v>
          </cell>
          <cell r="E50">
            <v>554269.83381063538</v>
          </cell>
          <cell r="F50">
            <v>0</v>
          </cell>
          <cell r="G50">
            <v>0.30764602773770511</v>
          </cell>
          <cell r="H50">
            <v>0.27296427158520181</v>
          </cell>
          <cell r="I50">
            <v>0.26521980176473992</v>
          </cell>
          <cell r="J50">
            <v>6.5690275109168113</v>
          </cell>
          <cell r="K50">
            <v>0</v>
          </cell>
          <cell r="L50">
            <v>0</v>
          </cell>
          <cell r="M50">
            <v>0</v>
          </cell>
          <cell r="N50">
            <v>0</v>
          </cell>
          <cell r="O50">
            <v>0</v>
          </cell>
        </row>
        <row r="51">
          <cell r="B51" t="str">
            <v>BSS05CU</v>
          </cell>
          <cell r="C51" t="str">
            <v>Oberon Timber Complex</v>
          </cell>
          <cell r="D51" t="str">
            <v>t-2</v>
          </cell>
          <cell r="E51">
            <v>544290.51669743913</v>
          </cell>
          <cell r="F51">
            <v>0</v>
          </cell>
          <cell r="G51">
            <v>0.29541201019523633</v>
          </cell>
          <cell r="H51">
            <v>0.26634218869524168</v>
          </cell>
          <cell r="I51">
            <v>0.25927115103308079</v>
          </cell>
          <cell r="J51">
            <v>3.908516957641647</v>
          </cell>
          <cell r="K51">
            <v>0</v>
          </cell>
          <cell r="L51">
            <v>0</v>
          </cell>
          <cell r="M51">
            <v>0</v>
          </cell>
          <cell r="N51">
            <v>0</v>
          </cell>
          <cell r="O51">
            <v>0</v>
          </cell>
        </row>
        <row r="52">
          <cell r="B52" t="str">
            <v>BSS05NO</v>
          </cell>
          <cell r="C52" t="str">
            <v>Harwood Sugar</v>
          </cell>
          <cell r="D52" t="str">
            <v>t-2</v>
          </cell>
          <cell r="E52">
            <v>40127.712886957503</v>
          </cell>
          <cell r="F52">
            <v>0</v>
          </cell>
          <cell r="G52">
            <v>1.9310664840153997</v>
          </cell>
          <cell r="H52">
            <v>1.1782815697278928</v>
          </cell>
          <cell r="I52">
            <v>1.0842255449518485</v>
          </cell>
          <cell r="J52">
            <v>8.5109770006398637</v>
          </cell>
          <cell r="K52">
            <v>0</v>
          </cell>
          <cell r="L52">
            <v>0</v>
          </cell>
          <cell r="M52">
            <v>0</v>
          </cell>
          <cell r="N52">
            <v>0</v>
          </cell>
          <cell r="O52">
            <v>0</v>
          </cell>
        </row>
        <row r="53">
          <cell r="B53" t="str">
            <v>BSS06CU</v>
          </cell>
          <cell r="C53" t="str">
            <v>Fletcher International Exports</v>
          </cell>
          <cell r="D53" t="str">
            <v>t-2</v>
          </cell>
          <cell r="E53">
            <v>323697.06289650477</v>
          </cell>
          <cell r="F53">
            <v>0</v>
          </cell>
          <cell r="G53">
            <v>0.30843169858905634</v>
          </cell>
          <cell r="H53">
            <v>0.27341322635740251</v>
          </cell>
          <cell r="I53">
            <v>0.2649953243786396</v>
          </cell>
          <cell r="J53">
            <v>6.3295714298460268</v>
          </cell>
          <cell r="K53">
            <v>0</v>
          </cell>
          <cell r="L53">
            <v>0</v>
          </cell>
          <cell r="M53">
            <v>0</v>
          </cell>
          <cell r="N53">
            <v>0</v>
          </cell>
          <cell r="O53">
            <v>0</v>
          </cell>
        </row>
        <row r="54">
          <cell r="B54" t="str">
            <v>BSS08CU</v>
          </cell>
          <cell r="C54" t="str">
            <v>Cadia Mine</v>
          </cell>
          <cell r="D54" t="str">
            <v>t-2</v>
          </cell>
          <cell r="E54">
            <v>7136951.2423214139</v>
          </cell>
          <cell r="F54">
            <v>0</v>
          </cell>
          <cell r="G54">
            <v>0</v>
          </cell>
          <cell r="H54">
            <v>0</v>
          </cell>
          <cell r="I54">
            <v>0</v>
          </cell>
          <cell r="J54">
            <v>0</v>
          </cell>
          <cell r="K54">
            <v>0</v>
          </cell>
          <cell r="L54">
            <v>0</v>
          </cell>
          <cell r="M54">
            <v>0</v>
          </cell>
          <cell r="N54">
            <v>0</v>
          </cell>
          <cell r="O54">
            <v>0</v>
          </cell>
        </row>
        <row r="55">
          <cell r="B55" t="str">
            <v>BSS10CU</v>
          </cell>
          <cell r="C55" t="str">
            <v>Ulan Coal Mine Cassilis Road</v>
          </cell>
          <cell r="D55" t="str">
            <v>t-2</v>
          </cell>
          <cell r="E55">
            <v>893619.97535248753</v>
          </cell>
          <cell r="F55">
            <v>0</v>
          </cell>
          <cell r="G55">
            <v>0.2946263393438851</v>
          </cell>
          <cell r="H55">
            <v>0.2649953243786396</v>
          </cell>
          <cell r="I55">
            <v>0.2588221962608801</v>
          </cell>
          <cell r="J55">
            <v>4.0689715051335948</v>
          </cell>
          <cell r="K55">
            <v>0</v>
          </cell>
          <cell r="L55">
            <v>0</v>
          </cell>
          <cell r="M55">
            <v>0</v>
          </cell>
          <cell r="N55">
            <v>0</v>
          </cell>
          <cell r="O55">
            <v>0</v>
          </cell>
        </row>
        <row r="56">
          <cell r="B56" t="str">
            <v>BSS11CU</v>
          </cell>
          <cell r="C56" t="str">
            <v>Cobar Mine</v>
          </cell>
          <cell r="D56" t="str">
            <v>t-2</v>
          </cell>
          <cell r="E56">
            <v>547663.58353010169</v>
          </cell>
          <cell r="F56">
            <v>0</v>
          </cell>
          <cell r="G56">
            <v>0.72966351360635362</v>
          </cell>
          <cell r="H56">
            <v>0.63616868229556001</v>
          </cell>
          <cell r="I56">
            <v>0.4413223111604605</v>
          </cell>
          <cell r="J56">
            <v>8.0609730073188537</v>
          </cell>
          <cell r="K56">
            <v>0</v>
          </cell>
          <cell r="L56">
            <v>0</v>
          </cell>
          <cell r="M56">
            <v>0</v>
          </cell>
          <cell r="N56">
            <v>0</v>
          </cell>
          <cell r="O56">
            <v>0</v>
          </cell>
        </row>
        <row r="57">
          <cell r="B57" t="str">
            <v>BSS12CU</v>
          </cell>
          <cell r="C57" t="str">
            <v>Endeavor Operations Pty Ltd</v>
          </cell>
          <cell r="D57" t="str">
            <v>t-2</v>
          </cell>
          <cell r="E57">
            <v>784234.41135397856</v>
          </cell>
          <cell r="F57">
            <v>0</v>
          </cell>
          <cell r="G57">
            <v>0.51450193902917296</v>
          </cell>
          <cell r="H57">
            <v>0.39059042190178261</v>
          </cell>
          <cell r="I57">
            <v>0.36095940693653705</v>
          </cell>
          <cell r="J57">
            <v>4.165402376478001</v>
          </cell>
          <cell r="K57">
            <v>0</v>
          </cell>
          <cell r="L57">
            <v>0</v>
          </cell>
          <cell r="M57">
            <v>0</v>
          </cell>
          <cell r="N57">
            <v>0</v>
          </cell>
          <cell r="O57">
            <v>0</v>
          </cell>
        </row>
        <row r="58">
          <cell r="B58" t="str">
            <v>BSS13CU</v>
          </cell>
          <cell r="C58" t="str">
            <v>Uncle Bens-Bathurst</v>
          </cell>
          <cell r="D58" t="str">
            <v>t-2</v>
          </cell>
          <cell r="E58">
            <v>337137.02336514439</v>
          </cell>
          <cell r="F58">
            <v>0</v>
          </cell>
          <cell r="G58">
            <v>0.40069190427629808</v>
          </cell>
          <cell r="H58">
            <v>0.3261654120909836</v>
          </cell>
          <cell r="I58">
            <v>0.30820722120295596</v>
          </cell>
          <cell r="J58">
            <v>4.3797074388381638</v>
          </cell>
          <cell r="K58">
            <v>0</v>
          </cell>
          <cell r="L58">
            <v>0</v>
          </cell>
          <cell r="M58">
            <v>0</v>
          </cell>
          <cell r="N58">
            <v>0</v>
          </cell>
          <cell r="O58">
            <v>0</v>
          </cell>
        </row>
        <row r="59">
          <cell r="B59" t="str">
            <v>BSS20CU</v>
          </cell>
          <cell r="C59" t="str">
            <v>Nth Parkes Mine</v>
          </cell>
          <cell r="D59" t="str">
            <v>t-2</v>
          </cell>
          <cell r="E59">
            <v>1169649.0757451656</v>
          </cell>
          <cell r="F59">
            <v>0</v>
          </cell>
          <cell r="G59">
            <v>0.22627297527633009</v>
          </cell>
          <cell r="H59">
            <v>0.22627297527633009</v>
          </cell>
          <cell r="I59">
            <v>0.22627297527633009</v>
          </cell>
          <cell r="J59">
            <v>6.3906277963346483</v>
          </cell>
          <cell r="K59">
            <v>0</v>
          </cell>
          <cell r="L59">
            <v>0</v>
          </cell>
          <cell r="M59">
            <v>0</v>
          </cell>
          <cell r="N59">
            <v>0</v>
          </cell>
          <cell r="O59">
            <v>0</v>
          </cell>
        </row>
        <row r="60">
          <cell r="B60" t="str">
            <v>BSS25AO</v>
          </cell>
          <cell r="C60" t="str">
            <v>Tritton Mine</v>
          </cell>
          <cell r="D60" t="str">
            <v>t-2</v>
          </cell>
          <cell r="E60">
            <v>250375.55039443768</v>
          </cell>
          <cell r="F60">
            <v>0</v>
          </cell>
          <cell r="G60">
            <v>0.22627297527633009</v>
          </cell>
          <cell r="H60">
            <v>0.22627297527633009</v>
          </cell>
          <cell r="I60">
            <v>0.22627297527633009</v>
          </cell>
          <cell r="J60">
            <v>0</v>
          </cell>
          <cell r="K60">
            <v>4.2207649195515682</v>
          </cell>
          <cell r="L60">
            <v>4.090904751692519</v>
          </cell>
          <cell r="M60">
            <v>3.3755722843605493</v>
          </cell>
          <cell r="N60">
            <v>0</v>
          </cell>
          <cell r="O60">
            <v>0</v>
          </cell>
        </row>
        <row r="61">
          <cell r="B61" t="str">
            <v>BSS26AO</v>
          </cell>
          <cell r="C61" t="str">
            <v>Lake Cowal Mine</v>
          </cell>
          <cell r="D61" t="str">
            <v>t-2</v>
          </cell>
          <cell r="E61">
            <v>1057535.164331337</v>
          </cell>
          <cell r="F61">
            <v>0</v>
          </cell>
          <cell r="G61">
            <v>0.2383947541257487</v>
          </cell>
          <cell r="H61">
            <v>0.23469087725509302</v>
          </cell>
          <cell r="I61">
            <v>0.23300729685934043</v>
          </cell>
          <cell r="J61">
            <v>0</v>
          </cell>
          <cell r="K61">
            <v>1.7252813224127588</v>
          </cell>
          <cell r="L61">
            <v>1.6683763050363214</v>
          </cell>
          <cell r="M61">
            <v>1.2568099844099618</v>
          </cell>
          <cell r="N61">
            <v>0</v>
          </cell>
          <cell r="O61">
            <v>0</v>
          </cell>
        </row>
        <row r="62">
          <cell r="B62" t="str">
            <v>BSS27AO</v>
          </cell>
          <cell r="C62" t="str">
            <v>Manildra Flour Mill</v>
          </cell>
          <cell r="D62" t="str">
            <v>t-1</v>
          </cell>
          <cell r="E62">
            <v>306244.45041484619</v>
          </cell>
          <cell r="F62">
            <v>0</v>
          </cell>
          <cell r="G62">
            <v>0.48038137634192057</v>
          </cell>
          <cell r="H62">
            <v>0.48038137634192057</v>
          </cell>
          <cell r="I62">
            <v>0.48038137634192057</v>
          </cell>
          <cell r="J62">
            <v>7.4378103654234327</v>
          </cell>
          <cell r="K62">
            <v>0</v>
          </cell>
          <cell r="L62">
            <v>0</v>
          </cell>
          <cell r="M62">
            <v>0</v>
          </cell>
          <cell r="N62">
            <v>0</v>
          </cell>
          <cell r="O62">
            <v>0</v>
          </cell>
        </row>
        <row r="63">
          <cell r="B63" t="str">
            <v>CRNP1</v>
          </cell>
          <cell r="C63" t="str">
            <v>Perilya Mine, Broken Hill          </v>
          </cell>
          <cell r="D63" t="str">
            <v>t-2</v>
          </cell>
          <cell r="E63">
            <v>785851.18565983325</v>
          </cell>
          <cell r="F63">
            <v>0</v>
          </cell>
          <cell r="G63">
            <v>0.16961334495673205</v>
          </cell>
          <cell r="H63">
            <v>0.16961334495673205</v>
          </cell>
          <cell r="I63">
            <v>0.16961334495673205</v>
          </cell>
          <cell r="J63">
            <v>0</v>
          </cell>
          <cell r="K63">
            <v>0</v>
          </cell>
          <cell r="L63">
            <v>0</v>
          </cell>
          <cell r="M63">
            <v>0</v>
          </cell>
          <cell r="N63">
            <v>0</v>
          </cell>
          <cell r="O63">
            <v>11.169421841510649</v>
          </cell>
        </row>
        <row r="64">
          <cell r="B64" t="str">
            <v>CRNP2</v>
          </cell>
          <cell r="C64" t="str">
            <v>Bemax and Snapper      </v>
          </cell>
          <cell r="D64" t="str">
            <v>t-2</v>
          </cell>
          <cell r="E64">
            <v>337970.25866245653</v>
          </cell>
          <cell r="F64">
            <v>0</v>
          </cell>
          <cell r="G64">
            <v>2.9126392044647997</v>
          </cell>
          <cell r="H64">
            <v>2.9126392044647997</v>
          </cell>
          <cell r="I64">
            <v>0.78931201604874479</v>
          </cell>
          <cell r="J64">
            <v>0</v>
          </cell>
          <cell r="K64">
            <v>0</v>
          </cell>
          <cell r="L64">
            <v>0</v>
          </cell>
          <cell r="M64">
            <v>0</v>
          </cell>
          <cell r="N64">
            <v>0</v>
          </cell>
          <cell r="O64">
            <v>3.2371070816617364</v>
          </cell>
        </row>
        <row r="65">
          <cell r="B65" t="str">
            <v>BSS21SU</v>
          </cell>
          <cell r="C65" t="str">
            <v>IDT Blowering Dam</v>
          </cell>
          <cell r="D65" t="str">
            <v>t-2</v>
          </cell>
          <cell r="E65">
            <v>0</v>
          </cell>
          <cell r="F65">
            <v>0</v>
          </cell>
          <cell r="G65">
            <v>2.655020587685228</v>
          </cell>
          <cell r="H65">
            <v>2.655020587685228</v>
          </cell>
          <cell r="I65">
            <v>1.316497765009832</v>
          </cell>
          <cell r="J65">
            <v>0</v>
          </cell>
          <cell r="K65">
            <v>0</v>
          </cell>
          <cell r="L65">
            <v>0</v>
          </cell>
          <cell r="M65">
            <v>0</v>
          </cell>
          <cell r="N65">
            <v>0</v>
          </cell>
          <cell r="O65">
            <v>0</v>
          </cell>
        </row>
        <row r="66">
          <cell r="B66" t="str">
            <v>BSS22SU</v>
          </cell>
          <cell r="C66" t="str">
            <v>IDT Cabramurra Aux</v>
          </cell>
          <cell r="D66" t="str">
            <v>t-2</v>
          </cell>
          <cell r="E66">
            <v>0</v>
          </cell>
          <cell r="F66">
            <v>0</v>
          </cell>
          <cell r="G66">
            <v>5.4816910049458833</v>
          </cell>
          <cell r="H66">
            <v>5.4816910049458833</v>
          </cell>
          <cell r="I66">
            <v>2.6100603460042833</v>
          </cell>
          <cell r="J66">
            <v>0</v>
          </cell>
          <cell r="K66">
            <v>0</v>
          </cell>
          <cell r="L66">
            <v>0</v>
          </cell>
          <cell r="M66">
            <v>0</v>
          </cell>
          <cell r="N66">
            <v>0</v>
          </cell>
          <cell r="O66">
            <v>0</v>
          </cell>
        </row>
        <row r="67">
          <cell r="B67" t="str">
            <v>BSS24NU</v>
          </cell>
          <cell r="C67" t="str">
            <v>Kirra - IDC</v>
          </cell>
          <cell r="D67" t="str">
            <v>t-2</v>
          </cell>
          <cell r="E67">
            <v>108375.55372161766</v>
          </cell>
          <cell r="F67">
            <v>0</v>
          </cell>
          <cell r="G67">
            <v>0.35086266684224726</v>
          </cell>
          <cell r="H67">
            <v>0.20220997052324152</v>
          </cell>
          <cell r="I67">
            <v>0.1664495857873054</v>
          </cell>
          <cell r="J67">
            <v>0</v>
          </cell>
          <cell r="K67">
            <v>5.8358287065997336</v>
          </cell>
          <cell r="L67">
            <v>4.2172400487591926</v>
          </cell>
          <cell r="M67">
            <v>1.6062424016050223</v>
          </cell>
          <cell r="N67">
            <v>0</v>
          </cell>
          <cell r="O67">
            <v>0</v>
          </cell>
        </row>
        <row r="68">
          <cell r="B68" t="str">
            <v/>
          </cell>
          <cell r="C68" t="str">
            <v/>
          </cell>
          <cell r="D68" t="str">
            <v/>
          </cell>
          <cell r="E68">
            <v>0</v>
          </cell>
          <cell r="F68">
            <v>0</v>
          </cell>
          <cell r="G68">
            <v>0</v>
          </cell>
          <cell r="H68">
            <v>0</v>
          </cell>
          <cell r="I68">
            <v>0</v>
          </cell>
          <cell r="J68">
            <v>0</v>
          </cell>
          <cell r="K68">
            <v>0</v>
          </cell>
          <cell r="L68">
            <v>0</v>
          </cell>
          <cell r="M68">
            <v>0</v>
          </cell>
          <cell r="N68">
            <v>0</v>
          </cell>
          <cell r="O68">
            <v>0</v>
          </cell>
        </row>
        <row r="69">
          <cell r="B69" t="str">
            <v/>
          </cell>
          <cell r="C69" t="str">
            <v/>
          </cell>
          <cell r="D69" t="str">
            <v/>
          </cell>
          <cell r="E69">
            <v>0</v>
          </cell>
          <cell r="F69">
            <v>0</v>
          </cell>
          <cell r="G69">
            <v>0</v>
          </cell>
          <cell r="H69">
            <v>0</v>
          </cell>
          <cell r="I69">
            <v>0</v>
          </cell>
          <cell r="J69">
            <v>0</v>
          </cell>
          <cell r="K69">
            <v>0</v>
          </cell>
          <cell r="L69">
            <v>0</v>
          </cell>
          <cell r="M69">
            <v>0</v>
          </cell>
          <cell r="N69">
            <v>0</v>
          </cell>
          <cell r="O69">
            <v>0</v>
          </cell>
        </row>
        <row r="70">
          <cell r="B70" t="str">
            <v/>
          </cell>
          <cell r="C70" t="str">
            <v/>
          </cell>
          <cell r="D70" t="str">
            <v/>
          </cell>
          <cell r="E70">
            <v>0</v>
          </cell>
          <cell r="F70">
            <v>0</v>
          </cell>
          <cell r="G70">
            <v>0</v>
          </cell>
          <cell r="H70">
            <v>0</v>
          </cell>
          <cell r="I70">
            <v>0</v>
          </cell>
          <cell r="J70">
            <v>0</v>
          </cell>
          <cell r="K70">
            <v>0</v>
          </cell>
          <cell r="L70">
            <v>0</v>
          </cell>
          <cell r="M70">
            <v>0</v>
          </cell>
          <cell r="N70">
            <v>0</v>
          </cell>
          <cell r="O70">
            <v>0</v>
          </cell>
        </row>
        <row r="71">
          <cell r="B71" t="str">
            <v>Tariff Class E; unmetered</v>
          </cell>
        </row>
        <row r="72">
          <cell r="B72" t="str">
            <v>BLNP1AO</v>
          </cell>
          <cell r="C72" t="str">
            <v>LV Public Lighting NUOS</v>
          </cell>
          <cell r="D72" t="str">
            <v>t-2</v>
          </cell>
          <cell r="E72">
            <v>332.66661192614254</v>
          </cell>
          <cell r="F72">
            <v>16.862534446216728</v>
          </cell>
          <cell r="G72">
            <v>0</v>
          </cell>
          <cell r="H72">
            <v>0</v>
          </cell>
          <cell r="I72">
            <v>0</v>
          </cell>
          <cell r="J72">
            <v>0</v>
          </cell>
          <cell r="K72">
            <v>0</v>
          </cell>
          <cell r="L72">
            <v>0</v>
          </cell>
          <cell r="M72">
            <v>0</v>
          </cell>
          <cell r="N72">
            <v>0</v>
          </cell>
          <cell r="O72">
            <v>0</v>
          </cell>
        </row>
        <row r="73">
          <cell r="B73" t="str">
            <v>BLNP3AO</v>
          </cell>
          <cell r="C73" t="str">
            <v>LV Public Lighting ToU NUOS</v>
          </cell>
          <cell r="D73" t="str">
            <v>t-2</v>
          </cell>
          <cell r="E73">
            <v>0</v>
          </cell>
          <cell r="F73">
            <v>0</v>
          </cell>
          <cell r="G73">
            <v>18.847245302254958</v>
          </cell>
          <cell r="H73">
            <v>14.833761519731446</v>
          </cell>
          <cell r="I73">
            <v>7.4336146437936721</v>
          </cell>
          <cell r="J73">
            <v>0</v>
          </cell>
          <cell r="K73">
            <v>0</v>
          </cell>
          <cell r="L73">
            <v>0</v>
          </cell>
          <cell r="M73">
            <v>0</v>
          </cell>
          <cell r="N73">
            <v>0</v>
          </cell>
          <cell r="O73">
            <v>0</v>
          </cell>
        </row>
      </sheetData>
      <sheetData sheetId="8"/>
      <sheetData sheetId="9"/>
      <sheetData sheetId="10">
        <row r="10">
          <cell r="B10" t="str">
            <v>BLNN2AU</v>
          </cell>
          <cell r="C10" t="str">
            <v>LV Residential Anytime</v>
          </cell>
          <cell r="D10" t="str">
            <v>t-2</v>
          </cell>
          <cell r="E10">
            <v>332.66661192614254</v>
          </cell>
          <cell r="F10">
            <v>8.548793394210465</v>
          </cell>
        </row>
        <row r="11">
          <cell r="B11" t="str">
            <v>BLNT3AU</v>
          </cell>
          <cell r="C11" t="str">
            <v>LV Residential ToU</v>
          </cell>
          <cell r="D11" t="str">
            <v>t-2</v>
          </cell>
          <cell r="E11">
            <v>332.66661192614254</v>
          </cell>
          <cell r="G11">
            <v>11.412208324436584</v>
          </cell>
          <cell r="H11">
            <v>9.1576008243870657</v>
          </cell>
          <cell r="I11">
            <v>2.7518149179440861</v>
          </cell>
        </row>
        <row r="12">
          <cell r="B12" t="str">
            <v>BLNT3AL</v>
          </cell>
          <cell r="C12" t="str">
            <v>LV Residential ToU_Interval meter</v>
          </cell>
          <cell r="D12" t="str">
            <v>t-2</v>
          </cell>
          <cell r="E12">
            <v>332.66661192614254</v>
          </cell>
          <cell r="G12">
            <v>11.982818740658409</v>
          </cell>
          <cell r="H12">
            <v>8.6997207831677095</v>
          </cell>
          <cell r="I12">
            <v>2.7518149179440861</v>
          </cell>
        </row>
        <row r="13">
          <cell r="B13" t="str">
            <v>BLND1AR</v>
          </cell>
          <cell r="C13" t="str">
            <v>Small Residential-Opt in Demand</v>
          </cell>
          <cell r="D13" t="str">
            <v>t-2</v>
          </cell>
          <cell r="E13">
            <v>332.66661192614254</v>
          </cell>
          <cell r="G13">
            <v>0.9304893741649819</v>
          </cell>
          <cell r="H13">
            <v>0.51578552169384306</v>
          </cell>
          <cell r="I13">
            <v>0.27400653729198882</v>
          </cell>
          <cell r="K13">
            <v>4.1959723392553094</v>
          </cell>
        </row>
        <row r="14">
          <cell r="B14" t="str">
            <v>BLNC1AU</v>
          </cell>
          <cell r="C14" t="str">
            <v>Energy Saver 1</v>
          </cell>
          <cell r="D14" t="str">
            <v>t-2</v>
          </cell>
          <cell r="E14">
            <v>34.84455807301714</v>
          </cell>
          <cell r="F14">
            <v>0.38773021052965578</v>
          </cell>
        </row>
        <row r="15">
          <cell r="B15" t="str">
            <v>BLNC2AU</v>
          </cell>
          <cell r="C15" t="str">
            <v>Energy Saver 2</v>
          </cell>
          <cell r="D15" t="str">
            <v>t-2</v>
          </cell>
          <cell r="E15">
            <v>34.84455807301714</v>
          </cell>
          <cell r="F15">
            <v>2.5869871071287216</v>
          </cell>
        </row>
        <row r="16">
          <cell r="B16" t="str">
            <v>BLNN1AU</v>
          </cell>
          <cell r="C16" t="str">
            <v>LV Small business Anytime</v>
          </cell>
          <cell r="D16" t="str">
            <v>t-2</v>
          </cell>
          <cell r="E16">
            <v>332.66661192614254</v>
          </cell>
          <cell r="F16">
            <v>12.317518839754579</v>
          </cell>
          <cell r="G16">
            <v>0</v>
          </cell>
          <cell r="H16">
            <v>0</v>
          </cell>
          <cell r="I16">
            <v>0</v>
          </cell>
        </row>
        <row r="17">
          <cell r="B17" t="str">
            <v>BLNT2AU</v>
          </cell>
          <cell r="C17" t="str">
            <v>LV ToU &lt; 100MWh</v>
          </cell>
          <cell r="D17" t="str">
            <v>t-2</v>
          </cell>
          <cell r="E17">
            <v>1507.0057296578884</v>
          </cell>
          <cell r="G17">
            <v>11.919766293819128</v>
          </cell>
          <cell r="H17">
            <v>9.5648851243843929</v>
          </cell>
          <cell r="I17">
            <v>4.4819447629828444</v>
          </cell>
        </row>
        <row r="18">
          <cell r="B18" t="str">
            <v>BLNT2AL</v>
          </cell>
          <cell r="C18" t="str">
            <v>LV Business ToU_Interval meter</v>
          </cell>
          <cell r="D18" t="str">
            <v>t-2</v>
          </cell>
          <cell r="E18">
            <v>569.08031697609533</v>
          </cell>
          <cell r="G18">
            <v>12.515754608510088</v>
          </cell>
          <cell r="H18">
            <v>9.0866408681651762</v>
          </cell>
          <cell r="I18">
            <v>4.2578475248337018</v>
          </cell>
        </row>
        <row r="19">
          <cell r="B19" t="str">
            <v>BLNT1AO</v>
          </cell>
          <cell r="C19" t="str">
            <v>LV ToU &gt; 100 MWh/yr</v>
          </cell>
          <cell r="D19" t="str">
            <v>t-2</v>
          </cell>
          <cell r="E19">
            <v>1507.0057296578884</v>
          </cell>
          <cell r="G19">
            <v>11.919766293819128</v>
          </cell>
          <cell r="H19">
            <v>9.5648851243843929</v>
          </cell>
          <cell r="I19">
            <v>4.4819447629828444</v>
          </cell>
        </row>
        <row r="20">
          <cell r="B20" t="str">
            <v>BLND1AB</v>
          </cell>
          <cell r="C20" t="str">
            <v>Small business-Opt in Demand</v>
          </cell>
          <cell r="D20" t="str">
            <v>t-2</v>
          </cell>
          <cell r="E20">
            <v>569.08031697609533</v>
          </cell>
          <cell r="G20">
            <v>3.3177599999999994</v>
          </cell>
          <cell r="H20">
            <v>2.0735999999999999</v>
          </cell>
          <cell r="I20">
            <v>0.77759999999999985</v>
          </cell>
          <cell r="K20">
            <v>6.8184550512898783</v>
          </cell>
        </row>
        <row r="21">
          <cell r="B21" t="str">
            <v>BLNT1SU</v>
          </cell>
          <cell r="C21" t="str">
            <v>LV ToU &gt; 100 MWh/yr Sth U</v>
          </cell>
          <cell r="D21" t="str">
            <v>t-2</v>
          </cell>
          <cell r="E21">
            <v>2712.9929371193334</v>
          </cell>
          <cell r="G21">
            <v>13.325663060996499</v>
          </cell>
          <cell r="H21">
            <v>10.063855727937664</v>
          </cell>
          <cell r="I21">
            <v>4.811993897862231</v>
          </cell>
        </row>
        <row r="22">
          <cell r="B22" t="str">
            <v>BLTTSS2</v>
          </cell>
          <cell r="C22" t="str">
            <v>Tariff Trial - Sun soaker Residential</v>
          </cell>
          <cell r="D22" t="str">
            <v>t-1</v>
          </cell>
          <cell r="E22">
            <v>332.66661192614254</v>
          </cell>
          <cell r="G22">
            <v>10.341269761913059</v>
          </cell>
          <cell r="H22">
            <v>0</v>
          </cell>
          <cell r="I22">
            <v>2.7518149179440861</v>
          </cell>
        </row>
        <row r="23">
          <cell r="B23" t="str">
            <v>BLTTSS1</v>
          </cell>
          <cell r="C23" t="str">
            <v>Tariff Trial - Sun soaker Small Business</v>
          </cell>
          <cell r="D23" t="str">
            <v>t-1</v>
          </cell>
          <cell r="E23">
            <v>569.08031697609533</v>
          </cell>
          <cell r="G23">
            <v>10.801197738337631</v>
          </cell>
          <cell r="H23">
            <v>0</v>
          </cell>
          <cell r="I23">
            <v>4.2578475248337018</v>
          </cell>
        </row>
        <row r="24">
          <cell r="B24" t="str">
            <v>BLTTEX1</v>
          </cell>
          <cell r="C24" t="str">
            <v>Tariff Trial - Export charge</v>
          </cell>
          <cell r="D24" t="str">
            <v>t</v>
          </cell>
          <cell r="G24">
            <v>-11.982818740658409</v>
          </cell>
          <cell r="N24">
            <v>1.05</v>
          </cell>
        </row>
        <row r="25">
          <cell r="B25" t="str">
            <v>BLTTEX1</v>
          </cell>
          <cell r="C25" t="str">
            <v>Tariff Trial - Export charge sml business</v>
          </cell>
          <cell r="D25" t="str">
            <v>t</v>
          </cell>
          <cell r="G25">
            <v>-12.515754608510088</v>
          </cell>
          <cell r="N25">
            <v>1.05</v>
          </cell>
        </row>
        <row r="26">
          <cell r="B26" t="str">
            <v>TTPTR</v>
          </cell>
          <cell r="C26" t="str">
            <v>Tariff Trial - Critical Peak Rebate</v>
          </cell>
          <cell r="D26" t="str">
            <v>t</v>
          </cell>
          <cell r="G26">
            <v>-200</v>
          </cell>
        </row>
        <row r="27">
          <cell r="B27" t="str">
            <v>TTCPP</v>
          </cell>
          <cell r="C27" t="str">
            <v>Tariff Trial  - Critical Peak Charge</v>
          </cell>
          <cell r="D27" t="str">
            <v>t</v>
          </cell>
          <cell r="G27">
            <v>200</v>
          </cell>
        </row>
        <row r="29">
          <cell r="B29" t="str">
            <v>Tariff Class B; Low voltage - Large Business</v>
          </cell>
        </row>
        <row r="30">
          <cell r="B30" t="str">
            <v>BLND3AO</v>
          </cell>
          <cell r="C30" t="str">
            <v>LV ToU Demand 3 Rate</v>
          </cell>
          <cell r="D30" t="str">
            <v>t-2</v>
          </cell>
          <cell r="E30">
            <v>5770.1133206088152</v>
          </cell>
          <cell r="G30">
            <v>0.849173292559949</v>
          </cell>
          <cell r="H30">
            <v>0.65468780093004664</v>
          </cell>
          <cell r="I30">
            <v>0.18667407795599839</v>
          </cell>
          <cell r="K30">
            <v>10.225739747083937</v>
          </cell>
          <cell r="L30">
            <v>9.2518597711711781</v>
          </cell>
          <cell r="M30">
            <v>2.306364538136993</v>
          </cell>
        </row>
        <row r="31">
          <cell r="B31" t="str">
            <v>BLND3TO</v>
          </cell>
          <cell r="C31" t="str">
            <v>LV ToU Demand-alternate tariff</v>
          </cell>
          <cell r="D31" t="str">
            <v>t-2</v>
          </cell>
          <cell r="E31">
            <v>5770.1133206088152</v>
          </cell>
          <cell r="G31">
            <v>10.559296026782761</v>
          </cell>
          <cell r="H31">
            <v>8.1409087588040805</v>
          </cell>
          <cell r="I31">
            <v>2.6607094714506068</v>
          </cell>
          <cell r="K31">
            <v>12.513353445051905</v>
          </cell>
        </row>
        <row r="32">
          <cell r="B32" t="str">
            <v>BLNDTRS</v>
          </cell>
          <cell r="C32" t="str">
            <v>Transitional Demand</v>
          </cell>
          <cell r="D32" t="str">
            <v>t-2</v>
          </cell>
          <cell r="E32">
            <v>5770.1133206088152</v>
          </cell>
          <cell r="G32">
            <v>0.849173292559949</v>
          </cell>
          <cell r="H32">
            <v>0.65468780093004664</v>
          </cell>
          <cell r="I32">
            <v>0.18667407795599839</v>
          </cell>
          <cell r="K32">
            <v>10.225739747083937</v>
          </cell>
          <cell r="L32">
            <v>9.2518597711711781</v>
          </cell>
          <cell r="M32">
            <v>2.306364538136993</v>
          </cell>
        </row>
        <row r="33">
          <cell r="B33" t="str">
            <v>BLNS1AO</v>
          </cell>
          <cell r="C33" t="str">
            <v>LV ToU avg daily Demand</v>
          </cell>
          <cell r="D33" t="str">
            <v>t-2</v>
          </cell>
          <cell r="E33">
            <v>6195.0228209114284</v>
          </cell>
          <cell r="G33">
            <v>0.49144969695485613</v>
          </cell>
          <cell r="H33">
            <v>0.37889335920724143</v>
          </cell>
          <cell r="I33">
            <v>6.0850462339519969E-2</v>
          </cell>
          <cell r="K33">
            <v>12.216571277729495</v>
          </cell>
          <cell r="L33">
            <v>11.053088298898112</v>
          </cell>
          <cell r="M33">
            <v>2.8249324234947673</v>
          </cell>
        </row>
        <row r="34">
          <cell r="B34" t="str">
            <v>BLND1CO</v>
          </cell>
          <cell r="C34" t="str">
            <v>LV 1 Rate Dmd Cent</v>
          </cell>
          <cell r="D34" t="str">
            <v>t-2</v>
          </cell>
          <cell r="E34">
            <v>7987.556921662047</v>
          </cell>
          <cell r="G34">
            <v>2.2068899282056655</v>
          </cell>
          <cell r="H34">
            <v>1.7014476628628019</v>
          </cell>
          <cell r="I34">
            <v>0.35500159728875946</v>
          </cell>
          <cell r="J34">
            <v>18.163497905572672</v>
          </cell>
        </row>
        <row r="35">
          <cell r="B35" t="str">
            <v>BLND1SR</v>
          </cell>
          <cell r="C35" t="str">
            <v>LV 1 Rate Dmd Sth Rural</v>
          </cell>
          <cell r="D35" t="str">
            <v>t-2</v>
          </cell>
          <cell r="E35">
            <v>6195.0228209114284</v>
          </cell>
          <cell r="G35">
            <v>8.7531437440746416</v>
          </cell>
          <cell r="H35">
            <v>6.7484181135245285</v>
          </cell>
          <cell r="I35">
            <v>2.0437236281351177</v>
          </cell>
          <cell r="J35">
            <v>12.063969261583873</v>
          </cell>
          <cell r="N35">
            <v>4.3857552692253607</v>
          </cell>
        </row>
        <row r="36">
          <cell r="B36" t="str">
            <v>BLND1SU</v>
          </cell>
          <cell r="C36" t="str">
            <v>LV 1 Rate Dmd Sth Urburn</v>
          </cell>
          <cell r="D36" t="str">
            <v>t-2</v>
          </cell>
          <cell r="E36">
            <v>1666.824600004885</v>
          </cell>
          <cell r="G36">
            <v>10.584634157071896</v>
          </cell>
          <cell r="H36">
            <v>8.1604437170322957</v>
          </cell>
          <cell r="I36">
            <v>3.5793458957352429</v>
          </cell>
          <cell r="J36">
            <v>11.832494102844336</v>
          </cell>
          <cell r="N36">
            <v>4.3913110346972308</v>
          </cell>
        </row>
        <row r="37">
          <cell r="C37" t="str">
            <v>Tariff Trial - Grid Scale Battery</v>
          </cell>
          <cell r="D37" t="str">
            <v>t</v>
          </cell>
          <cell r="E37">
            <v>40630.863640205833</v>
          </cell>
        </row>
        <row r="38">
          <cell r="C38" t="str">
            <v>Tariff Trial - Peaky Load business</v>
          </cell>
          <cell r="D38" t="str">
            <v>t</v>
          </cell>
          <cell r="E38">
            <v>40630.863640205833</v>
          </cell>
        </row>
        <row r="40">
          <cell r="B40" t="str">
            <v>Tariff Class C; High voltage - demand</v>
          </cell>
        </row>
        <row r="41">
          <cell r="B41" t="str">
            <v>BHND3AO</v>
          </cell>
          <cell r="C41" t="str">
            <v>HV ToU mthly Demand</v>
          </cell>
          <cell r="D41" t="str">
            <v>t-2</v>
          </cell>
          <cell r="E41">
            <v>7142.4744100649341</v>
          </cell>
          <cell r="G41">
            <v>0.65131591978724768</v>
          </cell>
          <cell r="H41">
            <v>0.50214554670081146</v>
          </cell>
          <cell r="I41">
            <v>0.28017631518133845</v>
          </cell>
          <cell r="K41">
            <v>9.2950109617906111</v>
          </cell>
          <cell r="L41">
            <v>8.4097718225724574</v>
          </cell>
          <cell r="M41">
            <v>2.5165938200796036</v>
          </cell>
        </row>
        <row r="42">
          <cell r="B42" t="str">
            <v>BHNS1AO</v>
          </cell>
          <cell r="C42" t="str">
            <v>HV ToU avg daily Demand</v>
          </cell>
          <cell r="D42" t="str">
            <v>t-2</v>
          </cell>
          <cell r="E42">
            <v>6942.2691348918124</v>
          </cell>
          <cell r="G42">
            <v>0.58484901071494855</v>
          </cell>
          <cell r="H42">
            <v>0.52914910493257239</v>
          </cell>
          <cell r="I42">
            <v>0.27232290569640888</v>
          </cell>
          <cell r="K42">
            <v>9.8426035094340687</v>
          </cell>
          <cell r="L42">
            <v>8.9052126990117735</v>
          </cell>
          <cell r="M42">
            <v>2.6647717301033769</v>
          </cell>
        </row>
        <row r="43">
          <cell r="B43" t="str">
            <v>BHND1CO</v>
          </cell>
          <cell r="C43" t="str">
            <v>HV 1 Rate Dmd Cent U</v>
          </cell>
          <cell r="D43" t="str">
            <v>t-2</v>
          </cell>
          <cell r="E43">
            <v>10249.394112742644</v>
          </cell>
          <cell r="G43">
            <v>2.8013616183890222</v>
          </cell>
          <cell r="H43">
            <v>2.3871119659342948</v>
          </cell>
          <cell r="I43">
            <v>0.53963570756957302</v>
          </cell>
          <cell r="J43">
            <v>13.241047092028197</v>
          </cell>
        </row>
        <row r="44">
          <cell r="B44" t="str">
            <v>BHND1SO</v>
          </cell>
          <cell r="C44" t="str">
            <v>HV 1 Rate Dmd Sth U</v>
          </cell>
          <cell r="D44" t="str">
            <v>t-2</v>
          </cell>
          <cell r="E44">
            <v>7639.8332516460305</v>
          </cell>
          <cell r="G44">
            <v>2.1079429667885003</v>
          </cell>
          <cell r="H44">
            <v>1.7962321774157652</v>
          </cell>
          <cell r="I44">
            <v>1.9714613812520851</v>
          </cell>
          <cell r="J44">
            <v>9.5622079641055713</v>
          </cell>
          <cell r="N44">
            <v>3.52158482626924</v>
          </cell>
        </row>
        <row r="47">
          <cell r="B47" t="str">
            <v>Tariff Class D; Subtransmission</v>
          </cell>
        </row>
        <row r="48">
          <cell r="B48" t="str">
            <v>BSSD3AO</v>
          </cell>
          <cell r="C48" t="str">
            <v>SUB TRANS 3 RATE DEMAND</v>
          </cell>
          <cell r="D48" t="str">
            <v>t-2</v>
          </cell>
          <cell r="E48">
            <v>7089.9569307558413</v>
          </cell>
          <cell r="G48">
            <v>0.23204737252190161</v>
          </cell>
          <cell r="H48">
            <v>0.1139814618652311</v>
          </cell>
          <cell r="I48">
            <v>0.10168825590345626</v>
          </cell>
          <cell r="K48">
            <v>3.5869241524974123</v>
          </cell>
          <cell r="L48">
            <v>2.5571341437620796</v>
          </cell>
          <cell r="M48">
            <v>1.0193518102816665</v>
          </cell>
        </row>
        <row r="50">
          <cell r="B50" t="str">
            <v>BSS04CU</v>
          </cell>
          <cell r="C50" t="str">
            <v>Peak Gold Mines</v>
          </cell>
          <cell r="D50" t="str">
            <v>t-2</v>
          </cell>
          <cell r="E50">
            <v>385406.85446269886</v>
          </cell>
          <cell r="G50">
            <v>8.1373052461375037E-2</v>
          </cell>
          <cell r="H50">
            <v>4.6691296308871748E-2</v>
          </cell>
          <cell r="I50">
            <v>3.8946826488409844E-2</v>
          </cell>
          <cell r="J50">
            <v>3.7236308806325225</v>
          </cell>
        </row>
        <row r="51">
          <cell r="B51" t="str">
            <v>BSS05CU</v>
          </cell>
          <cell r="C51" t="str">
            <v>Oberon Timber Complex</v>
          </cell>
          <cell r="D51" t="str">
            <v>t-2</v>
          </cell>
          <cell r="E51">
            <v>247182.27320868504</v>
          </cell>
          <cell r="G51">
            <v>6.9139034918906245E-2</v>
          </cell>
          <cell r="H51">
            <v>4.0069213418911578E-2</v>
          </cell>
          <cell r="I51">
            <v>3.2998175756750701E-2</v>
          </cell>
          <cell r="J51">
            <v>1.6688771269630145</v>
          </cell>
        </row>
        <row r="52">
          <cell r="B52" t="str">
            <v>BSS05NO</v>
          </cell>
          <cell r="C52" t="str">
            <v>Harwood Sugar</v>
          </cell>
          <cell r="D52" t="str">
            <v>t-2</v>
          </cell>
          <cell r="E52">
            <v>262.78231950320082</v>
          </cell>
          <cell r="G52">
            <v>1.7047935087390695</v>
          </cell>
          <cell r="H52">
            <v>0.95200859445156272</v>
          </cell>
          <cell r="I52">
            <v>0.85795256967551836</v>
          </cell>
          <cell r="J52">
            <v>3.4816442584163503</v>
          </cell>
        </row>
        <row r="53">
          <cell r="B53" t="str">
            <v>BSS06CU</v>
          </cell>
          <cell r="C53" t="str">
            <v>Fletcher International Exports</v>
          </cell>
          <cell r="D53" t="str">
            <v>t-2</v>
          </cell>
          <cell r="E53">
            <v>221573.51453348467</v>
          </cell>
          <cell r="G53">
            <v>8.2158723312726264E-2</v>
          </cell>
          <cell r="H53">
            <v>4.7140251081072441E-2</v>
          </cell>
          <cell r="I53">
            <v>3.8722349102309511E-2</v>
          </cell>
          <cell r="J53">
            <v>3.1073282170940248</v>
          </cell>
        </row>
        <row r="54">
          <cell r="B54" t="str">
            <v>BSS08CU</v>
          </cell>
          <cell r="C54" t="str">
            <v>Cadia Mine</v>
          </cell>
          <cell r="D54" t="str">
            <v>t-2</v>
          </cell>
          <cell r="E54">
            <v>221944.99045558635</v>
          </cell>
          <cell r="G54">
            <v>0</v>
          </cell>
          <cell r="H54">
            <v>0</v>
          </cell>
          <cell r="I54">
            <v>0</v>
          </cell>
          <cell r="J54">
            <v>0</v>
          </cell>
        </row>
        <row r="55">
          <cell r="B55" t="str">
            <v>BSS10CU</v>
          </cell>
          <cell r="C55" t="str">
            <v>Ulan Coal Mine Cassilis Road</v>
          </cell>
          <cell r="D55" t="str">
            <v>t-2</v>
          </cell>
          <cell r="E55">
            <v>245990.17190772382</v>
          </cell>
          <cell r="G55">
            <v>6.8353364067555031E-2</v>
          </cell>
          <cell r="H55">
            <v>3.8722349102309511E-2</v>
          </cell>
          <cell r="I55">
            <v>3.2549220984550022E-2</v>
          </cell>
          <cell r="J55">
            <v>0.1982135319266046</v>
          </cell>
        </row>
        <row r="56">
          <cell r="B56" t="str">
            <v>BSS11CU</v>
          </cell>
          <cell r="C56" t="str">
            <v>Cobar Mine</v>
          </cell>
          <cell r="D56" t="str">
            <v>t-2</v>
          </cell>
          <cell r="E56">
            <v>3081.71736763645</v>
          </cell>
          <cell r="G56">
            <v>0.50339053833002356</v>
          </cell>
          <cell r="H56">
            <v>0.40989570701922995</v>
          </cell>
          <cell r="I56">
            <v>0.21504933588413044</v>
          </cell>
          <cell r="J56">
            <v>4.9306457856940762</v>
          </cell>
        </row>
        <row r="57">
          <cell r="B57" t="str">
            <v>BSS12CU</v>
          </cell>
          <cell r="C57" t="str">
            <v>Endeavor Operations Pty Ltd</v>
          </cell>
          <cell r="D57" t="str">
            <v>t-2</v>
          </cell>
          <cell r="E57">
            <v>784234.41135397856</v>
          </cell>
          <cell r="G57">
            <v>0.28822896375284285</v>
          </cell>
          <cell r="H57">
            <v>0.16431744662545253</v>
          </cell>
          <cell r="I57">
            <v>0.13468643166020697</v>
          </cell>
          <cell r="J57">
            <v>4.165402376478001</v>
          </cell>
        </row>
        <row r="58">
          <cell r="B58" t="str">
            <v>BSS13CU</v>
          </cell>
          <cell r="C58" t="str">
            <v>Uncle Bens-Bathurst</v>
          </cell>
          <cell r="D58" t="str">
            <v>t-2</v>
          </cell>
          <cell r="E58">
            <v>275645.37678057287</v>
          </cell>
          <cell r="G58">
            <v>0.17441892899996803</v>
          </cell>
          <cell r="H58">
            <v>9.9892436814653499E-2</v>
          </cell>
          <cell r="I58">
            <v>8.1934245926625904E-2</v>
          </cell>
          <cell r="J58">
            <v>0.92832623021797644</v>
          </cell>
        </row>
        <row r="59">
          <cell r="B59" t="str">
            <v>BSS20CU</v>
          </cell>
          <cell r="C59" t="str">
            <v>Nth Parkes Mine</v>
          </cell>
          <cell r="D59" t="str">
            <v>t-2</v>
          </cell>
          <cell r="E59">
            <v>270271.59276846802</v>
          </cell>
          <cell r="G59">
            <v>0</v>
          </cell>
          <cell r="H59">
            <v>0</v>
          </cell>
          <cell r="I59">
            <v>0</v>
          </cell>
          <cell r="J59">
            <v>0.92899966237627751</v>
          </cell>
        </row>
        <row r="60">
          <cell r="B60" t="str">
            <v>BSS25AO</v>
          </cell>
          <cell r="C60" t="str">
            <v>Tritton Mine</v>
          </cell>
          <cell r="D60" t="str">
            <v>t-2</v>
          </cell>
          <cell r="E60">
            <v>3651.1452246029385</v>
          </cell>
          <cell r="G60">
            <v>0</v>
          </cell>
          <cell r="H60">
            <v>0</v>
          </cell>
          <cell r="I60">
            <v>0</v>
          </cell>
          <cell r="J60">
            <v>0</v>
          </cell>
          <cell r="K60">
            <v>2.9316746624705043</v>
          </cell>
          <cell r="L60">
            <v>2.8018144946114556</v>
          </cell>
          <cell r="M60">
            <v>2.4087545915497515</v>
          </cell>
        </row>
        <row r="61">
          <cell r="B61" t="str">
            <v>BSS26AO</v>
          </cell>
          <cell r="C61" t="str">
            <v>Lake Cowal Mine</v>
          </cell>
          <cell r="D61" t="str">
            <v>t-2</v>
          </cell>
          <cell r="E61">
            <v>115473.48379216462</v>
          </cell>
          <cell r="G61">
            <v>1.2121778849418629E-2</v>
          </cell>
          <cell r="H61">
            <v>8.4179019787629355E-3</v>
          </cell>
          <cell r="I61">
            <v>6.7343215830103472E-3</v>
          </cell>
          <cell r="J61">
            <v>0</v>
          </cell>
          <cell r="K61">
            <v>0.19484637113509945</v>
          </cell>
          <cell r="L61">
            <v>0.13794135375866196</v>
          </cell>
          <cell r="M61">
            <v>0.10898377095171748</v>
          </cell>
        </row>
        <row r="62">
          <cell r="B62" t="str">
            <v>BSS27AO</v>
          </cell>
          <cell r="C62" t="str">
            <v>Manildra Flour Mill</v>
          </cell>
          <cell r="D62" t="str">
            <v>t-1</v>
          </cell>
          <cell r="E62">
            <v>143041.13405120984</v>
          </cell>
          <cell r="G62">
            <v>0.25410840106559046</v>
          </cell>
          <cell r="H62">
            <v>0.25410840106559046</v>
          </cell>
          <cell r="I62">
            <v>0.25410840106559046</v>
          </cell>
          <cell r="J62">
            <v>3.1911705208025043</v>
          </cell>
        </row>
        <row r="63">
          <cell r="B63" t="str">
            <v>CRNP1</v>
          </cell>
          <cell r="C63" t="str">
            <v>Perilya Mine, Broken Hill          </v>
          </cell>
          <cell r="D63" t="str">
            <v>t-2</v>
          </cell>
          <cell r="E63">
            <v>123902.76385619683</v>
          </cell>
          <cell r="G63">
            <v>0</v>
          </cell>
          <cell r="H63">
            <v>0</v>
          </cell>
          <cell r="I63">
            <v>0</v>
          </cell>
        </row>
        <row r="64">
          <cell r="B64" t="str">
            <v>CRNP2</v>
          </cell>
          <cell r="C64" t="str">
            <v>Bemax and Snapper      </v>
          </cell>
          <cell r="D64" t="str">
            <v>t-2</v>
          </cell>
          <cell r="E64">
            <v>337970.25866245653</v>
          </cell>
          <cell r="G64">
            <v>0</v>
          </cell>
          <cell r="H64">
            <v>0</v>
          </cell>
          <cell r="I64">
            <v>0</v>
          </cell>
        </row>
        <row r="65">
          <cell r="B65" t="str">
            <v>BSS21SU</v>
          </cell>
          <cell r="C65" t="str">
            <v>IDT Blowering Dam</v>
          </cell>
          <cell r="D65" t="str">
            <v>t-2</v>
          </cell>
          <cell r="E65">
            <v>0</v>
          </cell>
          <cell r="G65">
            <v>0</v>
          </cell>
          <cell r="H65">
            <v>0</v>
          </cell>
          <cell r="I65">
            <v>0</v>
          </cell>
        </row>
        <row r="66">
          <cell r="B66" t="str">
            <v>BSS22SU</v>
          </cell>
          <cell r="C66" t="str">
            <v>IDT Cabramurra Aux</v>
          </cell>
          <cell r="D66" t="str">
            <v>t-2</v>
          </cell>
          <cell r="E66">
            <v>0</v>
          </cell>
          <cell r="G66">
            <v>0</v>
          </cell>
          <cell r="H66">
            <v>0</v>
          </cell>
          <cell r="I66">
            <v>0</v>
          </cell>
        </row>
        <row r="67">
          <cell r="B67" t="str">
            <v>BSS24NU</v>
          </cell>
          <cell r="C67" t="str">
            <v>Kirra - IDC</v>
          </cell>
          <cell r="D67" t="str">
            <v>t-2</v>
          </cell>
          <cell r="E67">
            <v>8359.3530655416507</v>
          </cell>
          <cell r="G67">
            <v>0.2575878005501458</v>
          </cell>
          <cell r="H67">
            <v>0.14849179090537817</v>
          </cell>
          <cell r="I67">
            <v>0.12222793673163782</v>
          </cell>
          <cell r="K67">
            <v>4.3067108910281675</v>
          </cell>
          <cell r="L67">
            <v>3.0704016870805177</v>
          </cell>
          <cell r="M67">
            <v>1.2239629477121308</v>
          </cell>
        </row>
        <row r="71">
          <cell r="B71" t="str">
            <v>Tariff Class E; unmetered</v>
          </cell>
        </row>
        <row r="72">
          <cell r="B72" t="str">
            <v>BLNP1AO</v>
          </cell>
          <cell r="C72" t="str">
            <v>LV Public Lighting NUOS</v>
          </cell>
          <cell r="D72" t="str">
            <v>t-2</v>
          </cell>
          <cell r="E72">
            <v>332.66661192614254</v>
          </cell>
          <cell r="F72">
            <v>13.589023547056339</v>
          </cell>
          <cell r="G72">
            <v>0</v>
          </cell>
          <cell r="H72">
            <v>0</v>
          </cell>
          <cell r="I72">
            <v>0</v>
          </cell>
        </row>
        <row r="73">
          <cell r="B73" t="str">
            <v>BLNP3AO</v>
          </cell>
          <cell r="C73" t="str">
            <v>LV Public Lighting ToU NUOS</v>
          </cell>
          <cell r="D73" t="str">
            <v>t-2</v>
          </cell>
          <cell r="E73">
            <v>0</v>
          </cell>
          <cell r="F73">
            <v>0</v>
          </cell>
          <cell r="G73">
            <v>14.212372158321021</v>
          </cell>
          <cell r="H73">
            <v>10.957323735748238</v>
          </cell>
          <cell r="I73">
            <v>4.7935971579316741</v>
          </cell>
        </row>
        <row r="74">
          <cell r="B74" t="str">
            <v>TOTAL EXPECTED REVENUE FROM DUOS TARIFFS</v>
          </cell>
        </row>
      </sheetData>
      <sheetData sheetId="11"/>
      <sheetData sheetId="12"/>
      <sheetData sheetId="13"/>
      <sheetData sheetId="14">
        <row r="10">
          <cell r="B10" t="str">
            <v>BLNN2AU</v>
          </cell>
          <cell r="C10" t="str">
            <v>LV Residential Anytime</v>
          </cell>
          <cell r="D10" t="str">
            <v>t-2</v>
          </cell>
          <cell r="F10">
            <v>2.4247130818726053</v>
          </cell>
        </row>
        <row r="11">
          <cell r="B11" t="str">
            <v>BLNT3AU</v>
          </cell>
          <cell r="C11" t="str">
            <v>LV Residential ToU</v>
          </cell>
          <cell r="D11" t="str">
            <v>t-2</v>
          </cell>
          <cell r="G11">
            <v>3.7860753271461536</v>
          </cell>
          <cell r="H11">
            <v>3.0276399671954257</v>
          </cell>
          <cell r="I11">
            <v>1.7912196690742139</v>
          </cell>
        </row>
        <row r="12">
          <cell r="B12" t="str">
            <v>BLNT3AL</v>
          </cell>
          <cell r="C12" t="str">
            <v>LV Residential ToU_Interval meter</v>
          </cell>
          <cell r="D12" t="str">
            <v>t-2</v>
          </cell>
          <cell r="G12">
            <v>3.7860753271461536</v>
          </cell>
          <cell r="H12">
            <v>3.0276399671954257</v>
          </cell>
          <cell r="I12">
            <v>1.7912196690742139</v>
          </cell>
        </row>
        <row r="13">
          <cell r="B13" t="str">
            <v>BLND1AR</v>
          </cell>
          <cell r="C13" t="str">
            <v>Small Residential-Opt in Demand</v>
          </cell>
          <cell r="D13" t="str">
            <v>t-2</v>
          </cell>
          <cell r="G13">
            <v>3.7860753271461536</v>
          </cell>
          <cell r="H13">
            <v>3.0276399671954257</v>
          </cell>
          <cell r="I13">
            <v>1.7912196690742139</v>
          </cell>
        </row>
        <row r="14">
          <cell r="B14" t="str">
            <v>BLNC1AU</v>
          </cell>
          <cell r="C14" t="str">
            <v>Energy Saver 1</v>
          </cell>
          <cell r="D14" t="str">
            <v>t-2</v>
          </cell>
          <cell r="F14">
            <v>1.7912196690742139</v>
          </cell>
        </row>
        <row r="15">
          <cell r="B15" t="str">
            <v>BLNC2AU</v>
          </cell>
          <cell r="C15" t="str">
            <v>Energy Saver 2</v>
          </cell>
          <cell r="D15" t="str">
            <v>t-2</v>
          </cell>
          <cell r="F15">
            <v>2.3104467516446321</v>
          </cell>
        </row>
        <row r="16">
          <cell r="B16" t="str">
            <v>BLNN1AU</v>
          </cell>
          <cell r="C16" t="str">
            <v>LV Small business Anytime</v>
          </cell>
          <cell r="D16" t="str">
            <v>t-2</v>
          </cell>
          <cell r="F16">
            <v>2.4247130823726053</v>
          </cell>
        </row>
        <row r="17">
          <cell r="B17" t="str">
            <v>BLNT2AU</v>
          </cell>
          <cell r="C17" t="str">
            <v>LV ToU &lt; 100MWh</v>
          </cell>
          <cell r="D17" t="str">
            <v>t-2</v>
          </cell>
          <cell r="G17">
            <v>3.7860753271461536</v>
          </cell>
          <cell r="H17">
            <v>3.0276399671954257</v>
          </cell>
          <cell r="I17">
            <v>1.7912196690742139</v>
          </cell>
        </row>
        <row r="18">
          <cell r="B18" t="str">
            <v>BLNT2AL</v>
          </cell>
          <cell r="C18" t="str">
            <v>LV Business ToU_Interval meter</v>
          </cell>
          <cell r="D18" t="str">
            <v>t-2</v>
          </cell>
          <cell r="G18">
            <v>3.7860753271461536</v>
          </cell>
          <cell r="H18">
            <v>3.0276399671954257</v>
          </cell>
          <cell r="I18">
            <v>1.7912196690742139</v>
          </cell>
        </row>
        <row r="19">
          <cell r="B19" t="str">
            <v>BLNT1AO</v>
          </cell>
          <cell r="C19" t="str">
            <v>LV ToU &gt; 100 MWh/yr</v>
          </cell>
          <cell r="D19" t="str">
            <v>t-2</v>
          </cell>
          <cell r="G19">
            <v>3.7860753271461536</v>
          </cell>
          <cell r="H19">
            <v>3.0276399671954257</v>
          </cell>
          <cell r="I19">
            <v>1.7912196690742139</v>
          </cell>
        </row>
        <row r="20">
          <cell r="B20" t="str">
            <v>BLND1AB</v>
          </cell>
          <cell r="C20" t="str">
            <v>Small business-Opt in Demand</v>
          </cell>
          <cell r="D20" t="str">
            <v>t-2</v>
          </cell>
          <cell r="G20">
            <v>3.7860753271461536</v>
          </cell>
          <cell r="H20">
            <v>3.0276399671954257</v>
          </cell>
          <cell r="I20">
            <v>1.7912196690742139</v>
          </cell>
        </row>
        <row r="21">
          <cell r="B21" t="str">
            <v>BLNT1SU</v>
          </cell>
          <cell r="C21" t="str">
            <v>LV ToU &gt; 100 MWh/yr Sth U</v>
          </cell>
          <cell r="D21" t="str">
            <v>t-2</v>
          </cell>
          <cell r="G21">
            <v>3.7860753271461536</v>
          </cell>
          <cell r="H21">
            <v>3.0276399671954257</v>
          </cell>
          <cell r="I21">
            <v>1.7912196690742139</v>
          </cell>
        </row>
        <row r="22">
          <cell r="C22" t="str">
            <v>Tariff Trial - Sun soaker Residential</v>
          </cell>
          <cell r="D22" t="str">
            <v>t-1</v>
          </cell>
          <cell r="G22">
            <v>3.4068576471707894</v>
          </cell>
          <cell r="H22">
            <v>0</v>
          </cell>
          <cell r="I22">
            <v>1.7912196690742139</v>
          </cell>
        </row>
        <row r="23">
          <cell r="C23" t="str">
            <v>Tariff Trial - Sun soaker Small Business</v>
          </cell>
          <cell r="D23" t="str">
            <v>t-1</v>
          </cell>
          <cell r="G23">
            <v>3.4068576471707894</v>
          </cell>
          <cell r="H23">
            <v>0</v>
          </cell>
          <cell r="I23">
            <v>1.7912196690742139</v>
          </cell>
        </row>
        <row r="24">
          <cell r="C24" t="str">
            <v>Tariff Trial - Export charge</v>
          </cell>
          <cell r="D24" t="str">
            <v>t</v>
          </cell>
        </row>
        <row r="25">
          <cell r="C25" t="str">
            <v>Tariff Trial - Export charge sml business</v>
          </cell>
          <cell r="D25" t="str">
            <v>t</v>
          </cell>
        </row>
        <row r="26">
          <cell r="C26" t="str">
            <v>Tariff Trial - Critical Peak Rebate</v>
          </cell>
          <cell r="D26" t="str">
            <v>t</v>
          </cell>
        </row>
        <row r="27">
          <cell r="C27" t="str">
            <v>Tariff Trial  - Critical Peak Charge</v>
          </cell>
          <cell r="D27" t="str">
            <v>t</v>
          </cell>
        </row>
        <row r="29">
          <cell r="B29" t="str">
            <v>Tariff Class B; Low voltage - Large Business</v>
          </cell>
        </row>
        <row r="30">
          <cell r="B30" t="str">
            <v>BLND3AO</v>
          </cell>
          <cell r="C30" t="str">
            <v>LV ToU Demand 3 Rate</v>
          </cell>
          <cell r="D30" t="str">
            <v>t-2</v>
          </cell>
          <cell r="G30">
            <v>3.356185973382749</v>
          </cell>
          <cell r="H30">
            <v>2.6838670423426678</v>
          </cell>
          <cell r="I30">
            <v>1.7412537324692783</v>
          </cell>
        </row>
        <row r="31">
          <cell r="B31" t="str">
            <v>BLND3TO</v>
          </cell>
          <cell r="C31" t="str">
            <v>LV ToU Demand-alternate tariff</v>
          </cell>
          <cell r="D31" t="str">
            <v>t-2</v>
          </cell>
          <cell r="G31">
            <v>3.356185973382749</v>
          </cell>
          <cell r="H31">
            <v>2.6838670423426678</v>
          </cell>
          <cell r="I31">
            <v>1.7412537324692783</v>
          </cell>
        </row>
        <row r="32">
          <cell r="B32" t="str">
            <v>BLNDTRS</v>
          </cell>
          <cell r="C32" t="str">
            <v>Transitional Demand</v>
          </cell>
          <cell r="D32" t="str">
            <v>t-2</v>
          </cell>
          <cell r="G32">
            <v>3.356185973382749</v>
          </cell>
          <cell r="H32">
            <v>2.6838670423426678</v>
          </cell>
          <cell r="I32">
            <v>1.7412537324692783</v>
          </cell>
        </row>
        <row r="33">
          <cell r="B33" t="str">
            <v>BLNS1AO</v>
          </cell>
          <cell r="C33" t="str">
            <v>LV ToU avg daily Demand</v>
          </cell>
          <cell r="D33" t="str">
            <v>t-2</v>
          </cell>
          <cell r="G33">
            <v>3.356185973382749</v>
          </cell>
          <cell r="H33">
            <v>2.6838670423426678</v>
          </cell>
          <cell r="I33">
            <v>1.7412625372991395</v>
          </cell>
        </row>
        <row r="34">
          <cell r="B34" t="str">
            <v>BLND1CO</v>
          </cell>
          <cell r="C34" t="str">
            <v>LV 1 Rate Dmd Cent</v>
          </cell>
          <cell r="D34" t="str">
            <v>t-2</v>
          </cell>
          <cell r="G34">
            <v>4.1430910832142533</v>
          </cell>
          <cell r="H34">
            <v>3.3131375018694205</v>
          </cell>
          <cell r="I34">
            <v>2.0444168195932155</v>
          </cell>
        </row>
        <row r="35">
          <cell r="B35" t="str">
            <v>BLND1SR</v>
          </cell>
          <cell r="C35" t="str">
            <v>LV 1 Rate Dmd Sth Rural</v>
          </cell>
          <cell r="D35" t="str">
            <v>t-2</v>
          </cell>
          <cell r="G35">
            <v>5.10990964492259</v>
          </cell>
          <cell r="H35">
            <v>4.0862807347751939</v>
          </cell>
          <cell r="I35">
            <v>2.1030289565214098</v>
          </cell>
        </row>
        <row r="36">
          <cell r="B36" t="str">
            <v>BLND1SU</v>
          </cell>
          <cell r="C36" t="str">
            <v>LV 1 Rate Dmd Sth Urburn</v>
          </cell>
          <cell r="D36" t="str">
            <v>t-2</v>
          </cell>
          <cell r="G36">
            <v>5.10990964492259</v>
          </cell>
          <cell r="H36">
            <v>4.0862807347751939</v>
          </cell>
          <cell r="I36">
            <v>2.1030289565214098</v>
          </cell>
        </row>
        <row r="37">
          <cell r="B37">
            <v>0</v>
          </cell>
          <cell r="C37" t="str">
            <v>Tariff Trial - Grid Scale Battery</v>
          </cell>
          <cell r="D37" t="str">
            <v>t</v>
          </cell>
          <cell r="E37">
            <v>11784.593419469269</v>
          </cell>
        </row>
        <row r="38">
          <cell r="B38">
            <v>0</v>
          </cell>
          <cell r="C38" t="str">
            <v>Tariff Trial - Peaky Load business</v>
          </cell>
          <cell r="D38" t="str">
            <v>t</v>
          </cell>
          <cell r="E38">
            <v>11784.593419469269</v>
          </cell>
        </row>
        <row r="40">
          <cell r="B40" t="str">
            <v>Tariff Class C; High voltage - demand</v>
          </cell>
        </row>
        <row r="41">
          <cell r="B41" t="str">
            <v>BHND3AO</v>
          </cell>
          <cell r="C41" t="str">
            <v>HV ToU mthly Demand</v>
          </cell>
          <cell r="D41" t="str">
            <v>t-2</v>
          </cell>
          <cell r="G41">
            <v>2.3542215783408262</v>
          </cell>
          <cell r="H41">
            <v>1.88261847066611</v>
          </cell>
          <cell r="I41">
            <v>1.5542227675819504</v>
          </cell>
        </row>
        <row r="42">
          <cell r="B42" t="str">
            <v>BHNS1AO</v>
          </cell>
          <cell r="C42" t="str">
            <v>HV ToU avg daily Demand</v>
          </cell>
          <cell r="D42" t="str">
            <v>t-2</v>
          </cell>
          <cell r="G42">
            <v>2.3542215783408262</v>
          </cell>
          <cell r="H42">
            <v>1.88261847066611</v>
          </cell>
          <cell r="I42">
            <v>1.5542227675819504</v>
          </cell>
        </row>
        <row r="43">
          <cell r="B43" t="str">
            <v>BHND1CO</v>
          </cell>
          <cell r="C43" t="str">
            <v>HV 1 Rate Dmd Cent U</v>
          </cell>
          <cell r="D43" t="str">
            <v>t-2</v>
          </cell>
          <cell r="G43">
            <v>4.1595622462304274</v>
          </cell>
          <cell r="H43">
            <v>4.1595622462304274</v>
          </cell>
          <cell r="I43">
            <v>1.9927216429236279</v>
          </cell>
        </row>
        <row r="44">
          <cell r="B44" t="str">
            <v>BHND1SO</v>
          </cell>
          <cell r="C44" t="str">
            <v>HV 1 Rate Dmd Sth U</v>
          </cell>
          <cell r="D44" t="str">
            <v>t-2</v>
          </cell>
          <cell r="G44">
            <v>4.1595622462304274</v>
          </cell>
          <cell r="H44">
            <v>4.1595622462304274</v>
          </cell>
          <cell r="I44">
            <v>1.9927216429236279</v>
          </cell>
        </row>
        <row r="47">
          <cell r="B47" t="str">
            <v>Tariff Class D; Subtransmission</v>
          </cell>
        </row>
        <row r="48">
          <cell r="B48" t="str">
            <v>BSSD3AO</v>
          </cell>
          <cell r="C48" t="str">
            <v>SUB TRANS 3 RATE DEMAND</v>
          </cell>
          <cell r="D48" t="str">
            <v>t-2</v>
          </cell>
          <cell r="G48">
            <v>4.1782080467384297</v>
          </cell>
          <cell r="H48">
            <v>2.4303458868431318</v>
          </cell>
          <cell r="I48">
            <v>1.9808900003760106</v>
          </cell>
        </row>
        <row r="49">
          <cell r="B49" t="str">
            <v/>
          </cell>
          <cell r="C49" t="str">
            <v/>
          </cell>
          <cell r="D49" t="str">
            <v/>
          </cell>
        </row>
        <row r="50">
          <cell r="B50" t="str">
            <v>BSS04CU</v>
          </cell>
          <cell r="C50" t="str">
            <v>Peak Gold Mines</v>
          </cell>
          <cell r="D50" t="str">
            <v>t-2</v>
          </cell>
          <cell r="E50">
            <v>168862.97934793655</v>
          </cell>
          <cell r="J50">
            <v>2.8453966302842892</v>
          </cell>
        </row>
        <row r="51">
          <cell r="B51" t="str">
            <v>BSS05CU</v>
          </cell>
          <cell r="C51" t="str">
            <v>Oberon Timber Complex</v>
          </cell>
          <cell r="D51" t="str">
            <v>t-2</v>
          </cell>
          <cell r="E51">
            <v>297108.24348875415</v>
          </cell>
          <cell r="J51">
            <v>2.2396398306786325</v>
          </cell>
        </row>
        <row r="52">
          <cell r="B52" t="str">
            <v>BSS05NO</v>
          </cell>
          <cell r="C52" t="str">
            <v>Harwood Sugar</v>
          </cell>
          <cell r="D52" t="str">
            <v>t-2</v>
          </cell>
          <cell r="E52">
            <v>39864.930567454299</v>
          </cell>
          <cell r="J52">
            <v>5.029332742223513</v>
          </cell>
        </row>
        <row r="53">
          <cell r="B53" t="str">
            <v>BSS06CU</v>
          </cell>
          <cell r="C53" t="str">
            <v>Fletcher International Exports</v>
          </cell>
          <cell r="D53" t="str">
            <v>t-2</v>
          </cell>
          <cell r="E53">
            <v>102123.54836302006</v>
          </cell>
          <cell r="J53">
            <v>3.2222432127520024</v>
          </cell>
        </row>
        <row r="54">
          <cell r="B54" t="str">
            <v>BSS08CU</v>
          </cell>
          <cell r="C54" t="str">
            <v>Cadia Mine</v>
          </cell>
          <cell r="D54" t="str">
            <v>t-2</v>
          </cell>
          <cell r="E54">
            <v>5895517.1899329992</v>
          </cell>
        </row>
        <row r="55">
          <cell r="B55" t="str">
            <v>BSS10CU</v>
          </cell>
          <cell r="C55" t="str">
            <v>Ulan Coal Mine Cassilis Road</v>
          </cell>
          <cell r="D55" t="str">
            <v>t-2</v>
          </cell>
          <cell r="E55">
            <v>647629.80344476376</v>
          </cell>
          <cell r="J55">
            <v>3.8707579732069903</v>
          </cell>
        </row>
        <row r="56">
          <cell r="B56" t="str">
            <v>BSS11CU</v>
          </cell>
          <cell r="C56" t="str">
            <v>Cobar Mine</v>
          </cell>
          <cell r="D56" t="str">
            <v>t-2</v>
          </cell>
          <cell r="E56">
            <v>544581.86616246519</v>
          </cell>
          <cell r="J56">
            <v>3.1303272216247775</v>
          </cell>
        </row>
        <row r="57">
          <cell r="B57" t="str">
            <v>BSS12CU</v>
          </cell>
          <cell r="C57" t="str">
            <v>Endeavor Operations Pty Ltd</v>
          </cell>
          <cell r="D57" t="str">
            <v>t-2</v>
          </cell>
          <cell r="E57">
            <v>0</v>
          </cell>
          <cell r="J57">
            <v>0</v>
          </cell>
        </row>
        <row r="58">
          <cell r="B58" t="str">
            <v>BSS13CU</v>
          </cell>
          <cell r="C58" t="str">
            <v>Uncle Bens-Bathurst</v>
          </cell>
          <cell r="D58" t="str">
            <v>t-2</v>
          </cell>
          <cell r="E58">
            <v>61491.646584571499</v>
          </cell>
          <cell r="J58">
            <v>3.4513812086201878</v>
          </cell>
        </row>
        <row r="59">
          <cell r="B59" t="str">
            <v>BSS20CU</v>
          </cell>
          <cell r="C59" t="str">
            <v>Nth Parkes Mine</v>
          </cell>
          <cell r="D59" t="str">
            <v>t-2</v>
          </cell>
          <cell r="E59">
            <v>899377.4829766975</v>
          </cell>
          <cell r="J59">
            <v>5.4616281339583708</v>
          </cell>
        </row>
        <row r="60">
          <cell r="B60" t="str">
            <v>BSS25AO</v>
          </cell>
          <cell r="C60" t="str">
            <v>Tritton Mine</v>
          </cell>
          <cell r="D60" t="str">
            <v>t-2</v>
          </cell>
          <cell r="E60">
            <v>246724.40516983473</v>
          </cell>
          <cell r="K60">
            <v>1.2890902570810634</v>
          </cell>
          <cell r="L60">
            <v>1.2890902570810634</v>
          </cell>
          <cell r="M60">
            <v>0.96681769281079766</v>
          </cell>
          <cell r="N60">
            <v>0</v>
          </cell>
        </row>
        <row r="61">
          <cell r="B61" t="str">
            <v>BSS26AO</v>
          </cell>
          <cell r="C61" t="str">
            <v>Lake Cowal Mine</v>
          </cell>
          <cell r="D61" t="str">
            <v>t-2</v>
          </cell>
          <cell r="E61">
            <v>942061.68053917238</v>
          </cell>
          <cell r="K61">
            <v>1.5304349512776594</v>
          </cell>
          <cell r="L61">
            <v>1.5304349512776594</v>
          </cell>
          <cell r="M61">
            <v>1.1478262134582444</v>
          </cell>
          <cell r="N61">
            <v>0</v>
          </cell>
        </row>
        <row r="62">
          <cell r="B62" t="str">
            <v>BSS27AO</v>
          </cell>
          <cell r="C62" t="str">
            <v>Manildra Flour Mill</v>
          </cell>
          <cell r="D62" t="str">
            <v>t-1</v>
          </cell>
          <cell r="E62">
            <v>163203.31636363632</v>
          </cell>
          <cell r="J62">
            <v>4.2466398446209288</v>
          </cell>
        </row>
        <row r="63">
          <cell r="B63" t="str">
            <v>CRNP1</v>
          </cell>
          <cell r="C63" t="str">
            <v>Perilya Mine, Broken Hill          </v>
          </cell>
          <cell r="D63" t="str">
            <v>t-2</v>
          </cell>
          <cell r="E63">
            <v>661948.42180363636</v>
          </cell>
          <cell r="N63">
            <v>0</v>
          </cell>
          <cell r="O63">
            <v>11.169421841510649</v>
          </cell>
        </row>
        <row r="64">
          <cell r="B64" t="str">
            <v>CRNP2</v>
          </cell>
          <cell r="C64" t="str">
            <v>Bemax and Snapper      </v>
          </cell>
          <cell r="D64" t="str">
            <v>t-2</v>
          </cell>
          <cell r="E64">
            <v>0</v>
          </cell>
          <cell r="G64">
            <v>2.6863662291884696</v>
          </cell>
          <cell r="H64">
            <v>2.6863662291884696</v>
          </cell>
          <cell r="I64">
            <v>0.56303904077241473</v>
          </cell>
          <cell r="N64">
            <v>0</v>
          </cell>
          <cell r="O64">
            <v>3.2371070816617364</v>
          </cell>
        </row>
        <row r="65">
          <cell r="B65" t="str">
            <v>BSS21SU</v>
          </cell>
          <cell r="C65" t="str">
            <v>IDT Blowering Dam</v>
          </cell>
          <cell r="D65" t="str">
            <v>t-2</v>
          </cell>
          <cell r="G65">
            <v>2.655020587685228</v>
          </cell>
          <cell r="H65">
            <v>2.655020587685228</v>
          </cell>
          <cell r="I65">
            <v>1.316497765009832</v>
          </cell>
          <cell r="N65">
            <v>0</v>
          </cell>
        </row>
        <row r="66">
          <cell r="B66" t="str">
            <v>BSS22SU</v>
          </cell>
          <cell r="C66" t="str">
            <v>IDT Cabramurra Aux</v>
          </cell>
          <cell r="D66" t="str">
            <v>t-2</v>
          </cell>
          <cell r="G66">
            <v>5.4816910049458833</v>
          </cell>
          <cell r="H66">
            <v>5.4816910049458833</v>
          </cell>
          <cell r="I66">
            <v>2.6100603460042833</v>
          </cell>
          <cell r="N66">
            <v>0</v>
          </cell>
        </row>
        <row r="67">
          <cell r="B67" t="str">
            <v>BSS24NU</v>
          </cell>
          <cell r="C67" t="str">
            <v>Kirra - IDC</v>
          </cell>
          <cell r="D67" t="str">
            <v>t-2</v>
          </cell>
          <cell r="E67">
            <v>100016.20065607601</v>
          </cell>
          <cell r="G67">
            <v>9.3274866292101452E-2</v>
          </cell>
          <cell r="H67">
            <v>5.3718179617863342E-2</v>
          </cell>
          <cell r="I67">
            <v>4.4221649055667597E-2</v>
          </cell>
          <cell r="K67">
            <v>1.5291178155715659</v>
          </cell>
          <cell r="L67">
            <v>1.1468383616786746</v>
          </cell>
          <cell r="M67">
            <v>0.38227945389289147</v>
          </cell>
          <cell r="N67">
            <v>0</v>
          </cell>
        </row>
        <row r="68">
          <cell r="B68" t="str">
            <v/>
          </cell>
          <cell r="C68" t="str">
            <v/>
          </cell>
          <cell r="D68" t="str">
            <v/>
          </cell>
        </row>
        <row r="69">
          <cell r="B69" t="str">
            <v/>
          </cell>
          <cell r="C69" t="str">
            <v/>
          </cell>
          <cell r="D69" t="str">
            <v/>
          </cell>
        </row>
        <row r="70">
          <cell r="B70" t="str">
            <v/>
          </cell>
          <cell r="C70" t="str">
            <v/>
          </cell>
          <cell r="D70" t="str">
            <v/>
          </cell>
        </row>
        <row r="71">
          <cell r="B71" t="str">
            <v>Tariff Class E; unmetered</v>
          </cell>
        </row>
        <row r="72">
          <cell r="B72" t="str">
            <v>BLNP1AO</v>
          </cell>
          <cell r="C72" t="str">
            <v>LV Public Lighting NUOS</v>
          </cell>
          <cell r="D72" t="str">
            <v>t-2</v>
          </cell>
          <cell r="F72">
            <v>2.4247130823726053</v>
          </cell>
          <cell r="N72">
            <v>0</v>
          </cell>
        </row>
        <row r="73">
          <cell r="B73" t="str">
            <v>BLNP3AO</v>
          </cell>
          <cell r="C73" t="str">
            <v>LV Public Lighting ToU NUOS</v>
          </cell>
          <cell r="D73" t="str">
            <v>t-2</v>
          </cell>
          <cell r="G73">
            <v>3.7860753271461536</v>
          </cell>
          <cell r="H73">
            <v>3.0276399671954257</v>
          </cell>
          <cell r="I73">
            <v>1.7912196690742139</v>
          </cell>
          <cell r="N73">
            <v>0</v>
          </cell>
        </row>
        <row r="74">
          <cell r="B74" t="str">
            <v>TOTAL EXPECTED REVENUE FROM TCR TARIFFS</v>
          </cell>
        </row>
      </sheetData>
      <sheetData sheetId="15"/>
      <sheetData sheetId="16"/>
      <sheetData sheetId="17">
        <row r="10">
          <cell r="B10" t="str">
            <v>BLNN2AU</v>
          </cell>
          <cell r="C10" t="str">
            <v>LV Residential Anytime</v>
          </cell>
          <cell r="D10" t="str">
            <v>t-2</v>
          </cell>
          <cell r="F10">
            <v>0.34438523140664834</v>
          </cell>
        </row>
        <row r="11">
          <cell r="B11" t="str">
            <v>BLNT3AU</v>
          </cell>
          <cell r="C11" t="str">
            <v>LV Residential ToU</v>
          </cell>
          <cell r="D11" t="str">
            <v>t-2</v>
          </cell>
          <cell r="G11">
            <v>0.34438526140664832</v>
          </cell>
          <cell r="H11">
            <v>0.34438526140664832</v>
          </cell>
          <cell r="I11">
            <v>0.34438526140664832</v>
          </cell>
        </row>
        <row r="12">
          <cell r="B12" t="str">
            <v>BLNT3AL</v>
          </cell>
          <cell r="C12" t="str">
            <v>LV Residential ToU_Interval meter</v>
          </cell>
          <cell r="D12" t="str">
            <v>t-2</v>
          </cell>
          <cell r="G12">
            <v>0.34438526140664832</v>
          </cell>
          <cell r="H12">
            <v>0.34438526140664832</v>
          </cell>
          <cell r="I12">
            <v>0.34438526140664832</v>
          </cell>
        </row>
        <row r="13">
          <cell r="B13" t="str">
            <v>BLND1AR</v>
          </cell>
          <cell r="C13" t="str">
            <v>Small Residential-Opt in Demand</v>
          </cell>
          <cell r="D13" t="str">
            <v>t-2</v>
          </cell>
          <cell r="G13">
            <v>0.34438526140664832</v>
          </cell>
          <cell r="H13">
            <v>0.34438526140664832</v>
          </cell>
          <cell r="I13">
            <v>0.34438526140664832</v>
          </cell>
        </row>
        <row r="14">
          <cell r="B14" t="str">
            <v>BLNC1AU</v>
          </cell>
          <cell r="C14" t="str">
            <v>Energy Saver 1</v>
          </cell>
          <cell r="D14" t="str">
            <v>t-2</v>
          </cell>
          <cell r="F14">
            <v>0.34438526140664832</v>
          </cell>
        </row>
        <row r="15">
          <cell r="B15" t="str">
            <v>BLNC2AU</v>
          </cell>
          <cell r="C15" t="str">
            <v>Energy Saver 2</v>
          </cell>
          <cell r="D15" t="str">
            <v>t-2</v>
          </cell>
          <cell r="F15">
            <v>0.34438526140664832</v>
          </cell>
        </row>
        <row r="16">
          <cell r="B16" t="str">
            <v>BLNN1AU</v>
          </cell>
          <cell r="C16" t="str">
            <v>LV Small business Anytime</v>
          </cell>
          <cell r="D16" t="str">
            <v>t-2</v>
          </cell>
          <cell r="F16">
            <v>0.8487978167877841</v>
          </cell>
        </row>
        <row r="17">
          <cell r="B17" t="str">
            <v>BLNT2AU</v>
          </cell>
          <cell r="C17" t="str">
            <v>LV ToU &lt; 100MWh</v>
          </cell>
          <cell r="D17" t="str">
            <v>t-2</v>
          </cell>
          <cell r="G17">
            <v>0.8487978167877841</v>
          </cell>
          <cell r="H17">
            <v>0.8487978167877841</v>
          </cell>
          <cell r="I17">
            <v>0.8487978167877841</v>
          </cell>
        </row>
        <row r="18">
          <cell r="B18" t="str">
            <v>BLNT2AL</v>
          </cell>
          <cell r="C18" t="str">
            <v>LV Business ToU_Interval meter</v>
          </cell>
          <cell r="D18" t="str">
            <v>t-2</v>
          </cell>
          <cell r="G18">
            <v>0.8487978167877841</v>
          </cell>
          <cell r="H18">
            <v>0.8487978167877841</v>
          </cell>
          <cell r="I18">
            <v>0.8487978167877841</v>
          </cell>
        </row>
        <row r="19">
          <cell r="B19" t="str">
            <v>BLNT1AO</v>
          </cell>
          <cell r="C19" t="str">
            <v>LV ToU &gt; 100 MWh/yr</v>
          </cell>
          <cell r="D19" t="str">
            <v>t-2</v>
          </cell>
          <cell r="G19">
            <v>0.8487978167877841</v>
          </cell>
          <cell r="H19">
            <v>0.8487978167877841</v>
          </cell>
          <cell r="I19">
            <v>0.8487978167877841</v>
          </cell>
        </row>
        <row r="20">
          <cell r="B20" t="str">
            <v>BLND1AB</v>
          </cell>
          <cell r="C20" t="str">
            <v>Small business-Opt in Demand</v>
          </cell>
          <cell r="D20" t="str">
            <v>t-2</v>
          </cell>
          <cell r="G20">
            <v>0.8487978167877841</v>
          </cell>
          <cell r="H20">
            <v>0.8487978167877841</v>
          </cell>
          <cell r="I20">
            <v>0.8487978167877841</v>
          </cell>
        </row>
        <row r="21">
          <cell r="B21" t="str">
            <v>BLNT1SU</v>
          </cell>
          <cell r="C21" t="str">
            <v>LV ToU &gt; 100 MWh/yr Sth U</v>
          </cell>
          <cell r="D21" t="str">
            <v>t-2</v>
          </cell>
          <cell r="G21">
            <v>0.8487978167877841</v>
          </cell>
          <cell r="H21">
            <v>0.8487978167877841</v>
          </cell>
          <cell r="I21">
            <v>0.8487978167877841</v>
          </cell>
        </row>
        <row r="22">
          <cell r="C22" t="str">
            <v>Tariff Trial - Sun soaker Residential</v>
          </cell>
          <cell r="D22" t="str">
            <v>t-1</v>
          </cell>
          <cell r="G22">
            <v>0.34438526140664832</v>
          </cell>
          <cell r="H22">
            <v>0</v>
          </cell>
          <cell r="I22">
            <v>0.34438526140664832</v>
          </cell>
        </row>
        <row r="23">
          <cell r="C23" t="str">
            <v>Tariff Trial - Sun soaker Small Business</v>
          </cell>
          <cell r="D23" t="str">
            <v>t-1</v>
          </cell>
          <cell r="G23">
            <v>0.8487978167877841</v>
          </cell>
          <cell r="H23">
            <v>0</v>
          </cell>
          <cell r="I23">
            <v>0.8487978167877841</v>
          </cell>
        </row>
        <row r="24">
          <cell r="C24" t="str">
            <v>Tariff Trial - Export charge</v>
          </cell>
          <cell r="D24" t="str">
            <v>t</v>
          </cell>
        </row>
        <row r="25">
          <cell r="C25" t="str">
            <v>Tariff Trial - Export charge sml business</v>
          </cell>
          <cell r="D25" t="str">
            <v>t</v>
          </cell>
        </row>
        <row r="26">
          <cell r="C26" t="str">
            <v>Tariff Trial - Critical Peak Rebate</v>
          </cell>
          <cell r="D26" t="str">
            <v>t</v>
          </cell>
        </row>
        <row r="27">
          <cell r="C27" t="str">
            <v>Tariff Trial  - Critical Peak Charge</v>
          </cell>
          <cell r="D27" t="str">
            <v>t</v>
          </cell>
        </row>
        <row r="29">
          <cell r="B29" t="str">
            <v>Tariff Class B; Low voltage - Large Business</v>
          </cell>
        </row>
        <row r="30">
          <cell r="B30" t="str">
            <v>BLND3AO</v>
          </cell>
          <cell r="C30" t="str">
            <v>LV ToU Demand 3 Rate</v>
          </cell>
          <cell r="D30" t="str">
            <v>t-2</v>
          </cell>
          <cell r="G30">
            <v>0.8487978167877841</v>
          </cell>
          <cell r="H30">
            <v>0.8487978167877841</v>
          </cell>
          <cell r="I30">
            <v>0.8487978167877841</v>
          </cell>
        </row>
        <row r="31">
          <cell r="B31" t="str">
            <v>BLND3TO</v>
          </cell>
          <cell r="C31" t="str">
            <v>LV ToU Demand-alternate tariff</v>
          </cell>
          <cell r="D31" t="str">
            <v>t-2</v>
          </cell>
          <cell r="G31">
            <v>0.8487978167877841</v>
          </cell>
          <cell r="H31">
            <v>0.8487978167877841</v>
          </cell>
          <cell r="I31">
            <v>0.8487978167877841</v>
          </cell>
        </row>
        <row r="32">
          <cell r="B32" t="str">
            <v>BLNDTRS</v>
          </cell>
          <cell r="C32" t="str">
            <v>Transitional Demand</v>
          </cell>
          <cell r="D32" t="str">
            <v>t-2</v>
          </cell>
          <cell r="G32">
            <v>0.8487978167877841</v>
          </cell>
          <cell r="H32">
            <v>0.8487978167877841</v>
          </cell>
          <cell r="I32">
            <v>0.8487978167877841</v>
          </cell>
        </row>
        <row r="33">
          <cell r="B33" t="str">
            <v>BLNS1AO</v>
          </cell>
          <cell r="C33" t="str">
            <v>LV ToU avg daily Demand</v>
          </cell>
          <cell r="D33" t="str">
            <v>t-2</v>
          </cell>
          <cell r="G33">
            <v>0.8487978167877841</v>
          </cell>
          <cell r="H33">
            <v>0.8487978167877841</v>
          </cell>
          <cell r="I33">
            <v>0.8487978167877841</v>
          </cell>
        </row>
        <row r="34">
          <cell r="B34" t="str">
            <v>BLND1CO</v>
          </cell>
          <cell r="C34" t="str">
            <v>LV 1 Rate Dmd Cent</v>
          </cell>
          <cell r="D34" t="str">
            <v>t-2</v>
          </cell>
          <cell r="G34">
            <v>0.8487978167877841</v>
          </cell>
          <cell r="H34">
            <v>0.8487978167877841</v>
          </cell>
          <cell r="I34">
            <v>0.8487978167877841</v>
          </cell>
        </row>
        <row r="35">
          <cell r="B35" t="str">
            <v>BLND1SR</v>
          </cell>
          <cell r="C35" t="str">
            <v>LV 1 Rate Dmd Sth Rural</v>
          </cell>
          <cell r="D35" t="str">
            <v>t-2</v>
          </cell>
          <cell r="G35">
            <v>0.8487978167877841</v>
          </cell>
          <cell r="H35">
            <v>0.8487978167877841</v>
          </cell>
          <cell r="I35">
            <v>0.8487978167877841</v>
          </cell>
        </row>
        <row r="36">
          <cell r="B36" t="str">
            <v>BLND1SU</v>
          </cell>
          <cell r="C36" t="str">
            <v>LV 1 Rate Dmd Sth Urburn</v>
          </cell>
          <cell r="D36" t="str">
            <v>t-2</v>
          </cell>
          <cell r="G36">
            <v>0.8487978167877841</v>
          </cell>
          <cell r="H36">
            <v>0.8487978167877841</v>
          </cell>
          <cell r="I36">
            <v>0.8487978167877841</v>
          </cell>
        </row>
        <row r="37">
          <cell r="B37">
            <v>0</v>
          </cell>
          <cell r="C37" t="str">
            <v>Tariff Trial - Grid Scale Battery</v>
          </cell>
          <cell r="D37" t="str">
            <v>t</v>
          </cell>
          <cell r="E37">
            <v>4343.927198329251</v>
          </cell>
        </row>
        <row r="38">
          <cell r="B38">
            <v>0</v>
          </cell>
          <cell r="C38" t="str">
            <v>Tariff Trial - Peaky Load business</v>
          </cell>
          <cell r="D38" t="str">
            <v>t</v>
          </cell>
          <cell r="E38">
            <v>4343.927198329251</v>
          </cell>
        </row>
        <row r="40">
          <cell r="B40" t="str">
            <v>Tariff Class C; High voltage - demand</v>
          </cell>
        </row>
        <row r="41">
          <cell r="B41" t="str">
            <v>BHND3AO</v>
          </cell>
          <cell r="C41" t="str">
            <v>HV ToU mthly Demand</v>
          </cell>
          <cell r="D41" t="str">
            <v>t-2</v>
          </cell>
          <cell r="G41">
            <v>0.8487978167877841</v>
          </cell>
          <cell r="H41">
            <v>0.8487978167877841</v>
          </cell>
          <cell r="I41">
            <v>0.8487978167877841</v>
          </cell>
        </row>
        <row r="42">
          <cell r="B42" t="str">
            <v>BHNS1AO</v>
          </cell>
          <cell r="C42" t="str">
            <v>HV ToU avg daily Demand</v>
          </cell>
          <cell r="D42" t="str">
            <v>t-2</v>
          </cell>
          <cell r="G42">
            <v>0.8487978167877841</v>
          </cell>
          <cell r="H42">
            <v>0.8487978167877841</v>
          </cell>
          <cell r="I42">
            <v>0.8487978167877841</v>
          </cell>
        </row>
        <row r="43">
          <cell r="B43" t="str">
            <v>BHND1CO</v>
          </cell>
          <cell r="C43" t="str">
            <v>HV 1 Rate Dmd Cent U</v>
          </cell>
          <cell r="D43" t="str">
            <v>t-2</v>
          </cell>
          <cell r="G43">
            <v>0.8487978167877841</v>
          </cell>
          <cell r="H43">
            <v>0.8487978167877841</v>
          </cell>
          <cell r="I43">
            <v>0.8487978167877841</v>
          </cell>
        </row>
        <row r="44">
          <cell r="B44" t="str">
            <v>BHND1SO</v>
          </cell>
          <cell r="C44" t="str">
            <v>HV 1 Rate Dmd Sth U</v>
          </cell>
          <cell r="D44" t="str">
            <v>t-2</v>
          </cell>
          <cell r="G44">
            <v>0.8487978167877841</v>
          </cell>
          <cell r="H44">
            <v>0.8487978167877841</v>
          </cell>
          <cell r="I44">
            <v>0.8487978167877841</v>
          </cell>
        </row>
        <row r="47">
          <cell r="B47" t="str">
            <v>Tariff Class D; Subtransmission</v>
          </cell>
        </row>
        <row r="48">
          <cell r="B48" t="str">
            <v>BSSD3AO</v>
          </cell>
          <cell r="C48" t="str">
            <v>SUB TRANS 3 RATE DEMAND</v>
          </cell>
          <cell r="D48" t="str">
            <v>t-2</v>
          </cell>
          <cell r="G48">
            <v>0.22627297527633009</v>
          </cell>
          <cell r="H48">
            <v>0.22627297527633009</v>
          </cell>
          <cell r="I48">
            <v>0.22627297527633009</v>
          </cell>
        </row>
        <row r="49">
          <cell r="B49" t="str">
            <v/>
          </cell>
          <cell r="C49" t="str">
            <v/>
          </cell>
          <cell r="D49" t="str">
            <v/>
          </cell>
        </row>
        <row r="50">
          <cell r="B50" t="str">
            <v>BSS04CU</v>
          </cell>
          <cell r="C50" t="str">
            <v>Peak Gold Mines</v>
          </cell>
          <cell r="D50" t="str">
            <v>t-2</v>
          </cell>
          <cell r="G50">
            <v>0.22627297527633009</v>
          </cell>
          <cell r="H50">
            <v>0.22627297527633009</v>
          </cell>
          <cell r="I50">
            <v>0.22627297527633009</v>
          </cell>
        </row>
        <row r="51">
          <cell r="B51" t="str">
            <v>BSS05CU</v>
          </cell>
          <cell r="C51" t="str">
            <v>Oberon Timber Complex</v>
          </cell>
          <cell r="D51" t="str">
            <v>t-2</v>
          </cell>
          <cell r="G51">
            <v>0.22627297527633009</v>
          </cell>
          <cell r="H51">
            <v>0.22627297527633009</v>
          </cell>
          <cell r="I51">
            <v>0.22627297527633009</v>
          </cell>
        </row>
        <row r="52">
          <cell r="B52" t="str">
            <v>BSS05NO</v>
          </cell>
          <cell r="C52" t="str">
            <v>Harwood Sugar</v>
          </cell>
          <cell r="D52" t="str">
            <v>t-2</v>
          </cell>
          <cell r="G52">
            <v>0.22627297527633009</v>
          </cell>
          <cell r="H52">
            <v>0.22627297527633009</v>
          </cell>
          <cell r="I52">
            <v>0.22627297527633009</v>
          </cell>
        </row>
        <row r="53">
          <cell r="B53" t="str">
            <v>BSS06CU</v>
          </cell>
          <cell r="C53" t="str">
            <v>Fletcher International Exports</v>
          </cell>
          <cell r="D53" t="str">
            <v>t-2</v>
          </cell>
          <cell r="G53">
            <v>0.22627297527633009</v>
          </cell>
          <cell r="H53">
            <v>0.22627297527633009</v>
          </cell>
          <cell r="I53">
            <v>0.22627297527633009</v>
          </cell>
        </row>
        <row r="54">
          <cell r="B54" t="str">
            <v>BSS08CU</v>
          </cell>
          <cell r="C54" t="str">
            <v>Cadia Mine</v>
          </cell>
          <cell r="D54" t="str">
            <v>t-2</v>
          </cell>
          <cell r="E54">
            <v>1019489.0619328283</v>
          </cell>
        </row>
        <row r="55">
          <cell r="B55" t="str">
            <v>BSS10CU</v>
          </cell>
          <cell r="C55" t="str">
            <v>Ulan Coal Mine Cassilis Road</v>
          </cell>
          <cell r="D55" t="str">
            <v>t-2</v>
          </cell>
          <cell r="G55">
            <v>0.22627297527633009</v>
          </cell>
          <cell r="H55">
            <v>0.22627297527633009</v>
          </cell>
          <cell r="I55">
            <v>0.22627297527633009</v>
          </cell>
        </row>
        <row r="56">
          <cell r="B56" t="str">
            <v>BSS11CU</v>
          </cell>
          <cell r="C56" t="str">
            <v>Cobar Mine</v>
          </cell>
          <cell r="D56" t="str">
            <v>t-2</v>
          </cell>
          <cell r="G56">
            <v>0.22627297527633009</v>
          </cell>
          <cell r="H56">
            <v>0.22627297527633009</v>
          </cell>
          <cell r="I56">
            <v>0.22627297527633009</v>
          </cell>
        </row>
        <row r="57">
          <cell r="B57" t="str">
            <v>BSS12CU</v>
          </cell>
          <cell r="C57" t="str">
            <v>Endeavor Operations Pty Ltd</v>
          </cell>
          <cell r="D57" t="str">
            <v>t-2</v>
          </cell>
          <cell r="G57">
            <v>0.22627297527633009</v>
          </cell>
          <cell r="H57">
            <v>0.22627297527633009</v>
          </cell>
          <cell r="I57">
            <v>0.22627297527633009</v>
          </cell>
        </row>
        <row r="58">
          <cell r="B58" t="str">
            <v>BSS13CU</v>
          </cell>
          <cell r="C58" t="str">
            <v>Uncle Bens-Bathurst</v>
          </cell>
          <cell r="D58" t="str">
            <v>t-2</v>
          </cell>
          <cell r="G58">
            <v>0.22627297527633009</v>
          </cell>
          <cell r="H58">
            <v>0.22627297527633009</v>
          </cell>
          <cell r="I58">
            <v>0.22627297527633009</v>
          </cell>
        </row>
        <row r="59">
          <cell r="B59" t="str">
            <v>BSS20CU</v>
          </cell>
          <cell r="C59" t="str">
            <v>Nth Parkes Mine</v>
          </cell>
          <cell r="D59" t="str">
            <v>t-2</v>
          </cell>
          <cell r="G59">
            <v>0.22627297527633009</v>
          </cell>
          <cell r="H59">
            <v>0.22627297527633009</v>
          </cell>
          <cell r="I59">
            <v>0.22627297527633009</v>
          </cell>
        </row>
        <row r="60">
          <cell r="B60" t="str">
            <v>BSS25AO</v>
          </cell>
          <cell r="C60" t="str">
            <v>Tritton Mine</v>
          </cell>
          <cell r="D60" t="str">
            <v>t-2</v>
          </cell>
          <cell r="G60">
            <v>0.22627297527633009</v>
          </cell>
          <cell r="H60">
            <v>0.22627297527633009</v>
          </cell>
          <cell r="I60">
            <v>0.22627297527633009</v>
          </cell>
        </row>
        <row r="61">
          <cell r="B61" t="str">
            <v>BSS26AO</v>
          </cell>
          <cell r="C61" t="str">
            <v>Lake Cowal Mine</v>
          </cell>
          <cell r="D61" t="str">
            <v>t-2</v>
          </cell>
          <cell r="G61">
            <v>0.22627297527633009</v>
          </cell>
          <cell r="H61">
            <v>0.22627297527633009</v>
          </cell>
          <cell r="I61">
            <v>0.22627297527633009</v>
          </cell>
        </row>
        <row r="62">
          <cell r="B62" t="str">
            <v>BSS27AO</v>
          </cell>
          <cell r="C62" t="str">
            <v>Manildra Flour Mill</v>
          </cell>
          <cell r="D62" t="str">
            <v>t-1</v>
          </cell>
          <cell r="G62">
            <v>0.22627297527633009</v>
          </cell>
          <cell r="H62">
            <v>0.22627297527633009</v>
          </cell>
          <cell r="I62">
            <v>0.22627297527633009</v>
          </cell>
        </row>
        <row r="63">
          <cell r="B63" t="str">
            <v>CRNP1</v>
          </cell>
          <cell r="C63" t="str">
            <v>Perilya Mine, Broken Hill          </v>
          </cell>
          <cell r="D63" t="str">
            <v>t-2</v>
          </cell>
          <cell r="G63">
            <v>0.16961334495673205</v>
          </cell>
          <cell r="H63">
            <v>0.16961334495673205</v>
          </cell>
          <cell r="I63">
            <v>0.16961334495673205</v>
          </cell>
        </row>
        <row r="64">
          <cell r="B64" t="str">
            <v>CRNP2</v>
          </cell>
          <cell r="C64" t="str">
            <v>Bemax and Snapper      </v>
          </cell>
          <cell r="D64" t="str">
            <v>t-2</v>
          </cell>
          <cell r="G64">
            <v>0.22627297527633009</v>
          </cell>
          <cell r="H64">
            <v>0.22627297527633009</v>
          </cell>
          <cell r="I64">
            <v>0.22627297527633009</v>
          </cell>
        </row>
        <row r="65">
          <cell r="B65" t="str">
            <v>BSS21SU</v>
          </cell>
          <cell r="C65" t="str">
            <v>IDT Blowering Dam</v>
          </cell>
          <cell r="D65" t="str">
            <v>t-2</v>
          </cell>
          <cell r="F65">
            <v>0</v>
          </cell>
          <cell r="G65">
            <v>0</v>
          </cell>
          <cell r="H65">
            <v>0</v>
          </cell>
          <cell r="I65">
            <v>0</v>
          </cell>
        </row>
        <row r="66">
          <cell r="B66" t="str">
            <v>BSS22SU</v>
          </cell>
          <cell r="C66" t="str">
            <v>IDT Cabramurra Aux</v>
          </cell>
          <cell r="D66" t="str">
            <v>t-2</v>
          </cell>
          <cell r="F66">
            <v>0</v>
          </cell>
          <cell r="G66">
            <v>0</v>
          </cell>
          <cell r="H66">
            <v>0</v>
          </cell>
          <cell r="I66">
            <v>0</v>
          </cell>
        </row>
        <row r="67">
          <cell r="B67" t="str">
            <v>BSS24NU</v>
          </cell>
          <cell r="C67" t="str">
            <v>Kirra - IDC</v>
          </cell>
          <cell r="D67" t="str">
            <v>t-2</v>
          </cell>
          <cell r="F67">
            <v>0</v>
          </cell>
          <cell r="G67">
            <v>0</v>
          </cell>
          <cell r="H67">
            <v>0</v>
          </cell>
          <cell r="I67">
            <v>0</v>
          </cell>
        </row>
        <row r="68">
          <cell r="B68" t="str">
            <v/>
          </cell>
          <cell r="C68" t="str">
            <v/>
          </cell>
          <cell r="D68" t="str">
            <v/>
          </cell>
        </row>
        <row r="69">
          <cell r="B69" t="str">
            <v/>
          </cell>
          <cell r="C69" t="str">
            <v/>
          </cell>
          <cell r="D69" t="str">
            <v/>
          </cell>
        </row>
        <row r="70">
          <cell r="B70" t="str">
            <v/>
          </cell>
          <cell r="C70" t="str">
            <v/>
          </cell>
          <cell r="D70" t="str">
            <v/>
          </cell>
        </row>
        <row r="71">
          <cell r="B71" t="str">
            <v>Tariff Class E; unmetered</v>
          </cell>
        </row>
        <row r="72">
          <cell r="B72" t="str">
            <v>BLNP1AO</v>
          </cell>
          <cell r="C72" t="str">
            <v>LV Public Lighting NUOS</v>
          </cell>
          <cell r="D72" t="str">
            <v>t-2</v>
          </cell>
          <cell r="F72">
            <v>0.8487978167877841</v>
          </cell>
        </row>
        <row r="73">
          <cell r="B73" t="str">
            <v>BLNP3AO</v>
          </cell>
          <cell r="C73" t="str">
            <v>LV Public Lighting ToU NUOS</v>
          </cell>
          <cell r="D73" t="str">
            <v>t-2</v>
          </cell>
          <cell r="G73">
            <v>0.8487978167877841</v>
          </cell>
          <cell r="H73">
            <v>0.8487978167877841</v>
          </cell>
          <cell r="I73">
            <v>0.8487978167877841</v>
          </cell>
        </row>
        <row r="74">
          <cell r="B74" t="str">
            <v>TOTAL EXPECTED REVENUE FROM CCF TARIFFS</v>
          </cell>
        </row>
      </sheetData>
      <sheetData sheetId="18"/>
      <sheetData sheetId="19"/>
      <sheetData sheetId="20">
        <row r="10">
          <cell r="B10" t="str">
            <v>BLNN2AU</v>
          </cell>
          <cell r="C10" t="str">
            <v>LV Residential Anytime</v>
          </cell>
          <cell r="D10" t="str">
            <v>t-2</v>
          </cell>
          <cell r="F10">
            <v>8.2740274365856493E-3</v>
          </cell>
        </row>
        <row r="11">
          <cell r="B11" t="str">
            <v>BLNT3AU</v>
          </cell>
          <cell r="C11" t="str">
            <v>LV Residential ToU</v>
          </cell>
          <cell r="D11" t="str">
            <v>t-2</v>
          </cell>
          <cell r="G11">
            <v>8.274027436586005E-3</v>
          </cell>
          <cell r="H11">
            <v>8.274027436586005E-3</v>
          </cell>
          <cell r="I11">
            <v>8.274027436586005E-3</v>
          </cell>
        </row>
        <row r="12">
          <cell r="B12" t="str">
            <v>BLNT3AL</v>
          </cell>
          <cell r="C12" t="str">
            <v>LV Residential ToU_Interval meter</v>
          </cell>
          <cell r="D12" t="str">
            <v>t-2</v>
          </cell>
          <cell r="G12">
            <v>8.274027436586005E-3</v>
          </cell>
          <cell r="H12">
            <v>8.274027436586005E-3</v>
          </cell>
          <cell r="I12">
            <v>8.274027436586005E-3</v>
          </cell>
        </row>
        <row r="13">
          <cell r="B13" t="str">
            <v>BLND1AR</v>
          </cell>
          <cell r="C13" t="str">
            <v>Small Residential-Opt in Demand</v>
          </cell>
          <cell r="D13" t="str">
            <v>t-2</v>
          </cell>
          <cell r="G13">
            <v>8.274027436586005E-3</v>
          </cell>
          <cell r="H13">
            <v>8.274027436586005E-3</v>
          </cell>
          <cell r="I13">
            <v>8.274027436586005E-3</v>
          </cell>
        </row>
        <row r="14">
          <cell r="B14" t="str">
            <v>BLNC1AU</v>
          </cell>
          <cell r="C14" t="str">
            <v>Energy Saver 1</v>
          </cell>
          <cell r="D14" t="str">
            <v>t-2</v>
          </cell>
          <cell r="F14">
            <v>8.274027436586005E-3</v>
          </cell>
        </row>
        <row r="15">
          <cell r="B15" t="str">
            <v>BLNC2AU</v>
          </cell>
          <cell r="C15" t="str">
            <v>Energy Saver 2</v>
          </cell>
          <cell r="D15" t="str">
            <v>t-2</v>
          </cell>
          <cell r="F15">
            <v>8.274027436586005E-3</v>
          </cell>
        </row>
        <row r="16">
          <cell r="B16" t="str">
            <v>BLNN1AU</v>
          </cell>
          <cell r="C16" t="str">
            <v>LV Small business Anytime</v>
          </cell>
          <cell r="D16" t="str">
            <v>t-2</v>
          </cell>
          <cell r="F16">
            <v>8.274027436586005E-3</v>
          </cell>
        </row>
        <row r="17">
          <cell r="B17" t="str">
            <v>BLNT2AU</v>
          </cell>
          <cell r="C17" t="str">
            <v>LV ToU &lt; 100MWh</v>
          </cell>
          <cell r="D17" t="str">
            <v>t-2</v>
          </cell>
          <cell r="G17">
            <v>8.274027436586005E-3</v>
          </cell>
          <cell r="H17">
            <v>8.274027436586005E-3</v>
          </cell>
          <cell r="I17">
            <v>8.274027436586005E-3</v>
          </cell>
        </row>
        <row r="18">
          <cell r="B18" t="str">
            <v>BLNT2AL</v>
          </cell>
          <cell r="C18" t="str">
            <v>LV Business ToU_Interval meter</v>
          </cell>
          <cell r="D18" t="str">
            <v>t-2</v>
          </cell>
          <cell r="G18">
            <v>8.274027436586005E-3</v>
          </cell>
          <cell r="H18">
            <v>8.274027436586005E-3</v>
          </cell>
          <cell r="I18">
            <v>8.274027436586005E-3</v>
          </cell>
        </row>
        <row r="19">
          <cell r="B19" t="str">
            <v>BLNT1AO</v>
          </cell>
          <cell r="C19" t="str">
            <v>LV ToU &gt; 100 MWh/yr</v>
          </cell>
          <cell r="D19" t="str">
            <v>t-2</v>
          </cell>
          <cell r="G19">
            <v>8.274027436586005E-3</v>
          </cell>
          <cell r="H19">
            <v>8.274027436586005E-3</v>
          </cell>
          <cell r="I19">
            <v>8.274027436586005E-3</v>
          </cell>
        </row>
        <row r="20">
          <cell r="B20" t="str">
            <v>BLND1AB</v>
          </cell>
          <cell r="C20" t="str">
            <v>Small business-Opt in Demand</v>
          </cell>
          <cell r="D20" t="str">
            <v>t-2</v>
          </cell>
          <cell r="G20">
            <v>8.274027436586005E-3</v>
          </cell>
          <cell r="H20">
            <v>8.274027436586005E-3</v>
          </cell>
          <cell r="I20">
            <v>8.274027436586005E-3</v>
          </cell>
        </row>
        <row r="21">
          <cell r="B21" t="str">
            <v>BLNT1SU</v>
          </cell>
          <cell r="C21" t="str">
            <v>LV ToU &gt; 100 MWh/yr Sth U</v>
          </cell>
          <cell r="D21" t="str">
            <v>t-2</v>
          </cell>
          <cell r="G21">
            <v>8.274027436586005E-3</v>
          </cell>
          <cell r="H21">
            <v>8.274027436586005E-3</v>
          </cell>
          <cell r="I21">
            <v>8.274027436586005E-3</v>
          </cell>
        </row>
        <row r="22">
          <cell r="B22" t="str">
            <v>BLTTSS2</v>
          </cell>
          <cell r="C22" t="str">
            <v>Tariff Trial - Sun soaker Residential</v>
          </cell>
          <cell r="D22" t="str">
            <v>t-1</v>
          </cell>
          <cell r="G22">
            <v>8.274027436586005E-3</v>
          </cell>
          <cell r="H22">
            <v>0</v>
          </cell>
          <cell r="I22">
            <v>8.274027436586005E-3</v>
          </cell>
        </row>
        <row r="23">
          <cell r="B23" t="str">
            <v>BLTTSS1</v>
          </cell>
          <cell r="C23" t="str">
            <v>Tariff Trial - Sun soaker Small Business</v>
          </cell>
          <cell r="D23" t="str">
            <v>t-1</v>
          </cell>
          <cell r="G23">
            <v>8.274027436586005E-3</v>
          </cell>
          <cell r="H23">
            <v>0</v>
          </cell>
          <cell r="I23">
            <v>8.274027436586005E-3</v>
          </cell>
        </row>
        <row r="24">
          <cell r="B24" t="str">
            <v>BLTTEX1</v>
          </cell>
          <cell r="C24" t="str">
            <v>Tariff Trial - Export charge</v>
          </cell>
          <cell r="D24" t="str">
            <v>t</v>
          </cell>
        </row>
        <row r="25">
          <cell r="B25" t="str">
            <v>BLTTEX1</v>
          </cell>
          <cell r="C25" t="str">
            <v>Tariff Trial - Export charge sml business</v>
          </cell>
          <cell r="D25" t="str">
            <v>t</v>
          </cell>
        </row>
        <row r="26">
          <cell r="B26" t="str">
            <v>TTPTR</v>
          </cell>
          <cell r="C26" t="str">
            <v>Tariff Trial - Critical Peak Rebate</v>
          </cell>
          <cell r="D26" t="str">
            <v>t</v>
          </cell>
        </row>
        <row r="27">
          <cell r="B27" t="str">
            <v>TTCPP</v>
          </cell>
          <cell r="C27" t="str">
            <v>Tariff Trial  - Critical Peak Charge</v>
          </cell>
          <cell r="D27" t="str">
            <v>t</v>
          </cell>
        </row>
        <row r="29">
          <cell r="B29" t="str">
            <v>Tariff Class B; Low voltage - Large Business</v>
          </cell>
        </row>
        <row r="30">
          <cell r="B30" t="str">
            <v>BLND3AO</v>
          </cell>
          <cell r="C30" t="str">
            <v>LV ToU Demand 3 Rate</v>
          </cell>
          <cell r="D30" t="str">
            <v>t-2</v>
          </cell>
          <cell r="G30">
            <v>8.274027436586005E-3</v>
          </cell>
          <cell r="H30">
            <v>8.274027436586005E-3</v>
          </cell>
          <cell r="I30">
            <v>8.274027436586005E-3</v>
          </cell>
        </row>
        <row r="31">
          <cell r="B31" t="str">
            <v>BLND3TO</v>
          </cell>
          <cell r="C31" t="str">
            <v>LV ToU Demand-alternate tariff</v>
          </cell>
          <cell r="D31" t="str">
            <v>t-2</v>
          </cell>
          <cell r="G31">
            <v>8.274027436586005E-3</v>
          </cell>
          <cell r="H31">
            <v>8.274027436586005E-3</v>
          </cell>
          <cell r="I31">
            <v>8.274027436586005E-3</v>
          </cell>
        </row>
        <row r="32">
          <cell r="B32" t="str">
            <v>BLNDTRS</v>
          </cell>
          <cell r="C32" t="str">
            <v>Transitional Demand</v>
          </cell>
          <cell r="D32" t="str">
            <v>t-2</v>
          </cell>
          <cell r="G32">
            <v>8.274027436586005E-3</v>
          </cell>
          <cell r="H32">
            <v>8.274027436586005E-3</v>
          </cell>
          <cell r="I32">
            <v>8.274027436586005E-3</v>
          </cell>
        </row>
        <row r="33">
          <cell r="B33" t="str">
            <v>BLNS1AO</v>
          </cell>
          <cell r="C33" t="str">
            <v>LV ToU avg daily Demand</v>
          </cell>
          <cell r="D33" t="str">
            <v>t-2</v>
          </cell>
          <cell r="G33">
            <v>8.274027436586005E-3</v>
          </cell>
          <cell r="H33">
            <v>8.274027436586005E-3</v>
          </cell>
          <cell r="I33">
            <v>8.274027436586005E-3</v>
          </cell>
        </row>
        <row r="34">
          <cell r="B34" t="str">
            <v>BLND1CO</v>
          </cell>
          <cell r="C34" t="str">
            <v>LV 1 Rate Dmd Cent</v>
          </cell>
          <cell r="D34" t="str">
            <v>t-2</v>
          </cell>
          <cell r="G34">
            <v>8.274027436586005E-3</v>
          </cell>
          <cell r="H34">
            <v>8.274027436586005E-3</v>
          </cell>
          <cell r="I34">
            <v>8.274027436586005E-3</v>
          </cell>
        </row>
        <row r="35">
          <cell r="B35" t="str">
            <v>BLND1SR</v>
          </cell>
          <cell r="C35" t="str">
            <v>LV 1 Rate Dmd Sth Rural</v>
          </cell>
          <cell r="D35" t="str">
            <v>t-2</v>
          </cell>
          <cell r="G35">
            <v>8.274027436586005E-3</v>
          </cell>
          <cell r="H35">
            <v>8.274027436586005E-3</v>
          </cell>
          <cell r="I35">
            <v>8.274027436586005E-3</v>
          </cell>
        </row>
        <row r="36">
          <cell r="B36" t="str">
            <v>BLND1SU</v>
          </cell>
          <cell r="C36" t="str">
            <v>LV 1 Rate Dmd Sth Urburn</v>
          </cell>
          <cell r="D36" t="str">
            <v>t-2</v>
          </cell>
          <cell r="G36">
            <v>8.274027436586005E-3</v>
          </cell>
          <cell r="H36">
            <v>8.274027436586005E-3</v>
          </cell>
          <cell r="I36">
            <v>8.274027436586005E-3</v>
          </cell>
        </row>
        <row r="37">
          <cell r="B37">
            <v>0</v>
          </cell>
          <cell r="C37" t="str">
            <v>Tariff Trial - Grid Scale Battery</v>
          </cell>
          <cell r="D37" t="str">
            <v>t</v>
          </cell>
          <cell r="E37">
            <v>42.323806815987467</v>
          </cell>
        </row>
        <row r="38">
          <cell r="B38">
            <v>0</v>
          </cell>
          <cell r="C38" t="str">
            <v>Tariff Trial - Peaky Load business</v>
          </cell>
          <cell r="D38" t="str">
            <v>t</v>
          </cell>
          <cell r="E38">
            <v>42.323806815987467</v>
          </cell>
        </row>
        <row r="40">
          <cell r="B40" t="str">
            <v>Tariff Class C; High voltage - demand</v>
          </cell>
        </row>
        <row r="41">
          <cell r="B41" t="str">
            <v>BHND3AO</v>
          </cell>
          <cell r="C41" t="str">
            <v>HV ToU mthly Demand</v>
          </cell>
          <cell r="D41" t="str">
            <v>t-2</v>
          </cell>
        </row>
        <row r="42">
          <cell r="B42" t="str">
            <v>BHNS1AO</v>
          </cell>
          <cell r="C42" t="str">
            <v>HV ToU avg daily Demand</v>
          </cell>
          <cell r="D42" t="str">
            <v>t-2</v>
          </cell>
        </row>
        <row r="43">
          <cell r="B43" t="str">
            <v>BHND1CO</v>
          </cell>
          <cell r="C43" t="str">
            <v>HV 1 Rate Dmd Cent U</v>
          </cell>
          <cell r="D43" t="str">
            <v>t-2</v>
          </cell>
        </row>
        <row r="44">
          <cell r="B44" t="str">
            <v>BHND1SO</v>
          </cell>
          <cell r="C44" t="str">
            <v>HV 1 Rate Dmd Sth U</v>
          </cell>
          <cell r="D44" t="str">
            <v>t-2</v>
          </cell>
        </row>
        <row r="47">
          <cell r="B47" t="str">
            <v>Tariff Class D; Subtransmission</v>
          </cell>
        </row>
        <row r="48">
          <cell r="B48" t="str">
            <v>BSSD3AO</v>
          </cell>
          <cell r="C48" t="str">
            <v>SUB TRANS 3 RATE DEMAND</v>
          </cell>
          <cell r="D48" t="str">
            <v>t-2</v>
          </cell>
        </row>
        <row r="49">
          <cell r="B49" t="str">
            <v/>
          </cell>
          <cell r="C49" t="str">
            <v/>
          </cell>
          <cell r="D49" t="str">
            <v/>
          </cell>
        </row>
        <row r="50">
          <cell r="B50" t="str">
            <v>BSS04CU</v>
          </cell>
          <cell r="C50" t="str">
            <v>Peak Gold Mines</v>
          </cell>
          <cell r="D50" t="str">
            <v>t-2</v>
          </cell>
        </row>
        <row r="51">
          <cell r="B51" t="str">
            <v>BSS05CU</v>
          </cell>
          <cell r="C51" t="str">
            <v>Oberon Timber Complex</v>
          </cell>
          <cell r="D51" t="str">
            <v>t-2</v>
          </cell>
        </row>
        <row r="52">
          <cell r="B52" t="str">
            <v>BSS05NO</v>
          </cell>
          <cell r="C52" t="str">
            <v>Harwood Sugar</v>
          </cell>
          <cell r="D52" t="str">
            <v>t-2</v>
          </cell>
        </row>
        <row r="53">
          <cell r="B53" t="str">
            <v>BSS06CU</v>
          </cell>
          <cell r="C53" t="str">
            <v>Fletcher International Exports</v>
          </cell>
          <cell r="D53" t="str">
            <v>t-2</v>
          </cell>
        </row>
        <row r="54">
          <cell r="B54" t="str">
            <v>BSS08CU</v>
          </cell>
          <cell r="C54" t="str">
            <v>Cadia Mine</v>
          </cell>
          <cell r="D54" t="str">
            <v>t-2</v>
          </cell>
        </row>
        <row r="55">
          <cell r="B55" t="str">
            <v>BSS10CU</v>
          </cell>
          <cell r="C55" t="str">
            <v>Ulan Coal Mine Cassilis Road</v>
          </cell>
          <cell r="D55" t="str">
            <v>t-2</v>
          </cell>
        </row>
        <row r="56">
          <cell r="B56" t="str">
            <v>BSS11CU</v>
          </cell>
          <cell r="C56" t="str">
            <v>Cobar Mine</v>
          </cell>
          <cell r="D56" t="str">
            <v>t-2</v>
          </cell>
        </row>
        <row r="57">
          <cell r="B57" t="str">
            <v>BSS12CU</v>
          </cell>
          <cell r="C57" t="str">
            <v>Endeavor Operations Pty Ltd</v>
          </cell>
          <cell r="D57" t="str">
            <v>t-2</v>
          </cell>
        </row>
        <row r="58">
          <cell r="B58" t="str">
            <v>BSS13CU</v>
          </cell>
          <cell r="C58" t="str">
            <v>Uncle Bens-Bathurst</v>
          </cell>
          <cell r="D58" t="str">
            <v>t-2</v>
          </cell>
        </row>
        <row r="59">
          <cell r="B59" t="str">
            <v>BSS20CU</v>
          </cell>
          <cell r="C59" t="str">
            <v>Nth Parkes Mine</v>
          </cell>
          <cell r="D59" t="str">
            <v>t-2</v>
          </cell>
        </row>
        <row r="60">
          <cell r="B60" t="str">
            <v>BSS25AO</v>
          </cell>
          <cell r="C60" t="str">
            <v>Tritton Mine</v>
          </cell>
          <cell r="D60" t="str">
            <v>t-2</v>
          </cell>
        </row>
        <row r="61">
          <cell r="B61" t="str">
            <v>BSS26AO</v>
          </cell>
          <cell r="C61" t="str">
            <v>Lake Cowal Mine</v>
          </cell>
          <cell r="D61" t="str">
            <v>t-2</v>
          </cell>
        </row>
        <row r="62">
          <cell r="B62" t="str">
            <v>BSS27AO</v>
          </cell>
          <cell r="C62" t="str">
            <v>Manildra Flour Mill</v>
          </cell>
          <cell r="D62" t="str">
            <v>t-1</v>
          </cell>
        </row>
        <row r="63">
          <cell r="B63" t="str">
            <v>CRNP1</v>
          </cell>
          <cell r="C63" t="str">
            <v>Perilya Mine, Broken Hill          </v>
          </cell>
          <cell r="D63" t="str">
            <v>t-2</v>
          </cell>
        </row>
        <row r="64">
          <cell r="B64" t="str">
            <v>CRNP2</v>
          </cell>
          <cell r="C64" t="str">
            <v>Bemax and Snapper      </v>
          </cell>
          <cell r="D64" t="str">
            <v>t-2</v>
          </cell>
        </row>
        <row r="65">
          <cell r="B65" t="str">
            <v>BSS21SU</v>
          </cell>
          <cell r="C65" t="str">
            <v>IDT Blowering Dam</v>
          </cell>
          <cell r="D65" t="str">
            <v>t-2</v>
          </cell>
        </row>
        <row r="66">
          <cell r="B66" t="str">
            <v>BSS22SU</v>
          </cell>
          <cell r="C66" t="str">
            <v>IDT Cabramurra Aux</v>
          </cell>
          <cell r="D66" t="str">
            <v>t-2</v>
          </cell>
        </row>
        <row r="67">
          <cell r="B67" t="str">
            <v>BSS24NU</v>
          </cell>
          <cell r="C67" t="str">
            <v>Kirra - IDC</v>
          </cell>
          <cell r="D67" t="str">
            <v>t-2</v>
          </cell>
        </row>
        <row r="68">
          <cell r="B68" t="str">
            <v/>
          </cell>
          <cell r="C68" t="str">
            <v/>
          </cell>
          <cell r="D68" t="str">
            <v/>
          </cell>
        </row>
        <row r="69">
          <cell r="B69" t="str">
            <v/>
          </cell>
          <cell r="C69" t="str">
            <v/>
          </cell>
          <cell r="D69" t="str">
            <v/>
          </cell>
        </row>
        <row r="70">
          <cell r="B70" t="str">
            <v/>
          </cell>
          <cell r="C70" t="str">
            <v/>
          </cell>
          <cell r="D70" t="str">
            <v/>
          </cell>
        </row>
        <row r="71">
          <cell r="B71" t="str">
            <v>Tariff Class E; unmetered</v>
          </cell>
        </row>
        <row r="72">
          <cell r="B72" t="str">
            <v>BLNP1AO</v>
          </cell>
          <cell r="C72" t="str">
            <v>LV Public Lighting NUOS</v>
          </cell>
          <cell r="D72" t="str">
            <v>t-2</v>
          </cell>
        </row>
        <row r="73">
          <cell r="B73" t="str">
            <v>BLNP3AO</v>
          </cell>
          <cell r="C73" t="str">
            <v>LV Public Lighting ToU NUOS</v>
          </cell>
          <cell r="D73" t="str">
            <v>t-2</v>
          </cell>
        </row>
        <row r="74">
          <cell r="B74" t="str">
            <v>TOTAL EXPECTED REVENUE FROM CCF TARIFFS</v>
          </cell>
        </row>
      </sheetData>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83"/>
  <sheetViews>
    <sheetView showGridLines="0" tabSelected="1" zoomScale="70" zoomScaleNormal="70" workbookViewId="0">
      <selection activeCell="N28" sqref="N28"/>
    </sheetView>
  </sheetViews>
  <sheetFormatPr defaultColWidth="8.88671875" defaultRowHeight="14.25" x14ac:dyDescent="0.2"/>
  <cols>
    <col min="1" max="1" width="1.88671875" style="15" customWidth="1"/>
    <col min="2" max="2" width="12.21875" style="8" customWidth="1"/>
    <col min="3" max="3" width="26.44140625" style="8" customWidth="1"/>
    <col min="4" max="4" width="11.21875" style="8" customWidth="1"/>
    <col min="5" max="5" width="25.21875" style="8" customWidth="1"/>
    <col min="6" max="13" width="10.5546875" style="8" customWidth="1"/>
    <col min="14" max="15" width="12.5546875" style="8" customWidth="1"/>
    <col min="16" max="16" width="21.33203125" style="8" customWidth="1"/>
    <col min="17" max="17" width="2.6640625" style="8" customWidth="1"/>
    <col min="18" max="16384" width="8.88671875" style="8"/>
  </cols>
  <sheetData>
    <row r="2" spans="1:16" ht="33" x14ac:dyDescent="0.45">
      <c r="A2" s="1"/>
      <c r="B2" s="2" t="s">
        <v>197</v>
      </c>
      <c r="C2" s="3"/>
      <c r="D2" s="3"/>
      <c r="E2" s="3"/>
      <c r="F2" s="3"/>
      <c r="G2" s="4"/>
      <c r="H2" s="5"/>
      <c r="I2" s="5"/>
      <c r="J2" s="5"/>
      <c r="K2" s="4"/>
      <c r="L2" s="6"/>
      <c r="M2" s="7"/>
    </row>
    <row r="3" spans="1:16" ht="15.75" x14ac:dyDescent="0.25">
      <c r="A3" s="1"/>
      <c r="B3" s="141" t="s">
        <v>204</v>
      </c>
      <c r="C3" s="142"/>
      <c r="D3" s="142"/>
      <c r="E3" s="142"/>
      <c r="F3" s="142"/>
      <c r="G3" s="9"/>
      <c r="H3" s="145"/>
      <c r="I3" s="137"/>
      <c r="J3" s="103"/>
      <c r="K3" s="9"/>
      <c r="L3" s="9"/>
      <c r="M3" s="10"/>
    </row>
    <row r="4" spans="1:16" ht="15" x14ac:dyDescent="0.25">
      <c r="A4" s="1"/>
      <c r="B4" s="11"/>
      <c r="C4" s="12"/>
      <c r="D4" s="13"/>
      <c r="E4" s="13"/>
      <c r="F4" s="13"/>
      <c r="G4" s="13"/>
      <c r="H4" s="13"/>
      <c r="I4" s="13"/>
      <c r="J4" s="13"/>
      <c r="K4" s="13"/>
      <c r="L4" s="13"/>
      <c r="M4" s="14"/>
    </row>
    <row r="5" spans="1:16" ht="26.25" customHeight="1" x14ac:dyDescent="0.25">
      <c r="B5" s="132" t="s">
        <v>107</v>
      </c>
      <c r="C5" s="131" t="s">
        <v>24</v>
      </c>
      <c r="D5" s="146" t="s">
        <v>9</v>
      </c>
      <c r="E5" s="147"/>
      <c r="F5" s="57" t="s">
        <v>1</v>
      </c>
      <c r="G5" s="57" t="s">
        <v>2</v>
      </c>
      <c r="H5" s="40" t="s">
        <v>2</v>
      </c>
      <c r="I5" s="40" t="s">
        <v>2</v>
      </c>
      <c r="J5" s="40" t="s">
        <v>2</v>
      </c>
      <c r="K5" s="40" t="s">
        <v>4</v>
      </c>
      <c r="L5" s="40" t="s">
        <v>5</v>
      </c>
      <c r="M5" s="40" t="s">
        <v>6</v>
      </c>
    </row>
    <row r="6" spans="1:16" ht="15" x14ac:dyDescent="0.2">
      <c r="B6" s="132"/>
      <c r="C6" s="132"/>
      <c r="D6" s="146"/>
      <c r="E6" s="147"/>
      <c r="F6" s="83" t="s">
        <v>10</v>
      </c>
      <c r="G6" s="83" t="s">
        <v>174</v>
      </c>
      <c r="H6" s="83" t="s">
        <v>4</v>
      </c>
      <c r="I6" s="83" t="s">
        <v>5</v>
      </c>
      <c r="J6" s="83" t="s">
        <v>6</v>
      </c>
      <c r="K6" s="83" t="s">
        <v>3</v>
      </c>
      <c r="L6" s="83" t="s">
        <v>3</v>
      </c>
      <c r="M6" s="83" t="s">
        <v>3</v>
      </c>
    </row>
    <row r="7" spans="1:16" ht="22.5" customHeight="1" x14ac:dyDescent="0.2">
      <c r="B7" s="132"/>
      <c r="C7" s="133"/>
      <c r="D7" s="146"/>
      <c r="E7" s="147"/>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
        <v>25</v>
      </c>
      <c r="C9" s="20"/>
      <c r="D9" s="134" t="s">
        <v>181</v>
      </c>
      <c r="E9" s="135"/>
      <c r="F9" s="21">
        <f>ROUND(VLOOKUP($B9,'[2]NUOS (t)'!$B$10:$P$66,4,FALSE)/365,4)</f>
        <v>0.91139999999999999</v>
      </c>
      <c r="G9" s="21">
        <f>ROUND(VLOOKUP($B9,'[2]NUOS (t)'!$B$10:$P$66,5,FALSE),4)</f>
        <v>11.3262</v>
      </c>
      <c r="H9" s="21"/>
      <c r="I9" s="21"/>
      <c r="J9" s="21"/>
      <c r="K9" s="21"/>
      <c r="L9" s="21"/>
      <c r="M9" s="21"/>
      <c r="N9" s="22"/>
      <c r="O9" s="22"/>
    </row>
    <row r="10" spans="1:16" ht="18" customHeight="1" x14ac:dyDescent="0.2">
      <c r="B10" s="19" t="s">
        <v>26</v>
      </c>
      <c r="C10" s="20"/>
      <c r="D10" s="134" t="s">
        <v>42</v>
      </c>
      <c r="E10" s="135"/>
      <c r="F10" s="21">
        <f>ROUND(VLOOKUP($B10,'[2]NUOS (t)'!$B$10:$P$66,4,FALSE)/365,4)</f>
        <v>0.91139999999999999</v>
      </c>
      <c r="G10" s="21"/>
      <c r="H10" s="21">
        <f>ROUND(VLOOKUP($B10,'[2]NUOS (t)'!$B$10:$P$66,6,FALSE),4)</f>
        <v>15.5509</v>
      </c>
      <c r="I10" s="21">
        <f>ROUND(VLOOKUP($B10,'[2]NUOS (t)'!$B$10:$P$66,7,FALSE),4)</f>
        <v>12.5379</v>
      </c>
      <c r="J10" s="21">
        <f>ROUND(VLOOKUP($B10,'[2]NUOS (t)'!$B$10:$P$66,8,FALSE),4)</f>
        <v>4.8956999999999997</v>
      </c>
      <c r="K10" s="21"/>
      <c r="L10" s="21"/>
      <c r="M10" s="21"/>
      <c r="N10" s="22"/>
      <c r="O10" s="22"/>
      <c r="P10" s="22"/>
    </row>
    <row r="11" spans="1:16" ht="18" customHeight="1" x14ac:dyDescent="0.2">
      <c r="B11" s="19" t="s">
        <v>167</v>
      </c>
      <c r="C11" s="20"/>
      <c r="D11" s="134" t="s">
        <v>168</v>
      </c>
      <c r="E11" s="135"/>
      <c r="F11" s="21">
        <f>ROUND(VLOOKUP($B11,'[2]NUOS (t)'!$B$10:$P$66,4,FALSE)/365,4)</f>
        <v>0.91139999999999999</v>
      </c>
      <c r="G11" s="21"/>
      <c r="H11" s="21">
        <f>ROUND(VLOOKUP($B11,'[2]NUOS (t)'!$B$10:$P$66,6,FALSE),4)</f>
        <v>16.121600000000001</v>
      </c>
      <c r="I11" s="21">
        <f>ROUND(VLOOKUP($B11,'[2]NUOS (t)'!$B$10:$P$66,7,FALSE),4)</f>
        <v>12.08</v>
      </c>
      <c r="J11" s="21">
        <f>ROUND(VLOOKUP($B11,'[2]NUOS (t)'!$B$10:$P$66,8,FALSE),4)</f>
        <v>4.8956999999999997</v>
      </c>
      <c r="K11" s="21"/>
      <c r="L11" s="21"/>
      <c r="M11" s="21"/>
      <c r="N11" s="22"/>
      <c r="O11" s="22"/>
      <c r="P11" s="22"/>
    </row>
    <row r="12" spans="1:16" ht="18" customHeight="1" x14ac:dyDescent="0.2">
      <c r="B12" s="19" t="s">
        <v>169</v>
      </c>
      <c r="C12" s="20"/>
      <c r="D12" s="134" t="s">
        <v>183</v>
      </c>
      <c r="E12" s="135"/>
      <c r="F12" s="21">
        <f>ROUND(VLOOKUP($B12,'[2]NUOS (t)'!$B$10:$P$66,4,FALSE)/365,4)</f>
        <v>0.91139999999999999</v>
      </c>
      <c r="G12" s="21"/>
      <c r="H12" s="21">
        <f>ROUND(VLOOKUP($B12,'[2]NUOS (t)'!$B$10:$P$66,6,FALSE),4)</f>
        <v>5.0692000000000004</v>
      </c>
      <c r="I12" s="21">
        <f>ROUND(VLOOKUP($B12,'[2]NUOS (t)'!$B$10:$P$66,7,FALSE),4)</f>
        <v>3.8961000000000001</v>
      </c>
      <c r="J12" s="21">
        <f>ROUND(VLOOKUP($B12,'[2]NUOS (t)'!$B$10:$P$66,8,FALSE),4)</f>
        <v>2.4178999999999999</v>
      </c>
      <c r="K12" s="21">
        <f>ROUND(VLOOKUP($B12,'[2]NUOS (t)'!$B$10:$P$66,10,FALSE),4)</f>
        <v>4.1959999999999997</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
        <v>27</v>
      </c>
      <c r="C14" s="20"/>
      <c r="D14" s="134" t="s">
        <v>39</v>
      </c>
      <c r="E14" s="135"/>
      <c r="F14" s="21">
        <f>ROUND(VLOOKUP($B14,'[2]NUOS (t)'!$B$10:$P$66,4,FALSE)/365,4)</f>
        <v>9.5500000000000002E-2</v>
      </c>
      <c r="G14" s="21">
        <f>ROUND(VLOOKUP($B14,'[2]NUOS (t)'!$B$10:$P$66,5,FALSE),4)</f>
        <v>2.5316000000000001</v>
      </c>
      <c r="H14" s="21"/>
      <c r="I14" s="21"/>
      <c r="J14" s="21"/>
      <c r="K14" s="21"/>
      <c r="L14" s="21"/>
      <c r="M14" s="21"/>
      <c r="N14" s="22"/>
      <c r="O14" s="22"/>
    </row>
    <row r="15" spans="1:16" ht="18" customHeight="1" x14ac:dyDescent="0.2">
      <c r="B15" s="19" t="s">
        <v>28</v>
      </c>
      <c r="C15" s="20"/>
      <c r="D15" s="134" t="s">
        <v>40</v>
      </c>
      <c r="E15" s="135"/>
      <c r="F15" s="21">
        <f>ROUND(VLOOKUP($B15,'[2]NUOS (t)'!$B$10:$P$66,4,FALSE)/365,4)</f>
        <v>9.5500000000000002E-2</v>
      </c>
      <c r="G15" s="21">
        <f>ROUND(VLOOKUP($B15,'[2]NUOS (t)'!$B$10:$P$66,5,FALSE),4)</f>
        <v>5.2500999999999998</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7" ht="18" customHeight="1" x14ac:dyDescent="0.2">
      <c r="A17" s="140"/>
      <c r="B17" s="26" t="s">
        <v>84</v>
      </c>
      <c r="C17" s="20"/>
      <c r="D17" s="134" t="s">
        <v>113</v>
      </c>
      <c r="E17" s="135"/>
      <c r="F17" s="27"/>
      <c r="G17" s="31">
        <v>0</v>
      </c>
      <c r="H17" s="27"/>
      <c r="I17" s="27"/>
      <c r="J17" s="27"/>
      <c r="K17" s="27"/>
      <c r="L17" s="27"/>
      <c r="M17" s="27"/>
      <c r="N17" s="22"/>
      <c r="O17" s="22"/>
      <c r="P17" s="22"/>
    </row>
    <row r="18" spans="1:17" ht="18" customHeight="1" x14ac:dyDescent="0.2">
      <c r="A18" s="140"/>
      <c r="B18" s="26" t="s">
        <v>85</v>
      </c>
      <c r="C18" s="20"/>
      <c r="D18" s="134" t="s">
        <v>114</v>
      </c>
      <c r="E18" s="135"/>
      <c r="F18" s="27"/>
      <c r="G18" s="31">
        <v>0</v>
      </c>
      <c r="H18" s="27"/>
      <c r="I18" s="27"/>
      <c r="J18" s="27"/>
      <c r="K18" s="27"/>
      <c r="L18" s="27"/>
      <c r="M18" s="27"/>
      <c r="N18" s="22"/>
      <c r="O18" s="22"/>
      <c r="P18" s="22"/>
    </row>
    <row r="19" spans="1:17" ht="18" customHeight="1" x14ac:dyDescent="0.2">
      <c r="A19" s="28"/>
      <c r="B19" s="26" t="s">
        <v>82</v>
      </c>
      <c r="C19" s="20"/>
      <c r="D19" s="134" t="s">
        <v>111</v>
      </c>
      <c r="E19" s="135"/>
      <c r="F19" s="27"/>
      <c r="G19" s="31">
        <v>0</v>
      </c>
      <c r="H19" s="27"/>
      <c r="I19" s="27"/>
      <c r="J19" s="27"/>
      <c r="K19" s="27"/>
      <c r="L19" s="27"/>
      <c r="M19" s="27"/>
      <c r="N19" s="22"/>
      <c r="O19" s="22"/>
      <c r="P19" s="22"/>
    </row>
    <row r="20" spans="1:17" ht="18" customHeight="1" x14ac:dyDescent="0.2">
      <c r="A20" s="28"/>
      <c r="B20" s="26" t="s">
        <v>83</v>
      </c>
      <c r="C20" s="20"/>
      <c r="D20" s="134" t="s">
        <v>112</v>
      </c>
      <c r="E20" s="135"/>
      <c r="F20" s="27"/>
      <c r="G20" s="31">
        <v>0</v>
      </c>
      <c r="H20" s="27"/>
      <c r="I20" s="27"/>
      <c r="J20" s="27"/>
      <c r="K20" s="27"/>
      <c r="L20" s="27"/>
      <c r="M20" s="27"/>
      <c r="N20" s="22"/>
      <c r="O20" s="22"/>
      <c r="P20" s="22"/>
    </row>
    <row r="21" spans="1:17" ht="18" customHeight="1" x14ac:dyDescent="0.2">
      <c r="A21" s="28"/>
      <c r="B21" s="26" t="s">
        <v>88</v>
      </c>
      <c r="C21" s="20"/>
      <c r="D21" s="134" t="s">
        <v>89</v>
      </c>
      <c r="E21" s="135"/>
      <c r="F21" s="27"/>
      <c r="G21" s="31">
        <v>0</v>
      </c>
      <c r="H21" s="27"/>
      <c r="I21" s="27"/>
      <c r="J21" s="27"/>
      <c r="K21" s="27"/>
      <c r="L21" s="27"/>
      <c r="M21" s="27"/>
      <c r="N21" s="22"/>
      <c r="O21" s="22"/>
      <c r="P21" s="22"/>
    </row>
    <row r="22" spans="1:17" s="32" customFormat="1" ht="18" customHeight="1" x14ac:dyDescent="0.2">
      <c r="A22" s="29"/>
      <c r="B22" s="30" t="s">
        <v>98</v>
      </c>
      <c r="C22" s="20"/>
      <c r="D22" s="134" t="s">
        <v>100</v>
      </c>
      <c r="E22" s="135"/>
      <c r="F22" s="21"/>
      <c r="G22" s="31">
        <v>0</v>
      </c>
      <c r="H22" s="21"/>
      <c r="I22" s="21"/>
      <c r="J22" s="21"/>
      <c r="K22" s="21"/>
      <c r="L22" s="21"/>
      <c r="M22" s="21"/>
      <c r="N22" s="22"/>
      <c r="O22" s="22"/>
      <c r="P22" s="22"/>
    </row>
    <row r="23" spans="1:17" s="32" customFormat="1" ht="18" customHeight="1" x14ac:dyDescent="0.2">
      <c r="B23" s="19" t="s">
        <v>99</v>
      </c>
      <c r="C23" s="33"/>
      <c r="D23" s="134" t="s">
        <v>100</v>
      </c>
      <c r="E23" s="135"/>
      <c r="F23" s="27"/>
      <c r="G23" s="31">
        <v>0</v>
      </c>
      <c r="H23" s="27"/>
      <c r="I23" s="27"/>
      <c r="J23" s="27"/>
      <c r="K23" s="27"/>
      <c r="L23" s="27"/>
      <c r="M23" s="27"/>
      <c r="N23" s="22"/>
      <c r="O23" s="22"/>
      <c r="P23" s="22"/>
    </row>
    <row r="24" spans="1:17" s="65" customFormat="1" ht="18" x14ac:dyDescent="0.25">
      <c r="A24" s="59"/>
      <c r="B24" s="71" t="s">
        <v>18</v>
      </c>
      <c r="C24" s="71"/>
      <c r="D24" s="72"/>
      <c r="E24" s="73"/>
      <c r="F24" s="74"/>
      <c r="G24" s="74"/>
      <c r="H24" s="74"/>
      <c r="I24" s="74"/>
      <c r="J24" s="74"/>
      <c r="K24" s="74"/>
      <c r="L24" s="74"/>
      <c r="M24" s="74"/>
      <c r="N24" s="70"/>
      <c r="O24" s="70"/>
      <c r="P24" s="70"/>
    </row>
    <row r="25" spans="1:17" ht="18" customHeight="1" x14ac:dyDescent="0.2">
      <c r="B25" s="19" t="s">
        <v>29</v>
      </c>
      <c r="C25" s="20"/>
      <c r="D25" s="134" t="s">
        <v>182</v>
      </c>
      <c r="E25" s="135"/>
      <c r="F25" s="21">
        <f>ROUND(VLOOKUP($B25,'[2]NUOS (t)'!$B$10:$P$66,4,FALSE)/365,4)</f>
        <v>0.91139999999999999</v>
      </c>
      <c r="G25" s="21">
        <f>ROUND(VLOOKUP($B25,'[2]NUOS (t)'!$B$10:$P$66,5,FALSE),4)</f>
        <v>15.599299999999999</v>
      </c>
      <c r="H25" s="21"/>
      <c r="I25" s="21"/>
      <c r="J25" s="21"/>
      <c r="K25" s="21"/>
      <c r="L25" s="21"/>
      <c r="M25" s="21"/>
      <c r="N25" s="22"/>
      <c r="O25" s="22"/>
    </row>
    <row r="26" spans="1:17" ht="18" customHeight="1" x14ac:dyDescent="0.2">
      <c r="B26" s="19" t="s">
        <v>30</v>
      </c>
      <c r="C26" s="20"/>
      <c r="D26" s="134" t="s">
        <v>43</v>
      </c>
      <c r="E26" s="135"/>
      <c r="F26" s="21">
        <f>ROUND(VLOOKUP($B26,'[2]NUOS (t)'!$B$10:$P$66,4,FALSE)/365,4)</f>
        <v>4.1288</v>
      </c>
      <c r="G26" s="21"/>
      <c r="H26" s="21">
        <f>ROUND(VLOOKUP($B26,'[2]NUOS (t)'!$B$10:$P$66,6,FALSE),4)</f>
        <v>16.562899999999999</v>
      </c>
      <c r="I26" s="21">
        <f>ROUND(VLOOKUP($B26,'[2]NUOS (t)'!$B$10:$P$66,7,FALSE),4)</f>
        <v>13.4496</v>
      </c>
      <c r="J26" s="21">
        <f>ROUND(VLOOKUP($B26,'[2]NUOS (t)'!$B$10:$P$66,8,FALSE),4)</f>
        <v>7.1302000000000003</v>
      </c>
      <c r="K26" s="21"/>
      <c r="L26" s="21"/>
      <c r="M26" s="21"/>
      <c r="N26" s="22"/>
      <c r="O26" s="22"/>
      <c r="P26" s="22"/>
    </row>
    <row r="27" spans="1:17" ht="18" customHeight="1" x14ac:dyDescent="0.2">
      <c r="B27" s="19" t="s">
        <v>171</v>
      </c>
      <c r="C27" s="20"/>
      <c r="D27" s="134" t="s">
        <v>172</v>
      </c>
      <c r="E27" s="135"/>
      <c r="F27" s="21">
        <f>ROUND(VLOOKUP($B27,'[2]NUOS (t)'!$B$10:$P$66,4,FALSE)/365,4)</f>
        <v>1.5590999999999999</v>
      </c>
      <c r="G27" s="21"/>
      <c r="H27" s="21">
        <f>ROUND(VLOOKUP($B27,'[2]NUOS (t)'!$B$10:$P$66,6,FALSE),4)</f>
        <v>17.158899999999999</v>
      </c>
      <c r="I27" s="21">
        <f>ROUND(VLOOKUP($B27,'[2]NUOS (t)'!$B$10:$P$66,7,FALSE),4)</f>
        <v>12.971399999999999</v>
      </c>
      <c r="J27" s="21">
        <f>ROUND(VLOOKUP($B27,'[2]NUOS (t)'!$B$10:$P$66,8,FALSE),4)</f>
        <v>6.9061000000000003</v>
      </c>
      <c r="K27" s="21"/>
      <c r="L27" s="21"/>
      <c r="M27" s="21"/>
      <c r="N27" s="22"/>
      <c r="O27" s="22"/>
      <c r="P27" s="22"/>
    </row>
    <row r="28" spans="1:17" ht="18" customHeight="1" x14ac:dyDescent="0.2">
      <c r="B28" s="19" t="s">
        <v>173</v>
      </c>
      <c r="C28" s="20"/>
      <c r="D28" s="134" t="s">
        <v>184</v>
      </c>
      <c r="E28" s="135"/>
      <c r="F28" s="21">
        <f>ROUND(VLOOKUP($B28,'[2]NUOS (t)'!$B$10:$P$66,4,FALSE)/365,4)</f>
        <v>1.5590999999999999</v>
      </c>
      <c r="G28" s="21"/>
      <c r="H28" s="21">
        <f>ROUND(VLOOKUP($B28,'[2]NUOS (t)'!$B$10:$P$66,6,FALSE),4)</f>
        <v>7.9608999999999996</v>
      </c>
      <c r="I28" s="21">
        <f>ROUND(VLOOKUP($B28,'[2]NUOS (t)'!$B$10:$P$66,7,FALSE),4)</f>
        <v>5.9583000000000004</v>
      </c>
      <c r="J28" s="21">
        <f>ROUND(VLOOKUP($B28,'[2]NUOS (t)'!$B$10:$P$66,8,FALSE),4)</f>
        <v>3.4258999999999999</v>
      </c>
      <c r="K28" s="21">
        <f>ROUND(VLOOKUP($B28,'[2]NUOS (t)'!$B$10:$P$66,10,FALSE),4)</f>
        <v>6.8185000000000002</v>
      </c>
      <c r="L28" s="127"/>
      <c r="M28" s="21"/>
      <c r="N28" s="22"/>
      <c r="O28" s="22"/>
      <c r="P28" s="22"/>
    </row>
    <row r="29" spans="1:17" ht="18" customHeight="1" x14ac:dyDescent="0.2">
      <c r="B29" s="19" t="s">
        <v>31</v>
      </c>
      <c r="C29" s="20"/>
      <c r="D29" s="134" t="s">
        <v>116</v>
      </c>
      <c r="E29" s="135"/>
      <c r="F29" s="21">
        <f>ROUND(VLOOKUP($B29,'[2]NUOS (t)'!$B$10:$P$66,4,FALSE)/365,4)</f>
        <v>4.1288</v>
      </c>
      <c r="G29" s="21"/>
      <c r="H29" s="21">
        <f>ROUND(VLOOKUP($B29,'[2]NUOS (t)'!$B$10:$P$66,6,FALSE),4)</f>
        <v>16.562899999999999</v>
      </c>
      <c r="I29" s="21">
        <f>ROUND(VLOOKUP($B29,'[2]NUOS (t)'!$B$10:$P$66,7,FALSE),4)</f>
        <v>13.4496</v>
      </c>
      <c r="J29" s="21">
        <f>ROUND(VLOOKUP($B29,'[2]NUOS (t)'!$B$10:$P$66,8,FALSE),4)</f>
        <v>7.1302000000000003</v>
      </c>
      <c r="K29" s="21"/>
      <c r="L29" s="21"/>
      <c r="M29" s="21"/>
      <c r="N29" s="22"/>
      <c r="O29" s="22"/>
      <c r="P29" s="22"/>
    </row>
    <row r="30" spans="1:17" ht="18" customHeight="1" x14ac:dyDescent="0.2">
      <c r="B30" s="19" t="s">
        <v>175</v>
      </c>
      <c r="C30" s="20"/>
      <c r="D30" s="134" t="s">
        <v>176</v>
      </c>
      <c r="E30" s="135"/>
      <c r="F30" s="21">
        <f>ROUND(VLOOKUP($B30,'[2]NUOS (t)'!$B$10:$P$66,4,FALSE)/365,4)</f>
        <v>15.8085</v>
      </c>
      <c r="G30" s="21"/>
      <c r="H30" s="21">
        <f>ROUND(VLOOKUP($B30,'[2]NUOS (t)'!$B$10:$P$66,6,FALSE),4)</f>
        <v>5.0624000000000002</v>
      </c>
      <c r="I30" s="21">
        <f>ROUND(VLOOKUP($B30,'[2]NUOS (t)'!$B$10:$P$66,7,FALSE),4)</f>
        <v>4.1955999999999998</v>
      </c>
      <c r="J30" s="21">
        <f>ROUND(VLOOKUP($B30,'[2]NUOS (t)'!$B$10:$P$66,8,FALSE),4)</f>
        <v>2.7850000000000001</v>
      </c>
      <c r="K30" s="21">
        <f>ROUND(VLOOKUP($B30,'[2]NUOS (t)'!$B$10:$P$66,10,FALSE),4)</f>
        <v>10.2257</v>
      </c>
      <c r="L30" s="21">
        <f>ROUND(VLOOKUP($B30,'[2]NUOS (t)'!$B$10:$P$66,11,FALSE),4)</f>
        <v>9.2518999999999991</v>
      </c>
      <c r="M30" s="21">
        <f>ROUND(VLOOKUP($B30,'[2]NUOS (t)'!$B$10:$P$66,12,FALSE),4)</f>
        <v>2.3064</v>
      </c>
      <c r="N30" s="22"/>
      <c r="O30" s="22"/>
      <c r="P30" s="22"/>
    </row>
    <row r="31" spans="1:17" ht="18" customHeight="1" x14ac:dyDescent="0.2">
      <c r="B31" s="19" t="s">
        <v>32</v>
      </c>
      <c r="C31" s="20"/>
      <c r="D31" s="134" t="s">
        <v>47</v>
      </c>
      <c r="E31" s="135"/>
      <c r="F31" s="21">
        <f>ROUND(VLOOKUP($B31,'[2]NUOS (t)'!$B$10:$P$66,4,FALSE)/365,4)</f>
        <v>15.8085</v>
      </c>
      <c r="G31" s="21"/>
      <c r="H31" s="21">
        <f>ROUND(VLOOKUP($B31,'[2]NUOS (t)'!$B$10:$P$66,6,FALSE),4)</f>
        <v>5.0624000000000002</v>
      </c>
      <c r="I31" s="21">
        <f>ROUND(VLOOKUP($B31,'[2]NUOS (t)'!$B$10:$P$66,7,FALSE),4)</f>
        <v>4.1955999999999998</v>
      </c>
      <c r="J31" s="21">
        <f>ROUND(VLOOKUP($B31,'[2]NUOS (t)'!$B$10:$P$66,8,FALSE),4)</f>
        <v>2.7850000000000001</v>
      </c>
      <c r="K31" s="21">
        <f>ROUND(VLOOKUP($B31,'[2]NUOS (t)'!$B$10:$P$66,10,FALSE),4)</f>
        <v>10.2257</v>
      </c>
      <c r="L31" s="21">
        <f>ROUND(VLOOKUP($B31,'[2]NUOS (t)'!$B$10:$P$66,11,FALSE),4)</f>
        <v>9.2518999999999991</v>
      </c>
      <c r="M31" s="21">
        <f>ROUND(VLOOKUP($B31,'[2]NUOS (t)'!$B$10:$P$66,12,FALSE),4)</f>
        <v>2.3064</v>
      </c>
      <c r="N31" s="22"/>
      <c r="O31" s="97"/>
      <c r="P31" s="97"/>
      <c r="Q31" s="97"/>
    </row>
    <row r="32" spans="1:17" ht="18" customHeight="1" x14ac:dyDescent="0.2">
      <c r="B32" s="19" t="s">
        <v>61</v>
      </c>
      <c r="C32" s="20"/>
      <c r="D32" s="134" t="s">
        <v>74</v>
      </c>
      <c r="E32" s="135"/>
      <c r="F32" s="21">
        <f>ROUND(VLOOKUP($B32,'[2]NUOS (t)'!$B$10:$P$66,4,FALSE)/365,4)</f>
        <v>15.8085</v>
      </c>
      <c r="G32" s="21"/>
      <c r="H32" s="21">
        <f>ROUND(VLOOKUP($B32,'[2]NUOS (t)'!$B$10:$P$66,6,FALSE),4)</f>
        <v>14.772600000000001</v>
      </c>
      <c r="I32" s="21">
        <f>ROUND(VLOOKUP($B32,'[2]NUOS (t)'!$B$10:$P$66,7,FALSE),4)</f>
        <v>11.681800000000001</v>
      </c>
      <c r="J32" s="21">
        <f>ROUND(VLOOKUP($B32,'[2]NUOS (t)'!$B$10:$P$66,8,FALSE),4)</f>
        <v>5.2590000000000003</v>
      </c>
      <c r="K32" s="129">
        <f>ROUND(VLOOKUP($B32,'[2]NUOS (t)'!$B$10:$P$66,10,FALSE),4)</f>
        <v>12.513400000000001</v>
      </c>
      <c r="L32" s="130"/>
      <c r="M32" s="21"/>
      <c r="N32" s="22"/>
      <c r="O32" s="22"/>
      <c r="P32" s="22"/>
    </row>
    <row r="33" spans="1:16" ht="18" customHeight="1" x14ac:dyDescent="0.2">
      <c r="B33" s="19" t="s">
        <v>34</v>
      </c>
      <c r="C33" s="20"/>
      <c r="D33" s="134" t="s">
        <v>41</v>
      </c>
      <c r="E33" s="135"/>
      <c r="F33" s="21">
        <f>ROUND(VLOOKUP($B33,'[2]NUOS (t)'!$B$10:$P$66,4,FALSE)/365,4)</f>
        <v>19.5684</v>
      </c>
      <c r="G33" s="21"/>
      <c r="H33" s="21">
        <f>ROUND(VLOOKUP($B33,'[2]NUOS (t)'!$B$10:$P$66,6,FALSE),4)</f>
        <v>3.8542999999999998</v>
      </c>
      <c r="I33" s="21">
        <f>ROUND(VLOOKUP($B33,'[2]NUOS (t)'!$B$10:$P$66,7,FALSE),4)</f>
        <v>3.2336</v>
      </c>
      <c r="J33" s="21">
        <f>ROUND(VLOOKUP($B33,'[2]NUOS (t)'!$B$10:$P$66,8,FALSE),4)</f>
        <v>2.6831999999999998</v>
      </c>
      <c r="K33" s="21">
        <f>ROUND(VLOOKUP($B33,'[2]NUOS (t)'!$B$10:$P$66,10,FALSE),4)</f>
        <v>9.2949999999999999</v>
      </c>
      <c r="L33" s="21">
        <f>ROUND(VLOOKUP($B33,'[2]NUOS (t)'!$B$10:$P$66,11,FALSE),4)</f>
        <v>8.4098000000000006</v>
      </c>
      <c r="M33" s="21">
        <f>ROUND(VLOOKUP($B33,'[2]NUOS (t)'!$B$10:$P$66,12,FALSE),4)</f>
        <v>2.5165999999999999</v>
      </c>
      <c r="N33" s="22"/>
      <c r="O33" s="22"/>
      <c r="P33" s="22"/>
    </row>
    <row r="34" spans="1:16" ht="18" customHeight="1" x14ac:dyDescent="0.2">
      <c r="B34" s="19" t="s">
        <v>23</v>
      </c>
      <c r="C34" s="20"/>
      <c r="D34" s="143" t="s">
        <v>38</v>
      </c>
      <c r="E34" s="144"/>
      <c r="F34" s="21">
        <f>ROUND(VLOOKUP($B34,'[2]NUOS (t)'!$B$10:$P$66,4,FALSE)/365,4)</f>
        <v>19.424499999999998</v>
      </c>
      <c r="G34" s="21"/>
      <c r="H34" s="21">
        <f>ROUND(VLOOKUP($B34,'[2]NUOS (t)'!$B$10:$P$66,6,FALSE),4)</f>
        <v>4.6364999999999998</v>
      </c>
      <c r="I34" s="21">
        <f>ROUND(VLOOKUP($B34,'[2]NUOS (t)'!$B$10:$P$66,7,FALSE),4)</f>
        <v>2.7706</v>
      </c>
      <c r="J34" s="21">
        <f>ROUND(VLOOKUP($B34,'[2]NUOS (t)'!$B$10:$P$66,8,FALSE),4)</f>
        <v>2.3089</v>
      </c>
      <c r="K34" s="21">
        <f>ROUND(VLOOKUP($B34,'[2]NUOS (t)'!$B$10:$P$66,10,FALSE),4)</f>
        <v>3.5869</v>
      </c>
      <c r="L34" s="21">
        <f>ROUND(VLOOKUP($B34,'[2]NUOS (t)'!$B$10:$P$66,11,FALSE),4)</f>
        <v>2.5571000000000002</v>
      </c>
      <c r="M34" s="21">
        <f>ROUND(VLOOKUP($B34,'[2]NUOS (t)'!$B$10:$P$66,12,FALSE),4)</f>
        <v>1.0194000000000001</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f>ROUND(VLOOKUP($B36,'[2]NUOS (t)'!$B$10:$P$80,4,FALSE)/365,4)</f>
        <v>0.91139999999999999</v>
      </c>
      <c r="G36" s="21">
        <f>ROUND(VLOOKUP($B36,'[2]NUOS (t)'!$B$10:$P$80,5,FALSE),4)</f>
        <v>16.862500000000001</v>
      </c>
      <c r="H36" s="21"/>
      <c r="I36" s="21"/>
      <c r="J36" s="21"/>
      <c r="K36" s="21"/>
      <c r="L36" s="21"/>
      <c r="M36" s="21"/>
    </row>
    <row r="37" spans="1:16" ht="18" customHeight="1" x14ac:dyDescent="0.2">
      <c r="B37" s="19" t="s">
        <v>37</v>
      </c>
      <c r="C37" s="20"/>
      <c r="D37" s="134" t="s">
        <v>110</v>
      </c>
      <c r="E37" s="135"/>
      <c r="F37" s="21">
        <f>ROUND(VLOOKUP($B37,'[2]NUOS (t)'!$B$10:$P$80,4,FALSE)/365,4)</f>
        <v>0</v>
      </c>
      <c r="G37" s="21"/>
      <c r="H37" s="21">
        <f>ROUND(VLOOKUP($B37,'[2]NUOS (t)'!$B$10:$P$80,6,FALSE),4)</f>
        <v>18.847200000000001</v>
      </c>
      <c r="I37" s="21">
        <f>ROUND(VLOOKUP($B37,'[2]NUOS (t)'!$B$10:$P$80,7,FALSE),4)</f>
        <v>14.8338</v>
      </c>
      <c r="J37" s="21">
        <f>ROUND(VLOOKUP($B37,'[2]NUOS (t)'!$B$10:$P$80,8,FALSE),4)</f>
        <v>7.4336000000000002</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t="s">
        <v>52</v>
      </c>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2" t="s">
        <v>198</v>
      </c>
      <c r="C41" s="3"/>
      <c r="D41" s="3"/>
      <c r="E41" s="3"/>
      <c r="F41" s="3"/>
      <c r="G41" s="4"/>
      <c r="H41" s="4"/>
      <c r="I41" s="4"/>
      <c r="J41" s="4"/>
      <c r="K41" s="5"/>
      <c r="L41" s="5"/>
      <c r="M41" s="5"/>
      <c r="N41" s="6"/>
      <c r="O41" s="6"/>
      <c r="P41" s="7"/>
    </row>
    <row r="42" spans="1:16" ht="22.5" customHeight="1" x14ac:dyDescent="0.25">
      <c r="A42" s="1"/>
      <c r="B42" s="141" t="str">
        <f>B3</f>
        <v>Effective 1 July 2022</v>
      </c>
      <c r="C42" s="142"/>
      <c r="D42" s="142"/>
      <c r="E42" s="142"/>
      <c r="F42" s="142"/>
      <c r="G42" s="9"/>
      <c r="H42" s="9"/>
      <c r="I42" s="9"/>
      <c r="J42" s="9"/>
      <c r="K42" s="9"/>
      <c r="L42" s="137"/>
      <c r="M42" s="137"/>
      <c r="N42" s="9"/>
      <c r="O42" s="9"/>
      <c r="P42" s="10"/>
    </row>
    <row r="43" spans="1:16" ht="11.25" customHeight="1" x14ac:dyDescent="0.25">
      <c r="A43" s="1"/>
      <c r="B43" s="77"/>
      <c r="C43" s="78"/>
      <c r="D43" s="78"/>
      <c r="E43" s="78"/>
      <c r="F43" s="78"/>
      <c r="G43" s="13"/>
      <c r="H43" s="13"/>
      <c r="I43" s="13"/>
      <c r="J43" s="13"/>
      <c r="K43" s="13"/>
      <c r="L43" s="79"/>
      <c r="M43" s="79"/>
      <c r="N43" s="13"/>
      <c r="O43" s="13"/>
      <c r="P43" s="14"/>
    </row>
    <row r="44" spans="1:16" ht="24" customHeight="1" x14ac:dyDescent="0.25">
      <c r="B44" s="131" t="s">
        <v>108</v>
      </c>
      <c r="C44" s="131" t="s">
        <v>9</v>
      </c>
      <c r="D44" s="37" t="s">
        <v>1</v>
      </c>
      <c r="E44" s="38" t="s">
        <v>2</v>
      </c>
      <c r="F44" s="38" t="s">
        <v>2</v>
      </c>
      <c r="G44" s="38" t="s">
        <v>2</v>
      </c>
      <c r="H44" s="37" t="s">
        <v>3</v>
      </c>
      <c r="I44" s="38" t="s">
        <v>4</v>
      </c>
      <c r="J44" s="38" t="s">
        <v>5</v>
      </c>
      <c r="K44" s="38" t="s">
        <v>6</v>
      </c>
      <c r="L44" s="37" t="s">
        <v>7</v>
      </c>
      <c r="M44" s="138" t="s">
        <v>49</v>
      </c>
      <c r="N44" s="138"/>
      <c r="O44" s="138"/>
      <c r="P44" s="138"/>
    </row>
    <row r="45" spans="1:16" ht="15" x14ac:dyDescent="0.25">
      <c r="B45" s="132"/>
      <c r="C45" s="132"/>
      <c r="D45" s="40" t="s">
        <v>10</v>
      </c>
      <c r="E45" s="40" t="s">
        <v>4</v>
      </c>
      <c r="F45" s="40" t="s">
        <v>5</v>
      </c>
      <c r="G45" s="40" t="s">
        <v>6</v>
      </c>
      <c r="H45" s="40" t="s">
        <v>12</v>
      </c>
      <c r="I45" s="40" t="s">
        <v>3</v>
      </c>
      <c r="J45" s="40" t="s">
        <v>3</v>
      </c>
      <c r="K45" s="40" t="s">
        <v>3</v>
      </c>
      <c r="L45" s="40" t="s">
        <v>12</v>
      </c>
      <c r="M45" s="138"/>
      <c r="N45" s="138"/>
      <c r="O45" s="138"/>
      <c r="P45" s="138"/>
    </row>
    <row r="46" spans="1:16" ht="24" customHeight="1" x14ac:dyDescent="0.2">
      <c r="B46" s="132"/>
      <c r="C46" s="132"/>
      <c r="D46" s="83" t="s">
        <v>13</v>
      </c>
      <c r="E46" s="83" t="s">
        <v>14</v>
      </c>
      <c r="F46" s="83" t="s">
        <v>14</v>
      </c>
      <c r="G46" s="83" t="s">
        <v>14</v>
      </c>
      <c r="H46" s="83" t="s">
        <v>15</v>
      </c>
      <c r="I46" s="83" t="s">
        <v>15</v>
      </c>
      <c r="J46" s="83" t="s">
        <v>15</v>
      </c>
      <c r="K46" s="83" t="s">
        <v>15</v>
      </c>
      <c r="L46" s="83" t="s">
        <v>15</v>
      </c>
      <c r="M46" s="138"/>
      <c r="N46" s="138"/>
      <c r="O46" s="138"/>
      <c r="P46" s="138"/>
    </row>
    <row r="47" spans="1:16" s="65" customFormat="1" ht="18" x14ac:dyDescent="0.25">
      <c r="A47" s="59"/>
      <c r="B47" s="71" t="s">
        <v>46</v>
      </c>
      <c r="C47" s="72"/>
      <c r="D47" s="76"/>
      <c r="E47" s="74"/>
      <c r="F47" s="74"/>
      <c r="G47" s="74"/>
      <c r="H47" s="74"/>
      <c r="I47" s="74"/>
      <c r="J47" s="74"/>
      <c r="K47" s="74"/>
      <c r="L47" s="74"/>
      <c r="M47" s="139"/>
      <c r="N47" s="139"/>
      <c r="O47" s="139"/>
      <c r="P47" s="139"/>
    </row>
    <row r="48" spans="1:16" s="65" customFormat="1" ht="18" x14ac:dyDescent="0.25">
      <c r="A48" s="59"/>
      <c r="B48" s="80" t="s">
        <v>33</v>
      </c>
      <c r="C48" s="33" t="s">
        <v>58</v>
      </c>
      <c r="D48" s="21">
        <f>ROUND(VLOOKUP($B48,'[2]NUOS (t)'!$B$10:$P$66,4,FALSE)/365,4)</f>
        <v>16.9727</v>
      </c>
      <c r="E48" s="21">
        <f>ROUND(VLOOKUP($B48,'[2]NUOS (t)'!$B$10:$P$66,6,FALSE),4)</f>
        <v>4.7046999999999999</v>
      </c>
      <c r="F48" s="21">
        <f>ROUND(VLOOKUP($B48,'[2]NUOS (t)'!$B$10:$P$66,7,FALSE),4)</f>
        <v>3.9198</v>
      </c>
      <c r="G48" s="21">
        <f>ROUND(VLOOKUP($B48,'[2]NUOS (t)'!$B$10:$P$66,8,FALSE),4)</f>
        <v>2.6591999999999998</v>
      </c>
      <c r="H48" s="21"/>
      <c r="I48" s="21">
        <f>ROUND(VLOOKUP($B48,'[2]NUOS (t)'!$B$10:$P$66,10,FALSE),4)</f>
        <v>12.2166</v>
      </c>
      <c r="J48" s="21">
        <f>ROUND(VLOOKUP($B48,'[2]NUOS (t)'!$B$10:$P$66,11,FALSE),4)</f>
        <v>11.053100000000001</v>
      </c>
      <c r="K48" s="21">
        <f>ROUND(VLOOKUP($B48,'[2]NUOS (t)'!$B$10:$P$66,12,FALSE),4)</f>
        <v>2.8249</v>
      </c>
      <c r="L48" s="21"/>
      <c r="M48" s="128"/>
      <c r="N48" s="128"/>
      <c r="O48" s="128"/>
      <c r="P48" s="128"/>
    </row>
    <row r="49" spans="1:19" s="65" customFormat="1" ht="18" x14ac:dyDescent="0.25">
      <c r="A49" s="59"/>
      <c r="B49" s="80" t="s">
        <v>35</v>
      </c>
      <c r="C49" s="33" t="s">
        <v>59</v>
      </c>
      <c r="D49" s="21">
        <f>ROUND(VLOOKUP($B49,'[2]NUOS (t)'!$B$10:$P$66,4,FALSE)/365,4)</f>
        <v>19.0199</v>
      </c>
      <c r="E49" s="21">
        <f>ROUND(VLOOKUP($B49,'[2]NUOS (t)'!$B$10:$P$66,6,FALSE),4)</f>
        <v>3.7879</v>
      </c>
      <c r="F49" s="21">
        <f>ROUND(VLOOKUP($B49,'[2]NUOS (t)'!$B$10:$P$66,7,FALSE),4)</f>
        <v>3.2606000000000002</v>
      </c>
      <c r="G49" s="21">
        <f>ROUND(VLOOKUP($B49,'[2]NUOS (t)'!$B$10:$P$66,8,FALSE),4)</f>
        <v>2.6753</v>
      </c>
      <c r="H49" s="21"/>
      <c r="I49" s="21">
        <f>ROUND(VLOOKUP($B49,'[2]NUOS (t)'!$B$10:$P$66,10,FALSE),4)</f>
        <v>9.8425999999999991</v>
      </c>
      <c r="J49" s="21">
        <f>ROUND(VLOOKUP($B49,'[2]NUOS (t)'!$B$10:$P$66,11,FALSE),4)</f>
        <v>8.9052000000000007</v>
      </c>
      <c r="K49" s="21">
        <f>ROUND(VLOOKUP($B49,'[2]NUOS (t)'!$B$10:$P$66,12,FALSE),4)</f>
        <v>2.6648000000000001</v>
      </c>
      <c r="L49" s="21"/>
      <c r="M49" s="128"/>
      <c r="N49" s="128"/>
      <c r="O49" s="128"/>
      <c r="P49" s="128"/>
    </row>
    <row r="50" spans="1:19" s="65" customFormat="1" ht="31.5" customHeight="1" x14ac:dyDescent="0.25">
      <c r="A50" s="59"/>
      <c r="B50" s="80" t="s">
        <v>170</v>
      </c>
      <c r="C50" s="33" t="s">
        <v>200</v>
      </c>
      <c r="D50" s="21">
        <f>ROUND(VLOOKUP($B50,'[2]NUOS (t)'!$B$10:$P$66,4,FALSE)/365,4)</f>
        <v>7.4329000000000001</v>
      </c>
      <c r="E50" s="21">
        <f>ROUND(VLOOKUP($B50,'[2]NUOS (t)'!$B$10:$P$66,6,FALSE),4)</f>
        <v>17.968800000000002</v>
      </c>
      <c r="F50" s="21">
        <f>ROUND(VLOOKUP($B50,'[2]NUOS (t)'!$B$10:$P$66,7,FALSE),4)</f>
        <v>13.948600000000001</v>
      </c>
      <c r="G50" s="21">
        <f>ROUND(VLOOKUP($B50,'[2]NUOS (t)'!$B$10:$P$66,8,FALSE),4)</f>
        <v>7.4603000000000002</v>
      </c>
      <c r="H50" s="21">
        <f>ROUND(VLOOKUP($B50,'[2]NUOS (t)'!$B$10:$P$66,9,FALSE),4)</f>
        <v>0</v>
      </c>
      <c r="I50" s="21"/>
      <c r="J50" s="21"/>
      <c r="K50" s="21"/>
      <c r="L50" s="21">
        <f>ROUND(VLOOKUP($B50,'[2]NUOS (t)'!$B$10:$P$66,13,FALSE),4)</f>
        <v>0</v>
      </c>
      <c r="M50" s="128" t="s">
        <v>201</v>
      </c>
      <c r="N50" s="128"/>
      <c r="O50" s="128"/>
      <c r="P50" s="128"/>
    </row>
    <row r="51" spans="1:19" ht="74.25" customHeight="1" x14ac:dyDescent="0.2">
      <c r="B51" s="81" t="s">
        <v>105</v>
      </c>
      <c r="C51" s="33" t="s">
        <v>48</v>
      </c>
      <c r="D51" s="21">
        <f>ROUND(VLOOKUP("BLND1CO",'[2]NUOS (t)'!$B$10:$P$66,4,FALSE)/365,4)</f>
        <v>21.883700000000001</v>
      </c>
      <c r="E51" s="21">
        <f>ROUND(VLOOKUP("BLND1CO",'[2]NUOS (t)'!$B$10:$P$66,6,FALSE),4)</f>
        <v>7.2070999999999996</v>
      </c>
      <c r="F51" s="21">
        <f>ROUND(VLOOKUP("BLND1CO",'[2]NUOS (t)'!$B$10:$P$66,7,FALSE),4)</f>
        <v>5.8716999999999997</v>
      </c>
      <c r="G51" s="21">
        <f>ROUND(VLOOKUP("BLND1CO",'[2]NUOS (t)'!$B$10:$P$66,8,FALSE),4)</f>
        <v>3.2565</v>
      </c>
      <c r="H51" s="21">
        <f>ROUND(VLOOKUP("BLND1CO",'[2]NUOS (t)'!$B$10:$P$66,9,FALSE),4)</f>
        <v>18.163499999999999</v>
      </c>
      <c r="I51" s="21"/>
      <c r="J51" s="21"/>
      <c r="K51" s="21"/>
      <c r="L51" s="21"/>
      <c r="M51" s="128" t="s">
        <v>90</v>
      </c>
      <c r="N51" s="128"/>
      <c r="O51" s="128"/>
      <c r="P51" s="128"/>
    </row>
    <row r="52" spans="1:19" ht="30.75" customHeight="1" x14ac:dyDescent="0.2">
      <c r="B52" s="80" t="s">
        <v>20</v>
      </c>
      <c r="C52" s="33" t="s">
        <v>55</v>
      </c>
      <c r="D52" s="21">
        <f>ROUND(VLOOKUP($B52,'[2]NUOS (t)'!$B$10:$P$66,4,FALSE)/365,4)</f>
        <v>16.9727</v>
      </c>
      <c r="E52" s="21">
        <f>ROUND(VLOOKUP($B52,'[2]NUOS (t)'!$B$10:$P$66,6,FALSE),4)</f>
        <v>14.7201</v>
      </c>
      <c r="F52" s="21">
        <f>ROUND(VLOOKUP($B52,'[2]NUOS (t)'!$B$10:$P$66,7,FALSE),4)</f>
        <v>11.691800000000001</v>
      </c>
      <c r="G52" s="21">
        <f>ROUND(VLOOKUP($B52,'[2]NUOS (t)'!$B$10:$P$66,8,FALSE),4)</f>
        <v>5.0038</v>
      </c>
      <c r="H52" s="21">
        <f>ROUND(VLOOKUP($B52,'[2]NUOS (t)'!$B$10:$P$66,9,FALSE),4)</f>
        <v>12.064</v>
      </c>
      <c r="I52" s="21"/>
      <c r="J52" s="21"/>
      <c r="K52" s="21"/>
      <c r="L52" s="21">
        <f>ROUND(VLOOKUP($B52,'[2]NUOS (t)'!$B$10:$P$66,13,FALSE),4)</f>
        <v>4.3857999999999997</v>
      </c>
      <c r="M52" s="128" t="s">
        <v>91</v>
      </c>
      <c r="N52" s="128"/>
      <c r="O52" s="128"/>
      <c r="P52" s="128"/>
    </row>
    <row r="53" spans="1:19" ht="31.5" customHeight="1" x14ac:dyDescent="0.2">
      <c r="B53" s="80" t="s">
        <v>21</v>
      </c>
      <c r="C53" s="33" t="s">
        <v>54</v>
      </c>
      <c r="D53" s="21">
        <f>ROUND(VLOOKUP($B53,'[2]NUOS (t)'!$B$10:$P$66,4,FALSE)/365,4)</f>
        <v>4.5666000000000002</v>
      </c>
      <c r="E53" s="21">
        <f>ROUND(VLOOKUP($B53,'[2]NUOS (t)'!$B$10:$P$66,6,FALSE),4)</f>
        <v>16.551600000000001</v>
      </c>
      <c r="F53" s="21">
        <f>ROUND(VLOOKUP($B53,'[2]NUOS (t)'!$B$10:$P$66,7,FALSE),4)</f>
        <v>13.1038</v>
      </c>
      <c r="G53" s="21">
        <f>ROUND(VLOOKUP($B53,'[2]NUOS (t)'!$B$10:$P$66,8,FALSE),4)</f>
        <v>6.5393999999999997</v>
      </c>
      <c r="H53" s="21">
        <f>ROUND(VLOOKUP($B53,'[2]NUOS (t)'!$B$10:$P$66,9,FALSE),4)</f>
        <v>11.8325</v>
      </c>
      <c r="I53" s="21"/>
      <c r="J53" s="21"/>
      <c r="K53" s="21"/>
      <c r="L53" s="21">
        <f>ROUND(VLOOKUP($B53,'[2]NUOS (t)'!$B$10:$P$66,13,FALSE),4)</f>
        <v>4.3913000000000002</v>
      </c>
      <c r="M53" s="128" t="s">
        <v>91</v>
      </c>
      <c r="N53" s="128"/>
      <c r="O53" s="128"/>
      <c r="P53" s="128"/>
    </row>
    <row r="54" spans="1:19" ht="60" customHeight="1" x14ac:dyDescent="0.2">
      <c r="B54" s="80" t="s">
        <v>22</v>
      </c>
      <c r="C54" s="33" t="s">
        <v>56</v>
      </c>
      <c r="D54" s="21">
        <f>ROUND(VLOOKUP($B54,'[2]NUOS (t)'!$B$10:$P$66,4,FALSE)/365,4)</f>
        <v>28.080500000000001</v>
      </c>
      <c r="E54" s="21">
        <f>ROUND(VLOOKUP($B54,'[2]NUOS (t)'!$B$10:$P$66,6,FALSE),4)</f>
        <v>7.8097000000000003</v>
      </c>
      <c r="F54" s="21">
        <f>ROUND(VLOOKUP($B54,'[2]NUOS (t)'!$B$10:$P$66,7,FALSE),4)</f>
        <v>7.3955000000000002</v>
      </c>
      <c r="G54" s="21">
        <f>ROUND(VLOOKUP($B54,'[2]NUOS (t)'!$B$10:$P$66,8,FALSE),4)</f>
        <v>3.3812000000000002</v>
      </c>
      <c r="H54" s="21">
        <f>ROUND(VLOOKUP($B54,'[2]NUOS (t)'!$B$10:$P$66,9,FALSE),4)</f>
        <v>13.241</v>
      </c>
      <c r="I54" s="21"/>
      <c r="J54" s="21"/>
      <c r="K54" s="21"/>
      <c r="L54" s="21"/>
      <c r="M54" s="128" t="s">
        <v>92</v>
      </c>
      <c r="N54" s="128"/>
      <c r="O54" s="128"/>
      <c r="P54" s="128"/>
    </row>
    <row r="55" spans="1:19" ht="30.75" customHeight="1" x14ac:dyDescent="0.2">
      <c r="B55" s="81" t="s">
        <v>106</v>
      </c>
      <c r="C55" s="33" t="s">
        <v>57</v>
      </c>
      <c r="D55" s="21">
        <f>ROUND(VLOOKUP("BHND1SO",'[2]NUOS (t)'!$B$10:$P$66,4,FALSE)/365,4)</f>
        <v>20.931100000000001</v>
      </c>
      <c r="E55" s="21">
        <f>ROUND(VLOOKUP("BHND1SO",'[2]NUOS (t)'!$B$10:$P$66,6,FALSE),4)</f>
        <v>7.1162999999999998</v>
      </c>
      <c r="F55" s="21">
        <f>ROUND(VLOOKUP("BHND1SO",'[2]NUOS (t)'!$B$10:$P$66,7,FALSE),4)</f>
        <v>6.8045999999999998</v>
      </c>
      <c r="G55" s="21">
        <f>ROUND(VLOOKUP("BHND1SO",'[2]NUOS (t)'!$B$10:$P$66,8,FALSE),4)</f>
        <v>4.8129999999999997</v>
      </c>
      <c r="H55" s="21">
        <f>ROUND(VLOOKUP("BHND1SO",'[2]NUOS (t)'!$B$10:$P$66,9,FALSE),4)</f>
        <v>9.5622000000000007</v>
      </c>
      <c r="I55" s="21"/>
      <c r="J55" s="21"/>
      <c r="K55" s="21"/>
      <c r="L55" s="21">
        <f>ROUND(VLOOKUP("BHND1SO",'[2]NUOS (t)'!$B$10:$P$66,13,FALSE),4)</f>
        <v>3.5215999999999998</v>
      </c>
      <c r="M55" s="128" t="s">
        <v>93</v>
      </c>
      <c r="N55" s="128"/>
      <c r="O55" s="128"/>
      <c r="P55" s="128"/>
    </row>
    <row r="56" spans="1:19" ht="33" hidden="1" x14ac:dyDescent="0.45">
      <c r="A56" s="1"/>
      <c r="B56" s="2" t="s">
        <v>118</v>
      </c>
      <c r="C56" s="3"/>
      <c r="D56" s="3"/>
      <c r="E56" s="3"/>
      <c r="F56" s="3"/>
      <c r="G56" s="4"/>
      <c r="H56" s="4"/>
      <c r="I56" s="4"/>
      <c r="J56" s="4"/>
      <c r="K56" s="5"/>
      <c r="L56" s="5"/>
      <c r="M56" s="5"/>
      <c r="N56" s="6"/>
      <c r="O56" s="6"/>
      <c r="P56" s="7"/>
    </row>
    <row r="57" spans="1:19" ht="31.5" hidden="1" customHeight="1" x14ac:dyDescent="0.25">
      <c r="A57" s="1"/>
      <c r="B57" s="141" t="s">
        <v>115</v>
      </c>
      <c r="C57" s="142"/>
      <c r="D57" s="142"/>
      <c r="E57" s="142"/>
      <c r="F57" s="142"/>
      <c r="G57" s="9"/>
      <c r="H57" s="9"/>
      <c r="I57" s="9"/>
      <c r="J57" s="9"/>
      <c r="K57" s="9"/>
      <c r="L57" s="137"/>
      <c r="M57" s="137"/>
      <c r="N57" s="9"/>
      <c r="O57" s="9"/>
      <c r="P57" s="10"/>
    </row>
    <row r="58" spans="1:19" ht="14.25" hidden="1" customHeight="1" x14ac:dyDescent="0.25">
      <c r="A58" s="1"/>
      <c r="B58" s="77"/>
      <c r="C58" s="78"/>
      <c r="D58" s="78"/>
      <c r="E58" s="78"/>
      <c r="F58" s="78"/>
      <c r="G58" s="13"/>
      <c r="H58" s="13"/>
      <c r="I58" s="13"/>
      <c r="J58" s="13"/>
      <c r="K58" s="13"/>
      <c r="L58" s="79"/>
      <c r="M58" s="79"/>
      <c r="N58" s="13"/>
      <c r="O58" s="13"/>
      <c r="P58" s="14"/>
    </row>
    <row r="59" spans="1:19" ht="18" customHeight="1" x14ac:dyDescent="0.25">
      <c r="B59" s="131" t="s">
        <v>108</v>
      </c>
      <c r="C59" s="131" t="s">
        <v>9</v>
      </c>
      <c r="D59" s="37" t="s">
        <v>1</v>
      </c>
      <c r="E59" s="37" t="s">
        <v>2</v>
      </c>
      <c r="F59" s="138" t="s">
        <v>49</v>
      </c>
      <c r="G59" s="138"/>
      <c r="H59" s="138"/>
      <c r="I59" s="138"/>
      <c r="J59" s="138"/>
      <c r="K59" s="138"/>
      <c r="L59" s="138"/>
      <c r="M59" s="138"/>
      <c r="N59" s="138"/>
      <c r="O59" s="138"/>
      <c r="P59" s="138"/>
    </row>
    <row r="60" spans="1:19" ht="15" x14ac:dyDescent="0.25">
      <c r="B60" s="132"/>
      <c r="C60" s="132"/>
      <c r="D60" s="40" t="s">
        <v>10</v>
      </c>
      <c r="E60" s="40" t="s">
        <v>11</v>
      </c>
      <c r="F60" s="138"/>
      <c r="G60" s="138"/>
      <c r="H60" s="138"/>
      <c r="I60" s="138"/>
      <c r="J60" s="138"/>
      <c r="K60" s="138"/>
      <c r="L60" s="138"/>
      <c r="M60" s="138"/>
      <c r="N60" s="138"/>
      <c r="O60" s="138"/>
      <c r="P60" s="138"/>
    </row>
    <row r="61" spans="1:19" ht="12" customHeight="1" x14ac:dyDescent="0.25">
      <c r="B61" s="132"/>
      <c r="C61" s="132"/>
      <c r="D61" s="40" t="s">
        <v>13</v>
      </c>
      <c r="E61" s="40" t="s">
        <v>14</v>
      </c>
      <c r="F61" s="138"/>
      <c r="G61" s="138"/>
      <c r="H61" s="138"/>
      <c r="I61" s="138"/>
      <c r="J61" s="138"/>
      <c r="K61" s="138"/>
      <c r="L61" s="138"/>
      <c r="M61" s="138"/>
      <c r="N61" s="138"/>
      <c r="O61" s="138"/>
      <c r="P61" s="138"/>
    </row>
    <row r="62" spans="1:19" s="43" customFormat="1" ht="7.5" customHeight="1" x14ac:dyDescent="0.25">
      <c r="A62" s="42"/>
      <c r="B62" s="133"/>
      <c r="C62" s="133"/>
      <c r="D62" s="58"/>
      <c r="E62" s="58"/>
      <c r="F62" s="138"/>
      <c r="G62" s="138"/>
      <c r="H62" s="138"/>
      <c r="I62" s="138"/>
      <c r="J62" s="138"/>
      <c r="K62" s="138"/>
      <c r="L62" s="138"/>
      <c r="M62" s="138"/>
      <c r="N62" s="138"/>
      <c r="O62" s="138"/>
      <c r="P62" s="138"/>
    </row>
    <row r="63" spans="1:19" s="65" customFormat="1" ht="18" x14ac:dyDescent="0.25">
      <c r="A63" s="59"/>
      <c r="B63" s="71" t="s">
        <v>46</v>
      </c>
      <c r="C63" s="72"/>
      <c r="D63" s="76"/>
      <c r="E63" s="74"/>
      <c r="F63" s="139"/>
      <c r="G63" s="139"/>
      <c r="H63" s="139"/>
      <c r="I63" s="139"/>
      <c r="J63" s="139"/>
      <c r="K63" s="139"/>
      <c r="L63" s="139"/>
      <c r="M63" s="139"/>
      <c r="N63" s="139"/>
      <c r="O63" s="139"/>
      <c r="P63" s="139"/>
    </row>
    <row r="64" spans="1:19" ht="30.75" customHeight="1" x14ac:dyDescent="0.2">
      <c r="B64" s="80" t="s">
        <v>17</v>
      </c>
      <c r="C64" s="33" t="s">
        <v>67</v>
      </c>
      <c r="D64" s="27"/>
      <c r="E64" s="94">
        <v>0</v>
      </c>
      <c r="F64" s="128" t="s">
        <v>70</v>
      </c>
      <c r="G64" s="128"/>
      <c r="H64" s="128"/>
      <c r="I64" s="128"/>
      <c r="J64" s="128"/>
      <c r="K64" s="128"/>
      <c r="L64" s="128"/>
      <c r="M64" s="128"/>
      <c r="N64" s="128"/>
      <c r="O64" s="128"/>
      <c r="P64" s="128"/>
      <c r="Q64" s="22"/>
      <c r="R64" s="22"/>
      <c r="S64" s="22"/>
    </row>
    <row r="65" spans="2:19" ht="30.75" customHeight="1" x14ac:dyDescent="0.2">
      <c r="B65" s="80" t="s">
        <v>63</v>
      </c>
      <c r="C65" s="33" t="s">
        <v>68</v>
      </c>
      <c r="D65" s="27"/>
      <c r="E65" s="94">
        <v>0</v>
      </c>
      <c r="F65" s="128" t="s">
        <v>71</v>
      </c>
      <c r="G65" s="128"/>
      <c r="H65" s="128"/>
      <c r="I65" s="128"/>
      <c r="J65" s="128"/>
      <c r="K65" s="128"/>
      <c r="L65" s="128"/>
      <c r="M65" s="128"/>
      <c r="N65" s="128"/>
      <c r="O65" s="128"/>
      <c r="P65" s="128"/>
      <c r="Q65" s="22"/>
      <c r="R65" s="22"/>
      <c r="S65" s="22"/>
    </row>
    <row r="66" spans="2:19" ht="30.75" customHeight="1" x14ac:dyDescent="0.2">
      <c r="B66" s="80" t="s">
        <v>60</v>
      </c>
      <c r="C66" s="33" t="s">
        <v>67</v>
      </c>
      <c r="D66" s="27"/>
      <c r="E66" s="94">
        <v>0</v>
      </c>
      <c r="F66" s="128" t="s">
        <v>72</v>
      </c>
      <c r="G66" s="128"/>
      <c r="H66" s="128"/>
      <c r="I66" s="128"/>
      <c r="J66" s="128"/>
      <c r="K66" s="128"/>
      <c r="L66" s="128"/>
      <c r="M66" s="128"/>
      <c r="N66" s="128"/>
      <c r="O66" s="128"/>
      <c r="P66" s="128"/>
      <c r="Q66" s="22"/>
      <c r="R66" s="22"/>
      <c r="S66" s="22"/>
    </row>
    <row r="67" spans="2:19" ht="30.75" customHeight="1" x14ac:dyDescent="0.2">
      <c r="B67" s="80" t="s">
        <v>62</v>
      </c>
      <c r="C67" s="33" t="s">
        <v>68</v>
      </c>
      <c r="D67" s="27"/>
      <c r="E67" s="94">
        <v>0</v>
      </c>
      <c r="F67" s="128" t="s">
        <v>73</v>
      </c>
      <c r="G67" s="128"/>
      <c r="H67" s="128"/>
      <c r="I67" s="128"/>
      <c r="J67" s="128"/>
      <c r="K67" s="128"/>
      <c r="L67" s="128"/>
      <c r="M67" s="128"/>
      <c r="N67" s="128"/>
      <c r="O67" s="128"/>
      <c r="P67" s="128"/>
      <c r="Q67" s="22"/>
      <c r="R67" s="22"/>
      <c r="S67" s="22"/>
    </row>
    <row r="68" spans="2:19" ht="30.75" customHeight="1" x14ac:dyDescent="0.2">
      <c r="B68" s="82" t="s">
        <v>66</v>
      </c>
      <c r="C68" s="33" t="s">
        <v>67</v>
      </c>
      <c r="D68" s="20"/>
      <c r="E68" s="94">
        <v>0</v>
      </c>
      <c r="F68" s="128" t="s">
        <v>78</v>
      </c>
      <c r="G68" s="128"/>
      <c r="H68" s="128"/>
      <c r="I68" s="128"/>
      <c r="J68" s="128"/>
      <c r="K68" s="128"/>
      <c r="L68" s="128"/>
      <c r="M68" s="128"/>
      <c r="N68" s="128"/>
      <c r="O68" s="128"/>
      <c r="P68" s="128"/>
      <c r="Q68" s="22"/>
      <c r="R68" s="22"/>
      <c r="S68" s="22"/>
    </row>
    <row r="69" spans="2:19" ht="30.75" customHeight="1" x14ac:dyDescent="0.2">
      <c r="B69" s="81" t="s">
        <v>75</v>
      </c>
      <c r="C69" s="33" t="s">
        <v>68</v>
      </c>
      <c r="D69" s="20"/>
      <c r="E69" s="94">
        <v>0</v>
      </c>
      <c r="F69" s="128" t="s">
        <v>79</v>
      </c>
      <c r="G69" s="128"/>
      <c r="H69" s="128"/>
      <c r="I69" s="128"/>
      <c r="J69" s="128"/>
      <c r="K69" s="128"/>
      <c r="L69" s="128"/>
      <c r="M69" s="128"/>
      <c r="N69" s="128"/>
      <c r="O69" s="128"/>
      <c r="P69" s="128"/>
      <c r="Q69" s="22"/>
      <c r="R69" s="22"/>
      <c r="S69" s="22"/>
    </row>
    <row r="70" spans="2:19" ht="30.75" customHeight="1" x14ac:dyDescent="0.2">
      <c r="B70" s="80" t="s">
        <v>64</v>
      </c>
      <c r="C70" s="33" t="s">
        <v>67</v>
      </c>
      <c r="D70" s="20"/>
      <c r="E70" s="94">
        <v>0</v>
      </c>
      <c r="F70" s="128" t="s">
        <v>76</v>
      </c>
      <c r="G70" s="128"/>
      <c r="H70" s="128"/>
      <c r="I70" s="128"/>
      <c r="J70" s="128"/>
      <c r="K70" s="128"/>
      <c r="L70" s="128"/>
      <c r="M70" s="128"/>
      <c r="N70" s="128"/>
      <c r="O70" s="128"/>
      <c r="P70" s="128"/>
      <c r="Q70" s="22"/>
      <c r="R70" s="22"/>
      <c r="S70" s="22"/>
    </row>
    <row r="71" spans="2:19" ht="30.75" customHeight="1" x14ac:dyDescent="0.2">
      <c r="B71" s="80" t="s">
        <v>65</v>
      </c>
      <c r="C71" s="33" t="s">
        <v>68</v>
      </c>
      <c r="D71" s="20"/>
      <c r="E71" s="94">
        <v>0</v>
      </c>
      <c r="F71" s="128" t="s">
        <v>77</v>
      </c>
      <c r="G71" s="128"/>
      <c r="H71" s="128"/>
      <c r="I71" s="128"/>
      <c r="J71" s="128"/>
      <c r="K71" s="128"/>
      <c r="L71" s="128"/>
      <c r="M71" s="128"/>
      <c r="N71" s="128"/>
      <c r="O71" s="128"/>
      <c r="P71" s="128"/>
      <c r="Q71" s="22"/>
      <c r="R71" s="22"/>
      <c r="S71" s="22"/>
    </row>
    <row r="72" spans="2:19" ht="28.5" customHeight="1" x14ac:dyDescent="0.2">
      <c r="B72" s="80" t="s">
        <v>94</v>
      </c>
      <c r="C72" s="33" t="s">
        <v>104</v>
      </c>
      <c r="D72" s="20"/>
      <c r="E72" s="94">
        <v>0</v>
      </c>
      <c r="F72" s="128" t="s">
        <v>117</v>
      </c>
      <c r="G72" s="128"/>
      <c r="H72" s="128"/>
      <c r="I72" s="128"/>
      <c r="J72" s="128"/>
      <c r="K72" s="128"/>
      <c r="L72" s="128"/>
      <c r="M72" s="128"/>
      <c r="N72" s="128"/>
      <c r="O72" s="128"/>
      <c r="P72" s="128"/>
      <c r="Q72" s="22"/>
      <c r="R72" s="22"/>
      <c r="S72" s="22"/>
    </row>
    <row r="73" spans="2:19" s="32" customFormat="1" ht="28.5" customHeight="1" x14ac:dyDescent="0.2">
      <c r="B73" s="80" t="s">
        <v>95</v>
      </c>
      <c r="C73" s="33" t="s">
        <v>97</v>
      </c>
      <c r="D73" s="20"/>
      <c r="E73" s="93">
        <v>-44</v>
      </c>
      <c r="F73" s="128" t="s">
        <v>101</v>
      </c>
      <c r="G73" s="128"/>
      <c r="H73" s="128"/>
      <c r="I73" s="128"/>
      <c r="J73" s="128"/>
      <c r="K73" s="128"/>
      <c r="L73" s="128"/>
      <c r="M73" s="128"/>
      <c r="N73" s="128"/>
      <c r="O73" s="128"/>
      <c r="P73" s="128"/>
      <c r="Q73" s="22"/>
      <c r="R73" s="22"/>
      <c r="S73" s="22"/>
    </row>
    <row r="74" spans="2:19" s="32" customFormat="1" ht="28.5" customHeight="1" x14ac:dyDescent="0.2">
      <c r="B74" s="80" t="s">
        <v>96</v>
      </c>
      <c r="C74" s="33" t="s">
        <v>97</v>
      </c>
      <c r="D74" s="20"/>
      <c r="E74" s="93">
        <v>-40</v>
      </c>
      <c r="F74" s="128" t="s">
        <v>102</v>
      </c>
      <c r="G74" s="128"/>
      <c r="H74" s="128"/>
      <c r="I74" s="128"/>
      <c r="J74" s="128"/>
      <c r="K74" s="128"/>
      <c r="L74" s="128"/>
      <c r="M74" s="128"/>
      <c r="N74" s="128"/>
      <c r="O74" s="128"/>
      <c r="P74" s="128"/>
      <c r="Q74" s="22"/>
      <c r="R74" s="22"/>
      <c r="S74" s="22"/>
    </row>
    <row r="78" spans="2:19" x14ac:dyDescent="0.2">
      <c r="B78" s="136"/>
      <c r="C78" s="136"/>
      <c r="D78" s="136"/>
      <c r="E78" s="136"/>
      <c r="F78" s="136"/>
      <c r="G78" s="136"/>
      <c r="H78" s="136"/>
      <c r="I78" s="136"/>
      <c r="J78" s="136"/>
      <c r="K78" s="136"/>
      <c r="L78" s="136"/>
      <c r="M78" s="136"/>
      <c r="N78" s="136"/>
      <c r="O78" s="136"/>
      <c r="P78" s="136"/>
    </row>
    <row r="83" spans="1:1" s="46" customFormat="1" x14ac:dyDescent="0.2">
      <c r="A83" s="45"/>
    </row>
  </sheetData>
  <mergeCells count="65">
    <mergeCell ref="F72:P72"/>
    <mergeCell ref="F73:P73"/>
    <mergeCell ref="F74:P74"/>
    <mergeCell ref="F63:P63"/>
    <mergeCell ref="F64:P64"/>
    <mergeCell ref="F65:P65"/>
    <mergeCell ref="F66:P66"/>
    <mergeCell ref="F67:P67"/>
    <mergeCell ref="F68:P68"/>
    <mergeCell ref="F69:P69"/>
    <mergeCell ref="F70:P70"/>
    <mergeCell ref="F71:P71"/>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A17:A18"/>
    <mergeCell ref="D21:E21"/>
    <mergeCell ref="D37:E37"/>
    <mergeCell ref="D39:E39"/>
    <mergeCell ref="B57:F57"/>
    <mergeCell ref="D34:E34"/>
    <mergeCell ref="D36:E36"/>
    <mergeCell ref="D19:E19"/>
    <mergeCell ref="B42:F42"/>
    <mergeCell ref="B44:B46"/>
    <mergeCell ref="D23:E23"/>
    <mergeCell ref="D33:E33"/>
    <mergeCell ref="D26:E26"/>
    <mergeCell ref="D29:E29"/>
    <mergeCell ref="C44:C46"/>
    <mergeCell ref="D28:E28"/>
    <mergeCell ref="D25:E25"/>
    <mergeCell ref="B78:P78"/>
    <mergeCell ref="L57:M57"/>
    <mergeCell ref="L42:M42"/>
    <mergeCell ref="M44:P46"/>
    <mergeCell ref="M47:P47"/>
    <mergeCell ref="M51:P51"/>
    <mergeCell ref="M52:P52"/>
    <mergeCell ref="D31:E31"/>
    <mergeCell ref="D32:E32"/>
    <mergeCell ref="M53:P53"/>
    <mergeCell ref="M54:P54"/>
    <mergeCell ref="D30:E30"/>
    <mergeCell ref="D27:E27"/>
    <mergeCell ref="M55:P55"/>
    <mergeCell ref="F59:P62"/>
    <mergeCell ref="M50:P50"/>
    <mergeCell ref="K32:L32"/>
    <mergeCell ref="M49:P49"/>
    <mergeCell ref="M48:P48"/>
    <mergeCell ref="B59:B62"/>
    <mergeCell ref="C59:C62"/>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0" min="1" max="15" man="1"/>
  </rowBreaks>
  <ignoredErrors>
    <ignoredError sqref="I55:K55 I51:L51 I52:K52 I54:L54 H23:M23 H22:M22 H24:M24 H13:M13 H16:M16 H14:M14 H15:M15 H35:M35 H36:M36 H17:M21 H38:M38 F17:F21 F35 F16 F13 F24 F22 F23 G17:G21 G24 G13 H9:M9 G10 K10:M10 G16 G35 H25:M25 G26 K26:M26 G29 K29:M29 G31 G32 M32 G33 G34 G37 K37:M37 G23 G22 F38:G38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S65"/>
  <sheetViews>
    <sheetView showGridLines="0" zoomScale="70" zoomScaleNormal="70" workbookViewId="0">
      <pane xSplit="2" ySplit="4" topLeftCell="C5" activePane="bottomRight" state="frozen"/>
      <selection activeCell="S53" sqref="S53"/>
      <selection pane="topRight" activeCell="S53" sqref="S53"/>
      <selection pane="bottomLeft" activeCell="S53" sqref="S53"/>
      <selection pane="bottomRight" activeCell="F9" sqref="F9"/>
    </sheetView>
  </sheetViews>
  <sheetFormatPr defaultColWidth="8.88671875" defaultRowHeight="14.25" x14ac:dyDescent="0.2"/>
  <cols>
    <col min="1" max="1" width="1.88671875" style="15" customWidth="1"/>
    <col min="2" max="2" width="12.21875" style="8" customWidth="1"/>
    <col min="3" max="3" width="25.33203125" style="8" customWidth="1"/>
    <col min="4" max="4" width="15.33203125" style="8" customWidth="1"/>
    <col min="5" max="5" width="18.77734375" style="8" customWidth="1"/>
    <col min="6" max="13" width="10.5546875" style="8" customWidth="1"/>
    <col min="14" max="16" width="12.5546875" style="8" customWidth="1"/>
    <col min="17" max="17" width="8.77734375" style="8" customWidth="1"/>
    <col min="18" max="16384" width="8.88671875" style="8"/>
  </cols>
  <sheetData>
    <row r="2" spans="1:16" ht="33" x14ac:dyDescent="0.45">
      <c r="A2" s="1"/>
      <c r="B2" s="2" t="s">
        <v>199</v>
      </c>
      <c r="C2" s="3"/>
      <c r="D2" s="3"/>
      <c r="E2" s="3"/>
      <c r="F2" s="3"/>
      <c r="G2" s="4"/>
      <c r="H2" s="5"/>
      <c r="I2" s="5"/>
      <c r="J2" s="5"/>
      <c r="K2" s="4"/>
      <c r="L2" s="6"/>
      <c r="M2" s="7"/>
    </row>
    <row r="3" spans="1:16" ht="15.75" x14ac:dyDescent="0.25">
      <c r="A3" s="1"/>
      <c r="B3" s="141" t="str">
        <f>'Price List_Excl GST'!$B$3:$F$3</f>
        <v>Effective 1 July 2022</v>
      </c>
      <c r="C3" s="142"/>
      <c r="D3" s="142"/>
      <c r="E3" s="142"/>
      <c r="F3" s="142"/>
      <c r="G3" s="9"/>
      <c r="H3" s="9"/>
      <c r="I3" s="137"/>
      <c r="J3" s="137"/>
      <c r="K3" s="9"/>
      <c r="L3" s="9"/>
      <c r="M3" s="10"/>
    </row>
    <row r="4" spans="1:16" ht="15" x14ac:dyDescent="0.25">
      <c r="A4" s="1"/>
      <c r="B4" s="11"/>
      <c r="C4" s="12"/>
      <c r="D4" s="13"/>
      <c r="E4" s="13"/>
      <c r="F4" s="13"/>
      <c r="G4" s="13"/>
      <c r="H4" s="13"/>
      <c r="I4" s="13"/>
      <c r="J4" s="13"/>
      <c r="K4" s="13"/>
      <c r="L4" s="13"/>
      <c r="M4" s="14"/>
    </row>
    <row r="5" spans="1:16" ht="24" customHeight="1" x14ac:dyDescent="0.25">
      <c r="B5" s="132" t="s">
        <v>107</v>
      </c>
      <c r="C5" s="131" t="s">
        <v>24</v>
      </c>
      <c r="D5" s="146" t="s">
        <v>9</v>
      </c>
      <c r="E5" s="147"/>
      <c r="F5" s="57" t="s">
        <v>1</v>
      </c>
      <c r="G5" s="57" t="s">
        <v>2</v>
      </c>
      <c r="H5" s="40" t="s">
        <v>2</v>
      </c>
      <c r="I5" s="40" t="s">
        <v>2</v>
      </c>
      <c r="J5" s="40" t="s">
        <v>2</v>
      </c>
      <c r="K5" s="40" t="s">
        <v>4</v>
      </c>
      <c r="L5" s="40" t="s">
        <v>5</v>
      </c>
      <c r="M5" s="40" t="s">
        <v>6</v>
      </c>
    </row>
    <row r="6" spans="1:16" ht="15" x14ac:dyDescent="0.2">
      <c r="B6" s="132"/>
      <c r="C6" s="132"/>
      <c r="D6" s="146"/>
      <c r="E6" s="147"/>
      <c r="F6" s="83" t="s">
        <v>10</v>
      </c>
      <c r="G6" s="83" t="s">
        <v>174</v>
      </c>
      <c r="H6" s="83" t="s">
        <v>4</v>
      </c>
      <c r="I6" s="83" t="s">
        <v>5</v>
      </c>
      <c r="J6" s="83" t="s">
        <v>6</v>
      </c>
      <c r="K6" s="83" t="s">
        <v>3</v>
      </c>
      <c r="L6" s="83" t="s">
        <v>3</v>
      </c>
      <c r="M6" s="83" t="s">
        <v>3</v>
      </c>
    </row>
    <row r="7" spans="1:16" ht="15" x14ac:dyDescent="0.2">
      <c r="B7" s="132"/>
      <c r="C7" s="133"/>
      <c r="D7" s="146"/>
      <c r="E7" s="147"/>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tr">
        <f>'Price List_Excl GST'!B9</f>
        <v>BLNN2AU</v>
      </c>
      <c r="C9" s="20"/>
      <c r="D9" s="134" t="str">
        <f>'Price List_Excl GST'!D9</f>
        <v>LV Residential Anytime</v>
      </c>
      <c r="E9" s="135">
        <f>'Price List_Excl GST'!E9</f>
        <v>0</v>
      </c>
      <c r="F9" s="21">
        <f>ROUND(VLOOKUP($B9,'[2]NUOS (t)'!$B$10:$P$66,4,FALSE)/365,4)*1.1</f>
        <v>1.00254</v>
      </c>
      <c r="G9" s="21">
        <f>ROUND(VLOOKUP($B9,'[2]NUOS (t)'!$B$10:$P$66,5,FALSE),4)*1.1</f>
        <v>12.458820000000001</v>
      </c>
      <c r="H9" s="21"/>
      <c r="I9" s="21"/>
      <c r="J9" s="21"/>
      <c r="K9" s="21"/>
      <c r="L9" s="21"/>
      <c r="M9" s="21"/>
      <c r="N9" s="22"/>
      <c r="O9" s="22"/>
    </row>
    <row r="10" spans="1:16" ht="18" customHeight="1" x14ac:dyDescent="0.2">
      <c r="B10" s="19" t="str">
        <f>'Price List_Excl GST'!B10</f>
        <v>BLNT3AU</v>
      </c>
      <c r="C10" s="20"/>
      <c r="D10" s="134" t="str">
        <f>'Price List_Excl GST'!D10</f>
        <v>LV Residential TOU</v>
      </c>
      <c r="E10" s="135">
        <f>'Price List_Excl GST'!E10</f>
        <v>0</v>
      </c>
      <c r="F10" s="21">
        <f>ROUND(VLOOKUP($B10,'[2]NUOS (t)'!$B$10:$P$66,4,FALSE)/365,4)*1.1</f>
        <v>1.00254</v>
      </c>
      <c r="G10" s="21"/>
      <c r="H10" s="21">
        <f>ROUND(VLOOKUP($B10,'[2]NUOS (t)'!$B$10:$P$66,6,FALSE),4)*1.1</f>
        <v>17.105990000000002</v>
      </c>
      <c r="I10" s="21">
        <f>ROUND(VLOOKUP($B10,'[2]NUOS (t)'!$B$10:$P$66,7,FALSE),4)*1.1</f>
        <v>13.791690000000001</v>
      </c>
      <c r="J10" s="21">
        <f>ROUND(VLOOKUP($B10,'[2]NUOS (t)'!$B$10:$P$66,8,FALSE),4)*1.1</f>
        <v>5.3852700000000002</v>
      </c>
      <c r="K10" s="21"/>
      <c r="L10" s="21"/>
      <c r="M10" s="21"/>
      <c r="N10" s="22"/>
      <c r="O10" s="22"/>
      <c r="P10" s="22"/>
    </row>
    <row r="11" spans="1:16" ht="18" customHeight="1" x14ac:dyDescent="0.2">
      <c r="B11" s="19" t="str">
        <f>'Price List_Excl GST'!B11</f>
        <v>BLNT3AL</v>
      </c>
      <c r="C11" s="20"/>
      <c r="D11" s="134" t="str">
        <f>'Price List_Excl GST'!D11</f>
        <v>LV Residential TOU_Interval meter</v>
      </c>
      <c r="E11" s="135">
        <f>'Price List_Excl GST'!E11</f>
        <v>0</v>
      </c>
      <c r="F11" s="21">
        <f>ROUND(VLOOKUP($B11,'[2]NUOS (t)'!$B$10:$P$66,4,FALSE)/365,4)*1.1</f>
        <v>1.00254</v>
      </c>
      <c r="G11" s="21"/>
      <c r="H11" s="21">
        <f>ROUND(VLOOKUP($B11,'[2]NUOS (t)'!$B$10:$P$66,6,FALSE),4)*1.1</f>
        <v>17.733760000000004</v>
      </c>
      <c r="I11" s="21">
        <f>ROUND(VLOOKUP($B11,'[2]NUOS (t)'!$B$10:$P$66,7,FALSE),4)*1.1</f>
        <v>13.288000000000002</v>
      </c>
      <c r="J11" s="21">
        <f>ROUND(VLOOKUP($B11,'[2]NUOS (t)'!$B$10:$P$66,8,FALSE),4)*1.1</f>
        <v>5.3852700000000002</v>
      </c>
      <c r="K11" s="21"/>
      <c r="L11" s="21"/>
      <c r="M11" s="21"/>
      <c r="N11" s="22"/>
      <c r="O11" s="22"/>
      <c r="P11" s="22"/>
    </row>
    <row r="12" spans="1:16" ht="18" customHeight="1" x14ac:dyDescent="0.2">
      <c r="B12" s="19" t="str">
        <f>'Price List_Excl GST'!B12</f>
        <v>BLND1AR</v>
      </c>
      <c r="C12" s="20"/>
      <c r="D12" s="134" t="str">
        <f>'Price List_Excl GST'!D12</f>
        <v>Small Residential - Opt in Demand</v>
      </c>
      <c r="E12" s="135">
        <f>'Price List_Excl GST'!E12</f>
        <v>0</v>
      </c>
      <c r="F12" s="21">
        <f>ROUND(VLOOKUP($B12,'[2]NUOS (t)'!$B$10:$P$66,4,FALSE)/365,4)*1.1</f>
        <v>1.00254</v>
      </c>
      <c r="G12" s="21"/>
      <c r="H12" s="21">
        <f>ROUND(VLOOKUP($B12,'[2]NUOS (t)'!$B$10:$P$66,6,FALSE),4)*1.1</f>
        <v>5.5761200000000013</v>
      </c>
      <c r="I12" s="21">
        <f>ROUND(VLOOKUP($B12,'[2]NUOS (t)'!$B$10:$P$66,7,FALSE),4)*1.1</f>
        <v>4.2857100000000008</v>
      </c>
      <c r="J12" s="21">
        <f>ROUND(VLOOKUP($B12,'[2]NUOS (t)'!$B$10:$P$66,8,FALSE),4)*1.1</f>
        <v>2.6596900000000003</v>
      </c>
      <c r="K12" s="21">
        <f>ROUND(VLOOKUP($B12,'[2]NUOS (t)'!$B$10:$P$66,10,FALSE),4)*1.1</f>
        <v>4.6155999999999997</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tr">
        <f>'Price List_Excl GST'!B14</f>
        <v>BLNC1AU</v>
      </c>
      <c r="C14" s="20"/>
      <c r="D14" s="134" t="str">
        <f>'Price List_Excl GST'!D14</f>
        <v>Controlled Load 1</v>
      </c>
      <c r="E14" s="135">
        <f>'Price List_Excl GST'!E14</f>
        <v>0</v>
      </c>
      <c r="F14" s="21">
        <f>ROUND(VLOOKUP($B14,'[2]NUOS (t)'!$B$10:$P$66,4,FALSE)/365,4)*1.1</f>
        <v>0.10505</v>
      </c>
      <c r="G14" s="21">
        <f>ROUND(VLOOKUP($B14,'[2]NUOS (t)'!$B$10:$P$66,5,FALSE),4)*1.1</f>
        <v>2.7847600000000003</v>
      </c>
      <c r="H14" s="21"/>
      <c r="I14" s="21"/>
      <c r="J14" s="21"/>
      <c r="K14" s="21"/>
      <c r="L14" s="21"/>
      <c r="M14" s="21"/>
      <c r="N14" s="22"/>
      <c r="O14" s="22"/>
    </row>
    <row r="15" spans="1:16" ht="18" customHeight="1" x14ac:dyDescent="0.2">
      <c r="B15" s="19" t="str">
        <f>'Price List_Excl GST'!B15</f>
        <v>BLNC2AU</v>
      </c>
      <c r="C15" s="20"/>
      <c r="D15" s="134" t="str">
        <f>'Price List_Excl GST'!D15</f>
        <v>Controlled Load 2</v>
      </c>
      <c r="E15" s="135">
        <f>'Price List_Excl GST'!E15</f>
        <v>0</v>
      </c>
      <c r="F15" s="21">
        <f>ROUND(VLOOKUP($B15,'[2]NUOS (t)'!$B$10:$P$66,4,FALSE)/365,4)*1.1</f>
        <v>0.10505</v>
      </c>
      <c r="G15" s="21">
        <f>ROUND(VLOOKUP($B15,'[2]NUOS (t)'!$B$10:$P$66,5,FALSE),4)*1.1</f>
        <v>5.7751100000000006</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6" ht="18" customHeight="1" x14ac:dyDescent="0.2">
      <c r="A17" s="140"/>
      <c r="B17" s="26" t="str">
        <f>'Price List_Excl GST'!B17</f>
        <v>BLNE21AU</v>
      </c>
      <c r="C17" s="20"/>
      <c r="D17" s="134" t="str">
        <f>'Price List_Excl GST'!D17</f>
        <v>Residential Anytime Export gross metered</v>
      </c>
      <c r="E17" s="135">
        <f>'Price List_Excl GST'!E17</f>
        <v>0</v>
      </c>
      <c r="F17" s="27"/>
      <c r="G17" s="31">
        <v>0</v>
      </c>
      <c r="H17" s="27"/>
      <c r="I17" s="27"/>
      <c r="J17" s="27"/>
      <c r="K17" s="27"/>
      <c r="L17" s="27"/>
      <c r="M17" s="27"/>
      <c r="N17" s="22"/>
      <c r="O17" s="22"/>
      <c r="P17" s="22"/>
    </row>
    <row r="18" spans="1:16" ht="18" customHeight="1" x14ac:dyDescent="0.2">
      <c r="A18" s="140"/>
      <c r="B18" s="26" t="str">
        <f>'Price List_Excl GST'!B18</f>
        <v>BLNE23AU</v>
      </c>
      <c r="C18" s="20"/>
      <c r="D18" s="134" t="str">
        <f>'Price List_Excl GST'!D18</f>
        <v>Residential Anytime Export net metered</v>
      </c>
      <c r="E18" s="135">
        <f>'Price List_Excl GST'!E18</f>
        <v>0</v>
      </c>
      <c r="F18" s="27"/>
      <c r="G18" s="31">
        <v>0</v>
      </c>
      <c r="H18" s="27"/>
      <c r="I18" s="27"/>
      <c r="J18" s="27"/>
      <c r="K18" s="27"/>
      <c r="L18" s="27"/>
      <c r="M18" s="27"/>
      <c r="N18" s="22"/>
      <c r="O18" s="22"/>
      <c r="P18" s="22"/>
    </row>
    <row r="19" spans="1:16" ht="18" customHeight="1" x14ac:dyDescent="0.2">
      <c r="A19" s="28"/>
      <c r="B19" s="26" t="str">
        <f>'Price List_Excl GST'!B19</f>
        <v>BLNE20AU</v>
      </c>
      <c r="C19" s="20"/>
      <c r="D19" s="134" t="str">
        <f>'Price List_Excl GST'!D19</f>
        <v>Business Anytime Export gross metered</v>
      </c>
      <c r="E19" s="135">
        <f>'Price List_Excl GST'!E19</f>
        <v>0</v>
      </c>
      <c r="F19" s="27"/>
      <c r="G19" s="31">
        <v>0</v>
      </c>
      <c r="H19" s="27"/>
      <c r="I19" s="27"/>
      <c r="J19" s="27"/>
      <c r="K19" s="27"/>
      <c r="L19" s="27"/>
      <c r="M19" s="27"/>
      <c r="N19" s="22"/>
      <c r="O19" s="22"/>
      <c r="P19" s="22"/>
    </row>
    <row r="20" spans="1:16" ht="18" customHeight="1" x14ac:dyDescent="0.2">
      <c r="A20" s="28"/>
      <c r="B20" s="26" t="str">
        <f>'Price List_Excl GST'!B20</f>
        <v>BLNE22AU</v>
      </c>
      <c r="C20" s="20"/>
      <c r="D20" s="134" t="str">
        <f>'Price List_Excl GST'!D20</f>
        <v>Business Anytime Export net metered</v>
      </c>
      <c r="E20" s="135">
        <f>'Price List_Excl GST'!E20</f>
        <v>0</v>
      </c>
      <c r="F20" s="27"/>
      <c r="G20" s="31">
        <v>0</v>
      </c>
      <c r="H20" s="27"/>
      <c r="I20" s="27"/>
      <c r="J20" s="27"/>
      <c r="K20" s="27"/>
      <c r="L20" s="27"/>
      <c r="M20" s="27"/>
      <c r="N20" s="22"/>
      <c r="O20" s="22"/>
      <c r="P20" s="22"/>
    </row>
    <row r="21" spans="1:16" ht="18" customHeight="1" x14ac:dyDescent="0.2">
      <c r="A21" s="28"/>
      <c r="B21" s="26" t="str">
        <f>'Price List_Excl GST'!B21</f>
        <v>BLNE0AU</v>
      </c>
      <c r="C21" s="20"/>
      <c r="D21" s="134" t="str">
        <f>'Price List_Excl GST'!D21</f>
        <v>Ineligible Export</v>
      </c>
      <c r="E21" s="135">
        <f>'Price List_Excl GST'!E21</f>
        <v>0</v>
      </c>
      <c r="F21" s="27"/>
      <c r="G21" s="31">
        <v>0</v>
      </c>
      <c r="H21" s="27"/>
      <c r="I21" s="27"/>
      <c r="J21" s="27"/>
      <c r="K21" s="27"/>
      <c r="L21" s="27"/>
      <c r="M21" s="27"/>
      <c r="N21" s="22"/>
      <c r="O21" s="22"/>
      <c r="P21" s="22"/>
    </row>
    <row r="22" spans="1:16" s="32" customFormat="1" ht="18" customHeight="1" x14ac:dyDescent="0.2">
      <c r="A22" s="29"/>
      <c r="B22" s="30" t="str">
        <f>'Price List_Excl GST'!B22</f>
        <v>BLNE26AU</v>
      </c>
      <c r="C22" s="20"/>
      <c r="D22" s="134" t="str">
        <f>'Price List_Excl GST'!D22</f>
        <v xml:space="preserve">QLD Government Solar Bonus </v>
      </c>
      <c r="E22" s="135">
        <f>'Price List_Excl GST'!E22</f>
        <v>0</v>
      </c>
      <c r="F22" s="21"/>
      <c r="G22" s="31">
        <v>0</v>
      </c>
      <c r="H22" s="21"/>
      <c r="I22" s="21"/>
      <c r="J22" s="21"/>
      <c r="K22" s="21"/>
      <c r="L22" s="21"/>
      <c r="M22" s="21"/>
      <c r="N22" s="22"/>
      <c r="O22" s="22"/>
      <c r="P22" s="22"/>
    </row>
    <row r="23" spans="1:16" s="32" customFormat="1" ht="18" customHeight="1" x14ac:dyDescent="0.2">
      <c r="B23" s="19" t="str">
        <f>'Price List_Excl GST'!B23</f>
        <v>BLNE27AU</v>
      </c>
      <c r="C23" s="33"/>
      <c r="D23" s="134" t="str">
        <f>'Price List_Excl GST'!D23</f>
        <v xml:space="preserve">QLD Government Solar Bonus </v>
      </c>
      <c r="E23" s="135">
        <f>'Price List_Excl GST'!E23</f>
        <v>0</v>
      </c>
      <c r="F23" s="27"/>
      <c r="G23" s="31">
        <v>0</v>
      </c>
      <c r="H23" s="27"/>
      <c r="I23" s="27"/>
      <c r="J23" s="27"/>
      <c r="K23" s="27"/>
      <c r="L23" s="27"/>
      <c r="M23" s="27"/>
      <c r="N23" s="22"/>
      <c r="O23" s="22"/>
      <c r="P23" s="22"/>
    </row>
    <row r="24" spans="1:16" s="65" customFormat="1" ht="18" x14ac:dyDescent="0.25">
      <c r="A24" s="59"/>
      <c r="B24" s="71" t="s">
        <v>18</v>
      </c>
      <c r="C24" s="71"/>
      <c r="D24" s="72"/>
      <c r="E24" s="73"/>
      <c r="F24" s="74"/>
      <c r="G24" s="74"/>
      <c r="H24" s="74"/>
      <c r="I24" s="74"/>
      <c r="J24" s="74"/>
      <c r="K24" s="74"/>
      <c r="L24" s="74"/>
      <c r="M24" s="74"/>
      <c r="N24" s="70"/>
      <c r="O24" s="70"/>
      <c r="P24" s="70"/>
    </row>
    <row r="25" spans="1:16" ht="18" customHeight="1" x14ac:dyDescent="0.2">
      <c r="B25" s="19" t="str">
        <f>'Price List_Excl GST'!B25</f>
        <v>BLNN1AU</v>
      </c>
      <c r="C25" s="20"/>
      <c r="D25" s="134" t="str">
        <f>'Price List_Excl GST'!D25</f>
        <v>LV Small Business Anytime</v>
      </c>
      <c r="E25" s="135">
        <f>'Price List_Excl GST'!E25</f>
        <v>0</v>
      </c>
      <c r="F25" s="21">
        <f>ROUND(VLOOKUP($B25,'[2]NUOS (t)'!$B$10:$P$66,4,FALSE)/365,4)*1.1</f>
        <v>1.00254</v>
      </c>
      <c r="G25" s="21">
        <f>ROUND(VLOOKUP($B25,'[2]NUOS (t)'!$B$10:$P$66,5,FALSE),4)*1.1</f>
        <v>17.159230000000001</v>
      </c>
      <c r="H25" s="21"/>
      <c r="I25" s="21"/>
      <c r="J25" s="21"/>
      <c r="K25" s="21"/>
      <c r="L25" s="21"/>
      <c r="M25" s="21"/>
      <c r="N25" s="22"/>
      <c r="O25" s="22"/>
    </row>
    <row r="26" spans="1:16" ht="18" customHeight="1" x14ac:dyDescent="0.2">
      <c r="B26" s="19" t="str">
        <f>'Price List_Excl GST'!B26</f>
        <v>BLNT2AU</v>
      </c>
      <c r="C26" s="20"/>
      <c r="D26" s="134" t="str">
        <f>'Price List_Excl GST'!D26</f>
        <v xml:space="preserve">LV TOU &lt;100MWh </v>
      </c>
      <c r="E26" s="135">
        <f>'Price List_Excl GST'!E26</f>
        <v>0</v>
      </c>
      <c r="F26" s="21">
        <f>ROUND(VLOOKUP($B26,'[2]NUOS (t)'!$B$10:$P$66,4,FALSE)/365,4)*1.1</f>
        <v>4.5416800000000004</v>
      </c>
      <c r="G26" s="21"/>
      <c r="H26" s="21">
        <f>ROUND(VLOOKUP($B26,'[2]NUOS (t)'!$B$10:$P$66,6,FALSE),4)*1.1</f>
        <v>18.219190000000001</v>
      </c>
      <c r="I26" s="21">
        <f>ROUND(VLOOKUP($B26,'[2]NUOS (t)'!$B$10:$P$66,7,FALSE),4)*1.1</f>
        <v>14.794560000000001</v>
      </c>
      <c r="J26" s="21">
        <f>ROUND(VLOOKUP($B26,'[2]NUOS (t)'!$B$10:$P$66,8,FALSE),4)*1.1</f>
        <v>7.8432200000000014</v>
      </c>
      <c r="K26" s="21"/>
      <c r="L26" s="21"/>
      <c r="M26" s="21"/>
      <c r="N26" s="22"/>
      <c r="O26" s="22"/>
      <c r="P26" s="22"/>
    </row>
    <row r="27" spans="1:16" ht="18" customHeight="1" x14ac:dyDescent="0.2">
      <c r="B27" s="19" t="str">
        <f>'Price List_Excl GST'!B27</f>
        <v>BLNT2AL</v>
      </c>
      <c r="C27" s="20"/>
      <c r="D27" s="134" t="str">
        <f>'Price List_Excl GST'!D27</f>
        <v>LV Business TOU_Interval meter</v>
      </c>
      <c r="E27" s="135">
        <f>'Price List_Excl GST'!E27</f>
        <v>0</v>
      </c>
      <c r="F27" s="21">
        <f>ROUND(VLOOKUP($B27,'[2]NUOS (t)'!$B$10:$P$66,4,FALSE)/365,4)*1.1</f>
        <v>1.7150100000000001</v>
      </c>
      <c r="G27" s="21"/>
      <c r="H27" s="21">
        <f>ROUND(VLOOKUP($B27,'[2]NUOS (t)'!$B$10:$P$66,6,FALSE),4)*1.1</f>
        <v>18.874790000000001</v>
      </c>
      <c r="I27" s="21">
        <f>ROUND(VLOOKUP($B27,'[2]NUOS (t)'!$B$10:$P$66,7,FALSE),4)*1.1</f>
        <v>14.26854</v>
      </c>
      <c r="J27" s="21">
        <f>ROUND(VLOOKUP($B27,'[2]NUOS (t)'!$B$10:$P$66,8,FALSE),4)*1.1</f>
        <v>7.5967100000000007</v>
      </c>
      <c r="K27" s="21"/>
      <c r="L27" s="21"/>
      <c r="M27" s="21"/>
      <c r="N27" s="22"/>
      <c r="O27" s="22"/>
      <c r="P27" s="22"/>
    </row>
    <row r="28" spans="1:16" ht="18" customHeight="1" x14ac:dyDescent="0.2">
      <c r="B28" s="19" t="str">
        <f>'Price List_Excl GST'!B28</f>
        <v>BLND1AB</v>
      </c>
      <c r="C28" s="20"/>
      <c r="D28" s="134" t="str">
        <f>'Price List_Excl GST'!D28</f>
        <v>Small Business - Opt in Demand</v>
      </c>
      <c r="E28" s="135">
        <f>'Price List_Excl GST'!E28</f>
        <v>0</v>
      </c>
      <c r="F28" s="21">
        <f>ROUND(VLOOKUP($B28,'[2]NUOS (t)'!$B$10:$P$66,4,FALSE)/365,4)*1.1</f>
        <v>1.7150100000000001</v>
      </c>
      <c r="G28" s="21"/>
      <c r="H28" s="21">
        <f>ROUND(VLOOKUP($B28,'[2]NUOS (t)'!$B$10:$P$66,6,FALSE),4)*1.1</f>
        <v>8.7569900000000001</v>
      </c>
      <c r="I28" s="21">
        <f>ROUND(VLOOKUP($B28,'[2]NUOS (t)'!$B$10:$P$66,7,FALSE),4)*1.1</f>
        <v>6.5541300000000007</v>
      </c>
      <c r="J28" s="21">
        <f>ROUND(VLOOKUP($B28,'[2]NUOS (t)'!$B$10:$P$66,8,FALSE),4)*1.1</f>
        <v>3.7684900000000003</v>
      </c>
      <c r="K28" s="21">
        <f>ROUND(VLOOKUP($B28,'[2]NUOS (t)'!$B$10:$P$66,10,FALSE),4)*1.1</f>
        <v>7.500350000000001</v>
      </c>
      <c r="L28" s="127"/>
      <c r="M28" s="21"/>
      <c r="N28" s="22"/>
      <c r="O28" s="22"/>
      <c r="P28" s="22"/>
    </row>
    <row r="29" spans="1:16" ht="18" customHeight="1" x14ac:dyDescent="0.2">
      <c r="B29" s="19" t="str">
        <f>'Price List_Excl GST'!B29</f>
        <v>BLNT1AO</v>
      </c>
      <c r="C29" s="20">
        <f>'Price List_Excl GST'!C29</f>
        <v>0</v>
      </c>
      <c r="D29" s="134" t="str">
        <f>'Price List_Excl GST'!D29</f>
        <v xml:space="preserve">LV TOU &lt;160MWh </v>
      </c>
      <c r="E29" s="135">
        <f>'Price List_Excl GST'!E29</f>
        <v>0</v>
      </c>
      <c r="F29" s="21">
        <f>ROUND(VLOOKUP($B29,'[2]NUOS (t)'!$B$10:$P$66,4,FALSE)/365,4)*1.1</f>
        <v>4.5416800000000004</v>
      </c>
      <c r="G29" s="21"/>
      <c r="H29" s="21">
        <f>ROUND(VLOOKUP($B29,'[2]NUOS (t)'!$B$10:$P$66,6,FALSE),4)*1.1</f>
        <v>18.219190000000001</v>
      </c>
      <c r="I29" s="21">
        <f>ROUND(VLOOKUP($B29,'[2]NUOS (t)'!$B$10:$P$66,7,FALSE),4)*1.1</f>
        <v>14.794560000000001</v>
      </c>
      <c r="J29" s="21">
        <f>ROUND(VLOOKUP($B29,'[2]NUOS (t)'!$B$10:$P$66,8,FALSE),4)*1.1</f>
        <v>7.8432200000000014</v>
      </c>
      <c r="K29" s="21"/>
      <c r="L29" s="21"/>
      <c r="M29" s="21"/>
      <c r="N29" s="22"/>
      <c r="O29" s="22"/>
      <c r="P29" s="22"/>
    </row>
    <row r="30" spans="1:16" ht="18" customHeight="1" x14ac:dyDescent="0.2">
      <c r="B30" s="19" t="str">
        <f>'Price List_Excl GST'!B30</f>
        <v>BLNDTRS</v>
      </c>
      <c r="C30" s="20"/>
      <c r="D30" s="134" t="str">
        <f>'Price List_Excl GST'!D30</f>
        <v>Transitional Demand</v>
      </c>
      <c r="E30" s="135">
        <f>'Price List_Excl GST'!E30</f>
        <v>0</v>
      </c>
      <c r="F30" s="21">
        <f>ROUND(VLOOKUP($B30,'[2]NUOS (t)'!$B$10:$P$66,4,FALSE)/365,4)*1.1</f>
        <v>17.38935</v>
      </c>
      <c r="G30" s="21"/>
      <c r="H30" s="21">
        <f>ROUND(VLOOKUP($B30,'[2]NUOS (t)'!$B$10:$P$66,6,FALSE),4)*1.1</f>
        <v>5.5686400000000011</v>
      </c>
      <c r="I30" s="21">
        <f>ROUND(VLOOKUP($B30,'[2]NUOS (t)'!$B$10:$P$66,7,FALSE),4)*1.1</f>
        <v>4.6151600000000004</v>
      </c>
      <c r="J30" s="21">
        <f>ROUND(VLOOKUP($B30,'[2]NUOS (t)'!$B$10:$P$66,8,FALSE),4)*1.1</f>
        <v>3.0635000000000003</v>
      </c>
      <c r="K30" s="21">
        <f>ROUND(VLOOKUP($B30,'[2]NUOS (t)'!$B$10:$P$66,10,FALSE),4)*1.1</f>
        <v>11.248270000000002</v>
      </c>
      <c r="L30" s="21">
        <f>ROUND(VLOOKUP($B30,'[2]NUOS (t)'!$B$10:$P$66,11,FALSE),4)*1.1</f>
        <v>10.17709</v>
      </c>
      <c r="M30" s="21">
        <f>ROUND(VLOOKUP($B30,'[2]NUOS (t)'!$B$10:$P$66,12,FALSE),4)*1.1</f>
        <v>2.5370400000000002</v>
      </c>
      <c r="N30" s="22"/>
      <c r="O30" s="22"/>
      <c r="P30" s="22"/>
    </row>
    <row r="31" spans="1:16" ht="18" customHeight="1" x14ac:dyDescent="0.2">
      <c r="B31" s="19" t="str">
        <f>'Price List_Excl GST'!B31</f>
        <v>BLND3AO</v>
      </c>
      <c r="C31" s="20"/>
      <c r="D31" s="134" t="str">
        <f>'Price List_Excl GST'!D31</f>
        <v>LV TOU Demand 3 Rate</v>
      </c>
      <c r="E31" s="135">
        <f>'Price List_Excl GST'!E31</f>
        <v>0</v>
      </c>
      <c r="F31" s="21">
        <f>ROUND(VLOOKUP($B31,'[2]NUOS (t)'!$B$10:$P$66,4,FALSE)/365,4)*1.1</f>
        <v>17.38935</v>
      </c>
      <c r="G31" s="21"/>
      <c r="H31" s="21">
        <f>ROUND(VLOOKUP($B31,'[2]NUOS (t)'!$B$10:$P$66,6,FALSE),4)*1.1</f>
        <v>5.5686400000000011</v>
      </c>
      <c r="I31" s="21">
        <f>ROUND(VLOOKUP($B31,'[2]NUOS (t)'!$B$10:$P$66,7,FALSE),4)*1.1</f>
        <v>4.6151600000000004</v>
      </c>
      <c r="J31" s="21">
        <f>ROUND(VLOOKUP($B31,'[2]NUOS (t)'!$B$10:$P$66,8,FALSE),4)*1.1</f>
        <v>3.0635000000000003</v>
      </c>
      <c r="K31" s="21">
        <f>ROUND(VLOOKUP($B31,'[2]NUOS (t)'!$B$10:$P$66,10,FALSE),4)*1.1</f>
        <v>11.248270000000002</v>
      </c>
      <c r="L31" s="21">
        <f>ROUND(VLOOKUP($B31,'[2]NUOS (t)'!$B$10:$P$66,11,FALSE),4)*1.1</f>
        <v>10.17709</v>
      </c>
      <c r="M31" s="21">
        <f>ROUND(VLOOKUP($B31,'[2]NUOS (t)'!$B$10:$P$66,12,FALSE),4)*1.1</f>
        <v>2.5370400000000002</v>
      </c>
      <c r="N31" s="22"/>
      <c r="O31" s="22"/>
      <c r="P31" s="22"/>
    </row>
    <row r="32" spans="1:16" ht="18" customHeight="1" x14ac:dyDescent="0.2">
      <c r="B32" s="19" t="str">
        <f>'Price List_Excl GST'!B32</f>
        <v>BLND3TO</v>
      </c>
      <c r="C32" s="20"/>
      <c r="D32" s="134" t="str">
        <f>'Price List_Excl GST'!D32</f>
        <v>LV TOU Demand Alternative tariff</v>
      </c>
      <c r="E32" s="135">
        <f>'Price List_Excl GST'!E32</f>
        <v>0</v>
      </c>
      <c r="F32" s="21">
        <f>ROUND(VLOOKUP($B32,'[2]NUOS (t)'!$B$10:$P$66,4,FALSE)/365,4)*1.1</f>
        <v>17.38935</v>
      </c>
      <c r="G32" s="21"/>
      <c r="H32" s="21">
        <f>ROUND(VLOOKUP($B32,'[2]NUOS (t)'!$B$10:$P$66,6,FALSE),4)*1.1</f>
        <v>16.249860000000002</v>
      </c>
      <c r="I32" s="21">
        <f>ROUND(VLOOKUP($B32,'[2]NUOS (t)'!$B$10:$P$66,7,FALSE),4)*1.1</f>
        <v>12.849980000000002</v>
      </c>
      <c r="J32" s="21">
        <f>ROUND(VLOOKUP($B32,'[2]NUOS (t)'!$B$10:$P$66,8,FALSE),4)*1.1</f>
        <v>5.7849000000000013</v>
      </c>
      <c r="K32" s="129">
        <f>ROUND(VLOOKUP($B32,'[2]NUOS (t)'!$B$10:$P$66,10,FALSE),4)*1.1</f>
        <v>13.764740000000002</v>
      </c>
      <c r="L32" s="130"/>
      <c r="M32" s="21"/>
      <c r="N32" s="22"/>
      <c r="O32" s="22"/>
      <c r="P32" s="22"/>
    </row>
    <row r="33" spans="1:16" ht="18" customHeight="1" x14ac:dyDescent="0.2">
      <c r="B33" s="19" t="str">
        <f>'Price List_Excl GST'!B33</f>
        <v>BHND3AO</v>
      </c>
      <c r="C33" s="20"/>
      <c r="D33" s="134" t="str">
        <f>'Price List_Excl GST'!D33</f>
        <v>HV TOU mthly Demand</v>
      </c>
      <c r="E33" s="135">
        <f>'Price List_Excl GST'!E33</f>
        <v>0</v>
      </c>
      <c r="F33" s="21">
        <f>ROUND(VLOOKUP($B33,'[2]NUOS (t)'!$B$10:$P$66,4,FALSE)/365,4)*1.1</f>
        <v>21.525240000000004</v>
      </c>
      <c r="G33" s="21"/>
      <c r="H33" s="21">
        <f>ROUND(VLOOKUP($B33,'[2]NUOS (t)'!$B$10:$P$66,6,FALSE),4)*1.1</f>
        <v>4.2397299999999998</v>
      </c>
      <c r="I33" s="21">
        <f>ROUND(VLOOKUP($B33,'[2]NUOS (t)'!$B$10:$P$66,7,FALSE),4)*1.1</f>
        <v>3.5569600000000001</v>
      </c>
      <c r="J33" s="21">
        <f>ROUND(VLOOKUP($B33,'[2]NUOS (t)'!$B$10:$P$66,8,FALSE),4)*1.1</f>
        <v>2.9515199999999999</v>
      </c>
      <c r="K33" s="21">
        <f>ROUND(VLOOKUP($B33,'[2]NUOS (t)'!$B$10:$P$66,10,FALSE),4)*1.1</f>
        <v>10.224500000000001</v>
      </c>
      <c r="L33" s="21">
        <f>ROUND(VLOOKUP($B33,'[2]NUOS (t)'!$B$10:$P$66,11,FALSE),4)*1.1</f>
        <v>9.2507800000000007</v>
      </c>
      <c r="M33" s="21">
        <f>ROUND(VLOOKUP($B33,'[2]NUOS (t)'!$B$10:$P$66,12,FALSE),4)*1.1</f>
        <v>2.7682600000000002</v>
      </c>
      <c r="N33" s="22"/>
      <c r="O33" s="22"/>
      <c r="P33" s="22"/>
    </row>
    <row r="34" spans="1:16" ht="18" customHeight="1" x14ac:dyDescent="0.2">
      <c r="B34" s="19" t="str">
        <f>'Price List_Excl GST'!B34</f>
        <v>BSSD3AO</v>
      </c>
      <c r="C34" s="20"/>
      <c r="D34" s="143" t="str">
        <f>'Price List_Excl GST'!D34</f>
        <v>Sub Trans 3 Rate Demand</v>
      </c>
      <c r="E34" s="144">
        <f>'Price List_Excl GST'!E34</f>
        <v>0</v>
      </c>
      <c r="F34" s="21">
        <f>ROUND(VLOOKUP($B34,'[2]NUOS (t)'!$B$10:$P$66,4,FALSE)/365,4)*1.1</f>
        <v>21.366949999999999</v>
      </c>
      <c r="G34" s="21"/>
      <c r="H34" s="21">
        <f>ROUND(VLOOKUP($B34,'[2]NUOS (t)'!$B$10:$P$66,6,FALSE),4)*1.1</f>
        <v>5.1001500000000002</v>
      </c>
      <c r="I34" s="21">
        <f>ROUND(VLOOKUP($B34,'[2]NUOS (t)'!$B$10:$P$66,7,FALSE),4)*1.1</f>
        <v>3.04766</v>
      </c>
      <c r="J34" s="21">
        <f>ROUND(VLOOKUP($B34,'[2]NUOS (t)'!$B$10:$P$66,8,FALSE),4)*1.1</f>
        <v>2.53979</v>
      </c>
      <c r="K34" s="21">
        <f>ROUND(VLOOKUP($B34,'[2]NUOS (t)'!$B$10:$P$66,10,FALSE),4)*1.1</f>
        <v>3.9455900000000002</v>
      </c>
      <c r="L34" s="21">
        <f>ROUND(VLOOKUP($B34,'[2]NUOS (t)'!$B$10:$P$66,11,FALSE),4)*1.1</f>
        <v>2.8128100000000003</v>
      </c>
      <c r="M34" s="21">
        <f>ROUND(VLOOKUP($B34,'[2]NUOS (t)'!$B$10:$P$66,12,FALSE),4)*1.1</f>
        <v>1.1213400000000002</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f>ROUND(VLOOKUP($B36,'[2]NUOS (t)'!$B$10:$P$80,4,FALSE)/365,4)*1.1</f>
        <v>1.00254</v>
      </c>
      <c r="G36" s="21">
        <f>ROUND(VLOOKUP($B36,'[2]NUOS (t)'!$B$10:$P$80,5,FALSE),4)*1.1</f>
        <v>18.548750000000002</v>
      </c>
      <c r="H36" s="21"/>
      <c r="I36" s="21"/>
      <c r="J36" s="21"/>
      <c r="K36" s="21"/>
      <c r="L36" s="21"/>
      <c r="M36" s="21"/>
    </row>
    <row r="37" spans="1:16" ht="18" customHeight="1" x14ac:dyDescent="0.2">
      <c r="B37" s="19" t="s">
        <v>37</v>
      </c>
      <c r="C37" s="20"/>
      <c r="D37" s="134" t="s">
        <v>110</v>
      </c>
      <c r="E37" s="135"/>
      <c r="F37" s="21">
        <f>ROUND(VLOOKUP($B37,'[2]NUOS (t)'!$B$10:$P$80,4,FALSE)/365,4)*1.1</f>
        <v>0</v>
      </c>
      <c r="G37" s="21"/>
      <c r="H37" s="21">
        <f>ROUND(VLOOKUP($B37,'[2]NUOS (t)'!$B$10:$P$80,6,FALSE),4)*1.1</f>
        <v>20.731920000000002</v>
      </c>
      <c r="I37" s="21">
        <f>ROUND(VLOOKUP($B37,'[2]NUOS (t)'!$B$10:$P$80,7,FALSE),4)*1.1</f>
        <v>16.31718</v>
      </c>
      <c r="J37" s="21">
        <f>ROUND(VLOOKUP($B37,'[2]NUOS (t)'!$B$10:$P$80,8,FALSE),4)*1.1</f>
        <v>8.1769600000000011</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106" t="s">
        <v>199</v>
      </c>
      <c r="C41" s="107"/>
      <c r="D41" s="107"/>
      <c r="E41" s="107"/>
      <c r="F41" s="107"/>
      <c r="G41" s="108"/>
      <c r="H41" s="108"/>
      <c r="I41" s="108"/>
      <c r="J41" s="108"/>
      <c r="K41" s="109"/>
      <c r="L41" s="109"/>
      <c r="M41" s="109"/>
      <c r="N41" s="110"/>
      <c r="O41" s="110"/>
      <c r="P41" s="111"/>
    </row>
    <row r="42" spans="1:16" ht="15.75" x14ac:dyDescent="0.25">
      <c r="A42" s="1"/>
      <c r="B42" s="148" t="str">
        <f>'Price List_Excl GST'!$B$3:$F$3</f>
        <v>Effective 1 July 2022</v>
      </c>
      <c r="C42" s="149"/>
      <c r="D42" s="149"/>
      <c r="E42" s="149"/>
      <c r="F42" s="149"/>
      <c r="G42" s="112"/>
      <c r="H42" s="112"/>
      <c r="I42" s="112"/>
      <c r="J42" s="112"/>
      <c r="K42" s="112"/>
      <c r="L42" s="150"/>
      <c r="M42" s="150"/>
      <c r="N42" s="112"/>
      <c r="O42" s="112"/>
      <c r="P42" s="113"/>
    </row>
    <row r="43" spans="1:16" ht="15.75" x14ac:dyDescent="0.25">
      <c r="A43" s="1"/>
      <c r="B43" s="114"/>
      <c r="C43" s="115"/>
      <c r="D43" s="115"/>
      <c r="E43" s="115"/>
      <c r="F43" s="115"/>
      <c r="G43" s="116"/>
      <c r="H43" s="116"/>
      <c r="I43" s="116"/>
      <c r="J43" s="116"/>
      <c r="K43" s="116"/>
      <c r="L43" s="117"/>
      <c r="M43" s="117"/>
      <c r="N43" s="116"/>
      <c r="O43" s="116"/>
      <c r="P43" s="118"/>
    </row>
    <row r="44" spans="1:16" ht="27.75" customHeight="1" x14ac:dyDescent="0.25">
      <c r="B44" s="158" t="s">
        <v>108</v>
      </c>
      <c r="C44" s="155" t="s">
        <v>9</v>
      </c>
      <c r="D44" s="119" t="s">
        <v>1</v>
      </c>
      <c r="E44" s="119" t="s">
        <v>2</v>
      </c>
      <c r="F44" s="120" t="s">
        <v>2</v>
      </c>
      <c r="G44" s="120" t="s">
        <v>2</v>
      </c>
      <c r="H44" s="120" t="s">
        <v>2</v>
      </c>
      <c r="I44" s="119" t="s">
        <v>3</v>
      </c>
      <c r="J44" s="120" t="s">
        <v>4</v>
      </c>
      <c r="K44" s="120" t="s">
        <v>5</v>
      </c>
      <c r="L44" s="120" t="s">
        <v>6</v>
      </c>
      <c r="M44" s="119" t="s">
        <v>7</v>
      </c>
      <c r="N44" s="151" t="s">
        <v>49</v>
      </c>
      <c r="O44" s="151"/>
      <c r="P44" s="151"/>
    </row>
    <row r="45" spans="1:16" ht="15" x14ac:dyDescent="0.25">
      <c r="B45" s="159"/>
      <c r="C45" s="156"/>
      <c r="D45" s="121" t="s">
        <v>10</v>
      </c>
      <c r="E45" s="121" t="s">
        <v>11</v>
      </c>
      <c r="F45" s="121" t="s">
        <v>4</v>
      </c>
      <c r="G45" s="121" t="s">
        <v>5</v>
      </c>
      <c r="H45" s="121" t="s">
        <v>6</v>
      </c>
      <c r="I45" s="121" t="s">
        <v>12</v>
      </c>
      <c r="J45" s="121" t="s">
        <v>3</v>
      </c>
      <c r="K45" s="121" t="s">
        <v>3</v>
      </c>
      <c r="L45" s="121" t="s">
        <v>3</v>
      </c>
      <c r="M45" s="121" t="s">
        <v>12</v>
      </c>
      <c r="N45" s="151"/>
      <c r="O45" s="151"/>
      <c r="P45" s="151"/>
    </row>
    <row r="46" spans="1:16" ht="15" x14ac:dyDescent="0.25">
      <c r="B46" s="159"/>
      <c r="C46" s="156"/>
      <c r="D46" s="121" t="s">
        <v>13</v>
      </c>
      <c r="E46" s="121" t="s">
        <v>14</v>
      </c>
      <c r="F46" s="121" t="s">
        <v>14</v>
      </c>
      <c r="G46" s="121" t="s">
        <v>14</v>
      </c>
      <c r="H46" s="121" t="s">
        <v>14</v>
      </c>
      <c r="I46" s="121" t="s">
        <v>15</v>
      </c>
      <c r="J46" s="121" t="s">
        <v>15</v>
      </c>
      <c r="K46" s="121" t="s">
        <v>15</v>
      </c>
      <c r="L46" s="121" t="s">
        <v>15</v>
      </c>
      <c r="M46" s="121" t="s">
        <v>15</v>
      </c>
      <c r="N46" s="151"/>
      <c r="O46" s="151"/>
      <c r="P46" s="151"/>
    </row>
    <row r="47" spans="1:16" s="43" customFormat="1" ht="15" x14ac:dyDescent="0.25">
      <c r="A47" s="42"/>
      <c r="B47" s="160"/>
      <c r="C47" s="157"/>
      <c r="D47" s="122"/>
      <c r="E47" s="122"/>
      <c r="F47" s="122"/>
      <c r="G47" s="122"/>
      <c r="H47" s="122"/>
      <c r="I47" s="122"/>
      <c r="J47" s="122"/>
      <c r="K47" s="122"/>
      <c r="L47" s="122"/>
      <c r="M47" s="122"/>
      <c r="N47" s="151"/>
      <c r="O47" s="151"/>
      <c r="P47" s="151"/>
    </row>
    <row r="48" spans="1:16" s="65" customFormat="1" ht="18" x14ac:dyDescent="0.25">
      <c r="A48" s="59"/>
      <c r="B48" s="71" t="s">
        <v>46</v>
      </c>
      <c r="C48" s="72"/>
      <c r="D48" s="76"/>
      <c r="E48" s="74"/>
      <c r="F48" s="74"/>
      <c r="G48" s="74"/>
      <c r="H48" s="74"/>
      <c r="I48" s="74"/>
      <c r="J48" s="74"/>
      <c r="K48" s="74"/>
      <c r="L48" s="74"/>
      <c r="M48" s="74"/>
      <c r="N48" s="152"/>
      <c r="O48" s="153"/>
      <c r="P48" s="154"/>
    </row>
    <row r="49" spans="1:19" s="65" customFormat="1" ht="18" x14ac:dyDescent="0.25">
      <c r="A49" s="59"/>
      <c r="B49" s="80" t="s">
        <v>33</v>
      </c>
      <c r="C49" s="33" t="s">
        <v>58</v>
      </c>
      <c r="D49" s="21">
        <f>ROUND(VLOOKUP($B49,'[2]NUOS (t)'!$B$10:$P$66,4,FALSE)/365,4)*1.1</f>
        <v>18.669970000000003</v>
      </c>
      <c r="E49" s="21"/>
      <c r="F49" s="21">
        <f>ROUND(VLOOKUP($B49,'[2]NUOS (t)'!$B$10:$P$66,6,FALSE),4)*1.1</f>
        <v>5.1751700000000005</v>
      </c>
      <c r="G49" s="21">
        <f>ROUND(VLOOKUP($B49,'[2]NUOS (t)'!$B$10:$P$66,7,FALSE),4)*1.1</f>
        <v>4.3117800000000006</v>
      </c>
      <c r="H49" s="21">
        <f>ROUND(VLOOKUP($B49,'[2]NUOS (t)'!$B$10:$P$66,8,FALSE),4)*1.1</f>
        <v>2.9251200000000002</v>
      </c>
      <c r="I49" s="21"/>
      <c r="J49" s="21">
        <f>ROUND(VLOOKUP($B49,'[2]NUOS (t)'!$B$10:$P$66,10,FALSE),4)*1.1</f>
        <v>13.438260000000001</v>
      </c>
      <c r="K49" s="21">
        <f>ROUND(VLOOKUP($B49,'[2]NUOS (t)'!$B$10:$P$66,11,FALSE),4)*1.1</f>
        <v>12.158410000000002</v>
      </c>
      <c r="L49" s="21">
        <f>ROUND(VLOOKUP($B49,'[2]NUOS (t)'!$B$10:$P$66,12,FALSE),4)*1.1</f>
        <v>3.1073900000000001</v>
      </c>
      <c r="M49" s="123"/>
      <c r="N49" s="124"/>
      <c r="O49" s="125"/>
      <c r="P49" s="126"/>
    </row>
    <row r="50" spans="1:19" s="65" customFormat="1" ht="18" x14ac:dyDescent="0.25">
      <c r="A50" s="59"/>
      <c r="B50" s="80" t="s">
        <v>35</v>
      </c>
      <c r="C50" s="33" t="s">
        <v>59</v>
      </c>
      <c r="D50" s="21">
        <f>ROUND(VLOOKUP($B50,'[2]NUOS (t)'!$B$10:$P$66,4,FALSE)/365,4)*1.1</f>
        <v>20.921890000000001</v>
      </c>
      <c r="E50" s="21"/>
      <c r="F50" s="21">
        <f>ROUND(VLOOKUP($B50,'[2]NUOS (t)'!$B$10:$P$66,6,FALSE),4)*1.1</f>
        <v>4.16669</v>
      </c>
      <c r="G50" s="21">
        <f>ROUND(VLOOKUP($B50,'[2]NUOS (t)'!$B$10:$P$66,7,FALSE),4)*1.1</f>
        <v>3.5866600000000006</v>
      </c>
      <c r="H50" s="21">
        <f>ROUND(VLOOKUP($B50,'[2]NUOS (t)'!$B$10:$P$66,8,FALSE),4)*1.1</f>
        <v>2.9428300000000003</v>
      </c>
      <c r="I50" s="21"/>
      <c r="J50" s="21">
        <f>ROUND(VLOOKUP($B50,'[2]NUOS (t)'!$B$10:$P$66,10,FALSE),4)*1.1</f>
        <v>10.82686</v>
      </c>
      <c r="K50" s="21">
        <f>ROUND(VLOOKUP($B50,'[2]NUOS (t)'!$B$10:$P$66,11,FALSE),4)*1.1</f>
        <v>9.7957200000000011</v>
      </c>
      <c r="L50" s="21">
        <f>ROUND(VLOOKUP($B50,'[2]NUOS (t)'!$B$10:$P$66,12,FALSE),4)*1.1</f>
        <v>2.9312800000000001</v>
      </c>
      <c r="M50" s="123"/>
      <c r="N50" s="124"/>
      <c r="O50" s="125"/>
      <c r="P50" s="126"/>
    </row>
    <row r="51" spans="1:19" s="65" customFormat="1" ht="44.25" customHeight="1" x14ac:dyDescent="0.25">
      <c r="A51" s="59"/>
      <c r="B51" s="80" t="s">
        <v>170</v>
      </c>
      <c r="C51" s="33" t="s">
        <v>200</v>
      </c>
      <c r="D51" s="21">
        <f>ROUND(VLOOKUP($B51,'[2]NUOS (t)'!$B$10:$P$66,4,FALSE)/365,4)*1.1</f>
        <v>8.1761900000000001</v>
      </c>
      <c r="E51" s="21"/>
      <c r="F51" s="21">
        <f>ROUND(VLOOKUP($B51,'[2]NUOS (t)'!$B$10:$P$66,6,FALSE),4)*1.1</f>
        <v>19.765680000000003</v>
      </c>
      <c r="G51" s="21">
        <f>ROUND(VLOOKUP($B51,'[2]NUOS (t)'!$B$10:$P$66,7,FALSE),4)*1.1</f>
        <v>15.343460000000002</v>
      </c>
      <c r="H51" s="21">
        <f>ROUND(VLOOKUP($B51,'[2]NUOS (t)'!$B$10:$P$66,8,FALSE),4)*1.1</f>
        <v>8.2063300000000012</v>
      </c>
      <c r="I51" s="21"/>
      <c r="J51" s="21"/>
      <c r="K51" s="21"/>
      <c r="L51" s="21"/>
      <c r="M51" s="21">
        <f>ROUND(VLOOKUP($B51,'[2]NUOS (t)'!$B$10:$P$66,13,FALSE),4)</f>
        <v>0</v>
      </c>
      <c r="N51" s="161" t="s">
        <v>201</v>
      </c>
      <c r="O51" s="162"/>
      <c r="P51" s="163"/>
    </row>
    <row r="52" spans="1:19" ht="107.25" customHeight="1" x14ac:dyDescent="0.2">
      <c r="B52" s="81" t="s">
        <v>105</v>
      </c>
      <c r="C52" s="33" t="s">
        <v>48</v>
      </c>
      <c r="D52" s="21">
        <f>ROUND(VLOOKUP("BLND1CO",'[2]NUOS (t)'!$B$10:$P$66,4,FALSE)/365,4)*1.1</f>
        <v>24.072070000000004</v>
      </c>
      <c r="E52" s="21"/>
      <c r="F52" s="21">
        <f>ROUND(VLOOKUP("BLND1CO",'[2]NUOS (t)'!$B$10:$P$66,6,FALSE),4)*1.1</f>
        <v>7.92781</v>
      </c>
      <c r="G52" s="21">
        <f>ROUND(VLOOKUP("BLND1CO",'[2]NUOS (t)'!$B$10:$P$66,7,FALSE),4)*1.1</f>
        <v>6.4588700000000001</v>
      </c>
      <c r="H52" s="21">
        <f>ROUND(VLOOKUP("BLND1CO",'[2]NUOS (t)'!$B$10:$P$66,8,FALSE),4)*1.1</f>
        <v>3.5821500000000004</v>
      </c>
      <c r="I52" s="21">
        <f>ROUND(VLOOKUP("BLND1CO",'[2]NUOS (t)'!$B$10:$P$66,9,FALSE),4)*1.1</f>
        <v>19.979849999999999</v>
      </c>
      <c r="J52" s="21"/>
      <c r="K52" s="21"/>
      <c r="L52" s="21"/>
      <c r="M52" s="21"/>
      <c r="N52" s="128" t="s">
        <v>90</v>
      </c>
      <c r="O52" s="128"/>
      <c r="P52" s="128"/>
    </row>
    <row r="53" spans="1:19" ht="51" customHeight="1" x14ac:dyDescent="0.2">
      <c r="B53" s="80" t="s">
        <v>20</v>
      </c>
      <c r="C53" s="33" t="s">
        <v>55</v>
      </c>
      <c r="D53" s="21">
        <f>ROUND(VLOOKUP($B53,'[2]NUOS (t)'!$B$10:$P$66,4,FALSE)/365,4)*1.1</f>
        <v>18.669970000000003</v>
      </c>
      <c r="E53" s="21"/>
      <c r="F53" s="21">
        <f>ROUND(VLOOKUP($B53,'[2]NUOS (t)'!$B$10:$P$66,6,FALSE),4)*1.1</f>
        <v>16.192110000000003</v>
      </c>
      <c r="G53" s="21">
        <f>ROUND(VLOOKUP($B53,'[2]NUOS (t)'!$B$10:$P$66,7,FALSE),4)*1.1</f>
        <v>12.860980000000001</v>
      </c>
      <c r="H53" s="21">
        <f>ROUND(VLOOKUP($B53,'[2]NUOS (t)'!$B$10:$P$66,8,FALSE),4)*1.1</f>
        <v>5.5041800000000007</v>
      </c>
      <c r="I53" s="21">
        <f>ROUND(VLOOKUP($B53,'[2]NUOS (t)'!$B$10:$P$66,9,FALSE),4)*1.1</f>
        <v>13.2704</v>
      </c>
      <c r="J53" s="21"/>
      <c r="K53" s="21"/>
      <c r="L53" s="21"/>
      <c r="M53" s="21">
        <f>ROUND(VLOOKUP($B53,'[2]NUOS (t)'!$B$10:$P$66,13,FALSE),4)*1.1</f>
        <v>4.8243799999999997</v>
      </c>
      <c r="N53" s="128" t="s">
        <v>91</v>
      </c>
      <c r="O53" s="128"/>
      <c r="P53" s="128"/>
    </row>
    <row r="54" spans="1:19" ht="48.75" customHeight="1" x14ac:dyDescent="0.2">
      <c r="B54" s="80" t="s">
        <v>21</v>
      </c>
      <c r="C54" s="33" t="s">
        <v>54</v>
      </c>
      <c r="D54" s="21">
        <f>ROUND(VLOOKUP($B54,'[2]NUOS (t)'!$B$10:$P$66,4,FALSE)/365,4)*1.1</f>
        <v>5.0232600000000005</v>
      </c>
      <c r="E54" s="21"/>
      <c r="F54" s="21">
        <f>ROUND(VLOOKUP($B54,'[2]NUOS (t)'!$B$10:$P$66,6,FALSE),4)*1.1</f>
        <v>18.206760000000003</v>
      </c>
      <c r="G54" s="21">
        <f>ROUND(VLOOKUP($B54,'[2]NUOS (t)'!$B$10:$P$66,7,FALSE),4)*1.1</f>
        <v>14.41418</v>
      </c>
      <c r="H54" s="21">
        <f>ROUND(VLOOKUP($B54,'[2]NUOS (t)'!$B$10:$P$66,8,FALSE),4)*1.1</f>
        <v>7.1933400000000001</v>
      </c>
      <c r="I54" s="21">
        <f>ROUND(VLOOKUP($B54,'[2]NUOS (t)'!$B$10:$P$66,9,FALSE),4)*1.1</f>
        <v>13.015750000000001</v>
      </c>
      <c r="J54" s="21"/>
      <c r="K54" s="21"/>
      <c r="L54" s="21"/>
      <c r="M54" s="21">
        <f>ROUND(VLOOKUP($B54,'[2]NUOS (t)'!$B$10:$P$66,13,FALSE),4)*1.1</f>
        <v>4.8304300000000007</v>
      </c>
      <c r="N54" s="128" t="s">
        <v>91</v>
      </c>
      <c r="O54" s="128"/>
      <c r="P54" s="128"/>
    </row>
    <row r="55" spans="1:19" ht="90" customHeight="1" x14ac:dyDescent="0.2">
      <c r="B55" s="80" t="s">
        <v>22</v>
      </c>
      <c r="C55" s="33" t="s">
        <v>56</v>
      </c>
      <c r="D55" s="21">
        <f>ROUND(VLOOKUP($B55,'[2]NUOS (t)'!$B$10:$P$66,4,FALSE)/365,4)*1.1</f>
        <v>30.888550000000002</v>
      </c>
      <c r="E55" s="21"/>
      <c r="F55" s="21">
        <f>ROUND(VLOOKUP($B55,'[2]NUOS (t)'!$B$10:$P$66,6,FALSE),4)*1.1</f>
        <v>8.5906700000000011</v>
      </c>
      <c r="G55" s="21">
        <f>ROUND(VLOOKUP($B55,'[2]NUOS (t)'!$B$10:$P$66,7,FALSE),4)*1.1</f>
        <v>8.1350500000000014</v>
      </c>
      <c r="H55" s="21">
        <f>ROUND(VLOOKUP($B55,'[2]NUOS (t)'!$B$10:$P$66,8,FALSE),4)*1.1</f>
        <v>3.7193200000000006</v>
      </c>
      <c r="I55" s="21">
        <f>ROUND(VLOOKUP($B55,'[2]NUOS (t)'!$B$10:$P$66,9,FALSE),4)*1.1</f>
        <v>14.565100000000001</v>
      </c>
      <c r="J55" s="21"/>
      <c r="K55" s="21"/>
      <c r="L55" s="21"/>
      <c r="M55" s="21"/>
      <c r="N55" s="128" t="s">
        <v>92</v>
      </c>
      <c r="O55" s="128"/>
      <c r="P55" s="128"/>
    </row>
    <row r="56" spans="1:19" s="32" customFormat="1" ht="49.5" customHeight="1" x14ac:dyDescent="0.2">
      <c r="B56" s="81" t="s">
        <v>106</v>
      </c>
      <c r="C56" s="33" t="s">
        <v>57</v>
      </c>
      <c r="D56" s="21">
        <f>ROUND(VLOOKUP("BHND1SO",'[2]NUOS (t)'!$B$10:$P$66,4,FALSE)/365,4)*1.1</f>
        <v>23.024210000000004</v>
      </c>
      <c r="E56" s="21"/>
      <c r="F56" s="21">
        <f>ROUND(VLOOKUP("BHND1SO",'[2]NUOS (t)'!$B$10:$P$66,6,FALSE),4)*1.1</f>
        <v>7.8279300000000003</v>
      </c>
      <c r="G56" s="21">
        <f>ROUND(VLOOKUP("BHND1SO",'[2]NUOS (t)'!$B$10:$P$66,7,FALSE),4)*1.1</f>
        <v>7.4850600000000007</v>
      </c>
      <c r="H56" s="21">
        <f>ROUND(VLOOKUP("BHND1SO",'[2]NUOS (t)'!$B$10:$P$66,8,FALSE),4)*1.1</f>
        <v>5.2942999999999998</v>
      </c>
      <c r="I56" s="21">
        <f>ROUND(VLOOKUP("BHND1SO",'[2]NUOS (t)'!$B$10:$P$66,9,FALSE),4)*1.1</f>
        <v>10.518420000000001</v>
      </c>
      <c r="J56" s="21"/>
      <c r="K56" s="21"/>
      <c r="L56" s="21"/>
      <c r="M56" s="21">
        <f>ROUND(VLOOKUP("BHND1SO",'[2]NUOS (t)'!$B$10:$P$66,13,FALSE),4)*1.1</f>
        <v>3.8737600000000003</v>
      </c>
      <c r="N56" s="128" t="s">
        <v>93</v>
      </c>
      <c r="O56" s="128"/>
      <c r="P56" s="128"/>
      <c r="Q56" s="22"/>
      <c r="R56" s="22"/>
      <c r="S56" s="22"/>
    </row>
    <row r="57" spans="1:19" ht="90.75" customHeight="1" x14ac:dyDescent="0.2">
      <c r="B57" s="80" t="s">
        <v>96</v>
      </c>
      <c r="C57" s="33" t="s">
        <v>97</v>
      </c>
      <c r="D57" s="31"/>
      <c r="E57" s="31">
        <f>'Price List_Excl GST'!E74*1.1</f>
        <v>-44</v>
      </c>
      <c r="F57" s="31"/>
      <c r="G57" s="31"/>
      <c r="H57" s="31"/>
      <c r="I57" s="31"/>
      <c r="J57" s="31"/>
      <c r="K57" s="31"/>
      <c r="L57" s="31"/>
      <c r="M57" s="31"/>
      <c r="N57" s="128" t="s">
        <v>103</v>
      </c>
      <c r="O57" s="128"/>
      <c r="P57" s="128"/>
    </row>
    <row r="60" spans="1:19" x14ac:dyDescent="0.2">
      <c r="B60" s="136"/>
      <c r="C60" s="136"/>
      <c r="D60" s="136"/>
      <c r="E60" s="136"/>
      <c r="F60" s="136"/>
      <c r="G60" s="136"/>
      <c r="H60" s="136"/>
      <c r="I60" s="136"/>
      <c r="J60" s="136"/>
      <c r="K60" s="136"/>
      <c r="L60" s="136"/>
      <c r="M60" s="136"/>
      <c r="N60" s="136"/>
      <c r="O60" s="136"/>
      <c r="P60" s="136"/>
    </row>
    <row r="65" spans="1:1" s="46" customFormat="1" x14ac:dyDescent="0.2">
      <c r="A65" s="45"/>
    </row>
  </sheetData>
  <mergeCells count="47">
    <mergeCell ref="N56:P56"/>
    <mergeCell ref="B60:P60"/>
    <mergeCell ref="N54:P54"/>
    <mergeCell ref="N55:P55"/>
    <mergeCell ref="N57:P57"/>
    <mergeCell ref="N53:P53"/>
    <mergeCell ref="D34:E34"/>
    <mergeCell ref="D36:E36"/>
    <mergeCell ref="D37:E37"/>
    <mergeCell ref="D39:E39"/>
    <mergeCell ref="B42:F42"/>
    <mergeCell ref="L42:M42"/>
    <mergeCell ref="N44:P47"/>
    <mergeCell ref="N48:P48"/>
    <mergeCell ref="N52:P52"/>
    <mergeCell ref="C44:C47"/>
    <mergeCell ref="B44:B47"/>
    <mergeCell ref="N51:P51"/>
    <mergeCell ref="A17:A18"/>
    <mergeCell ref="D17:E17"/>
    <mergeCell ref="D18:E18"/>
    <mergeCell ref="D19:E19"/>
    <mergeCell ref="D20:E20"/>
    <mergeCell ref="D33:E33"/>
    <mergeCell ref="B3:F3"/>
    <mergeCell ref="I3:J3"/>
    <mergeCell ref="D9:E9"/>
    <mergeCell ref="D26:E26"/>
    <mergeCell ref="D14:E14"/>
    <mergeCell ref="D15:E15"/>
    <mergeCell ref="D21:E21"/>
    <mergeCell ref="D22:E22"/>
    <mergeCell ref="D23:E23"/>
    <mergeCell ref="D25:E25"/>
    <mergeCell ref="D10:E10"/>
    <mergeCell ref="D11:E11"/>
    <mergeCell ref="K32:L32"/>
    <mergeCell ref="B5:B7"/>
    <mergeCell ref="C5:C7"/>
    <mergeCell ref="D5:E7"/>
    <mergeCell ref="D27:E27"/>
    <mergeCell ref="D28:E28"/>
    <mergeCell ref="D30:E30"/>
    <mergeCell ref="D29:E29"/>
    <mergeCell ref="D31:E31"/>
    <mergeCell ref="D32:E32"/>
    <mergeCell ref="D12:E12"/>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0" max="15" man="1"/>
  </rowBreaks>
  <ignoredErrors>
    <ignoredError sqref="E57 E52:E56 H38:M38 F38 B11:E12 B27:E28 B13:E21 B39:F39 B31:E31 B22:E23 B9:E10 B24:E25 B26:E26 B30:E30 B29:E29 G38 G39:M39 B34:E38 B32:E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S44"/>
  <sheetViews>
    <sheetView showGridLines="0" zoomScale="70" zoomScaleNormal="70" zoomScaleSheetLayoutView="58" workbookViewId="0">
      <selection activeCell="G48" sqref="G48"/>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177</v>
      </c>
      <c r="C2" s="3"/>
      <c r="D2" s="3"/>
      <c r="E2" s="3"/>
      <c r="F2" s="3"/>
      <c r="G2" s="4"/>
      <c r="H2" s="5"/>
      <c r="I2" s="5"/>
      <c r="J2" s="5"/>
      <c r="K2" s="4"/>
      <c r="L2" s="6"/>
      <c r="M2" s="7"/>
    </row>
    <row r="3" spans="1:19" ht="15.75" x14ac:dyDescent="0.25">
      <c r="A3" s="1"/>
      <c r="B3" s="141" t="str">
        <f>'Price List_Excl GST'!B3:F3</f>
        <v>Effective 1 July 2022</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2" t="s">
        <v>107</v>
      </c>
      <c r="C5" s="131" t="s">
        <v>24</v>
      </c>
      <c r="D5" s="146" t="s">
        <v>9</v>
      </c>
      <c r="E5" s="147"/>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2"/>
      <c r="C7" s="133"/>
      <c r="D7" s="146"/>
      <c r="E7" s="147"/>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ROUND(VLOOKUP($B9,'[2]DUOS (t)'!$B$10:$O$66,4,FALSE)/365,4)</f>
        <v>0.91139999999999999</v>
      </c>
      <c r="G9" s="21">
        <f>ROUND(VLOOKUP($B9,'[2]DUOS (t)'!$B$10:$O$66,5,FALSE),4)</f>
        <v>8.5488</v>
      </c>
      <c r="H9" s="21"/>
      <c r="I9" s="21"/>
      <c r="J9" s="21"/>
      <c r="K9" s="21"/>
      <c r="L9" s="21"/>
      <c r="M9" s="21"/>
      <c r="N9" s="22"/>
      <c r="O9" s="22"/>
    </row>
    <row r="10" spans="1:19" ht="14.25" customHeight="1" x14ac:dyDescent="0.2">
      <c r="B10" s="19" t="s">
        <v>26</v>
      </c>
      <c r="C10" s="20"/>
      <c r="D10" s="134" t="s">
        <v>42</v>
      </c>
      <c r="E10" s="135"/>
      <c r="F10" s="21">
        <f>ROUND(VLOOKUP($B10,'[2]DUOS (t)'!$B$10:$O$66,4,FALSE)/365,4)</f>
        <v>0.91139999999999999</v>
      </c>
      <c r="G10" s="21"/>
      <c r="H10" s="21">
        <f>ROUND(VLOOKUP($B10,'[2]DUOS (t)'!$B$10:$O$66,6,FALSE),4)</f>
        <v>11.4122</v>
      </c>
      <c r="I10" s="21">
        <f>ROUND(VLOOKUP($B10,'[2]DUOS (t)'!$B$10:$O$66,7,FALSE),4)</f>
        <v>9.1576000000000004</v>
      </c>
      <c r="J10" s="21">
        <f>ROUND(VLOOKUP($B10,'[2]DUOS (t)'!$B$10:$O$66,8,FALSE),4)</f>
        <v>2.7517999999999998</v>
      </c>
      <c r="K10" s="21"/>
      <c r="L10" s="21"/>
      <c r="M10" s="21"/>
      <c r="N10" s="22"/>
      <c r="O10" s="22"/>
      <c r="P10" s="56"/>
      <c r="Q10" s="22"/>
      <c r="R10" s="22"/>
    </row>
    <row r="11" spans="1:19" ht="14.25" customHeight="1" x14ac:dyDescent="0.2">
      <c r="B11" s="19" t="s">
        <v>167</v>
      </c>
      <c r="C11" s="20"/>
      <c r="D11" s="134" t="s">
        <v>168</v>
      </c>
      <c r="E11" s="135"/>
      <c r="F11" s="21">
        <f>ROUND(VLOOKUP($B11,'[2]DUOS (t)'!$B$10:$O$66,4,FALSE)/365,4)</f>
        <v>0.91139999999999999</v>
      </c>
      <c r="G11" s="21"/>
      <c r="H11" s="21">
        <f>ROUND(VLOOKUP($B11,'[2]DUOS (t)'!$B$10:$O$66,6,FALSE),4)</f>
        <v>11.982799999999999</v>
      </c>
      <c r="I11" s="21">
        <f>ROUND(VLOOKUP($B11,'[2]DUOS (t)'!$B$10:$O$66,7,FALSE),4)</f>
        <v>8.6997</v>
      </c>
      <c r="J11" s="21">
        <f>ROUND(VLOOKUP($B11,'[2]DUOS (t)'!$B$10:$O$66,8,FALSE),4)</f>
        <v>2.7517999999999998</v>
      </c>
      <c r="K11" s="21"/>
      <c r="L11" s="21"/>
      <c r="M11" s="21"/>
      <c r="N11" s="22"/>
      <c r="O11" s="22"/>
      <c r="P11" s="22"/>
      <c r="Q11" s="22"/>
      <c r="R11" s="22"/>
      <c r="S11" s="22"/>
    </row>
    <row r="12" spans="1:19" ht="14.25" customHeight="1" x14ac:dyDescent="0.2">
      <c r="B12" s="19" t="s">
        <v>169</v>
      </c>
      <c r="C12" s="20"/>
      <c r="D12" s="134" t="s">
        <v>183</v>
      </c>
      <c r="E12" s="135"/>
      <c r="F12" s="21">
        <f>ROUND(VLOOKUP($B12,'[2]DUOS (t)'!$B$10:$O$66,4,FALSE)/365,4)</f>
        <v>0.91139999999999999</v>
      </c>
      <c r="G12" s="21"/>
      <c r="H12" s="21">
        <f>ROUND(VLOOKUP($B12,'[2]DUOS (t)'!$B$10:$O$66,6,FALSE),4)</f>
        <v>0.93049999999999999</v>
      </c>
      <c r="I12" s="21">
        <f>ROUND(VLOOKUP($B12,'[2]DUOS (t)'!$B$10:$O$66,7,FALSE),4)</f>
        <v>0.51580000000000004</v>
      </c>
      <c r="J12" s="21">
        <f>ROUND(VLOOKUP($B12,'[2]DUOS (t)'!$B$10:$O$66,8,FALSE),4)</f>
        <v>0.27400000000000002</v>
      </c>
      <c r="K12" s="21">
        <f>ROUND(VLOOKUP($B12,'[2]DUOS (t)'!$B$10:$O$66,10,FALSE),4)</f>
        <v>4.1959999999999997</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ROUND(VLOOKUP($B14,'[2]DUOS (t)'!$B$10:$O$66,4,FALSE)/365,4)</f>
        <v>9.5500000000000002E-2</v>
      </c>
      <c r="G14" s="21">
        <f>ROUND(VLOOKUP($B14,'[2]DUOS (t)'!$B$10:$O$66,5,FALSE),4)</f>
        <v>0.38769999999999999</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ROUND(VLOOKUP($B15,'[2]DUOS (t)'!$B$10:$O$66,4,FALSE)/365,4)</f>
        <v>9.5500000000000002E-2</v>
      </c>
      <c r="G15" s="21">
        <f>ROUND(VLOOKUP($B15,'[2]DUOS (t)'!$B$10:$O$66,5,FALSE),4)</f>
        <v>2.5870000000000002</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ROUND(VLOOKUP($B17,'[2]DUOS (t)'!$B$10:$O$66,4,FALSE)/365,4)</f>
        <v>0.91139999999999999</v>
      </c>
      <c r="G17" s="21">
        <f>ROUND(VLOOKUP($B17,'[2]DUOS (t)'!$B$10:$O$66,5,FALSE),4)</f>
        <v>12.317500000000001</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ROUND(VLOOKUP($B18,'[2]DUOS (t)'!$B$10:$O$66,4,FALSE)/365,4)</f>
        <v>4.1288</v>
      </c>
      <c r="G18" s="21"/>
      <c r="H18" s="21">
        <f>ROUND(VLOOKUP($B18,'[2]DUOS (t)'!$B$10:$O$66,6,FALSE),4)</f>
        <v>11.9198</v>
      </c>
      <c r="I18" s="21">
        <f>ROUND(VLOOKUP($B18,'[2]DUOS (t)'!$B$10:$O$66,7,FALSE),4)</f>
        <v>9.5648999999999997</v>
      </c>
      <c r="J18" s="21">
        <f>ROUND(VLOOKUP($B18,'[2]DUOS (t)'!$B$10:$O$66,8,FALSE),4)</f>
        <v>4.4819000000000004</v>
      </c>
      <c r="K18" s="21"/>
      <c r="L18" s="21"/>
      <c r="M18" s="21"/>
      <c r="N18" s="22"/>
      <c r="O18" s="22"/>
    </row>
    <row r="19" spans="2:19" ht="14.25" customHeight="1" x14ac:dyDescent="0.2">
      <c r="B19" s="19" t="s">
        <v>171</v>
      </c>
      <c r="C19" s="20"/>
      <c r="D19" s="134" t="s">
        <v>172</v>
      </c>
      <c r="E19" s="135"/>
      <c r="F19" s="21">
        <f>ROUND(VLOOKUP($B19,'[2]DUOS (t)'!$B$10:$O$66,4,FALSE)/365,4)</f>
        <v>1.5590999999999999</v>
      </c>
      <c r="G19" s="21"/>
      <c r="H19" s="21">
        <f>ROUND(VLOOKUP($B19,'[2]DUOS (t)'!$B$10:$O$66,6,FALSE),4)</f>
        <v>12.5158</v>
      </c>
      <c r="I19" s="21">
        <f>ROUND(VLOOKUP($B19,'[2]DUOS (t)'!$B$10:$O$66,7,FALSE),4)</f>
        <v>9.0866000000000007</v>
      </c>
      <c r="J19" s="21">
        <f>ROUND(VLOOKUP($B19,'[2]DUOS (t)'!$B$10:$O$66,8,FALSE),4)</f>
        <v>4.2577999999999996</v>
      </c>
      <c r="K19" s="21"/>
      <c r="L19" s="21"/>
      <c r="M19" s="21"/>
      <c r="N19" s="22"/>
      <c r="O19" s="22"/>
    </row>
    <row r="20" spans="2:19" ht="14.25" customHeight="1" x14ac:dyDescent="0.2">
      <c r="B20" s="19" t="s">
        <v>173</v>
      </c>
      <c r="C20" s="20"/>
      <c r="D20" s="134" t="s">
        <v>184</v>
      </c>
      <c r="E20" s="135"/>
      <c r="F20" s="21">
        <f>ROUND(VLOOKUP($B20,'[2]DUOS (t)'!$B$10:$O$66,4,FALSE)/365,4)</f>
        <v>1.5590999999999999</v>
      </c>
      <c r="G20" s="21"/>
      <c r="H20" s="21">
        <f>ROUND(VLOOKUP($B20,'[2]DUOS (t)'!$B$10:$O$66,6,FALSE),4)</f>
        <v>3.3178000000000001</v>
      </c>
      <c r="I20" s="21">
        <f>ROUND(VLOOKUP($B20,'[2]DUOS (t)'!$B$10:$O$66,7,FALSE),4)</f>
        <v>2.0735999999999999</v>
      </c>
      <c r="J20" s="21">
        <f>ROUND(VLOOKUP($B20,'[2]DUOS (t)'!$B$10:$O$66,8,FALSE),4)</f>
        <v>0.77759999999999996</v>
      </c>
      <c r="K20" s="21">
        <f>ROUND(VLOOKUP($B20,'[2]DUOS (t)'!$B$10:$O$66,10,FALSE),4)</f>
        <v>6.8185000000000002</v>
      </c>
      <c r="L20" s="127"/>
      <c r="M20" s="21"/>
      <c r="N20" s="22"/>
      <c r="O20" s="22"/>
    </row>
    <row r="21" spans="2:19" ht="14.25" customHeight="1" x14ac:dyDescent="0.2">
      <c r="B21" s="19" t="s">
        <v>31</v>
      </c>
      <c r="C21" s="20" t="s">
        <v>170</v>
      </c>
      <c r="D21" s="134" t="s">
        <v>116</v>
      </c>
      <c r="E21" s="135"/>
      <c r="F21" s="21">
        <f>ROUND(VLOOKUP($B21,'[2]DUOS (t)'!$B$10:$O$66,4,FALSE)/365,4)</f>
        <v>4.1288</v>
      </c>
      <c r="G21" s="21"/>
      <c r="H21" s="21">
        <f>ROUND(VLOOKUP($B21,'[2]DUOS (t)'!$B$10:$O$66,6,FALSE),4)</f>
        <v>11.9198</v>
      </c>
      <c r="I21" s="21">
        <f>ROUND(VLOOKUP($B21,'[2]DUOS (t)'!$B$10:$O$66,7,FALSE),4)</f>
        <v>9.5648999999999997</v>
      </c>
      <c r="J21" s="21">
        <f>ROUND(VLOOKUP($B21,'[2]DUOS (t)'!$B$10:$O$66,8,FALSE),4)</f>
        <v>4.4819000000000004</v>
      </c>
      <c r="K21" s="21"/>
      <c r="L21" s="21"/>
      <c r="M21" s="21"/>
      <c r="N21" s="22"/>
      <c r="O21" s="22"/>
    </row>
    <row r="22" spans="2:19" ht="14.25" customHeight="1" x14ac:dyDescent="0.2">
      <c r="B22" s="19" t="s">
        <v>175</v>
      </c>
      <c r="C22" s="20"/>
      <c r="D22" s="134" t="s">
        <v>176</v>
      </c>
      <c r="E22" s="135"/>
      <c r="F22" s="21">
        <f>ROUND(VLOOKUP($B22,'[2]DUOS (t)'!$B$10:$O$66,4,FALSE)/365,4)</f>
        <v>15.8085</v>
      </c>
      <c r="G22" s="21"/>
      <c r="H22" s="21">
        <f>ROUND(VLOOKUP($B22,'[2]DUOS (t)'!$B$10:$O$66,6,FALSE),4)</f>
        <v>0.84919999999999995</v>
      </c>
      <c r="I22" s="21">
        <f>ROUND(VLOOKUP($B22,'[2]DUOS (t)'!$B$10:$O$66,7,FALSE),4)</f>
        <v>0.65469999999999995</v>
      </c>
      <c r="J22" s="21">
        <f>ROUND(VLOOKUP($B22,'[2]DUOS (t)'!$B$10:$O$66,8,FALSE),4)</f>
        <v>0.1867</v>
      </c>
      <c r="K22" s="21">
        <f>ROUND(VLOOKUP($B22,'[2]DUOS (t)'!$B$10:$O$66,10,FALSE),4)</f>
        <v>10.2257</v>
      </c>
      <c r="L22" s="21">
        <f>ROUND(VLOOKUP($B22,'[2]DUOS (t)'!$B$10:$O$66,11,FALSE),4)</f>
        <v>9.2518999999999991</v>
      </c>
      <c r="M22" s="21">
        <f>ROUND(VLOOKUP($B22,'[2]DUOS (t)'!$B$10:$O$66,12,FALSE),4)</f>
        <v>2.3064</v>
      </c>
      <c r="N22" s="22"/>
      <c r="O22" s="22"/>
    </row>
    <row r="23" spans="2:19" ht="14.25" customHeight="1" x14ac:dyDescent="0.2">
      <c r="B23" s="19" t="s">
        <v>32</v>
      </c>
      <c r="C23" s="20"/>
      <c r="D23" s="134" t="s">
        <v>47</v>
      </c>
      <c r="E23" s="135"/>
      <c r="F23" s="21">
        <f>ROUND(VLOOKUP($B23,'[2]DUOS (t)'!$B$10:$O$66,4,FALSE)/365,4)</f>
        <v>15.8085</v>
      </c>
      <c r="G23" s="21"/>
      <c r="H23" s="21">
        <f>ROUND(VLOOKUP($B23,'[2]DUOS (t)'!$B$10:$O$66,6,FALSE),4)</f>
        <v>0.84919999999999995</v>
      </c>
      <c r="I23" s="21">
        <f>ROUND(VLOOKUP($B23,'[2]DUOS (t)'!$B$10:$O$66,7,FALSE),4)</f>
        <v>0.65469999999999995</v>
      </c>
      <c r="J23" s="21">
        <f>ROUND(VLOOKUP($B23,'[2]DUOS (t)'!$B$10:$O$66,8,FALSE),4)</f>
        <v>0.1867</v>
      </c>
      <c r="K23" s="21">
        <f>ROUND(VLOOKUP($B23,'[2]DUOS (t)'!$B$10:$O$66,10,FALSE),4)</f>
        <v>10.2257</v>
      </c>
      <c r="L23" s="21">
        <f>ROUND(VLOOKUP($B23,'[2]DUOS (t)'!$B$10:$O$66,11,FALSE),4)</f>
        <v>9.2518999999999991</v>
      </c>
      <c r="M23" s="21">
        <f>ROUND(VLOOKUP($B23,'[2]DUOS (t)'!$B$10:$O$66,12,FALSE),4)</f>
        <v>2.3064</v>
      </c>
      <c r="N23" s="22"/>
      <c r="O23" s="97"/>
    </row>
    <row r="24" spans="2:19" ht="14.25" customHeight="1" x14ac:dyDescent="0.2">
      <c r="B24" s="19" t="s">
        <v>61</v>
      </c>
      <c r="C24" s="20"/>
      <c r="D24" s="134" t="s">
        <v>74</v>
      </c>
      <c r="E24" s="135"/>
      <c r="F24" s="21">
        <f>ROUND(VLOOKUP($B24,'[2]DUOS (t)'!$B$10:$O$66,4,FALSE)/365,4)</f>
        <v>15.8085</v>
      </c>
      <c r="G24" s="21"/>
      <c r="H24" s="21">
        <f>ROUND(VLOOKUP($B24,'[2]DUOS (t)'!$B$10:$O$66,6,FALSE),4)</f>
        <v>10.5593</v>
      </c>
      <c r="I24" s="21">
        <f>ROUND(VLOOKUP($B24,'[2]DUOS (t)'!$B$10:$O$66,7,FALSE),4)</f>
        <v>8.1409000000000002</v>
      </c>
      <c r="J24" s="21">
        <f>ROUND(VLOOKUP($B24,'[2]DUOS (t)'!$B$10:$O$66,8,FALSE),4)</f>
        <v>2.6606999999999998</v>
      </c>
      <c r="K24" s="129">
        <f>ROUND(VLOOKUP($B24,'[2]DUOS (t)'!$B$10:$O$66,10,FALSE),4)</f>
        <v>12.513400000000001</v>
      </c>
      <c r="L24" s="130"/>
      <c r="M24" s="21"/>
      <c r="N24" s="22"/>
      <c r="O24" s="22"/>
    </row>
    <row r="25" spans="2:19" ht="14.25" customHeight="1" x14ac:dyDescent="0.2">
      <c r="B25" s="19" t="s">
        <v>34</v>
      </c>
      <c r="C25" s="20"/>
      <c r="D25" s="134" t="s">
        <v>41</v>
      </c>
      <c r="E25" s="135"/>
      <c r="F25" s="21">
        <f>ROUND(VLOOKUP($B25,'[2]DUOS (t)'!$B$10:$O$66,4,FALSE)/365,4)</f>
        <v>19.5684</v>
      </c>
      <c r="G25" s="21"/>
      <c r="H25" s="21">
        <f>ROUND(VLOOKUP($B25,'[2]DUOS (t)'!$B$10:$O$66,6,FALSE),4)</f>
        <v>0.65129999999999999</v>
      </c>
      <c r="I25" s="21">
        <f>ROUND(VLOOKUP($B25,'[2]DUOS (t)'!$B$10:$O$66,7,FALSE),4)</f>
        <v>0.50209999999999999</v>
      </c>
      <c r="J25" s="21">
        <f>ROUND(VLOOKUP($B25,'[2]DUOS (t)'!$B$10:$O$66,8,FALSE),4)</f>
        <v>0.2802</v>
      </c>
      <c r="K25" s="21">
        <f>ROUND(VLOOKUP($B25,'[2]DUOS (t)'!$B$10:$O$66,10,FALSE),4)</f>
        <v>9.2949999999999999</v>
      </c>
      <c r="L25" s="21">
        <f>ROUND(VLOOKUP($B25,'[2]DUOS (t)'!$B$10:$O$66,11,FALSE),4)</f>
        <v>8.4098000000000006</v>
      </c>
      <c r="M25" s="21">
        <f>ROUND(VLOOKUP($B25,'[2]DUOS (t)'!$B$10:$O$66,12,FALSE),4)</f>
        <v>2.5165999999999999</v>
      </c>
      <c r="N25" s="22"/>
      <c r="O25" s="22"/>
    </row>
    <row r="26" spans="2:19" ht="14.25" customHeight="1" x14ac:dyDescent="0.2">
      <c r="B26" s="19" t="s">
        <v>23</v>
      </c>
      <c r="C26" s="20"/>
      <c r="D26" s="143" t="s">
        <v>38</v>
      </c>
      <c r="E26" s="144"/>
      <c r="F26" s="21">
        <f>ROUND(VLOOKUP($B26,'[2]DUOS (t)'!$B$10:$O$66,4,FALSE)/365,4)</f>
        <v>19.424499999999998</v>
      </c>
      <c r="G26" s="21"/>
      <c r="H26" s="21">
        <f>ROUND(VLOOKUP($B26,'[2]DUOS (t)'!$B$10:$O$66,6,FALSE),4)</f>
        <v>0.23200000000000001</v>
      </c>
      <c r="I26" s="21">
        <f>ROUND(VLOOKUP($B26,'[2]DUOS (t)'!$B$10:$O$66,7,FALSE),4)</f>
        <v>0.114</v>
      </c>
      <c r="J26" s="21">
        <f>ROUND(VLOOKUP($B26,'[2]DUOS (t)'!$B$10:$O$66,8,FALSE),4)</f>
        <v>0.1017</v>
      </c>
      <c r="K26" s="21">
        <f>ROUND(VLOOKUP($B26,'[2]DUOS (t)'!$B$10:$O$66,10,FALSE),4)</f>
        <v>3.5869</v>
      </c>
      <c r="L26" s="21">
        <f>ROUND(VLOOKUP($B26,'[2]DUOS (t)'!$B$10:$O$66,11,FALSE),4)</f>
        <v>2.5571000000000002</v>
      </c>
      <c r="M26" s="21">
        <f>ROUND(VLOOKUP($B26,'[2]DUOS (t)'!$B$10:$O$66,12,FALSE),4)</f>
        <v>1.0194000000000001</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ROUND(VLOOKUP($B28,'[2]DUOS (t)'!$B$10:$O$80,4,FALSE)/365,4)</f>
        <v>0.91139999999999999</v>
      </c>
      <c r="G28" s="21">
        <f>ROUND(VLOOKUP($B28,'[2]DUOS (t)'!$B$10:$O$80,5,FALSE),4)</f>
        <v>13.589</v>
      </c>
      <c r="H28" s="21"/>
      <c r="I28" s="21"/>
      <c r="J28" s="21"/>
      <c r="K28" s="21"/>
      <c r="L28" s="21"/>
      <c r="M28" s="21"/>
    </row>
    <row r="29" spans="2:19" ht="14.25" customHeight="1" x14ac:dyDescent="0.2">
      <c r="B29" s="19" t="s">
        <v>37</v>
      </c>
      <c r="C29" s="20"/>
      <c r="D29" s="134" t="s">
        <v>110</v>
      </c>
      <c r="E29" s="135"/>
      <c r="F29" s="21">
        <f>ROUND(VLOOKUP($B29,'[2]DUOS (t)'!$B$10:$O$80,4,FALSE)/365,4)</f>
        <v>0</v>
      </c>
      <c r="G29" s="21"/>
      <c r="H29" s="21">
        <f>ROUND(VLOOKUP($B29,'[2]DUOS (t)'!$B$10:$O$80,6,FALSE),4)</f>
        <v>14.212400000000001</v>
      </c>
      <c r="I29" s="21">
        <f>ROUND(VLOOKUP($B29,'[2]DUOS (t)'!$B$10:$O$80,7,FALSE),4)</f>
        <v>10.9573</v>
      </c>
      <c r="J29" s="21">
        <f>ROUND(VLOOKUP($B29,'[2]DUOS (t)'!$B$10:$O$80,8,FALSE),4)</f>
        <v>4.7935999999999996</v>
      </c>
      <c r="K29" s="21"/>
      <c r="L29" s="21"/>
      <c r="M29" s="21"/>
    </row>
    <row r="30" spans="2:19" ht="18" x14ac:dyDescent="0.25">
      <c r="B30" s="71" t="s">
        <v>69</v>
      </c>
      <c r="C30" s="71"/>
      <c r="D30" s="72"/>
      <c r="E30" s="73"/>
      <c r="F30" s="75"/>
      <c r="G30" s="75"/>
      <c r="H30" s="75"/>
      <c r="I30" s="75"/>
      <c r="J30" s="75"/>
      <c r="K30" s="75"/>
      <c r="L30" s="75"/>
      <c r="M30" s="75"/>
      <c r="N30" s="65"/>
      <c r="O30" s="65"/>
    </row>
    <row r="31" spans="2:19"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6" t="s">
        <v>58</v>
      </c>
      <c r="D37" s="167"/>
      <c r="E37" s="21">
        <f>ROUND(VLOOKUP($B37,'[2]DUOS (t)'!$B$10:$O$66,4,FALSE)/365,4)</f>
        <v>16.9727</v>
      </c>
      <c r="F37" s="21">
        <f>ROUND(VLOOKUP($B37,'[2]DUOS (t)'!$B$10:$O$66,6,FALSE),4)</f>
        <v>0.4914</v>
      </c>
      <c r="G37" s="21">
        <f>ROUND(VLOOKUP($B37,'[2]DUOS (t)'!$B$10:$O$66,7,FALSE),4)</f>
        <v>0.37890000000000001</v>
      </c>
      <c r="H37" s="21">
        <f>ROUND(VLOOKUP($B37,'[2]DUOS (t)'!$B$10:$O$66,8,FALSE),4)</f>
        <v>6.0900000000000003E-2</v>
      </c>
      <c r="I37" s="21"/>
      <c r="J37" s="21">
        <f>ROUND(VLOOKUP($B37,'[2]DUOS (t)'!$B$10:$O$66,10,FALSE),4)</f>
        <v>12.2166</v>
      </c>
      <c r="K37" s="21">
        <f>ROUND(VLOOKUP($B37,'[2]DUOS (t)'!$B$10:$O$66,11,FALSE),4)</f>
        <v>11.053100000000001</v>
      </c>
      <c r="L37" s="21">
        <f>ROUND(VLOOKUP($B37,'[2]DUOS (t)'!$B$10:$O$66,12,FALSE),4)</f>
        <v>2.8249</v>
      </c>
      <c r="M37" s="21"/>
      <c r="N37" s="22"/>
      <c r="O37" s="22"/>
    </row>
    <row r="38" spans="1:15" s="43" customFormat="1" ht="14.25" customHeight="1" x14ac:dyDescent="0.2">
      <c r="A38" s="42"/>
      <c r="B38" s="19" t="s">
        <v>35</v>
      </c>
      <c r="C38" s="164" t="s">
        <v>59</v>
      </c>
      <c r="D38" s="165"/>
      <c r="E38" s="21">
        <f>ROUND(VLOOKUP($B38,'[2]DUOS (t)'!$B$10:$O$66,4,FALSE)/365,4)</f>
        <v>19.0199</v>
      </c>
      <c r="F38" s="21">
        <f>ROUND(VLOOKUP($B38,'[2]DUOS (t)'!$B$10:$O$66,6,FALSE),4)</f>
        <v>0.58479999999999999</v>
      </c>
      <c r="G38" s="21">
        <f>ROUND(VLOOKUP($B38,'[2]DUOS (t)'!$B$10:$O$66,7,FALSE),4)</f>
        <v>0.52910000000000001</v>
      </c>
      <c r="H38" s="21">
        <f>ROUND(VLOOKUP($B38,'[2]DUOS (t)'!$B$10:$O$66,8,FALSE),4)</f>
        <v>0.27229999999999999</v>
      </c>
      <c r="I38" s="21"/>
      <c r="J38" s="21">
        <f>ROUND(VLOOKUP($B38,'[2]DUOS (t)'!$B$10:$O$66,10,FALSE),4)</f>
        <v>9.8425999999999991</v>
      </c>
      <c r="K38" s="21">
        <f>ROUND(VLOOKUP($B38,'[2]DUOS (t)'!$B$10:$O$66,11,FALSE),4)</f>
        <v>8.9052000000000007</v>
      </c>
      <c r="L38" s="21">
        <f>ROUND(VLOOKUP($B38,'[2]DUOS (t)'!$B$10:$O$66,12,FALSE),4)</f>
        <v>2.6648000000000001</v>
      </c>
      <c r="M38" s="21"/>
      <c r="N38" s="22"/>
      <c r="O38" s="22"/>
    </row>
    <row r="39" spans="1:15" x14ac:dyDescent="0.2">
      <c r="B39" s="19" t="s">
        <v>170</v>
      </c>
      <c r="C39" s="33" t="s">
        <v>200</v>
      </c>
      <c r="D39" s="101"/>
      <c r="E39" s="21">
        <f>ROUND(VLOOKUP($B39,'[2]DUOS (t)'!$B$10:$O$66,4,FALSE)/365,4)</f>
        <v>7.4329000000000001</v>
      </c>
      <c r="F39" s="21">
        <f>ROUND(VLOOKUP($B39,'[2]DUOS (t)'!$B$10:$O$66,6,FALSE),4)</f>
        <v>13.325699999999999</v>
      </c>
      <c r="G39" s="21">
        <f>ROUND(VLOOKUP($B39,'[2]DUOS (t)'!$B$10:$O$66,7,FALSE),4)</f>
        <v>10.0639</v>
      </c>
      <c r="H39" s="21">
        <f>ROUND(VLOOKUP($B39,'[2]DUOS (t)'!$B$10:$O$66,8,FALSE),4)</f>
        <v>4.8120000000000003</v>
      </c>
      <c r="I39" s="21">
        <f>ROUND(VLOOKUP($B39,'[2]DUOS (t)'!$B$10:$O$66,9,FALSE),4)</f>
        <v>0</v>
      </c>
      <c r="J39" s="21"/>
      <c r="K39" s="21"/>
      <c r="L39" s="21"/>
      <c r="M39" s="21">
        <f>ROUND(VLOOKUP($B39,'[2]DUOS (t)'!$B$10:$O$66,13,FALSE),4)</f>
        <v>0</v>
      </c>
    </row>
    <row r="40" spans="1:15" ht="28.5" x14ac:dyDescent="0.2">
      <c r="B40" s="20" t="s">
        <v>81</v>
      </c>
      <c r="C40" s="33" t="s">
        <v>48</v>
      </c>
      <c r="D40" s="101"/>
      <c r="E40" s="21">
        <f>ROUND(VLOOKUP("BLND1CO",'[2]DUOS (t)'!$B$10:$O$66,4,FALSE)/365,4)</f>
        <v>21.883700000000001</v>
      </c>
      <c r="F40" s="21">
        <f>ROUND(VLOOKUP("BLND1CO",'[2]DUOS (t)'!$B$10:$O$66,6,FALSE),4)</f>
        <v>2.2069000000000001</v>
      </c>
      <c r="G40" s="21">
        <f>ROUND(VLOOKUP("BLND1CO",'[2]DUOS (t)'!$B$10:$O$66,7,FALSE),4)</f>
        <v>1.7014</v>
      </c>
      <c r="H40" s="21">
        <f>ROUND(VLOOKUP("BLND1CO",'[2]DUOS (t)'!$B$10:$O$66,8,FALSE),4)</f>
        <v>0.35499999999999998</v>
      </c>
      <c r="I40" s="21">
        <f>ROUND(VLOOKUP("BLND1CO",'[2]DUOS (t)'!$B$10:$O$66,9,FALSE),4)</f>
        <v>18.163499999999999</v>
      </c>
      <c r="J40" s="21"/>
      <c r="K40" s="21"/>
      <c r="L40" s="21"/>
      <c r="M40" s="21"/>
    </row>
    <row r="41" spans="1:15" x14ac:dyDescent="0.2">
      <c r="B41" s="19" t="s">
        <v>20</v>
      </c>
      <c r="C41" s="33" t="s">
        <v>55</v>
      </c>
      <c r="D41" s="101"/>
      <c r="E41" s="21">
        <f>ROUND(VLOOKUP($B41,'[2]DUOS (t)'!$B$10:$O$66,4,FALSE)/365,4)</f>
        <v>16.9727</v>
      </c>
      <c r="F41" s="21">
        <f>ROUND(VLOOKUP($B41,'[2]DUOS (t)'!$B$10:$O$66,6,FALSE),4)</f>
        <v>8.7530999999999999</v>
      </c>
      <c r="G41" s="21">
        <f>ROUND(VLOOKUP($B41,'[2]DUOS (t)'!$B$10:$O$66,7,FALSE),4)</f>
        <v>6.7484000000000002</v>
      </c>
      <c r="H41" s="21">
        <f>ROUND(VLOOKUP($B41,'[2]DUOS (t)'!$B$10:$O$66,8,FALSE),4)</f>
        <v>2.0436999999999999</v>
      </c>
      <c r="I41" s="21">
        <f>ROUND(VLOOKUP($B41,'[2]DUOS (t)'!$B$10:$O$66,9,FALSE),4)</f>
        <v>12.064</v>
      </c>
      <c r="J41" s="21"/>
      <c r="K41" s="21"/>
      <c r="L41" s="21"/>
      <c r="M41" s="21">
        <f>ROUND(VLOOKUP($B41,'[2]DUOS (t)'!$B$10:$O$66,13,FALSE),4)</f>
        <v>4.3857999999999997</v>
      </c>
    </row>
    <row r="42" spans="1:15" x14ac:dyDescent="0.2">
      <c r="B42" s="19" t="s">
        <v>21</v>
      </c>
      <c r="C42" s="33" t="s">
        <v>54</v>
      </c>
      <c r="D42" s="101"/>
      <c r="E42" s="21">
        <f>ROUND(VLOOKUP($B42,'[2]DUOS (t)'!$B$10:$O$66,4,FALSE)/365,4)</f>
        <v>4.5666000000000002</v>
      </c>
      <c r="F42" s="21">
        <f>ROUND(VLOOKUP($B42,'[2]DUOS (t)'!$B$10:$O$66,6,FALSE),4)</f>
        <v>10.5846</v>
      </c>
      <c r="G42" s="21">
        <f>ROUND(VLOOKUP($B42,'[2]DUOS (t)'!$B$10:$O$66,7,FALSE),4)</f>
        <v>8.1603999999999992</v>
      </c>
      <c r="H42" s="21">
        <f>ROUND(VLOOKUP($B42,'[2]DUOS (t)'!$B$10:$O$66,8,FALSE),4)</f>
        <v>3.5792999999999999</v>
      </c>
      <c r="I42" s="21">
        <f>ROUND(VLOOKUP($B42,'[2]DUOS (t)'!$B$10:$O$66,9,FALSE),4)</f>
        <v>11.8325</v>
      </c>
      <c r="J42" s="21"/>
      <c r="K42" s="21"/>
      <c r="L42" s="21"/>
      <c r="M42" s="21">
        <f>ROUND(VLOOKUP($B42,'[2]DUOS (t)'!$B$10:$O$66,13,FALSE),4)</f>
        <v>4.3913000000000002</v>
      </c>
    </row>
    <row r="43" spans="1:15" s="46" customFormat="1" x14ac:dyDescent="0.2">
      <c r="A43" s="45"/>
      <c r="B43" s="19" t="s">
        <v>22</v>
      </c>
      <c r="C43" s="33" t="s">
        <v>56</v>
      </c>
      <c r="D43" s="102"/>
      <c r="E43" s="21">
        <f>ROUND(VLOOKUP($B43,'[2]DUOS (t)'!$B$10:$O$66,4,FALSE)/365,4)</f>
        <v>28.080500000000001</v>
      </c>
      <c r="F43" s="21">
        <f>ROUND(VLOOKUP($B43,'[2]DUOS (t)'!$B$10:$O$66,6,FALSE),4)</f>
        <v>2.8014000000000001</v>
      </c>
      <c r="G43" s="21">
        <f>ROUND(VLOOKUP($B43,'[2]DUOS (t)'!$B$10:$O$66,7,FALSE),4)</f>
        <v>2.3871000000000002</v>
      </c>
      <c r="H43" s="21">
        <f>ROUND(VLOOKUP($B43,'[2]DUOS (t)'!$B$10:$O$66,8,FALSE),4)</f>
        <v>0.53959999999999997</v>
      </c>
      <c r="I43" s="21">
        <f>ROUND(VLOOKUP($B43,'[2]DUOS (t)'!$B$10:$O$66,9,FALSE),4)</f>
        <v>13.241</v>
      </c>
      <c r="J43" s="21"/>
      <c r="K43" s="21"/>
      <c r="L43" s="21"/>
      <c r="M43" s="21"/>
    </row>
    <row r="44" spans="1:15" ht="28.5" x14ac:dyDescent="0.2">
      <c r="B44" s="20" t="s">
        <v>80</v>
      </c>
      <c r="C44" s="33" t="s">
        <v>57</v>
      </c>
      <c r="D44" s="101"/>
      <c r="E44" s="21">
        <f>ROUND(VLOOKUP("BHND1SO",'[2]DUOS (t)'!$B$10:$O$66,4,FALSE)/365,4)</f>
        <v>20.931100000000001</v>
      </c>
      <c r="F44" s="21">
        <f>ROUND(VLOOKUP("BHND1SO",'[2]DUOS (t)'!$B$10:$O$66,6,FALSE),4)</f>
        <v>2.1078999999999999</v>
      </c>
      <c r="G44" s="21">
        <f>ROUND(VLOOKUP("BHND1SO",'[2]DUOS (t)'!$B$10:$O$66,7,FALSE),4)</f>
        <v>1.7962</v>
      </c>
      <c r="H44" s="21">
        <f>ROUND(VLOOKUP("BHND1SO",'[2]DUOS (t)'!$B$10:$O$66,8,FALSE),4)</f>
        <v>1.9715</v>
      </c>
      <c r="I44" s="21">
        <f>ROUND(VLOOKUP("BHND1SO",'[2]DUOS (t)'!$B$10:$O$66,9,FALSE),4)</f>
        <v>9.5622000000000007</v>
      </c>
      <c r="J44" s="21"/>
      <c r="K44" s="21"/>
      <c r="L44" s="21"/>
      <c r="M44" s="21">
        <f>ROUND(VLOOKUP("BHND1SO",'[2]DUOS (t)'!$B$10:$O$66,13,FALSE),4)</f>
        <v>3.5215999999999998</v>
      </c>
    </row>
  </sheetData>
  <mergeCells count="27">
    <mergeCell ref="K24:L24"/>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 ref="D9:E9"/>
    <mergeCell ref="D12:E12"/>
    <mergeCell ref="D14:E14"/>
    <mergeCell ref="D20:E20"/>
    <mergeCell ref="C37:D37"/>
    <mergeCell ref="D24:E24"/>
    <mergeCell ref="C38:D38"/>
    <mergeCell ref="D31:E31"/>
    <mergeCell ref="D25:E25"/>
    <mergeCell ref="D26:E26"/>
    <mergeCell ref="D28:E28"/>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2:M36 F45:N45 G16:M16 F30:F31 G30:M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S44"/>
  <sheetViews>
    <sheetView showGridLines="0" zoomScale="70" zoomScaleNormal="70" zoomScaleSheetLayoutView="58" workbookViewId="0">
      <selection activeCell="N27" sqref="N27"/>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178</v>
      </c>
      <c r="C2" s="3"/>
      <c r="D2" s="3"/>
      <c r="E2" s="3"/>
      <c r="F2" s="3"/>
      <c r="G2" s="4"/>
      <c r="H2" s="5"/>
      <c r="I2" s="5"/>
      <c r="J2" s="5"/>
      <c r="K2" s="4"/>
      <c r="L2" s="6"/>
      <c r="M2" s="7"/>
    </row>
    <row r="3" spans="1:19" ht="15.75" x14ac:dyDescent="0.25">
      <c r="A3" s="1"/>
      <c r="B3" s="141" t="str">
        <f>'Price List_Excl GST'!B3:F3</f>
        <v>Effective 1 July 2022</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ROUND(VLOOKUP($B9,'[2]TUOS (t)'!$B$10:$O$66,4,FALSE)/365,4)</f>
        <v>0</v>
      </c>
      <c r="G9" s="21">
        <f>ROUND(VLOOKUP($B9,'[2]TUOS (t)'!$B$10:$O$66,5,FALSE),4)</f>
        <v>2.4247000000000001</v>
      </c>
      <c r="H9" s="21"/>
      <c r="I9" s="21"/>
      <c r="J9" s="21"/>
      <c r="K9" s="21"/>
      <c r="L9" s="21"/>
      <c r="M9" s="21"/>
      <c r="N9" s="22"/>
      <c r="O9" s="22"/>
    </row>
    <row r="10" spans="1:19" ht="14.25" customHeight="1" x14ac:dyDescent="0.2">
      <c r="B10" s="19" t="s">
        <v>26</v>
      </c>
      <c r="C10" s="20"/>
      <c r="D10" s="134" t="s">
        <v>42</v>
      </c>
      <c r="E10" s="135"/>
      <c r="F10" s="21">
        <f>ROUND(VLOOKUP($B10,'[2]TUOS (t)'!$B$10:$O$66,4,FALSE)/365,4)</f>
        <v>0</v>
      </c>
      <c r="G10" s="21"/>
      <c r="H10" s="21">
        <f>ROUND(VLOOKUP($B10,'[2]TUOS (t)'!$B$10:$O$66,6,FALSE),4)</f>
        <v>3.7860999999999998</v>
      </c>
      <c r="I10" s="21">
        <f>ROUND(VLOOKUP($B10,'[2]TUOS (t)'!$B$10:$O$66,7,FALSE),4)</f>
        <v>3.0276000000000001</v>
      </c>
      <c r="J10" s="21">
        <f>ROUND(VLOOKUP($B10,'[2]TUOS (t)'!$B$10:$O$66,8,FALSE),4)</f>
        <v>1.7911999999999999</v>
      </c>
      <c r="K10" s="21"/>
      <c r="L10" s="21"/>
      <c r="M10" s="21"/>
      <c r="N10" s="22"/>
      <c r="O10" s="22"/>
      <c r="P10" s="56"/>
      <c r="Q10" s="22"/>
      <c r="R10" s="22"/>
    </row>
    <row r="11" spans="1:19" ht="14.25" customHeight="1" x14ac:dyDescent="0.2">
      <c r="B11" s="19" t="s">
        <v>167</v>
      </c>
      <c r="C11" s="20"/>
      <c r="D11" s="134" t="s">
        <v>168</v>
      </c>
      <c r="E11" s="135"/>
      <c r="F11" s="21">
        <f>ROUND(VLOOKUP($B11,'[2]TUOS (t)'!$B$10:$O$66,4,FALSE)/365,4)</f>
        <v>0</v>
      </c>
      <c r="G11" s="21"/>
      <c r="H11" s="21">
        <f>ROUND(VLOOKUP($B11,'[2]TUOS (t)'!$B$10:$O$66,6,FALSE),4)</f>
        <v>3.7860999999999998</v>
      </c>
      <c r="I11" s="21">
        <f>ROUND(VLOOKUP($B11,'[2]TUOS (t)'!$B$10:$O$66,7,FALSE),4)</f>
        <v>3.0276000000000001</v>
      </c>
      <c r="J11" s="21">
        <f>ROUND(VLOOKUP($B11,'[2]TUOS (t)'!$B$10:$O$66,8,FALSE),4)</f>
        <v>1.7911999999999999</v>
      </c>
      <c r="K11" s="21"/>
      <c r="L11" s="21"/>
      <c r="M11" s="21"/>
      <c r="N11" s="22"/>
      <c r="O11" s="22"/>
      <c r="P11" s="22"/>
      <c r="Q11" s="22"/>
      <c r="R11" s="22"/>
      <c r="S11" s="22"/>
    </row>
    <row r="12" spans="1:19" ht="14.25" customHeight="1" x14ac:dyDescent="0.2">
      <c r="B12" s="19" t="s">
        <v>169</v>
      </c>
      <c r="C12" s="20"/>
      <c r="D12" s="134" t="s">
        <v>183</v>
      </c>
      <c r="E12" s="135"/>
      <c r="F12" s="21">
        <f>ROUND(VLOOKUP($B12,'[2]TUOS (t)'!$B$10:$O$66,4,FALSE)/365,4)</f>
        <v>0</v>
      </c>
      <c r="G12" s="21"/>
      <c r="H12" s="21">
        <f>ROUND(VLOOKUP($B12,'[2]TUOS (t)'!$B$10:$O$66,6,FALSE),4)</f>
        <v>3.7860999999999998</v>
      </c>
      <c r="I12" s="21">
        <f>ROUND(VLOOKUP($B12,'[2]TUOS (t)'!$B$10:$O$66,7,FALSE),4)</f>
        <v>3.0276000000000001</v>
      </c>
      <c r="J12" s="21">
        <f>ROUND(VLOOKUP($B12,'[2]TUOS (t)'!$B$10:$O$66,8,FALSE),4)</f>
        <v>1.7911999999999999</v>
      </c>
      <c r="K12" s="21">
        <f>ROUND(VLOOKUP($B12,'[2]TUOS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ROUND(VLOOKUP($B14,'[2]TUOS (t)'!$B$10:$O$66,4,FALSE)/365,4)</f>
        <v>0</v>
      </c>
      <c r="G14" s="21">
        <f>ROUND(VLOOKUP($B14,'[2]TUOS (t)'!$B$10:$O$66,5,FALSE),4)</f>
        <v>1.7911999999999999</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ROUND(VLOOKUP($B15,'[2]TUOS (t)'!$B$10:$O$66,4,FALSE)/365,4)</f>
        <v>0</v>
      </c>
      <c r="G15" s="21">
        <f>ROUND(VLOOKUP($B15,'[2]TUOS (t)'!$B$10:$O$66,5,FALSE),4)</f>
        <v>2.3104</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ROUND(VLOOKUP($B17,'[2]TUOS (t)'!$B$10:$O$66,4,FALSE)/365,4)</f>
        <v>0</v>
      </c>
      <c r="G17" s="21">
        <f>ROUND(VLOOKUP($B17,'[2]TUOS (t)'!$B$10:$O$66,5,FALSE),4)</f>
        <v>2.4247000000000001</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ROUND(VLOOKUP($B18,'[2]TUOS (t)'!$B$10:$O$66,4,FALSE)/365,4)</f>
        <v>0</v>
      </c>
      <c r="G18" s="21"/>
      <c r="H18" s="21">
        <f>ROUND(VLOOKUP($B18,'[2]TUOS (t)'!$B$10:$O$66,6,FALSE),4)</f>
        <v>3.7860999999999998</v>
      </c>
      <c r="I18" s="21">
        <f>ROUND(VLOOKUP($B18,'[2]TUOS (t)'!$B$10:$O$66,7,FALSE),4)</f>
        <v>3.0276000000000001</v>
      </c>
      <c r="J18" s="21">
        <f>ROUND(VLOOKUP($B18,'[2]TUOS (t)'!$B$10:$O$66,8,FALSE),4)</f>
        <v>1.7911999999999999</v>
      </c>
      <c r="K18" s="21"/>
      <c r="L18" s="21"/>
      <c r="M18" s="21"/>
      <c r="N18" s="22"/>
      <c r="O18" s="22"/>
    </row>
    <row r="19" spans="2:19" ht="14.25" customHeight="1" x14ac:dyDescent="0.2">
      <c r="B19" s="19" t="s">
        <v>171</v>
      </c>
      <c r="C19" s="20"/>
      <c r="D19" s="134" t="s">
        <v>172</v>
      </c>
      <c r="E19" s="135"/>
      <c r="F19" s="21">
        <f>ROUND(VLOOKUP($B19,'[2]TUOS (t)'!$B$10:$O$66,4,FALSE)/365,4)</f>
        <v>0</v>
      </c>
      <c r="G19" s="21"/>
      <c r="H19" s="21">
        <f>ROUND(VLOOKUP($B19,'[2]TUOS (t)'!$B$10:$O$66,6,FALSE),4)</f>
        <v>3.7860999999999998</v>
      </c>
      <c r="I19" s="21">
        <f>ROUND(VLOOKUP($B19,'[2]TUOS (t)'!$B$10:$O$66,7,FALSE),4)</f>
        <v>3.0276000000000001</v>
      </c>
      <c r="J19" s="21">
        <f>ROUND(VLOOKUP($B19,'[2]TUOS (t)'!$B$10:$O$66,8,FALSE),4)</f>
        <v>1.7911999999999999</v>
      </c>
      <c r="K19" s="21"/>
      <c r="L19" s="21"/>
      <c r="M19" s="21"/>
      <c r="N19" s="22"/>
      <c r="O19" s="22"/>
    </row>
    <row r="20" spans="2:19" ht="14.25" customHeight="1" x14ac:dyDescent="0.2">
      <c r="B20" s="19" t="s">
        <v>173</v>
      </c>
      <c r="C20" s="20"/>
      <c r="D20" s="134" t="s">
        <v>184</v>
      </c>
      <c r="E20" s="135"/>
      <c r="F20" s="21">
        <f>ROUND(VLOOKUP($B20,'[2]TUOS (t)'!$B$10:$O$66,4,FALSE)/365,4)</f>
        <v>0</v>
      </c>
      <c r="G20" s="21"/>
      <c r="H20" s="21">
        <f>ROUND(VLOOKUP($B20,'[2]TUOS (t)'!$B$10:$O$66,6,FALSE),4)</f>
        <v>3.7860999999999998</v>
      </c>
      <c r="I20" s="21">
        <f>ROUND(VLOOKUP($B20,'[2]TUOS (t)'!$B$10:$O$66,7,FALSE),4)</f>
        <v>3.0276000000000001</v>
      </c>
      <c r="J20" s="21">
        <f>ROUND(VLOOKUP($B20,'[2]TUOS (t)'!$B$10:$O$66,8,FALSE),4)</f>
        <v>1.7911999999999999</v>
      </c>
      <c r="K20" s="21">
        <f>ROUND(VLOOKUP($B20,'[2]TUOS (t)'!$B$10:$O$66,10,FALSE),4)</f>
        <v>0</v>
      </c>
      <c r="L20" s="127"/>
      <c r="M20" s="21"/>
      <c r="N20" s="22"/>
      <c r="O20" s="22"/>
    </row>
    <row r="21" spans="2:19" ht="14.25" customHeight="1" x14ac:dyDescent="0.2">
      <c r="B21" s="19" t="s">
        <v>31</v>
      </c>
      <c r="C21" s="20" t="s">
        <v>170</v>
      </c>
      <c r="D21" s="134" t="s">
        <v>116</v>
      </c>
      <c r="E21" s="135"/>
      <c r="F21" s="21">
        <f>ROUND(VLOOKUP($B21,'[2]TUOS (t)'!$B$10:$O$66,4,FALSE)/365,4)</f>
        <v>0</v>
      </c>
      <c r="G21" s="21"/>
      <c r="H21" s="21">
        <f>ROUND(VLOOKUP($B21,'[2]TUOS (t)'!$B$10:$O$66,6,FALSE),4)</f>
        <v>3.7860999999999998</v>
      </c>
      <c r="I21" s="21">
        <f>ROUND(VLOOKUP($B21,'[2]TUOS (t)'!$B$10:$O$66,7,FALSE),4)</f>
        <v>3.0276000000000001</v>
      </c>
      <c r="J21" s="21">
        <f>ROUND(VLOOKUP($B21,'[2]TUOS (t)'!$B$10:$O$66,8,FALSE),4)</f>
        <v>1.7911999999999999</v>
      </c>
      <c r="K21" s="21"/>
      <c r="L21" s="21"/>
      <c r="M21" s="21"/>
      <c r="N21" s="22"/>
      <c r="O21" s="22"/>
    </row>
    <row r="22" spans="2:19" ht="14.25" customHeight="1" x14ac:dyDescent="0.2">
      <c r="B22" s="19" t="s">
        <v>175</v>
      </c>
      <c r="C22" s="20"/>
      <c r="D22" s="134" t="s">
        <v>176</v>
      </c>
      <c r="E22" s="135"/>
      <c r="F22" s="21">
        <f>ROUND(VLOOKUP($B22,'[2]TUOS (t)'!$B$10:$O$66,4,FALSE)/365,4)</f>
        <v>0</v>
      </c>
      <c r="G22" s="21"/>
      <c r="H22" s="21">
        <f>ROUND(VLOOKUP($B22,'[2]TUOS (t)'!$B$10:$O$66,6,FALSE),4)</f>
        <v>3.3561999999999999</v>
      </c>
      <c r="I22" s="21">
        <f>ROUND(VLOOKUP($B22,'[2]TUOS (t)'!$B$10:$O$66,7,FALSE),4)</f>
        <v>2.6839</v>
      </c>
      <c r="J22" s="21">
        <f>ROUND(VLOOKUP($B22,'[2]TUOS (t)'!$B$10:$O$66,8,FALSE),4)</f>
        <v>1.7413000000000001</v>
      </c>
      <c r="K22" s="21">
        <f>ROUND(VLOOKUP($B22,'[2]TUOS (t)'!$B$10:$O$66,10,FALSE),4)</f>
        <v>0</v>
      </c>
      <c r="L22" s="21">
        <f>ROUND(VLOOKUP($B22,'[2]TUOS (t)'!$B$10:$O$66,11,FALSE),4)</f>
        <v>0</v>
      </c>
      <c r="M22" s="21">
        <f>ROUND(VLOOKUP($B22,'[2]TUOS (t)'!$B$10:$O$66,12,FALSE),4)</f>
        <v>0</v>
      </c>
      <c r="N22" s="22"/>
      <c r="O22" s="22"/>
    </row>
    <row r="23" spans="2:19" ht="14.25" customHeight="1" x14ac:dyDescent="0.2">
      <c r="B23" s="19" t="s">
        <v>32</v>
      </c>
      <c r="C23" s="20"/>
      <c r="D23" s="134" t="s">
        <v>47</v>
      </c>
      <c r="E23" s="135"/>
      <c r="F23" s="21">
        <f>ROUND(VLOOKUP($B23,'[2]TUOS (t)'!$B$10:$O$66,4,FALSE)/365,4)</f>
        <v>0</v>
      </c>
      <c r="G23" s="21"/>
      <c r="H23" s="21">
        <f>ROUND(VLOOKUP($B23,'[2]TUOS (t)'!$B$10:$O$66,6,FALSE),4)</f>
        <v>3.3561999999999999</v>
      </c>
      <c r="I23" s="21">
        <f>ROUND(VLOOKUP($B23,'[2]TUOS (t)'!$B$10:$O$66,7,FALSE),4)</f>
        <v>2.6839</v>
      </c>
      <c r="J23" s="21">
        <f>ROUND(VLOOKUP($B23,'[2]TUOS (t)'!$B$10:$O$66,8,FALSE),4)</f>
        <v>1.7413000000000001</v>
      </c>
      <c r="K23" s="21">
        <f>ROUND(VLOOKUP($B23,'[2]TUOS (t)'!$B$10:$O$66,10,FALSE),4)</f>
        <v>0</v>
      </c>
      <c r="L23" s="21">
        <f>ROUND(VLOOKUP($B23,'[2]TUOS (t)'!$B$10:$O$66,11,FALSE),4)</f>
        <v>0</v>
      </c>
      <c r="M23" s="21">
        <f>ROUND(VLOOKUP($B23,'[2]TUOS (t)'!$B$10:$O$66,12,FALSE),4)</f>
        <v>0</v>
      </c>
      <c r="N23" s="22"/>
      <c r="O23" s="97"/>
    </row>
    <row r="24" spans="2:19" ht="14.25" customHeight="1" x14ac:dyDescent="0.2">
      <c r="B24" s="19" t="s">
        <v>61</v>
      </c>
      <c r="C24" s="20"/>
      <c r="D24" s="134" t="s">
        <v>74</v>
      </c>
      <c r="E24" s="135"/>
      <c r="F24" s="21">
        <f>ROUND(VLOOKUP($B24,'[2]TUOS (t)'!$B$10:$O$66,4,FALSE)/365,4)</f>
        <v>0</v>
      </c>
      <c r="G24" s="21"/>
      <c r="H24" s="21">
        <f>ROUND(VLOOKUP($B24,'[2]TUOS (t)'!$B$10:$O$66,6,FALSE),4)</f>
        <v>3.3561999999999999</v>
      </c>
      <c r="I24" s="21">
        <f>ROUND(VLOOKUP($B24,'[2]TUOS (t)'!$B$10:$O$66,7,FALSE),4)</f>
        <v>2.6839</v>
      </c>
      <c r="J24" s="21">
        <f>ROUND(VLOOKUP($B24,'[2]TUOS (t)'!$B$10:$O$66,8,FALSE),4)</f>
        <v>1.7413000000000001</v>
      </c>
      <c r="K24" s="129">
        <f>ROUND(VLOOKUP($B24,'[2]TUOS (t)'!$B$10:$O$66,10,FALSE),4)</f>
        <v>0</v>
      </c>
      <c r="L24" s="130"/>
      <c r="M24" s="21"/>
      <c r="N24" s="22"/>
      <c r="O24" s="22"/>
    </row>
    <row r="25" spans="2:19" ht="14.25" customHeight="1" x14ac:dyDescent="0.2">
      <c r="B25" s="19" t="s">
        <v>34</v>
      </c>
      <c r="C25" s="20"/>
      <c r="D25" s="134" t="s">
        <v>41</v>
      </c>
      <c r="E25" s="135"/>
      <c r="F25" s="21">
        <f>ROUND(VLOOKUP($B25,'[2]TUOS (t)'!$B$10:$O$66,4,FALSE)/365,4)</f>
        <v>0</v>
      </c>
      <c r="G25" s="21"/>
      <c r="H25" s="21">
        <f>ROUND(VLOOKUP($B25,'[2]TUOS (t)'!$B$10:$O$66,6,FALSE),4)</f>
        <v>2.3542000000000001</v>
      </c>
      <c r="I25" s="21">
        <f>ROUND(VLOOKUP($B25,'[2]TUOS (t)'!$B$10:$O$66,7,FALSE),4)</f>
        <v>1.8826000000000001</v>
      </c>
      <c r="J25" s="21">
        <f>ROUND(VLOOKUP($B25,'[2]TUOS (t)'!$B$10:$O$66,8,FALSE),4)</f>
        <v>1.5542</v>
      </c>
      <c r="K25" s="21">
        <f>ROUND(VLOOKUP($B25,'[2]TUOS (t)'!$B$10:$O$66,10,FALSE),4)</f>
        <v>0</v>
      </c>
      <c r="L25" s="21">
        <f>ROUND(VLOOKUP($B25,'[2]TUOS (t)'!$B$10:$O$66,11,FALSE),4)</f>
        <v>0</v>
      </c>
      <c r="M25" s="21">
        <f>ROUND(VLOOKUP($B25,'[2]TUOS (t)'!$B$10:$O$66,12,FALSE),4)</f>
        <v>0</v>
      </c>
      <c r="N25" s="22"/>
      <c r="O25" s="22"/>
    </row>
    <row r="26" spans="2:19" ht="14.25" customHeight="1" x14ac:dyDescent="0.2">
      <c r="B26" s="19" t="s">
        <v>23</v>
      </c>
      <c r="C26" s="20"/>
      <c r="D26" s="143" t="s">
        <v>38</v>
      </c>
      <c r="E26" s="144"/>
      <c r="F26" s="21">
        <f>ROUND(VLOOKUP($B26,'[2]TUOS (t)'!$B$10:$O$66,4,FALSE)/365,4)</f>
        <v>0</v>
      </c>
      <c r="G26" s="21"/>
      <c r="H26" s="21">
        <f>ROUND(VLOOKUP($B26,'[2]TUOS (t)'!$B$10:$O$66,6,FALSE),4)</f>
        <v>4.1782000000000004</v>
      </c>
      <c r="I26" s="21">
        <f>ROUND(VLOOKUP($B26,'[2]TUOS (t)'!$B$10:$O$66,7,FALSE),4)</f>
        <v>2.4302999999999999</v>
      </c>
      <c r="J26" s="21">
        <f>ROUND(VLOOKUP($B26,'[2]TUOS (t)'!$B$10:$O$66,8,FALSE),4)</f>
        <v>1.9809000000000001</v>
      </c>
      <c r="K26" s="21">
        <f>ROUND(VLOOKUP($B26,'[2]TUOS (t)'!$B$10:$O$66,10,FALSE),4)</f>
        <v>0</v>
      </c>
      <c r="L26" s="21">
        <f>ROUND(VLOOKUP($B26,'[2]TUOS (t)'!$B$10:$O$66,11,FALSE),4)</f>
        <v>0</v>
      </c>
      <c r="M26" s="21">
        <f>ROUND(VLOOKUP($B26,'[2]TUOS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ROUND(VLOOKUP($B28,'[2]TUOS (t)'!$B$10:$O$80,4,FALSE)/365,4)</f>
        <v>0</v>
      </c>
      <c r="G28" s="21">
        <f>ROUND(VLOOKUP($B28,'[2]TUOS (t)'!$B$10:$O$80,5,FALSE),4)</f>
        <v>2.4247000000000001</v>
      </c>
      <c r="H28" s="21"/>
      <c r="I28" s="21"/>
      <c r="J28" s="21"/>
      <c r="K28" s="21"/>
      <c r="L28" s="21"/>
      <c r="M28" s="21"/>
    </row>
    <row r="29" spans="2:19" ht="14.25" customHeight="1" x14ac:dyDescent="0.2">
      <c r="B29" s="19" t="s">
        <v>37</v>
      </c>
      <c r="C29" s="20"/>
      <c r="D29" s="134" t="s">
        <v>110</v>
      </c>
      <c r="E29" s="135"/>
      <c r="F29" s="21">
        <f>ROUND(VLOOKUP($B29,'[2]TUOS (t)'!$B$10:$O$80,4,FALSE)/365,4)</f>
        <v>0</v>
      </c>
      <c r="G29" s="21"/>
      <c r="H29" s="21">
        <f>ROUND(VLOOKUP($B29,'[2]TUOS (t)'!$B$10:$O$80,6,FALSE),4)</f>
        <v>3.7860999999999998</v>
      </c>
      <c r="I29" s="21">
        <f>ROUND(VLOOKUP($B29,'[2]TUOS (t)'!$B$10:$O$80,7,FALSE),4)</f>
        <v>3.0276000000000001</v>
      </c>
      <c r="J29" s="21">
        <f>ROUND(VLOOKUP($B29,'[2]TUOS (t)'!$B$10:$O$80,8,FALSE),4)</f>
        <v>1.7911999999999999</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6" t="s">
        <v>58</v>
      </c>
      <c r="D37" s="167"/>
      <c r="E37" s="21">
        <f>ROUND(VLOOKUP($B37,'[2]TUOS (t)'!$B$10:$O$66,4,FALSE)/365,4)</f>
        <v>0</v>
      </c>
      <c r="F37" s="21">
        <f>ROUND(VLOOKUP($B37,'[2]TUOS (t)'!$B$10:$O$66,6,FALSE),4)</f>
        <v>3.3561999999999999</v>
      </c>
      <c r="G37" s="21">
        <f>ROUND(VLOOKUP($B37,'[2]TUOS (t)'!$B$10:$O$66,7,FALSE),4)</f>
        <v>2.6839</v>
      </c>
      <c r="H37" s="21">
        <f>ROUND(VLOOKUP($B37,'[2]TUOS (t)'!$B$10:$O$66,8,FALSE),4)</f>
        <v>1.7413000000000001</v>
      </c>
      <c r="I37" s="21"/>
      <c r="J37" s="21">
        <f>ROUND(VLOOKUP($B37,'[2]TUOS (t)'!$B$10:$O$66,10,FALSE),4)</f>
        <v>0</v>
      </c>
      <c r="K37" s="21">
        <f>ROUND(VLOOKUP($B37,'[2]TUOS (t)'!$B$10:$O$66,11,FALSE),4)</f>
        <v>0</v>
      </c>
      <c r="L37" s="21">
        <f>ROUND(VLOOKUP($B37,'[2]TUOS (t)'!$B$10:$O$66,12,FALSE),4)</f>
        <v>0</v>
      </c>
      <c r="M37" s="21"/>
      <c r="N37" s="22"/>
      <c r="O37" s="22"/>
    </row>
    <row r="38" spans="1:15" s="43" customFormat="1" ht="14.25" customHeight="1" x14ac:dyDescent="0.2">
      <c r="A38" s="42"/>
      <c r="B38" s="19" t="s">
        <v>35</v>
      </c>
      <c r="C38" s="164" t="s">
        <v>59</v>
      </c>
      <c r="D38" s="165"/>
      <c r="E38" s="21">
        <f>ROUND(VLOOKUP($B38,'[2]TUOS (t)'!$B$10:$O$66,4,FALSE)/365,4)</f>
        <v>0</v>
      </c>
      <c r="F38" s="21">
        <f>ROUND(VLOOKUP($B38,'[2]TUOS (t)'!$B$10:$O$66,6,FALSE),4)</f>
        <v>2.3542000000000001</v>
      </c>
      <c r="G38" s="21">
        <f>ROUND(VLOOKUP($B38,'[2]TUOS (t)'!$B$10:$O$66,7,FALSE),4)</f>
        <v>1.8826000000000001</v>
      </c>
      <c r="H38" s="21">
        <f>ROUND(VLOOKUP($B38,'[2]TUOS (t)'!$B$10:$O$66,8,FALSE),4)</f>
        <v>1.5542</v>
      </c>
      <c r="I38" s="21"/>
      <c r="J38" s="21">
        <f>ROUND(VLOOKUP($B38,'[2]TUOS (t)'!$B$10:$O$66,10,FALSE),4)</f>
        <v>0</v>
      </c>
      <c r="K38" s="21">
        <f>ROUND(VLOOKUP($B38,'[2]TUOS (t)'!$B$10:$O$66,11,FALSE),4)</f>
        <v>0</v>
      </c>
      <c r="L38" s="21">
        <f>ROUND(VLOOKUP($B38,'[2]TUOS (t)'!$B$10:$O$66,12,FALSE),4)</f>
        <v>0</v>
      </c>
      <c r="M38" s="21"/>
      <c r="N38" s="22"/>
      <c r="O38" s="22"/>
    </row>
    <row r="39" spans="1:15" x14ac:dyDescent="0.2">
      <c r="B39" s="19" t="s">
        <v>170</v>
      </c>
      <c r="C39" s="33" t="s">
        <v>200</v>
      </c>
      <c r="D39" s="101"/>
      <c r="E39" s="21">
        <f>ROUND(VLOOKUP("BLND1CO",'[2]TUOS (t)'!$B$10:$O$66,4,FALSE)/365,4)</f>
        <v>0</v>
      </c>
      <c r="F39" s="21">
        <f>ROUND(VLOOKUP($B39,'[2]TUOS (t)'!$B$10:$O$66,6,FALSE),4)</f>
        <v>3.7860999999999998</v>
      </c>
      <c r="G39" s="21">
        <f>ROUND(VLOOKUP($B39,'[2]TUOS (t)'!$B$10:$O$66,7,FALSE),4)</f>
        <v>3.0276000000000001</v>
      </c>
      <c r="H39" s="21">
        <f>ROUND(VLOOKUP($B39,'[2]TUOS (t)'!$B$10:$O$66,8,FALSE),4)</f>
        <v>1.7911999999999999</v>
      </c>
      <c r="I39" s="21">
        <f>ROUND(VLOOKUP("BLND1CO",'[2]TUOS (t)'!$B$10:$O$66,9,FALSE),4)</f>
        <v>0</v>
      </c>
      <c r="J39" s="21"/>
      <c r="K39" s="21"/>
      <c r="L39" s="21"/>
      <c r="M39" s="21"/>
    </row>
    <row r="40" spans="1:15" ht="28.5" x14ac:dyDescent="0.2">
      <c r="B40" s="20" t="s">
        <v>81</v>
      </c>
      <c r="C40" s="33" t="s">
        <v>48</v>
      </c>
      <c r="D40" s="101"/>
      <c r="E40" s="21">
        <f>ROUND(VLOOKUP("BLND1CO",'[2]TUOS (t)'!$B$10:$O$66,4,FALSE)/365,4)</f>
        <v>0</v>
      </c>
      <c r="F40" s="21">
        <f>ROUND(VLOOKUP("BLND1CO",'[2]TUOS (t)'!$B$10:$O$66,6,FALSE),4)</f>
        <v>4.1430999999999996</v>
      </c>
      <c r="G40" s="21">
        <f>ROUND(VLOOKUP("BLND1CO",'[2]TUOS (t)'!$B$10:$O$66,7,FALSE),4)</f>
        <v>3.3130999999999999</v>
      </c>
      <c r="H40" s="21">
        <f>ROUND(VLOOKUP("BLND1CO",'[2]TUOS (t)'!$B$10:$O$66,8,FALSE),4)</f>
        <v>2.0444</v>
      </c>
      <c r="I40" s="21">
        <f>ROUND(VLOOKUP("BLND1CO",'[2]TUOS (t)'!$B$10:$O$66,9,FALSE),4)</f>
        <v>0</v>
      </c>
      <c r="J40" s="21"/>
      <c r="K40" s="21"/>
      <c r="L40" s="21"/>
      <c r="M40" s="21"/>
    </row>
    <row r="41" spans="1:15" x14ac:dyDescent="0.2">
      <c r="B41" s="19" t="s">
        <v>20</v>
      </c>
      <c r="C41" s="33" t="s">
        <v>55</v>
      </c>
      <c r="D41" s="101"/>
      <c r="E41" s="21">
        <f>ROUND(VLOOKUP($B41,'[2]TUOS (t)'!$B$10:$O$66,4,FALSE)/365,4)</f>
        <v>0</v>
      </c>
      <c r="F41" s="21">
        <f>ROUND(VLOOKUP($B41,'[2]TUOS (t)'!$B$10:$O$66,6,FALSE),4)</f>
        <v>5.1098999999999997</v>
      </c>
      <c r="G41" s="21">
        <f>ROUND(VLOOKUP($B41,'[2]TUOS (t)'!$B$10:$O$66,7,FALSE),4)</f>
        <v>4.0862999999999996</v>
      </c>
      <c r="H41" s="21">
        <f>ROUND(VLOOKUP($B41,'[2]TUOS (t)'!$B$10:$O$66,8,FALSE),4)</f>
        <v>2.1030000000000002</v>
      </c>
      <c r="I41" s="21">
        <f>ROUND(VLOOKUP($B41,'[2]TUOS (t)'!$B$10:$O$66,9,FALSE),4)</f>
        <v>0</v>
      </c>
      <c r="J41" s="21"/>
      <c r="K41" s="21"/>
      <c r="L41" s="21"/>
      <c r="M41" s="21">
        <f>ROUND(VLOOKUP($B41,'[2]TUOS (t)'!$B$10:$O$66,13,FALSE),4)</f>
        <v>0</v>
      </c>
    </row>
    <row r="42" spans="1:15" x14ac:dyDescent="0.2">
      <c r="B42" s="19" t="s">
        <v>21</v>
      </c>
      <c r="C42" s="33" t="s">
        <v>54</v>
      </c>
      <c r="D42" s="101"/>
      <c r="E42" s="21">
        <f>ROUND(VLOOKUP($B42,'[2]TUOS (t)'!$B$10:$O$66,4,FALSE)/365,4)</f>
        <v>0</v>
      </c>
      <c r="F42" s="21">
        <f>ROUND(VLOOKUP($B42,'[2]TUOS (t)'!$B$10:$O$66,6,FALSE),4)</f>
        <v>5.1098999999999997</v>
      </c>
      <c r="G42" s="21">
        <f>ROUND(VLOOKUP($B42,'[2]TUOS (t)'!$B$10:$O$66,7,FALSE),4)</f>
        <v>4.0862999999999996</v>
      </c>
      <c r="H42" s="21">
        <f>ROUND(VLOOKUP($B42,'[2]TUOS (t)'!$B$10:$O$66,8,FALSE),4)</f>
        <v>2.1030000000000002</v>
      </c>
      <c r="I42" s="21">
        <f>ROUND(VLOOKUP($B42,'[2]TUOS (t)'!$B$10:$O$66,9,FALSE),4)</f>
        <v>0</v>
      </c>
      <c r="J42" s="21"/>
      <c r="K42" s="21"/>
      <c r="L42" s="21"/>
      <c r="M42" s="21">
        <f>ROUND(VLOOKUP($B42,'[2]TUOS (t)'!$B$10:$O$66,13,FALSE),4)</f>
        <v>0</v>
      </c>
    </row>
    <row r="43" spans="1:15" s="46" customFormat="1" x14ac:dyDescent="0.2">
      <c r="A43" s="45"/>
      <c r="B43" s="19" t="s">
        <v>22</v>
      </c>
      <c r="C43" s="33" t="s">
        <v>56</v>
      </c>
      <c r="D43" s="102"/>
      <c r="E43" s="21">
        <f>ROUND(VLOOKUP($B43,'[2]TUOS (t)'!$B$10:$O$66,4,FALSE)/365,4)</f>
        <v>0</v>
      </c>
      <c r="F43" s="21">
        <f>ROUND(VLOOKUP($B43,'[2]TUOS (t)'!$B$10:$O$66,6,FALSE),4)</f>
        <v>4.1596000000000002</v>
      </c>
      <c r="G43" s="21">
        <f>ROUND(VLOOKUP($B43,'[2]TUOS (t)'!$B$10:$O$66,7,FALSE),4)</f>
        <v>4.1596000000000002</v>
      </c>
      <c r="H43" s="21">
        <f>ROUND(VLOOKUP($B43,'[2]TUOS (t)'!$B$10:$O$66,8,FALSE),4)</f>
        <v>1.9926999999999999</v>
      </c>
      <c r="I43" s="21">
        <f>ROUND(VLOOKUP($B43,'[2]TUOS (t)'!$B$10:$O$66,9,FALSE),4)</f>
        <v>0</v>
      </c>
      <c r="J43" s="21"/>
      <c r="K43" s="21"/>
      <c r="L43" s="21"/>
      <c r="M43" s="21"/>
    </row>
    <row r="44" spans="1:15" ht="28.5" x14ac:dyDescent="0.2">
      <c r="B44" s="20" t="s">
        <v>80</v>
      </c>
      <c r="C44" s="33" t="s">
        <v>57</v>
      </c>
      <c r="D44" s="101"/>
      <c r="E44" s="21">
        <f>ROUND(VLOOKUP("BHND1SO",'[2]TUOS (t)'!$B$10:$O$66,4,FALSE)/365,4)</f>
        <v>0</v>
      </c>
      <c r="F44" s="21">
        <f>ROUND(VLOOKUP("BHND1SO",'[2]TUOS (t)'!$B$10:$O$66,6,FALSE),4)</f>
        <v>4.1596000000000002</v>
      </c>
      <c r="G44" s="21">
        <f>ROUND(VLOOKUP("BHND1SO",'[2]TUOS (t)'!$B$10:$O$66,7,FALSE),4)</f>
        <v>4.1596000000000002</v>
      </c>
      <c r="H44" s="21">
        <f>ROUND(VLOOKUP("BHND1SO",'[2]TUOS (t)'!$B$10:$O$66,8,FALSE),4)</f>
        <v>1.9926999999999999</v>
      </c>
      <c r="I44" s="21">
        <f>ROUND(VLOOKUP("BHND1SO",'[2]TUOS (t)'!$B$10:$O$66,9,FALSE),4)</f>
        <v>0</v>
      </c>
      <c r="J44" s="21"/>
      <c r="K44" s="21"/>
      <c r="L44" s="21"/>
      <c r="M44" s="21">
        <f>ROUND(VLOOKUP("BHND1SO",'[2]TUOS (t)'!$B$10:$O$66,13,FALSE),4)</f>
        <v>0</v>
      </c>
    </row>
  </sheetData>
  <mergeCells count="27">
    <mergeCell ref="B3:F3"/>
    <mergeCell ref="I3:J3"/>
    <mergeCell ref="B5:B7"/>
    <mergeCell ref="C5:C7"/>
    <mergeCell ref="K24:L24"/>
    <mergeCell ref="D19:E19"/>
    <mergeCell ref="D20:E20"/>
    <mergeCell ref="D21:E21"/>
    <mergeCell ref="D22:E22"/>
    <mergeCell ref="D23:E23"/>
    <mergeCell ref="D5:E7"/>
    <mergeCell ref="D11:E11"/>
    <mergeCell ref="D14:E14"/>
    <mergeCell ref="D18:E18"/>
    <mergeCell ref="D9:E9"/>
    <mergeCell ref="C38:D38"/>
    <mergeCell ref="D10:E10"/>
    <mergeCell ref="D12:E12"/>
    <mergeCell ref="D15:E15"/>
    <mergeCell ref="D17:E17"/>
    <mergeCell ref="C37:D37"/>
    <mergeCell ref="D28:E28"/>
    <mergeCell ref="D29:E29"/>
    <mergeCell ref="D31:E31"/>
    <mergeCell ref="D24:E24"/>
    <mergeCell ref="D25:E25"/>
    <mergeCell ref="D26:E26"/>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S44"/>
  <sheetViews>
    <sheetView showGridLines="0" zoomScale="70" zoomScaleNormal="70" zoomScaleSheetLayoutView="58" workbookViewId="0">
      <selection activeCell="H39" sqref="H39"/>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179</v>
      </c>
      <c r="C2" s="3"/>
      <c r="D2" s="3"/>
      <c r="E2" s="3"/>
      <c r="F2" s="3"/>
      <c r="G2" s="4"/>
      <c r="H2" s="5"/>
      <c r="I2" s="5"/>
      <c r="J2" s="5"/>
      <c r="K2" s="4"/>
      <c r="L2" s="6"/>
      <c r="M2" s="7"/>
    </row>
    <row r="3" spans="1:19" ht="15.75" x14ac:dyDescent="0.25">
      <c r="A3" s="1"/>
      <c r="B3" s="141" t="str">
        <f>'Price List_Excl GST'!B3:F3</f>
        <v>Effective 1 July 2022</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ROUND(VLOOKUP($B9,'[2]CCF (t)'!$B$10:$O$66,4,FALSE)/365,4)</f>
        <v>0</v>
      </c>
      <c r="G9" s="21">
        <f>ROUND(VLOOKUP($B9,'[2]CCF (t)'!$B$10:$O$66,5,FALSE),4)</f>
        <v>0.34439999999999998</v>
      </c>
      <c r="H9" s="21"/>
      <c r="I9" s="21"/>
      <c r="J9" s="21"/>
      <c r="K9" s="21"/>
      <c r="L9" s="21"/>
      <c r="M9" s="21"/>
      <c r="N9" s="22"/>
      <c r="O9" s="22"/>
    </row>
    <row r="10" spans="1:19" ht="14.25" customHeight="1" x14ac:dyDescent="0.2">
      <c r="B10" s="19" t="s">
        <v>26</v>
      </c>
      <c r="C10" s="20"/>
      <c r="D10" s="134" t="s">
        <v>42</v>
      </c>
      <c r="E10" s="135"/>
      <c r="F10" s="21">
        <f>ROUND(VLOOKUP($B10,'[2]CCF (t)'!$B$10:$O$66,4,FALSE)/365,4)</f>
        <v>0</v>
      </c>
      <c r="G10" s="21"/>
      <c r="H10" s="21">
        <f>ROUND(VLOOKUP($B10,'[2]CCF (t)'!$B$10:$O$66,6,FALSE),4)</f>
        <v>0.34439999999999998</v>
      </c>
      <c r="I10" s="21">
        <f>ROUND(VLOOKUP($B10,'[2]CCF (t)'!$B$10:$O$66,7,FALSE),4)</f>
        <v>0.34439999999999998</v>
      </c>
      <c r="J10" s="21">
        <f>ROUND(VLOOKUP($B10,'[2]CCF (t)'!$B$10:$O$66,8,FALSE),4)</f>
        <v>0.34439999999999998</v>
      </c>
      <c r="K10" s="21"/>
      <c r="L10" s="21"/>
      <c r="M10" s="21"/>
      <c r="N10" s="22"/>
      <c r="O10" s="22"/>
      <c r="P10" s="56"/>
      <c r="Q10" s="22"/>
      <c r="R10" s="22"/>
    </row>
    <row r="11" spans="1:19" ht="14.25" customHeight="1" x14ac:dyDescent="0.2">
      <c r="B11" s="19" t="s">
        <v>167</v>
      </c>
      <c r="C11" s="20"/>
      <c r="D11" s="134" t="s">
        <v>168</v>
      </c>
      <c r="E11" s="135"/>
      <c r="F11" s="21">
        <f>ROUND(VLOOKUP($B11,'[2]CCF (t)'!$B$10:$O$66,4,FALSE)/365,4)</f>
        <v>0</v>
      </c>
      <c r="G11" s="21"/>
      <c r="H11" s="21">
        <f>ROUND(VLOOKUP($B11,'[2]CCF (t)'!$B$10:$O$66,6,FALSE),4)</f>
        <v>0.34439999999999998</v>
      </c>
      <c r="I11" s="21">
        <f>ROUND(VLOOKUP($B11,'[2]CCF (t)'!$B$10:$O$66,7,FALSE),4)</f>
        <v>0.34439999999999998</v>
      </c>
      <c r="J11" s="21">
        <f>ROUND(VLOOKUP($B11,'[2]CCF (t)'!$B$10:$O$66,8,FALSE),4)</f>
        <v>0.34439999999999998</v>
      </c>
      <c r="K11" s="21"/>
      <c r="L11" s="21"/>
      <c r="M11" s="21"/>
      <c r="N11" s="22"/>
      <c r="O11" s="22"/>
      <c r="P11" s="22"/>
      <c r="Q11" s="22"/>
      <c r="R11" s="22"/>
      <c r="S11" s="22"/>
    </row>
    <row r="12" spans="1:19" ht="14.25" customHeight="1" x14ac:dyDescent="0.2">
      <c r="B12" s="19" t="s">
        <v>169</v>
      </c>
      <c r="C12" s="20"/>
      <c r="D12" s="134" t="s">
        <v>183</v>
      </c>
      <c r="E12" s="135"/>
      <c r="F12" s="21">
        <f>ROUND(VLOOKUP($B12,'[2]CCF (t)'!$B$10:$O$66,4,FALSE)/365,4)</f>
        <v>0</v>
      </c>
      <c r="G12" s="21"/>
      <c r="H12" s="21">
        <f>ROUND(VLOOKUP($B12,'[2]CCF (t)'!$B$10:$O$66,6,FALSE),4)</f>
        <v>0.34439999999999998</v>
      </c>
      <c r="I12" s="21">
        <f>ROUND(VLOOKUP($B12,'[2]CCF (t)'!$B$10:$O$66,7,FALSE),4)</f>
        <v>0.34439999999999998</v>
      </c>
      <c r="J12" s="21">
        <f>ROUND(VLOOKUP($B12,'[2]CCF (t)'!$B$10:$O$66,8,FALSE),4)</f>
        <v>0.34439999999999998</v>
      </c>
      <c r="K12" s="21">
        <f>ROUND(VLOOKUP($B12,'[2]CCF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ROUND(VLOOKUP($B14,'[2]CCF (t)'!$B$10:$O$66,4,FALSE)/365,4)</f>
        <v>0</v>
      </c>
      <c r="G14" s="21">
        <f>ROUND(VLOOKUP($B14,'[2]CCF (t)'!$B$10:$O$66,5,FALSE),4)</f>
        <v>0.34439999999999998</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ROUND(VLOOKUP($B15,'[2]CCF (t)'!$B$10:$O$66,4,FALSE)/365,4)</f>
        <v>0</v>
      </c>
      <c r="G15" s="21">
        <f>ROUND(VLOOKUP($B15,'[2]CCF (t)'!$B$10:$O$66,5,FALSE),4)</f>
        <v>0.34439999999999998</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ROUND(VLOOKUP($B17,'[2]CCF (t)'!$B$10:$O$66,4,FALSE)/365,4)</f>
        <v>0</v>
      </c>
      <c r="G17" s="21">
        <f>ROUND(VLOOKUP($B17,'[2]CCF (t)'!$B$10:$O$66,5,FALSE),4)</f>
        <v>0.8488</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ROUND(VLOOKUP($B18,'[2]CCF (t)'!$B$10:$O$66,4,FALSE)/365,4)</f>
        <v>0</v>
      </c>
      <c r="G18" s="21"/>
      <c r="H18" s="21">
        <f>ROUND(VLOOKUP($B18,'[2]CCF (t)'!$B$10:$O$66,6,FALSE),4)</f>
        <v>0.8488</v>
      </c>
      <c r="I18" s="21">
        <f>ROUND(VLOOKUP($B18,'[2]CCF (t)'!$B$10:$O$66,7,FALSE),4)</f>
        <v>0.8488</v>
      </c>
      <c r="J18" s="21">
        <f>ROUND(VLOOKUP($B18,'[2]CCF (t)'!$B$10:$O$66,8,FALSE),4)</f>
        <v>0.8488</v>
      </c>
      <c r="K18" s="21"/>
      <c r="L18" s="21"/>
      <c r="M18" s="21"/>
      <c r="N18" s="22"/>
      <c r="O18" s="22"/>
    </row>
    <row r="19" spans="2:19" ht="14.25" customHeight="1" x14ac:dyDescent="0.2">
      <c r="B19" s="19" t="s">
        <v>171</v>
      </c>
      <c r="C19" s="20"/>
      <c r="D19" s="134" t="s">
        <v>172</v>
      </c>
      <c r="E19" s="135"/>
      <c r="F19" s="21">
        <f>ROUND(VLOOKUP($B19,'[2]CCF (t)'!$B$10:$O$66,4,FALSE)/365,4)</f>
        <v>0</v>
      </c>
      <c r="G19" s="21"/>
      <c r="H19" s="21">
        <f>ROUND(VLOOKUP($B19,'[2]CCF (t)'!$B$10:$O$66,6,FALSE),4)</f>
        <v>0.8488</v>
      </c>
      <c r="I19" s="21">
        <f>ROUND(VLOOKUP($B19,'[2]CCF (t)'!$B$10:$O$66,7,FALSE),4)</f>
        <v>0.8488</v>
      </c>
      <c r="J19" s="21">
        <f>ROUND(VLOOKUP($B19,'[2]CCF (t)'!$B$10:$O$66,8,FALSE),4)</f>
        <v>0.8488</v>
      </c>
      <c r="K19" s="21"/>
      <c r="L19" s="21"/>
      <c r="M19" s="21"/>
      <c r="N19" s="22"/>
      <c r="O19" s="22"/>
    </row>
    <row r="20" spans="2:19" ht="14.25" customHeight="1" x14ac:dyDescent="0.2">
      <c r="B20" s="19" t="s">
        <v>173</v>
      </c>
      <c r="C20" s="20"/>
      <c r="D20" s="134" t="s">
        <v>184</v>
      </c>
      <c r="E20" s="135"/>
      <c r="F20" s="21">
        <f>ROUND(VLOOKUP($B20,'[2]CCF (t)'!$B$10:$O$66,4,FALSE)/365,4)</f>
        <v>0</v>
      </c>
      <c r="G20" s="21"/>
      <c r="H20" s="21">
        <f>ROUND(VLOOKUP($B20,'[2]CCF (t)'!$B$10:$O$66,6,FALSE),4)</f>
        <v>0.8488</v>
      </c>
      <c r="I20" s="21">
        <f>ROUND(VLOOKUP($B20,'[2]CCF (t)'!$B$10:$O$66,7,FALSE),4)</f>
        <v>0.8488</v>
      </c>
      <c r="J20" s="21">
        <f>ROUND(VLOOKUP($B20,'[2]CCF (t)'!$B$10:$O$66,8,FALSE),4)</f>
        <v>0.8488</v>
      </c>
      <c r="K20" s="21">
        <f>ROUND(VLOOKUP($B20,'[2]CCF (t)'!$B$10:$O$66,10,FALSE),4)</f>
        <v>0</v>
      </c>
      <c r="L20" s="127"/>
      <c r="M20" s="21"/>
      <c r="N20" s="22"/>
      <c r="O20" s="22"/>
    </row>
    <row r="21" spans="2:19" ht="14.25" customHeight="1" x14ac:dyDescent="0.2">
      <c r="B21" s="19" t="s">
        <v>31</v>
      </c>
      <c r="C21" s="20" t="s">
        <v>170</v>
      </c>
      <c r="D21" s="134" t="s">
        <v>116</v>
      </c>
      <c r="E21" s="135"/>
      <c r="F21" s="21">
        <f>ROUND(VLOOKUP($B21,'[2]CCF (t)'!$B$10:$O$66,4,FALSE)/365,4)</f>
        <v>0</v>
      </c>
      <c r="G21" s="21"/>
      <c r="H21" s="21">
        <f>ROUND(VLOOKUP($B21,'[2]CCF (t)'!$B$10:$O$66,6,FALSE),4)</f>
        <v>0.8488</v>
      </c>
      <c r="I21" s="21">
        <f>ROUND(VLOOKUP($B21,'[2]CCF (t)'!$B$10:$O$66,7,FALSE),4)</f>
        <v>0.8488</v>
      </c>
      <c r="J21" s="21">
        <f>ROUND(VLOOKUP($B21,'[2]CCF (t)'!$B$10:$O$66,8,FALSE),4)</f>
        <v>0.8488</v>
      </c>
      <c r="K21" s="21"/>
      <c r="L21" s="21"/>
      <c r="M21" s="21"/>
      <c r="N21" s="22"/>
      <c r="O21" s="22"/>
    </row>
    <row r="22" spans="2:19" ht="14.25" customHeight="1" x14ac:dyDescent="0.2">
      <c r="B22" s="19" t="s">
        <v>175</v>
      </c>
      <c r="C22" s="20"/>
      <c r="D22" s="134" t="s">
        <v>176</v>
      </c>
      <c r="E22" s="135"/>
      <c r="F22" s="21">
        <f>ROUND(VLOOKUP($B22,'[2]CCF (t)'!$B$10:$O$66,4,FALSE)/365,4)</f>
        <v>0</v>
      </c>
      <c r="G22" s="21"/>
      <c r="H22" s="21">
        <f>ROUND(VLOOKUP($B22,'[2]CCF (t)'!$B$10:$O$66,6,FALSE),4)</f>
        <v>0.8488</v>
      </c>
      <c r="I22" s="21">
        <f>ROUND(VLOOKUP($B22,'[2]CCF (t)'!$B$10:$O$66,7,FALSE),4)</f>
        <v>0.8488</v>
      </c>
      <c r="J22" s="21">
        <f>ROUND(VLOOKUP($B22,'[2]CCF (t)'!$B$10:$O$66,8,FALSE),4)</f>
        <v>0.8488</v>
      </c>
      <c r="K22" s="21">
        <f>ROUND(VLOOKUP($B22,'[2]CCF (t)'!$B$10:$O$66,10,FALSE),4)</f>
        <v>0</v>
      </c>
      <c r="L22" s="21">
        <f>ROUND(VLOOKUP($B22,'[2]CCF (t)'!$B$10:$O$66,11,FALSE),4)</f>
        <v>0</v>
      </c>
      <c r="M22" s="21">
        <f>ROUND(VLOOKUP($B22,'[2]CCF (t)'!$B$10:$O$66,12,FALSE),4)</f>
        <v>0</v>
      </c>
      <c r="N22" s="22"/>
      <c r="O22" s="22"/>
    </row>
    <row r="23" spans="2:19" ht="14.25" customHeight="1" x14ac:dyDescent="0.2">
      <c r="B23" s="19" t="s">
        <v>32</v>
      </c>
      <c r="C23" s="20"/>
      <c r="D23" s="134" t="s">
        <v>47</v>
      </c>
      <c r="E23" s="135"/>
      <c r="F23" s="21">
        <f>ROUND(VLOOKUP($B23,'[2]CCF (t)'!$B$10:$O$66,4,FALSE)/365,4)</f>
        <v>0</v>
      </c>
      <c r="G23" s="21"/>
      <c r="H23" s="21">
        <f>ROUND(VLOOKUP($B23,'[2]CCF (t)'!$B$10:$O$66,6,FALSE),4)</f>
        <v>0.8488</v>
      </c>
      <c r="I23" s="21">
        <f>ROUND(VLOOKUP($B23,'[2]CCF (t)'!$B$10:$O$66,7,FALSE),4)</f>
        <v>0.8488</v>
      </c>
      <c r="J23" s="21">
        <f>ROUND(VLOOKUP($B23,'[2]CCF (t)'!$B$10:$O$66,8,FALSE),4)</f>
        <v>0.8488</v>
      </c>
      <c r="K23" s="21">
        <f>ROUND(VLOOKUP($B23,'[2]CCF (t)'!$B$10:$O$66,10,FALSE),4)</f>
        <v>0</v>
      </c>
      <c r="L23" s="21">
        <f>ROUND(VLOOKUP($B23,'[2]CCF (t)'!$B$10:$O$66,11,FALSE),4)</f>
        <v>0</v>
      </c>
      <c r="M23" s="21">
        <f>ROUND(VLOOKUP($B23,'[2]CCF (t)'!$B$10:$O$66,12,FALSE),4)</f>
        <v>0</v>
      </c>
      <c r="N23" s="22"/>
      <c r="O23" s="97"/>
    </row>
    <row r="24" spans="2:19" ht="14.25" customHeight="1" x14ac:dyDescent="0.2">
      <c r="B24" s="19" t="s">
        <v>61</v>
      </c>
      <c r="C24" s="20"/>
      <c r="D24" s="134" t="s">
        <v>74</v>
      </c>
      <c r="E24" s="135"/>
      <c r="F24" s="21">
        <f>ROUND(VLOOKUP($B24,'[2]CCF (t)'!$B$10:$O$66,4,FALSE)/365,4)</f>
        <v>0</v>
      </c>
      <c r="G24" s="21"/>
      <c r="H24" s="21">
        <f>ROUND(VLOOKUP($B24,'[2]CCF (t)'!$B$10:$O$66,6,FALSE),4)</f>
        <v>0.8488</v>
      </c>
      <c r="I24" s="21">
        <f>ROUND(VLOOKUP($B24,'[2]CCF (t)'!$B$10:$O$66,7,FALSE),4)</f>
        <v>0.8488</v>
      </c>
      <c r="J24" s="21">
        <f>ROUND(VLOOKUP($B24,'[2]CCF (t)'!$B$10:$O$66,8,FALSE),4)</f>
        <v>0.8488</v>
      </c>
      <c r="K24" s="129">
        <f>ROUND(VLOOKUP($B24,'[2]CCF (t)'!$B$10:$O$66,10,FALSE),4)</f>
        <v>0</v>
      </c>
      <c r="L24" s="130"/>
      <c r="M24" s="21"/>
      <c r="N24" s="22"/>
      <c r="O24" s="22"/>
    </row>
    <row r="25" spans="2:19" ht="14.25" customHeight="1" x14ac:dyDescent="0.2">
      <c r="B25" s="19" t="s">
        <v>34</v>
      </c>
      <c r="C25" s="20"/>
      <c r="D25" s="134" t="s">
        <v>41</v>
      </c>
      <c r="E25" s="135"/>
      <c r="F25" s="21">
        <f>ROUND(VLOOKUP($B25,'[2]CCF (t)'!$B$10:$O$66,4,FALSE)/365,4)</f>
        <v>0</v>
      </c>
      <c r="G25" s="21"/>
      <c r="H25" s="21">
        <f>ROUND(VLOOKUP($B25,'[2]CCF (t)'!$B$10:$O$66,6,FALSE),4)</f>
        <v>0.8488</v>
      </c>
      <c r="I25" s="21">
        <f>ROUND(VLOOKUP($B25,'[2]CCF (t)'!$B$10:$O$66,7,FALSE),4)</f>
        <v>0.8488</v>
      </c>
      <c r="J25" s="21">
        <f>ROUND(VLOOKUP($B25,'[2]CCF (t)'!$B$10:$O$66,8,FALSE),4)</f>
        <v>0.8488</v>
      </c>
      <c r="K25" s="21">
        <f>ROUND(VLOOKUP($B25,'[2]CCF (t)'!$B$10:$O$66,10,FALSE),4)</f>
        <v>0</v>
      </c>
      <c r="L25" s="21">
        <f>ROUND(VLOOKUP($B25,'[2]CCF (t)'!$B$10:$O$66,11,FALSE),4)</f>
        <v>0</v>
      </c>
      <c r="M25" s="21">
        <f>ROUND(VLOOKUP($B25,'[2]CCF (t)'!$B$10:$O$66,12,FALSE),4)</f>
        <v>0</v>
      </c>
      <c r="N25" s="22"/>
      <c r="O25" s="22"/>
    </row>
    <row r="26" spans="2:19" ht="14.25" customHeight="1" x14ac:dyDescent="0.2">
      <c r="B26" s="19" t="s">
        <v>23</v>
      </c>
      <c r="C26" s="20"/>
      <c r="D26" s="143" t="s">
        <v>38</v>
      </c>
      <c r="E26" s="144"/>
      <c r="F26" s="21">
        <f>ROUND(VLOOKUP($B26,'[2]CCF (t)'!$B$10:$O$66,4,FALSE)/365,4)</f>
        <v>0</v>
      </c>
      <c r="G26" s="21"/>
      <c r="H26" s="21">
        <f>ROUND(VLOOKUP($B26,'[2]CCF (t)'!$B$10:$O$66,6,FALSE),4)</f>
        <v>0.2263</v>
      </c>
      <c r="I26" s="21">
        <f>ROUND(VLOOKUP($B26,'[2]CCF (t)'!$B$10:$O$66,7,FALSE),4)</f>
        <v>0.2263</v>
      </c>
      <c r="J26" s="21">
        <f>ROUND(VLOOKUP($B26,'[2]CCF (t)'!$B$10:$O$66,8,FALSE),4)</f>
        <v>0.2263</v>
      </c>
      <c r="K26" s="21">
        <f>ROUND(VLOOKUP($B26,'[2]CCF (t)'!$B$10:$O$66,10,FALSE),4)</f>
        <v>0</v>
      </c>
      <c r="L26" s="21">
        <f>ROUND(VLOOKUP($B26,'[2]CCF (t)'!$B$10:$O$66,11,FALSE),4)</f>
        <v>0</v>
      </c>
      <c r="M26" s="21">
        <f>ROUND(VLOOKUP($B26,'[2]CCF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ROUND(VLOOKUP($B28,'[2]CCF (t)'!$B$10:$O$80,4,FALSE)/365,4)</f>
        <v>0</v>
      </c>
      <c r="G28" s="21">
        <f>ROUND(VLOOKUP($B28,'[2]CCF (t)'!$B$10:$O$80,5,FALSE),4)</f>
        <v>0.8488</v>
      </c>
      <c r="H28" s="21"/>
      <c r="I28" s="21"/>
      <c r="J28" s="21"/>
      <c r="K28" s="21"/>
      <c r="L28" s="21"/>
      <c r="M28" s="21"/>
    </row>
    <row r="29" spans="2:19" ht="14.25" customHeight="1" x14ac:dyDescent="0.2">
      <c r="B29" s="19" t="s">
        <v>37</v>
      </c>
      <c r="C29" s="20"/>
      <c r="D29" s="134" t="s">
        <v>110</v>
      </c>
      <c r="E29" s="135"/>
      <c r="F29" s="21">
        <f>ROUND(VLOOKUP($B29,'[2]CCF (t)'!$B$10:$O$80,4,FALSE)/365,4)</f>
        <v>0</v>
      </c>
      <c r="G29" s="21"/>
      <c r="H29" s="21">
        <f>ROUND(VLOOKUP($B29,'[2]CCF (t)'!$B$10:$O$80,6,FALSE),4)</f>
        <v>0.8488</v>
      </c>
      <c r="I29" s="21">
        <f>ROUND(VLOOKUP($B29,'[2]CCF (t)'!$B$10:$O$80,7,FALSE),4)</f>
        <v>0.8488</v>
      </c>
      <c r="J29" s="21">
        <f>ROUND(VLOOKUP($B29,'[2]CCF (t)'!$B$10:$O$80,8,FALSE),4)</f>
        <v>0.8488</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6" t="s">
        <v>58</v>
      </c>
      <c r="D37" s="167"/>
      <c r="E37" s="21">
        <f>ROUND(VLOOKUP($B37,'[2]CCF (t)'!$B$10:$O$66,4,FALSE)/365,4)</f>
        <v>0</v>
      </c>
      <c r="F37" s="21">
        <f>ROUND(VLOOKUP($B37,'[2]CCF (t)'!$B$10:$O$66,6,FALSE),4)</f>
        <v>0.8488</v>
      </c>
      <c r="G37" s="21">
        <f>ROUND(VLOOKUP($B37,'[2]CCF (t)'!$B$10:$O$66,7,FALSE),4)</f>
        <v>0.8488</v>
      </c>
      <c r="H37" s="21">
        <f>ROUND(VLOOKUP($B37,'[2]CCF (t)'!$B$10:$O$66,8,FALSE),4)</f>
        <v>0.8488</v>
      </c>
      <c r="I37" s="21"/>
      <c r="J37" s="21">
        <f>ROUND(VLOOKUP($B37,'[2]CCF (t)'!$B$10:$O$66,10,FALSE),4)</f>
        <v>0</v>
      </c>
      <c r="K37" s="21">
        <f>ROUND(VLOOKUP($B37,'[2]CCF (t)'!$B$10:$O$66,11,FALSE),4)</f>
        <v>0</v>
      </c>
      <c r="L37" s="21">
        <f>ROUND(VLOOKUP($B37,'[2]CCF (t)'!$B$10:$O$66,12,FALSE),4)</f>
        <v>0</v>
      </c>
      <c r="M37" s="21"/>
    </row>
    <row r="38" spans="1:13" x14ac:dyDescent="0.2">
      <c r="B38" s="19" t="s">
        <v>35</v>
      </c>
      <c r="C38" s="164" t="s">
        <v>59</v>
      </c>
      <c r="D38" s="165"/>
      <c r="E38" s="21">
        <f>ROUND(VLOOKUP($B38,'[2]CCF (t)'!$B$10:$O$66,4,FALSE)/365,4)</f>
        <v>0</v>
      </c>
      <c r="F38" s="21">
        <f>ROUND(VLOOKUP($B38,'[2]CCF (t)'!$B$10:$O$66,6,FALSE),4)</f>
        <v>0.8488</v>
      </c>
      <c r="G38" s="21">
        <f>ROUND(VLOOKUP($B38,'[2]CCF (t)'!$B$10:$O$66,7,FALSE),4)</f>
        <v>0.8488</v>
      </c>
      <c r="H38" s="21">
        <f>ROUND(VLOOKUP($B38,'[2]CCF (t)'!$B$10:$O$66,8,FALSE),4)</f>
        <v>0.8488</v>
      </c>
      <c r="I38" s="21"/>
      <c r="J38" s="21">
        <f>ROUND(VLOOKUP($B38,'[2]CCF (t)'!$B$10:$O$66,10,FALSE),4)</f>
        <v>0</v>
      </c>
      <c r="K38" s="21">
        <f>ROUND(VLOOKUP($B38,'[2]CCF (t)'!$B$10:$O$66,11,FALSE),4)</f>
        <v>0</v>
      </c>
      <c r="L38" s="21">
        <f>ROUND(VLOOKUP($B38,'[2]CCF (t)'!$B$10:$O$66,12,FALSE),4)</f>
        <v>0</v>
      </c>
      <c r="M38" s="21"/>
    </row>
    <row r="39" spans="1:13" x14ac:dyDescent="0.2">
      <c r="B39" s="19" t="s">
        <v>170</v>
      </c>
      <c r="C39" s="33" t="s">
        <v>200</v>
      </c>
      <c r="D39" s="101"/>
      <c r="E39" s="21">
        <f>ROUND(VLOOKUP("BLND1CO",'[2]TUOS (t)'!$B$10:$O$66,4,FALSE)/365,4)</f>
        <v>0</v>
      </c>
      <c r="F39" s="21">
        <f>ROUND(VLOOKUP($B39,'[2]CCF (t)'!$B$10:$O$66,6,FALSE),4)</f>
        <v>0.8488</v>
      </c>
      <c r="G39" s="21">
        <f>ROUND(VLOOKUP($B39,'[2]CCF (t)'!$B$10:$O$66,7,FALSE),4)</f>
        <v>0.8488</v>
      </c>
      <c r="H39" s="21">
        <f>ROUND(VLOOKUP($B39,'[2]CCF (t)'!$B$10:$O$66,8,FALSE),4)</f>
        <v>0.8488</v>
      </c>
      <c r="I39" s="21">
        <f>ROUND(VLOOKUP("BLND1CO",'[2]TUOS (t)'!$B$10:$O$66,9,FALSE),4)</f>
        <v>0</v>
      </c>
      <c r="J39" s="21"/>
      <c r="K39" s="21"/>
      <c r="L39" s="21"/>
      <c r="M39" s="21"/>
    </row>
    <row r="40" spans="1:13" ht="28.5" x14ac:dyDescent="0.2">
      <c r="B40" s="20" t="s">
        <v>81</v>
      </c>
      <c r="C40" s="33" t="s">
        <v>48</v>
      </c>
      <c r="D40" s="101"/>
      <c r="E40" s="21">
        <f>ROUND(VLOOKUP("BLND1CO",'[2]CCF (t)'!$B$10:$O$66,4,FALSE)/365,4)</f>
        <v>0</v>
      </c>
      <c r="F40" s="21">
        <f>ROUND(VLOOKUP("BLND1CO",'[2]CCF (t)'!$B$10:$O$66,6,FALSE),4)</f>
        <v>0.8488</v>
      </c>
      <c r="G40" s="21">
        <f>ROUND(VLOOKUP("BLND1CO",'[2]CCF (t)'!$B$10:$O$66,7,FALSE),4)</f>
        <v>0.8488</v>
      </c>
      <c r="H40" s="21">
        <f>ROUND(VLOOKUP("BLND1CO",'[2]CCF (t)'!$B$10:$O$66,8,FALSE),4)</f>
        <v>0.8488</v>
      </c>
      <c r="I40" s="21">
        <f>ROUND(VLOOKUP("BLND1CO",'[2]CCF (t)'!$B$10:$O$66,9,FALSE),4)</f>
        <v>0</v>
      </c>
      <c r="J40" s="21"/>
      <c r="K40" s="21"/>
      <c r="L40" s="21"/>
      <c r="M40" s="21"/>
    </row>
    <row r="41" spans="1:13" x14ac:dyDescent="0.2">
      <c r="B41" s="19" t="s">
        <v>20</v>
      </c>
      <c r="C41" s="33" t="s">
        <v>55</v>
      </c>
      <c r="D41" s="101"/>
      <c r="E41" s="21">
        <f>ROUND(VLOOKUP($B41,'[2]CCF (t)'!$B$10:$O$66,4,FALSE)/365,4)</f>
        <v>0</v>
      </c>
      <c r="F41" s="21">
        <f>ROUND(VLOOKUP($B41,'[2]CCF (t)'!$B$10:$O$66,6,FALSE),4)</f>
        <v>0.8488</v>
      </c>
      <c r="G41" s="21">
        <f>ROUND(VLOOKUP($B41,'[2]CCF (t)'!$B$10:$O$66,7,FALSE),4)</f>
        <v>0.8488</v>
      </c>
      <c r="H41" s="21">
        <f>ROUND(VLOOKUP($B41,'[2]CCF (t)'!$B$10:$O$66,8,FALSE),4)</f>
        <v>0.8488</v>
      </c>
      <c r="I41" s="21">
        <f>ROUND(VLOOKUP($B41,'[2]CCF (t)'!$B$10:$O$66,9,FALSE),4)</f>
        <v>0</v>
      </c>
      <c r="J41" s="21"/>
      <c r="K41" s="21"/>
      <c r="L41" s="21"/>
      <c r="M41" s="21">
        <f>ROUND(VLOOKUP($B41,'[2]CCF (t)'!$B$10:$O$66,13,FALSE),4)</f>
        <v>0</v>
      </c>
    </row>
    <row r="42" spans="1:13" x14ac:dyDescent="0.2">
      <c r="B42" s="19" t="s">
        <v>21</v>
      </c>
      <c r="C42" s="33" t="s">
        <v>54</v>
      </c>
      <c r="D42" s="101"/>
      <c r="E42" s="21">
        <f>ROUND(VLOOKUP($B42,'[2]CCF (t)'!$B$10:$O$66,4,FALSE)/365,4)</f>
        <v>0</v>
      </c>
      <c r="F42" s="21">
        <f>ROUND(VLOOKUP($B42,'[2]CCF (t)'!$B$10:$O$66,6,FALSE),4)</f>
        <v>0.8488</v>
      </c>
      <c r="G42" s="21">
        <f>ROUND(VLOOKUP($B42,'[2]CCF (t)'!$B$10:$O$66,7,FALSE),4)</f>
        <v>0.8488</v>
      </c>
      <c r="H42" s="21">
        <f>ROUND(VLOOKUP($B42,'[2]CCF (t)'!$B$10:$O$66,8,FALSE),4)</f>
        <v>0.8488</v>
      </c>
      <c r="I42" s="21">
        <f>ROUND(VLOOKUP($B42,'[2]CCF (t)'!$B$10:$O$66,9,FALSE),4)</f>
        <v>0</v>
      </c>
      <c r="J42" s="21"/>
      <c r="K42" s="21"/>
      <c r="L42" s="21"/>
      <c r="M42" s="21">
        <f>ROUND(VLOOKUP($B42,'[2]CCF (t)'!$B$10:$O$66,13,FALSE),4)</f>
        <v>0</v>
      </c>
    </row>
    <row r="43" spans="1:13" s="46" customFormat="1" x14ac:dyDescent="0.2">
      <c r="A43" s="45"/>
      <c r="B43" s="19" t="s">
        <v>22</v>
      </c>
      <c r="C43" s="33" t="s">
        <v>56</v>
      </c>
      <c r="D43" s="102"/>
      <c r="E43" s="21">
        <f>ROUND(VLOOKUP($B43,'[2]CCF (t)'!$B$10:$O$66,4,FALSE)/365,4)</f>
        <v>0</v>
      </c>
      <c r="F43" s="21">
        <f>ROUND(VLOOKUP($B43,'[2]CCF (t)'!$B$10:$O$66,6,FALSE),4)</f>
        <v>0.8488</v>
      </c>
      <c r="G43" s="21">
        <f>ROUND(VLOOKUP($B43,'[2]CCF (t)'!$B$10:$O$66,7,FALSE),4)</f>
        <v>0.8488</v>
      </c>
      <c r="H43" s="21">
        <f>ROUND(VLOOKUP($B43,'[2]CCF (t)'!$B$10:$O$66,8,FALSE),4)</f>
        <v>0.8488</v>
      </c>
      <c r="I43" s="21">
        <f>ROUND(VLOOKUP($B43,'[2]CCF (t)'!$B$10:$O$66,9,FALSE),4)</f>
        <v>0</v>
      </c>
      <c r="J43" s="21"/>
      <c r="K43" s="21"/>
      <c r="L43" s="21"/>
      <c r="M43" s="21"/>
    </row>
    <row r="44" spans="1:13" ht="28.5" x14ac:dyDescent="0.2">
      <c r="B44" s="20" t="s">
        <v>80</v>
      </c>
      <c r="C44" s="33" t="s">
        <v>57</v>
      </c>
      <c r="D44" s="101"/>
      <c r="E44" s="21">
        <f>ROUND(VLOOKUP("BHND1SO",'[2]CCF (t)'!$B$10:$O$66,4,FALSE)/365,4)</f>
        <v>0</v>
      </c>
      <c r="F44" s="21">
        <f>ROUND(VLOOKUP("BHND1SO",'[2]CCF (t)'!$B$10:$O$66,6,FALSE),4)</f>
        <v>0.8488</v>
      </c>
      <c r="G44" s="21">
        <f>ROUND(VLOOKUP("BHND1SO",'[2]CCF (t)'!$B$10:$O$66,7,FALSE),4)</f>
        <v>0.8488</v>
      </c>
      <c r="H44" s="21">
        <f>ROUND(VLOOKUP("BHND1SO",'[2]CCF (t)'!$B$10:$O$66,8,FALSE),4)</f>
        <v>0.8488</v>
      </c>
      <c r="I44" s="21">
        <f>ROUND(VLOOKUP("BHND1SO",'[2]CCF (t)'!$B$10:$O$66,9,FALSE),4)</f>
        <v>0</v>
      </c>
      <c r="J44" s="21"/>
      <c r="K44" s="21"/>
      <c r="L44" s="21"/>
      <c r="M44" s="21">
        <f>ROUND(VLOOKUP("BHND1SO",'[2]CCF (t)'!$B$10:$O$66,13,FALSE),4)</f>
        <v>0</v>
      </c>
    </row>
  </sheetData>
  <mergeCells count="27">
    <mergeCell ref="I3:J3"/>
    <mergeCell ref="B5:B7"/>
    <mergeCell ref="C5:C7"/>
    <mergeCell ref="D5:E7"/>
    <mergeCell ref="D10:E10"/>
    <mergeCell ref="D9:E9"/>
    <mergeCell ref="D14:E14"/>
    <mergeCell ref="D18:E18"/>
    <mergeCell ref="D19:E19"/>
    <mergeCell ref="D20:E20"/>
    <mergeCell ref="B3:F3"/>
    <mergeCell ref="D12:E12"/>
    <mergeCell ref="D15:E15"/>
    <mergeCell ref="D17:E17"/>
    <mergeCell ref="D11:E11"/>
    <mergeCell ref="D21:E21"/>
    <mergeCell ref="D22:E22"/>
    <mergeCell ref="D23:E23"/>
    <mergeCell ref="K24:L24"/>
    <mergeCell ref="D28:E28"/>
    <mergeCell ref="C37:D37"/>
    <mergeCell ref="C38:D38"/>
    <mergeCell ref="D31:E31"/>
    <mergeCell ref="D24:E24"/>
    <mergeCell ref="D25:E25"/>
    <mergeCell ref="D26:E26"/>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S44"/>
  <sheetViews>
    <sheetView showGridLines="0" zoomScale="70" zoomScaleNormal="70" zoomScaleSheetLayoutView="58" workbookViewId="0">
      <selection activeCell="N29" sqref="N29"/>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180</v>
      </c>
      <c r="C2" s="3"/>
      <c r="D2" s="3"/>
      <c r="E2" s="3"/>
      <c r="F2" s="3"/>
      <c r="G2" s="4"/>
      <c r="H2" s="5"/>
      <c r="I2" s="5"/>
      <c r="J2" s="5"/>
      <c r="K2" s="4"/>
      <c r="L2" s="6"/>
      <c r="M2" s="7"/>
    </row>
    <row r="3" spans="1:19" ht="15.75" x14ac:dyDescent="0.25">
      <c r="A3" s="1"/>
      <c r="B3" s="141" t="str">
        <f>'Price List_Excl GST'!B3:F3</f>
        <v>Effective 1 July 2022</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ROUND(VLOOKUP($B9,'[2]QSS (t)'!$B$10:$O$66,4,FALSE)/365,4)</f>
        <v>0</v>
      </c>
      <c r="G9" s="21">
        <f>ROUND(VLOOKUP($B9,'[2]QSS (t)'!$B$10:$O$66,5,FALSE),4)</f>
        <v>8.3000000000000001E-3</v>
      </c>
      <c r="H9" s="21"/>
      <c r="I9" s="21"/>
      <c r="J9" s="21"/>
      <c r="K9" s="21"/>
      <c r="L9" s="21"/>
      <c r="M9" s="21"/>
      <c r="N9" s="22"/>
      <c r="O9" s="22"/>
    </row>
    <row r="10" spans="1:19" ht="14.25" customHeight="1" x14ac:dyDescent="0.2">
      <c r="B10" s="19" t="s">
        <v>26</v>
      </c>
      <c r="C10" s="20"/>
      <c r="D10" s="134" t="s">
        <v>42</v>
      </c>
      <c r="E10" s="135"/>
      <c r="F10" s="21">
        <f>ROUND(VLOOKUP($B10,'[2]QSS (t)'!$B$10:$O$66,4,FALSE)/365,4)</f>
        <v>0</v>
      </c>
      <c r="G10" s="21"/>
      <c r="H10" s="21">
        <f>ROUND(VLOOKUP($B10,'[2]QSS (t)'!$B$10:$O$66,6,FALSE),4)</f>
        <v>8.3000000000000001E-3</v>
      </c>
      <c r="I10" s="21">
        <f>ROUND(VLOOKUP($B10,'[2]QSS (t)'!$B$10:$O$66,7,FALSE),4)</f>
        <v>8.3000000000000001E-3</v>
      </c>
      <c r="J10" s="21">
        <f>ROUND(VLOOKUP($B10,'[2]QSS (t)'!$B$10:$O$66,8,FALSE),4)</f>
        <v>8.3000000000000001E-3</v>
      </c>
      <c r="K10" s="21"/>
      <c r="L10" s="21"/>
      <c r="M10" s="21"/>
      <c r="N10" s="22"/>
      <c r="O10" s="22"/>
      <c r="P10" s="56"/>
      <c r="Q10" s="22"/>
      <c r="R10" s="22"/>
    </row>
    <row r="11" spans="1:19" ht="14.25" customHeight="1" x14ac:dyDescent="0.2">
      <c r="B11" s="19" t="s">
        <v>167</v>
      </c>
      <c r="C11" s="20"/>
      <c r="D11" s="134" t="s">
        <v>168</v>
      </c>
      <c r="E11" s="135"/>
      <c r="F11" s="21">
        <f>ROUND(VLOOKUP($B11,'[2]QSS (t)'!$B$10:$O$66,4,FALSE)/365,4)</f>
        <v>0</v>
      </c>
      <c r="G11" s="21"/>
      <c r="H11" s="21">
        <f>ROUND(VLOOKUP($B11,'[2]QSS (t)'!$B$10:$O$66,6,FALSE),4)</f>
        <v>8.3000000000000001E-3</v>
      </c>
      <c r="I11" s="21">
        <f>ROUND(VLOOKUP($B11,'[2]QSS (t)'!$B$10:$O$66,7,FALSE),4)</f>
        <v>8.3000000000000001E-3</v>
      </c>
      <c r="J11" s="21">
        <f>ROUND(VLOOKUP($B11,'[2]QSS (t)'!$B$10:$O$66,8,FALSE),4)</f>
        <v>8.3000000000000001E-3</v>
      </c>
      <c r="K11" s="21"/>
      <c r="L11" s="21"/>
      <c r="M11" s="21"/>
      <c r="N11" s="22"/>
      <c r="O11" s="22"/>
      <c r="P11" s="22"/>
      <c r="Q11" s="22"/>
      <c r="R11" s="22"/>
      <c r="S11" s="22"/>
    </row>
    <row r="12" spans="1:19" ht="14.25" customHeight="1" x14ac:dyDescent="0.2">
      <c r="B12" s="19" t="s">
        <v>169</v>
      </c>
      <c r="C12" s="20"/>
      <c r="D12" s="134" t="s">
        <v>183</v>
      </c>
      <c r="E12" s="135"/>
      <c r="F12" s="21">
        <f>ROUND(VLOOKUP($B12,'[2]QSS (t)'!$B$10:$O$66,4,FALSE)/365,4)</f>
        <v>0</v>
      </c>
      <c r="G12" s="21"/>
      <c r="H12" s="21">
        <f>ROUND(VLOOKUP($B12,'[2]QSS (t)'!$B$10:$O$66,6,FALSE),4)</f>
        <v>8.3000000000000001E-3</v>
      </c>
      <c r="I12" s="21">
        <f>ROUND(VLOOKUP($B12,'[2]QSS (t)'!$B$10:$O$66,7,FALSE),4)</f>
        <v>8.3000000000000001E-3</v>
      </c>
      <c r="J12" s="21">
        <f>ROUND(VLOOKUP($B12,'[2]QSS (t)'!$B$10:$O$66,8,FALSE),4)</f>
        <v>8.3000000000000001E-3</v>
      </c>
      <c r="K12" s="21">
        <f>ROUND(VLOOKUP($B12,'[2]QSS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ROUND(VLOOKUP($B14,'[2]QSS (t)'!$B$10:$O$66,4,FALSE)/365,4)</f>
        <v>0</v>
      </c>
      <c r="G14" s="21">
        <f>ROUND(VLOOKUP($B14,'[2]QSS (t)'!$B$10:$O$66,5,FALSE),4)</f>
        <v>8.3000000000000001E-3</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ROUND(VLOOKUP($B15,'[2]QSS (t)'!$B$10:$O$66,4,FALSE)/365,4)</f>
        <v>0</v>
      </c>
      <c r="G15" s="21">
        <f>ROUND(VLOOKUP($B15,'[2]QSS (t)'!$B$10:$O$66,5,FALSE),4)</f>
        <v>8.3000000000000001E-3</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ROUND(VLOOKUP($B17,'[2]QSS (t)'!$B$10:$O$66,4,FALSE)/365,4)</f>
        <v>0</v>
      </c>
      <c r="G17" s="21">
        <f>ROUND(VLOOKUP($B17,'[2]QSS (t)'!$B$10:$O$66,5,FALSE),4)</f>
        <v>8.3000000000000001E-3</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ROUND(VLOOKUP($B18,'[2]QSS (t)'!$B$10:$O$66,4,FALSE)/365,4)</f>
        <v>0</v>
      </c>
      <c r="G18" s="21"/>
      <c r="H18" s="21">
        <f>ROUND(VLOOKUP($B18,'[2]QSS (t)'!$B$10:$O$66,6,FALSE),4)</f>
        <v>8.3000000000000001E-3</v>
      </c>
      <c r="I18" s="21">
        <f>ROUND(VLOOKUP($B18,'[2]QSS (t)'!$B$10:$O$66,7,FALSE),4)</f>
        <v>8.3000000000000001E-3</v>
      </c>
      <c r="J18" s="21">
        <f>ROUND(VLOOKUP($B18,'[2]QSS (t)'!$B$10:$O$66,8,FALSE),4)</f>
        <v>8.3000000000000001E-3</v>
      </c>
      <c r="K18" s="21"/>
      <c r="L18" s="21"/>
      <c r="M18" s="21"/>
      <c r="N18" s="22"/>
      <c r="O18" s="22"/>
    </row>
    <row r="19" spans="2:19" ht="14.25" customHeight="1" x14ac:dyDescent="0.2">
      <c r="B19" s="19" t="s">
        <v>171</v>
      </c>
      <c r="C19" s="20"/>
      <c r="D19" s="134" t="s">
        <v>172</v>
      </c>
      <c r="E19" s="135"/>
      <c r="F19" s="21">
        <f>ROUND(VLOOKUP($B19,'[2]QSS (t)'!$B$10:$O$66,4,FALSE)/365,4)</f>
        <v>0</v>
      </c>
      <c r="G19" s="21"/>
      <c r="H19" s="21">
        <f>ROUND(VLOOKUP($B19,'[2]QSS (t)'!$B$10:$O$66,6,FALSE),4)</f>
        <v>8.3000000000000001E-3</v>
      </c>
      <c r="I19" s="21">
        <f>ROUND(VLOOKUP($B19,'[2]QSS (t)'!$B$10:$O$66,7,FALSE),4)</f>
        <v>8.3000000000000001E-3</v>
      </c>
      <c r="J19" s="21">
        <f>ROUND(VLOOKUP($B19,'[2]QSS (t)'!$B$10:$O$66,8,FALSE),4)</f>
        <v>8.3000000000000001E-3</v>
      </c>
      <c r="K19" s="21"/>
      <c r="L19" s="21"/>
      <c r="M19" s="21"/>
      <c r="N19" s="22"/>
      <c r="O19" s="22"/>
    </row>
    <row r="20" spans="2:19" ht="14.25" customHeight="1" x14ac:dyDescent="0.2">
      <c r="B20" s="19" t="s">
        <v>173</v>
      </c>
      <c r="C20" s="20"/>
      <c r="D20" s="134" t="s">
        <v>184</v>
      </c>
      <c r="E20" s="135"/>
      <c r="F20" s="21">
        <f>ROUND(VLOOKUP($B20,'[2]QSS (t)'!$B$10:$O$66,4,FALSE)/365,4)</f>
        <v>0</v>
      </c>
      <c r="G20" s="21"/>
      <c r="H20" s="21">
        <f>ROUND(VLOOKUP($B20,'[2]QSS (t)'!$B$10:$O$66,6,FALSE),4)</f>
        <v>8.3000000000000001E-3</v>
      </c>
      <c r="I20" s="21">
        <f>ROUND(VLOOKUP($B20,'[2]QSS (t)'!$B$10:$O$66,7,FALSE),4)</f>
        <v>8.3000000000000001E-3</v>
      </c>
      <c r="J20" s="21">
        <f>ROUND(VLOOKUP($B20,'[2]QSS (t)'!$B$10:$O$66,8,FALSE),4)</f>
        <v>8.3000000000000001E-3</v>
      </c>
      <c r="K20" s="21">
        <f>ROUND(VLOOKUP($B20,'[2]QSS (t)'!$B$10:$O$66,10,FALSE),4)</f>
        <v>0</v>
      </c>
      <c r="L20" s="127"/>
      <c r="M20" s="21"/>
      <c r="N20" s="22"/>
      <c r="O20" s="22"/>
    </row>
    <row r="21" spans="2:19" ht="14.25" customHeight="1" x14ac:dyDescent="0.2">
      <c r="B21" s="19" t="s">
        <v>31</v>
      </c>
      <c r="C21" s="20" t="s">
        <v>170</v>
      </c>
      <c r="D21" s="134" t="s">
        <v>116</v>
      </c>
      <c r="E21" s="135"/>
      <c r="F21" s="21">
        <f>ROUND(VLOOKUP($B21,'[2]QSS (t)'!$B$10:$O$66,4,FALSE)/365,4)</f>
        <v>0</v>
      </c>
      <c r="G21" s="21"/>
      <c r="H21" s="21">
        <f>ROUND(VLOOKUP($B21,'[2]QSS (t)'!$B$10:$O$66,6,FALSE),4)</f>
        <v>8.3000000000000001E-3</v>
      </c>
      <c r="I21" s="21">
        <f>ROUND(VLOOKUP($B21,'[2]QSS (t)'!$B$10:$O$66,7,FALSE),4)</f>
        <v>8.3000000000000001E-3</v>
      </c>
      <c r="J21" s="21">
        <f>ROUND(VLOOKUP($B21,'[2]QSS (t)'!$B$10:$O$66,8,FALSE),4)</f>
        <v>8.3000000000000001E-3</v>
      </c>
      <c r="K21" s="21"/>
      <c r="L21" s="21"/>
      <c r="M21" s="21"/>
      <c r="N21" s="22"/>
      <c r="O21" s="22"/>
    </row>
    <row r="22" spans="2:19" ht="14.25" customHeight="1" x14ac:dyDescent="0.2">
      <c r="B22" s="19" t="s">
        <v>175</v>
      </c>
      <c r="C22" s="20"/>
      <c r="D22" s="134" t="s">
        <v>176</v>
      </c>
      <c r="E22" s="135"/>
      <c r="F22" s="21">
        <f>ROUND(VLOOKUP($B22,'[2]QSS (t)'!$B$10:$O$66,4,FALSE)/365,4)</f>
        <v>0</v>
      </c>
      <c r="G22" s="21"/>
      <c r="H22" s="21">
        <f>ROUND(VLOOKUP($B22,'[2]QSS (t)'!$B$10:$O$66,6,FALSE),4)</f>
        <v>8.3000000000000001E-3</v>
      </c>
      <c r="I22" s="21">
        <f>ROUND(VLOOKUP($B22,'[2]QSS (t)'!$B$10:$O$66,7,FALSE),4)</f>
        <v>8.3000000000000001E-3</v>
      </c>
      <c r="J22" s="21">
        <f>ROUND(VLOOKUP($B22,'[2]QSS (t)'!$B$10:$O$66,8,FALSE),4)</f>
        <v>8.3000000000000001E-3</v>
      </c>
      <c r="K22" s="21">
        <f>ROUND(VLOOKUP($B22,'[2]QSS (t)'!$B$10:$O$66,10,FALSE),4)</f>
        <v>0</v>
      </c>
      <c r="L22" s="21">
        <f>ROUND(VLOOKUP($B22,'[2]QSS (t)'!$B$10:$O$66,11,FALSE),4)</f>
        <v>0</v>
      </c>
      <c r="M22" s="21">
        <f>ROUND(VLOOKUP($B22,'[2]QSS (t)'!$B$10:$O$66,12,FALSE),4)</f>
        <v>0</v>
      </c>
      <c r="N22" s="22"/>
      <c r="O22" s="22"/>
    </row>
    <row r="23" spans="2:19" ht="14.25" customHeight="1" x14ac:dyDescent="0.2">
      <c r="B23" s="19" t="s">
        <v>32</v>
      </c>
      <c r="C23" s="20"/>
      <c r="D23" s="134" t="s">
        <v>47</v>
      </c>
      <c r="E23" s="135"/>
      <c r="F23" s="21">
        <f>ROUND(VLOOKUP($B23,'[2]QSS (t)'!$B$10:$O$66,4,FALSE)/365,4)</f>
        <v>0</v>
      </c>
      <c r="G23" s="21"/>
      <c r="H23" s="21">
        <f>ROUND(VLOOKUP($B23,'[2]QSS (t)'!$B$10:$O$66,6,FALSE),4)</f>
        <v>8.3000000000000001E-3</v>
      </c>
      <c r="I23" s="21">
        <f>ROUND(VLOOKUP($B23,'[2]QSS (t)'!$B$10:$O$66,7,FALSE),4)</f>
        <v>8.3000000000000001E-3</v>
      </c>
      <c r="J23" s="21">
        <f>ROUND(VLOOKUP($B23,'[2]QSS (t)'!$B$10:$O$66,8,FALSE),4)</f>
        <v>8.3000000000000001E-3</v>
      </c>
      <c r="K23" s="21">
        <f>ROUND(VLOOKUP($B23,'[2]QSS (t)'!$B$10:$O$66,10,FALSE),4)</f>
        <v>0</v>
      </c>
      <c r="L23" s="21">
        <f>ROUND(VLOOKUP($B23,'[2]QSS (t)'!$B$10:$O$66,11,FALSE),4)</f>
        <v>0</v>
      </c>
      <c r="M23" s="21">
        <f>ROUND(VLOOKUP($B23,'[2]QSS (t)'!$B$10:$O$66,12,FALSE),4)</f>
        <v>0</v>
      </c>
      <c r="N23" s="22"/>
      <c r="O23" s="97"/>
    </row>
    <row r="24" spans="2:19" ht="14.25" customHeight="1" x14ac:dyDescent="0.2">
      <c r="B24" s="19" t="s">
        <v>61</v>
      </c>
      <c r="C24" s="20"/>
      <c r="D24" s="134" t="s">
        <v>74</v>
      </c>
      <c r="E24" s="135"/>
      <c r="F24" s="21">
        <f>ROUND(VLOOKUP($B24,'[2]QSS (t)'!$B$10:$O$66,4,FALSE)/365,4)</f>
        <v>0</v>
      </c>
      <c r="G24" s="21"/>
      <c r="H24" s="21">
        <f>ROUND(VLOOKUP($B24,'[2]QSS (t)'!$B$10:$O$66,6,FALSE),4)</f>
        <v>8.3000000000000001E-3</v>
      </c>
      <c r="I24" s="21">
        <f>ROUND(VLOOKUP($B24,'[2]QSS (t)'!$B$10:$O$66,7,FALSE),4)</f>
        <v>8.3000000000000001E-3</v>
      </c>
      <c r="J24" s="21">
        <f>ROUND(VLOOKUP($B24,'[2]QSS (t)'!$B$10:$O$66,8,FALSE),4)</f>
        <v>8.3000000000000001E-3</v>
      </c>
      <c r="K24" s="129">
        <f>ROUND(VLOOKUP($B24,'[2]QSS (t)'!$B$10:$O$66,10,FALSE),4)</f>
        <v>0</v>
      </c>
      <c r="L24" s="130"/>
      <c r="M24" s="21"/>
      <c r="N24" s="22"/>
      <c r="O24" s="22"/>
    </row>
    <row r="25" spans="2:19" ht="14.25" customHeight="1" x14ac:dyDescent="0.2">
      <c r="B25" s="19" t="s">
        <v>34</v>
      </c>
      <c r="C25" s="20"/>
      <c r="D25" s="134" t="s">
        <v>41</v>
      </c>
      <c r="E25" s="135"/>
      <c r="F25" s="21">
        <f>ROUND(VLOOKUP($B25,'[2]QSS (t)'!$B$10:$O$66,4,FALSE)/365,4)</f>
        <v>0</v>
      </c>
      <c r="G25" s="21"/>
      <c r="H25" s="21">
        <f>ROUND(VLOOKUP($B25,'[2]QSS (t)'!$B$10:$O$66,6,FALSE),4)</f>
        <v>0</v>
      </c>
      <c r="I25" s="21">
        <f>ROUND(VLOOKUP($B25,'[2]QSS (t)'!$B$10:$O$66,7,FALSE),4)</f>
        <v>0</v>
      </c>
      <c r="J25" s="21">
        <f>ROUND(VLOOKUP($B25,'[2]QSS (t)'!$B$10:$O$66,8,FALSE),4)</f>
        <v>0</v>
      </c>
      <c r="K25" s="21">
        <f>ROUND(VLOOKUP($B25,'[2]QSS (t)'!$B$10:$O$66,10,FALSE),4)</f>
        <v>0</v>
      </c>
      <c r="L25" s="21">
        <f>ROUND(VLOOKUP($B25,'[2]QSS (t)'!$B$10:$O$66,11,FALSE),4)</f>
        <v>0</v>
      </c>
      <c r="M25" s="21">
        <f>ROUND(VLOOKUP($B25,'[2]QSS (t)'!$B$10:$O$66,12,FALSE),4)</f>
        <v>0</v>
      </c>
      <c r="N25" s="22"/>
      <c r="O25" s="22"/>
    </row>
    <row r="26" spans="2:19" ht="14.25" customHeight="1" x14ac:dyDescent="0.2">
      <c r="B26" s="19" t="s">
        <v>23</v>
      </c>
      <c r="C26" s="20"/>
      <c r="D26" s="143" t="s">
        <v>38</v>
      </c>
      <c r="E26" s="144"/>
      <c r="F26" s="21">
        <f>ROUND(VLOOKUP($B26,'[2]QSS (t)'!$B$10:$O$66,4,FALSE)/365,4)</f>
        <v>0</v>
      </c>
      <c r="G26" s="21"/>
      <c r="H26" s="21">
        <f>ROUND(VLOOKUP($B26,'[2]QSS (t)'!$B$10:$O$66,6,FALSE),4)</f>
        <v>0</v>
      </c>
      <c r="I26" s="21">
        <f>ROUND(VLOOKUP($B26,'[2]QSS (t)'!$B$10:$O$66,7,FALSE),4)</f>
        <v>0</v>
      </c>
      <c r="J26" s="21">
        <f>ROUND(VLOOKUP($B26,'[2]QSS (t)'!$B$10:$O$66,8,FALSE),4)</f>
        <v>0</v>
      </c>
      <c r="K26" s="21">
        <f>ROUND(VLOOKUP($B26,'[2]QSS (t)'!$B$10:$O$66,10,FALSE),4)</f>
        <v>0</v>
      </c>
      <c r="L26" s="21">
        <f>ROUND(VLOOKUP($B26,'[2]QSS (t)'!$B$10:$O$66,11,FALSE),4)</f>
        <v>0</v>
      </c>
      <c r="M26" s="21">
        <f>ROUND(VLOOKUP($B26,'[2]QSS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ROUND(VLOOKUP($B28,'[2]QSS (t)'!$B$10:$O$80,4,FALSE)/365,4)</f>
        <v>0</v>
      </c>
      <c r="G28" s="21">
        <f>ROUND(VLOOKUP($B28,'[2]QSS (t)'!$B$10:$O$80,5,FALSE),4)</f>
        <v>0</v>
      </c>
      <c r="H28" s="21"/>
      <c r="I28" s="21"/>
      <c r="J28" s="21"/>
      <c r="K28" s="21"/>
      <c r="L28" s="21"/>
      <c r="M28" s="21"/>
    </row>
    <row r="29" spans="2:19" ht="14.25" customHeight="1" x14ac:dyDescent="0.2">
      <c r="B29" s="19" t="s">
        <v>37</v>
      </c>
      <c r="C29" s="20"/>
      <c r="D29" s="134" t="s">
        <v>110</v>
      </c>
      <c r="E29" s="135"/>
      <c r="F29" s="21">
        <f>ROUND(VLOOKUP($B29,'[2]QSS (t)'!$B$10:$O$80,4,FALSE)/365,4)</f>
        <v>0</v>
      </c>
      <c r="G29" s="21"/>
      <c r="H29" s="21">
        <f>ROUND(VLOOKUP($B29,'[2]QSS (t)'!$B$10:$O$80,6,FALSE),4)</f>
        <v>0</v>
      </c>
      <c r="I29" s="21">
        <f>ROUND(VLOOKUP($B29,'[2]QSS (t)'!$B$10:$O$80,7,FALSE),4)</f>
        <v>0</v>
      </c>
      <c r="J29" s="21">
        <f>ROUND(VLOOKUP($B29,'[2]QSS (t)'!$B$10:$O$80,8,FALSE),4)</f>
        <v>0</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6" t="s">
        <v>58</v>
      </c>
      <c r="D37" s="167"/>
      <c r="E37" s="21">
        <f>ROUND(VLOOKUP($B37,'[2]QSS (t)'!$B$10:$O$66,4,FALSE)/365,4)</f>
        <v>0</v>
      </c>
      <c r="F37" s="21">
        <f>ROUND(VLOOKUP($B37,'[2]QSS (t)'!$B$10:$O$66,6,FALSE),4)</f>
        <v>8.3000000000000001E-3</v>
      </c>
      <c r="G37" s="21">
        <f>ROUND(VLOOKUP($B37,'[2]QSS (t)'!$B$10:$O$66,7,FALSE),4)</f>
        <v>8.3000000000000001E-3</v>
      </c>
      <c r="H37" s="21">
        <f>ROUND(VLOOKUP($B37,'[2]QSS (t)'!$B$10:$O$66,8,FALSE),4)</f>
        <v>8.3000000000000001E-3</v>
      </c>
      <c r="I37" s="21"/>
      <c r="J37" s="21">
        <f>ROUND(VLOOKUP($B37,'[2]QSS (t)'!$B$10:$O$66,10,FALSE),4)</f>
        <v>0</v>
      </c>
      <c r="K37" s="21">
        <f>ROUND(VLOOKUP($B37,'[2]QSS (t)'!$B$10:$O$66,11,FALSE),4)</f>
        <v>0</v>
      </c>
      <c r="L37" s="21">
        <f>ROUND(VLOOKUP($B37,'[2]QSS (t)'!$B$10:$O$66,12,FALSE),4)</f>
        <v>0</v>
      </c>
      <c r="M37" s="21"/>
    </row>
    <row r="38" spans="1:13" x14ac:dyDescent="0.2">
      <c r="B38" s="19" t="s">
        <v>35</v>
      </c>
      <c r="C38" s="164" t="s">
        <v>59</v>
      </c>
      <c r="D38" s="165"/>
      <c r="E38" s="21">
        <f>ROUND(VLOOKUP($B38,'[2]QSS (t)'!$B$10:$O$66,4,FALSE)/365,4)</f>
        <v>0</v>
      </c>
      <c r="F38" s="21">
        <f>ROUND(VLOOKUP($B38,'[2]QSS (t)'!$B$10:$O$66,6,FALSE),4)</f>
        <v>0</v>
      </c>
      <c r="G38" s="21">
        <f>ROUND(VLOOKUP($B38,'[2]QSS (t)'!$B$10:$O$66,7,FALSE),4)</f>
        <v>0</v>
      </c>
      <c r="H38" s="21">
        <f>ROUND(VLOOKUP($B38,'[2]QSS (t)'!$B$10:$O$66,8,FALSE),4)</f>
        <v>0</v>
      </c>
      <c r="I38" s="21"/>
      <c r="J38" s="21">
        <f>ROUND(VLOOKUP($B38,'[2]QSS (t)'!$B$10:$O$66,10,FALSE),4)</f>
        <v>0</v>
      </c>
      <c r="K38" s="21">
        <f>ROUND(VLOOKUP($B38,'[2]QSS (t)'!$B$10:$O$66,11,FALSE),4)</f>
        <v>0</v>
      </c>
      <c r="L38" s="21">
        <f>ROUND(VLOOKUP($B38,'[2]QSS (t)'!$B$10:$O$66,12,FALSE),4)</f>
        <v>0</v>
      </c>
      <c r="M38" s="21"/>
    </row>
    <row r="39" spans="1:13" x14ac:dyDescent="0.2">
      <c r="B39" s="19" t="s">
        <v>170</v>
      </c>
      <c r="C39" s="33" t="s">
        <v>200</v>
      </c>
      <c r="D39" s="101"/>
      <c r="E39" s="21">
        <f>ROUND(VLOOKUP("BLND1CO",'[2]TUOS (t)'!$B$10:$O$66,4,FALSE)/365,4)</f>
        <v>0</v>
      </c>
      <c r="F39" s="21">
        <f>ROUND(VLOOKUP($B39,'[2]QSS (t)'!$B$10:$O$66,6,FALSE),4)</f>
        <v>8.3000000000000001E-3</v>
      </c>
      <c r="G39" s="21">
        <f>ROUND(VLOOKUP($B39,'[2]QSS (t)'!$B$10:$O$66,7,FALSE),4)</f>
        <v>8.3000000000000001E-3</v>
      </c>
      <c r="H39" s="21">
        <f>ROUND(VLOOKUP($B39,'[2]QSS (t)'!$B$10:$O$66,8,FALSE),4)</f>
        <v>8.3000000000000001E-3</v>
      </c>
      <c r="I39" s="21">
        <f>ROUND(VLOOKUP("BLND1CO",'[2]TUOS (t)'!$B$10:$O$66,9,FALSE),4)</f>
        <v>0</v>
      </c>
      <c r="J39" s="21"/>
      <c r="K39" s="21"/>
      <c r="L39" s="21"/>
      <c r="M39" s="21"/>
    </row>
    <row r="40" spans="1:13" ht="28.5" x14ac:dyDescent="0.2">
      <c r="B40" s="20" t="s">
        <v>81</v>
      </c>
      <c r="C40" s="33" t="s">
        <v>48</v>
      </c>
      <c r="D40" s="101"/>
      <c r="E40" s="21">
        <f>ROUND(VLOOKUP("BLND1CO",'[2]QSS (t)'!$B$10:$O$66,4,FALSE)/365,4)</f>
        <v>0</v>
      </c>
      <c r="F40" s="21">
        <f>ROUND(VLOOKUP("BLND1CO",'[2]QSS (t)'!$B$10:$O$66,6,FALSE),4)</f>
        <v>8.3000000000000001E-3</v>
      </c>
      <c r="G40" s="21">
        <f>ROUND(VLOOKUP("BLND1CO",'[2]QSS (t)'!$B$10:$O$66,7,FALSE),4)</f>
        <v>8.3000000000000001E-3</v>
      </c>
      <c r="H40" s="21">
        <f>ROUND(VLOOKUP("BLND1CO",'[2]QSS (t)'!$B$10:$O$66,8,FALSE),4)</f>
        <v>8.3000000000000001E-3</v>
      </c>
      <c r="I40" s="21">
        <f>ROUND(VLOOKUP("BLND1CO",'[2]QSS (t)'!$B$10:$O$66,9,FALSE),4)</f>
        <v>0</v>
      </c>
      <c r="J40" s="21"/>
      <c r="K40" s="21"/>
      <c r="L40" s="21"/>
      <c r="M40" s="21"/>
    </row>
    <row r="41" spans="1:13" x14ac:dyDescent="0.2">
      <c r="B41" s="19" t="s">
        <v>20</v>
      </c>
      <c r="C41" s="33" t="s">
        <v>55</v>
      </c>
      <c r="D41" s="101"/>
      <c r="E41" s="21">
        <f>ROUND(VLOOKUP($B41,'[2]QSS (t)'!$B$10:$O$66,4,FALSE)/365,4)</f>
        <v>0</v>
      </c>
      <c r="F41" s="21">
        <f>ROUND(VLOOKUP($B41,'[2]QSS (t)'!$B$10:$O$66,6,FALSE),4)</f>
        <v>8.3000000000000001E-3</v>
      </c>
      <c r="G41" s="21">
        <f>ROUND(VLOOKUP($B41,'[2]QSS (t)'!$B$10:$O$66,7,FALSE),4)</f>
        <v>8.3000000000000001E-3</v>
      </c>
      <c r="H41" s="21">
        <f>ROUND(VLOOKUP($B41,'[2]QSS (t)'!$B$10:$O$66,8,FALSE),4)</f>
        <v>8.3000000000000001E-3</v>
      </c>
      <c r="I41" s="21">
        <f>ROUND(VLOOKUP($B41,'[2]QSS (t)'!$B$10:$O$66,9,FALSE),4)</f>
        <v>0</v>
      </c>
      <c r="J41" s="21"/>
      <c r="K41" s="21"/>
      <c r="L41" s="21"/>
      <c r="M41" s="21">
        <f>ROUND(VLOOKUP($B41,'[2]QSS (t)'!$B$10:$O$66,13,FALSE),4)</f>
        <v>0</v>
      </c>
    </row>
    <row r="42" spans="1:13" x14ac:dyDescent="0.2">
      <c r="B42" s="19" t="s">
        <v>21</v>
      </c>
      <c r="C42" s="33" t="s">
        <v>54</v>
      </c>
      <c r="D42" s="101"/>
      <c r="E42" s="21">
        <f>ROUND(VLOOKUP($B42,'[2]QSS (t)'!$B$10:$O$66,4,FALSE)/365,4)</f>
        <v>0</v>
      </c>
      <c r="F42" s="21">
        <f>ROUND(VLOOKUP($B42,'[2]QSS (t)'!$B$10:$O$66,6,FALSE),4)</f>
        <v>8.3000000000000001E-3</v>
      </c>
      <c r="G42" s="21">
        <f>ROUND(VLOOKUP($B42,'[2]QSS (t)'!$B$10:$O$66,7,FALSE),4)</f>
        <v>8.3000000000000001E-3</v>
      </c>
      <c r="H42" s="21">
        <f>ROUND(VLOOKUP($B42,'[2]QSS (t)'!$B$10:$O$66,8,FALSE),4)</f>
        <v>8.3000000000000001E-3</v>
      </c>
      <c r="I42" s="21">
        <f>ROUND(VLOOKUP($B42,'[2]QSS (t)'!$B$10:$O$66,9,FALSE),4)</f>
        <v>0</v>
      </c>
      <c r="J42" s="21"/>
      <c r="K42" s="21"/>
      <c r="L42" s="21"/>
      <c r="M42" s="21">
        <f>ROUND(VLOOKUP($B42,'[2]QSS (t)'!$B$10:$O$66,13,FALSE),4)</f>
        <v>0</v>
      </c>
    </row>
    <row r="43" spans="1:13" s="46" customFormat="1" x14ac:dyDescent="0.2">
      <c r="A43" s="45"/>
      <c r="B43" s="19" t="s">
        <v>22</v>
      </c>
      <c r="C43" s="33" t="s">
        <v>56</v>
      </c>
      <c r="D43" s="102"/>
      <c r="E43" s="21">
        <f>ROUND(VLOOKUP($B43,'[2]QSS (t)'!$B$10:$O$66,4,FALSE)/365,4)</f>
        <v>0</v>
      </c>
      <c r="F43" s="21">
        <f>ROUND(VLOOKUP($B43,'[2]QSS (t)'!$B$10:$O$66,6,FALSE),4)</f>
        <v>0</v>
      </c>
      <c r="G43" s="21">
        <f>ROUND(VLOOKUP($B43,'[2]QSS (t)'!$B$10:$O$66,7,FALSE),4)</f>
        <v>0</v>
      </c>
      <c r="H43" s="21">
        <f>ROUND(VLOOKUP($B43,'[2]QSS (t)'!$B$10:$O$66,8,FALSE),4)</f>
        <v>0</v>
      </c>
      <c r="I43" s="21">
        <f>ROUND(VLOOKUP($B43,'[2]QSS (t)'!$B$10:$O$66,9,FALSE),4)</f>
        <v>0</v>
      </c>
      <c r="J43" s="21"/>
      <c r="K43" s="21"/>
      <c r="L43" s="21"/>
      <c r="M43" s="21"/>
    </row>
    <row r="44" spans="1:13" ht="28.5" x14ac:dyDescent="0.2">
      <c r="B44" s="20" t="s">
        <v>80</v>
      </c>
      <c r="C44" s="33" t="s">
        <v>57</v>
      </c>
      <c r="D44" s="101"/>
      <c r="E44" s="21">
        <f>ROUND(VLOOKUP("BHND1SO",'[2]QSS (t)'!$B$10:$O$66,4,FALSE)/365,4)</f>
        <v>0</v>
      </c>
      <c r="F44" s="21">
        <f>ROUND(VLOOKUP("BHND1SO",'[2]QSS (t)'!$B$10:$O$66,6,FALSE),4)</f>
        <v>0</v>
      </c>
      <c r="G44" s="21">
        <f>ROUND(VLOOKUP("BHND1SO",'[2]QSS (t)'!$B$10:$O$66,7,FALSE),4)</f>
        <v>0</v>
      </c>
      <c r="H44" s="21">
        <f>ROUND(VLOOKUP("BHND1SO",'[2]QSS (t)'!$B$10:$O$66,8,FALSE),4)</f>
        <v>0</v>
      </c>
      <c r="I44" s="21">
        <f>ROUND(VLOOKUP("BHND1SO",'[2]QSS (t)'!$B$10:$O$66,9,FALSE),4)</f>
        <v>0</v>
      </c>
      <c r="J44" s="21"/>
      <c r="K44" s="21"/>
      <c r="L44" s="21"/>
      <c r="M44" s="21">
        <f>ROUND(VLOOKUP("BHND1SO",'[2]QSS (t)'!$B$10:$O$66,13,FALSE),4)</f>
        <v>0</v>
      </c>
    </row>
  </sheetData>
  <mergeCells count="27">
    <mergeCell ref="D9:E9"/>
    <mergeCell ref="D10:E10"/>
    <mergeCell ref="K24:L24"/>
    <mergeCell ref="D28:E28"/>
    <mergeCell ref="D29:E29"/>
    <mergeCell ref="D25:E25"/>
    <mergeCell ref="D26:E26"/>
    <mergeCell ref="D24:E24"/>
    <mergeCell ref="D11:E11"/>
    <mergeCell ref="D19:E19"/>
    <mergeCell ref="D20:E20"/>
    <mergeCell ref="D21:E21"/>
    <mergeCell ref="D22:E22"/>
    <mergeCell ref="D14:E14"/>
    <mergeCell ref="D18:E18"/>
    <mergeCell ref="D12:E12"/>
    <mergeCell ref="B3:F3"/>
    <mergeCell ref="I3:J3"/>
    <mergeCell ref="B5:B7"/>
    <mergeCell ref="C5:C7"/>
    <mergeCell ref="D5:E7"/>
    <mergeCell ref="D15:E15"/>
    <mergeCell ref="D17:E17"/>
    <mergeCell ref="C37:D37"/>
    <mergeCell ref="C38:D38"/>
    <mergeCell ref="D23:E23"/>
    <mergeCell ref="D31:E31"/>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zoomScaleNormal="100" zoomScaleSheetLayoutView="80" workbookViewId="0">
      <selection activeCell="B7" sqref="B7"/>
    </sheetView>
  </sheetViews>
  <sheetFormatPr defaultRowHeight="15.75" x14ac:dyDescent="0.3"/>
  <cols>
    <col min="1" max="1" width="40.88671875" customWidth="1"/>
    <col min="2" max="2" width="122.44140625" customWidth="1"/>
  </cols>
  <sheetData>
    <row r="1" spans="1:2" x14ac:dyDescent="0.3">
      <c r="A1" t="s">
        <v>165</v>
      </c>
    </row>
    <row r="3" spans="1:2" ht="16.5" thickBot="1" x14ac:dyDescent="0.35"/>
    <row r="4" spans="1:2" ht="16.5" thickBot="1" x14ac:dyDescent="0.35">
      <c r="A4" s="84" t="s">
        <v>0</v>
      </c>
      <c r="B4" s="85" t="s">
        <v>119</v>
      </c>
    </row>
    <row r="5" spans="1:2" x14ac:dyDescent="0.3">
      <c r="A5" s="95" t="s">
        <v>185</v>
      </c>
      <c r="B5" s="87" t="s">
        <v>186</v>
      </c>
    </row>
    <row r="6" spans="1:2" ht="16.5" thickBot="1" x14ac:dyDescent="0.35">
      <c r="A6" s="88" t="s">
        <v>120</v>
      </c>
      <c r="B6" s="89" t="s">
        <v>121</v>
      </c>
    </row>
    <row r="7" spans="1:2" ht="16.5" thickBot="1" x14ac:dyDescent="0.35">
      <c r="A7" s="96" t="s">
        <v>187</v>
      </c>
      <c r="B7" s="104" t="s">
        <v>194</v>
      </c>
    </row>
    <row r="8" spans="1:2" ht="16.5" thickBot="1" x14ac:dyDescent="0.35">
      <c r="A8" s="96" t="s">
        <v>188</v>
      </c>
      <c r="B8" s="104" t="s">
        <v>194</v>
      </c>
    </row>
    <row r="9" spans="1:2" ht="48.75" thickBot="1" x14ac:dyDescent="0.35">
      <c r="A9" s="88" t="s">
        <v>122</v>
      </c>
      <c r="B9" s="89" t="s">
        <v>123</v>
      </c>
    </row>
    <row r="10" spans="1:2" ht="36.75" thickBot="1" x14ac:dyDescent="0.35">
      <c r="A10" s="88" t="s">
        <v>124</v>
      </c>
      <c r="B10" s="89" t="s">
        <v>125</v>
      </c>
    </row>
    <row r="11" spans="1:2" ht="16.5" thickBot="1" x14ac:dyDescent="0.35">
      <c r="A11" s="88" t="s">
        <v>126</v>
      </c>
      <c r="B11" s="89" t="s">
        <v>127</v>
      </c>
    </row>
    <row r="12" spans="1:2" ht="16.5" thickBot="1" x14ac:dyDescent="0.35">
      <c r="A12" s="88" t="s">
        <v>128</v>
      </c>
      <c r="B12" s="89" t="s">
        <v>129</v>
      </c>
    </row>
    <row r="13" spans="1:2" ht="16.5" thickBot="1" x14ac:dyDescent="0.35">
      <c r="A13" s="88" t="s">
        <v>130</v>
      </c>
      <c r="B13" s="90" t="s">
        <v>131</v>
      </c>
    </row>
    <row r="14" spans="1:2" ht="16.5" thickBot="1" x14ac:dyDescent="0.35">
      <c r="A14" s="88" t="s">
        <v>132</v>
      </c>
      <c r="B14" s="90" t="s">
        <v>133</v>
      </c>
    </row>
    <row r="15" spans="1:2" ht="16.5" thickBot="1" x14ac:dyDescent="0.35">
      <c r="A15" s="88" t="s">
        <v>134</v>
      </c>
      <c r="B15" s="90" t="s">
        <v>135</v>
      </c>
    </row>
    <row r="16" spans="1:2" ht="16.5" thickBot="1" x14ac:dyDescent="0.35">
      <c r="A16" s="88" t="s">
        <v>136</v>
      </c>
      <c r="B16" s="91" t="s">
        <v>166</v>
      </c>
    </row>
    <row r="17" spans="1:2" ht="16.5" thickBot="1" x14ac:dyDescent="0.35">
      <c r="A17" s="88" t="s">
        <v>137</v>
      </c>
      <c r="B17" s="90" t="s">
        <v>138</v>
      </c>
    </row>
    <row r="18" spans="1:2" ht="16.5" thickBot="1" x14ac:dyDescent="0.35">
      <c r="A18" s="96" t="s">
        <v>189</v>
      </c>
      <c r="B18" s="90" t="s">
        <v>190</v>
      </c>
    </row>
    <row r="19" spans="1:2" ht="16.5" thickBot="1" x14ac:dyDescent="0.35">
      <c r="A19" s="88" t="s">
        <v>139</v>
      </c>
      <c r="B19" s="90" t="s">
        <v>140</v>
      </c>
    </row>
    <row r="20" spans="1:2" ht="16.5" thickBot="1" x14ac:dyDescent="0.35">
      <c r="A20" s="96" t="s">
        <v>191</v>
      </c>
      <c r="B20" s="105" t="s">
        <v>195</v>
      </c>
    </row>
    <row r="21" spans="1:2" ht="16.5" thickBot="1" x14ac:dyDescent="0.35">
      <c r="A21" s="96" t="s">
        <v>192</v>
      </c>
      <c r="B21" s="105" t="s">
        <v>195</v>
      </c>
    </row>
    <row r="22" spans="1:2" ht="16.5" thickBot="1" x14ac:dyDescent="0.35">
      <c r="A22" s="88" t="s">
        <v>141</v>
      </c>
      <c r="B22" s="90" t="s">
        <v>142</v>
      </c>
    </row>
    <row r="23" spans="1:2" ht="84.75" thickBot="1" x14ac:dyDescent="0.35">
      <c r="A23" s="96" t="s">
        <v>193</v>
      </c>
      <c r="B23" s="105" t="s">
        <v>196</v>
      </c>
    </row>
    <row r="24" spans="1:2" ht="16.5" thickBot="1" x14ac:dyDescent="0.35">
      <c r="A24" s="88" t="s">
        <v>143</v>
      </c>
      <c r="B24" s="90" t="s">
        <v>144</v>
      </c>
    </row>
    <row r="25" spans="1:2" ht="24" x14ac:dyDescent="0.3">
      <c r="A25" s="172" t="s">
        <v>145</v>
      </c>
      <c r="B25" s="92" t="s">
        <v>202</v>
      </c>
    </row>
    <row r="26" spans="1:2" x14ac:dyDescent="0.3">
      <c r="A26" s="173"/>
      <c r="B26" s="92" t="s">
        <v>146</v>
      </c>
    </row>
    <row r="27" spans="1:2" ht="24" x14ac:dyDescent="0.3">
      <c r="A27" s="173"/>
      <c r="B27" s="92" t="s">
        <v>147</v>
      </c>
    </row>
    <row r="28" spans="1:2" x14ac:dyDescent="0.3">
      <c r="A28" s="173"/>
      <c r="B28" s="92" t="s">
        <v>148</v>
      </c>
    </row>
    <row r="29" spans="1:2" ht="16.5" thickBot="1" x14ac:dyDescent="0.35">
      <c r="A29" s="174"/>
      <c r="B29" s="90" t="s">
        <v>149</v>
      </c>
    </row>
    <row r="30" spans="1:2" ht="16.5" thickBot="1" x14ac:dyDescent="0.35">
      <c r="A30" s="88" t="s">
        <v>150</v>
      </c>
      <c r="B30" s="90" t="s">
        <v>151</v>
      </c>
    </row>
    <row r="31" spans="1:2" ht="16.5" thickBot="1" x14ac:dyDescent="0.35">
      <c r="A31" s="88" t="s">
        <v>152</v>
      </c>
      <c r="B31" s="90" t="s">
        <v>153</v>
      </c>
    </row>
    <row r="32" spans="1:2" ht="48" x14ac:dyDescent="0.3">
      <c r="A32" s="172" t="s">
        <v>154</v>
      </c>
      <c r="B32" s="92" t="s">
        <v>203</v>
      </c>
    </row>
    <row r="33" spans="1:2" x14ac:dyDescent="0.3">
      <c r="A33" s="173"/>
      <c r="B33" s="92" t="s">
        <v>146</v>
      </c>
    </row>
    <row r="34" spans="1:2" ht="24" x14ac:dyDescent="0.3">
      <c r="A34" s="173"/>
      <c r="B34" s="92" t="s">
        <v>155</v>
      </c>
    </row>
    <row r="35" spans="1:2" x14ac:dyDescent="0.3">
      <c r="A35" s="173"/>
      <c r="B35" s="92" t="s">
        <v>148</v>
      </c>
    </row>
    <row r="36" spans="1:2" ht="16.5" thickBot="1" x14ac:dyDescent="0.35">
      <c r="A36" s="174"/>
      <c r="B36" s="90" t="s">
        <v>156</v>
      </c>
    </row>
    <row r="37" spans="1:2" ht="24.75" thickBot="1" x14ac:dyDescent="0.35">
      <c r="A37" s="88" t="s">
        <v>157</v>
      </c>
      <c r="B37" s="90" t="s">
        <v>158</v>
      </c>
    </row>
    <row r="38" spans="1:2" ht="16.5" thickBot="1" x14ac:dyDescent="0.35">
      <c r="A38" s="88" t="s">
        <v>159</v>
      </c>
      <c r="B38" s="90" t="s">
        <v>160</v>
      </c>
    </row>
    <row r="39" spans="1:2" ht="16.5" thickBot="1" x14ac:dyDescent="0.35">
      <c r="A39" s="88" t="s">
        <v>161</v>
      </c>
      <c r="B39" s="90" t="s">
        <v>162</v>
      </c>
    </row>
    <row r="40" spans="1:2" x14ac:dyDescent="0.3">
      <c r="A40" s="86" t="s">
        <v>163</v>
      </c>
      <c r="B40" s="175" t="s">
        <v>164</v>
      </c>
    </row>
    <row r="41" spans="1:2" ht="16.5" thickBot="1" x14ac:dyDescent="0.35">
      <c r="A41" s="88" t="s">
        <v>51</v>
      </c>
      <c r="B41" s="176"/>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Price List_Excl GST</vt:lpstr>
      <vt:lpstr>Price List_Incl GST</vt:lpstr>
      <vt:lpstr>Price List_DUOS_Excl GST</vt:lpstr>
      <vt:lpstr>Price List_TUOS_Excl GST</vt:lpstr>
      <vt:lpstr>Price List_CCF_Excl GST</vt:lpstr>
      <vt:lpstr>Price List_QSS_Excl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Michelle Hagney</cp:lastModifiedBy>
  <cp:lastPrinted>2017-04-03T05:55:44Z</cp:lastPrinted>
  <dcterms:created xsi:type="dcterms:W3CDTF">2009-05-26T02:30:41Z</dcterms:created>
  <dcterms:modified xsi:type="dcterms:W3CDTF">2022-03-29T23:58:10Z</dcterms:modified>
</cp:coreProperties>
</file>