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1720" windowHeight="13290" activeTab="3"/>
  </bookViews>
  <sheets>
    <sheet name="Input Documents --&gt;" sheetId="16" r:id="rId1"/>
    <sheet name="Input Sheet" sheetId="13" r:id="rId2"/>
    <sheet name="Methodology Statements --&gt;" sheetId="15" r:id="rId3"/>
    <sheet name="AER Summary" sheetId="8" r:id="rId4"/>
    <sheet name="Service Description" sheetId="9" r:id="rId5"/>
    <sheet name="Fee Breakdown" sheetId="11" r:id="rId6"/>
  </sheets>
  <definedNames>
    <definedName name="_xlnm.Print_Area" localSheetId="3">'AER Summary'!$A:$I</definedName>
    <definedName name="_xlnm.Print_Area" localSheetId="5">'Fee Breakdown'!$A$1:$AC$22</definedName>
    <definedName name="TM1REBUILDOPTION">1</definedName>
  </definedNames>
  <calcPr calcId="145621" calcMode="manual" concurrentCalc="0"/>
</workbook>
</file>

<file path=xl/calcChain.xml><?xml version="1.0" encoding="utf-8"?>
<calcChain xmlns="http://schemas.openxmlformats.org/spreadsheetml/2006/main">
  <c r="K70" i="13" l="1"/>
  <c r="K51" i="13"/>
  <c r="P17" i="11"/>
  <c r="K61" i="13"/>
  <c r="V17" i="11"/>
  <c r="AB17" i="11"/>
  <c r="AB19" i="11"/>
  <c r="J70" i="13"/>
  <c r="J51" i="13"/>
  <c r="O17" i="11"/>
  <c r="J61" i="13"/>
  <c r="U17" i="11"/>
  <c r="AA17" i="11"/>
  <c r="AA19" i="11"/>
  <c r="I70" i="13"/>
  <c r="I51" i="13"/>
  <c r="N17" i="11"/>
  <c r="I61" i="13"/>
  <c r="T17" i="11"/>
  <c r="Z17" i="11"/>
  <c r="Z19" i="11"/>
  <c r="H70" i="13"/>
  <c r="H51" i="13"/>
  <c r="M17" i="11"/>
  <c r="H61" i="13"/>
  <c r="S17" i="11"/>
  <c r="Y17" i="11"/>
  <c r="Y19" i="11"/>
  <c r="G70" i="13"/>
  <c r="G51" i="13"/>
  <c r="L17" i="11"/>
  <c r="G61" i="13"/>
  <c r="R17" i="11"/>
  <c r="X17" i="11"/>
  <c r="X19" i="11"/>
  <c r="V19" i="11"/>
  <c r="U19" i="11"/>
  <c r="T19" i="11"/>
  <c r="S19" i="11"/>
  <c r="R19" i="11"/>
  <c r="P19" i="11"/>
  <c r="O19" i="11"/>
  <c r="N19" i="11"/>
  <c r="M19" i="11"/>
  <c r="L19" i="11"/>
  <c r="C3" i="11"/>
  <c r="J17" i="11"/>
  <c r="H17" i="11"/>
  <c r="H28" i="13"/>
  <c r="I29" i="13"/>
  <c r="H29" i="13"/>
  <c r="H30" i="13"/>
  <c r="I28" i="13"/>
  <c r="I30" i="13"/>
  <c r="J28" i="13"/>
  <c r="J30" i="13"/>
  <c r="J32" i="13"/>
  <c r="G17" i="11"/>
  <c r="F17" i="11"/>
  <c r="E17" i="11"/>
  <c r="D17" i="11"/>
  <c r="F51" i="13"/>
  <c r="K63" i="13"/>
  <c r="H19" i="11"/>
  <c r="G19" i="11"/>
  <c r="F19" i="11"/>
  <c r="E19" i="11"/>
  <c r="D19" i="11"/>
  <c r="J34" i="13"/>
  <c r="J36" i="13"/>
  <c r="G52" i="13"/>
  <c r="F52" i="13"/>
  <c r="K72" i="13"/>
  <c r="J29" i="13"/>
  <c r="B3" i="13"/>
  <c r="K52" i="13"/>
  <c r="H8" i="8"/>
  <c r="J52" i="13"/>
  <c r="G8" i="8"/>
  <c r="I52" i="13"/>
  <c r="F8" i="8"/>
  <c r="H52" i="13"/>
  <c r="E8" i="8"/>
  <c r="D8" i="8"/>
  <c r="H9" i="11"/>
  <c r="AB9" i="11"/>
  <c r="G9" i="11"/>
  <c r="AA9" i="11"/>
  <c r="F9" i="11"/>
  <c r="Z9" i="11"/>
  <c r="E9" i="11"/>
  <c r="Y9" i="11"/>
  <c r="D9" i="11"/>
  <c r="X9" i="11"/>
  <c r="K54" i="13"/>
  <c r="J54" i="13"/>
  <c r="I54" i="13"/>
  <c r="H54" i="13"/>
  <c r="B5" i="11"/>
  <c r="X11" i="11"/>
  <c r="C26" i="8"/>
  <c r="Y11" i="11"/>
  <c r="D26" i="8"/>
  <c r="Z11" i="11"/>
  <c r="E26" i="8"/>
  <c r="AA11" i="11"/>
  <c r="F26" i="8"/>
  <c r="AB11" i="11"/>
  <c r="G26" i="8"/>
  <c r="H26" i="8"/>
  <c r="D32" i="8"/>
  <c r="E32" i="8"/>
  <c r="F32" i="8"/>
  <c r="G32" i="8"/>
  <c r="C32" i="8"/>
  <c r="D29" i="8"/>
  <c r="E29" i="8"/>
  <c r="F29" i="8"/>
  <c r="G29" i="8"/>
  <c r="C29" i="8"/>
  <c r="D28" i="8"/>
  <c r="E28" i="8"/>
  <c r="F28" i="8"/>
  <c r="G28" i="8"/>
  <c r="C28" i="8"/>
  <c r="I42" i="13"/>
  <c r="J42" i="13"/>
  <c r="H42" i="13"/>
  <c r="K42" i="13"/>
  <c r="H28" i="8"/>
  <c r="H29" i="8"/>
  <c r="H30" i="8"/>
  <c r="G30" i="8"/>
  <c r="F30" i="8"/>
  <c r="E30" i="8"/>
  <c r="D30" i="8"/>
  <c r="C30" i="8"/>
  <c r="C38" i="8"/>
  <c r="D38" i="8"/>
  <c r="E38" i="8"/>
  <c r="F38" i="8"/>
  <c r="G38" i="8"/>
  <c r="H38" i="8"/>
  <c r="G42" i="13"/>
  <c r="H32" i="8"/>
  <c r="D3" i="9"/>
</calcChain>
</file>

<file path=xl/sharedStrings.xml><?xml version="1.0" encoding="utf-8"?>
<sst xmlns="http://schemas.openxmlformats.org/spreadsheetml/2006/main" count="208" uniqueCount="106">
  <si>
    <t>Service:</t>
  </si>
  <si>
    <t>Total</t>
  </si>
  <si>
    <t>Historical Revenue</t>
  </si>
  <si>
    <t>Volumes</t>
  </si>
  <si>
    <t>Source</t>
  </si>
  <si>
    <t>AER Framework and Approach paper March 2013</t>
  </si>
  <si>
    <t>Fee Type</t>
  </si>
  <si>
    <t>Not available</t>
  </si>
  <si>
    <t>2009/10</t>
  </si>
  <si>
    <t>2010/11</t>
  </si>
  <si>
    <t>2011/12</t>
  </si>
  <si>
    <t>2012/13</t>
  </si>
  <si>
    <t>2013/14</t>
  </si>
  <si>
    <t>2014/15</t>
  </si>
  <si>
    <t>2015/16</t>
  </si>
  <si>
    <t>2016/17</t>
  </si>
  <si>
    <t>2017/18</t>
  </si>
  <si>
    <t>2018/19</t>
  </si>
  <si>
    <t>Average Hours per job</t>
  </si>
  <si>
    <t>Overhead Factor (Nominal)</t>
  </si>
  <si>
    <t>Average NOMINAL Overhead Factor for Regulatory Period</t>
  </si>
  <si>
    <t>Average Conversion Factor From Real to Nominal</t>
  </si>
  <si>
    <t>Direct Costs (Nominal)</t>
  </si>
  <si>
    <t>Work Order</t>
  </si>
  <si>
    <t>Indirect Costs (Nominal)</t>
  </si>
  <si>
    <t>Type</t>
  </si>
  <si>
    <t>Work Order Description</t>
  </si>
  <si>
    <t>Historical Work Order Costs</t>
  </si>
  <si>
    <t>Assumed annual labour growth</t>
  </si>
  <si>
    <t>Labour Growth</t>
  </si>
  <si>
    <t>Total Operating Expenditure</t>
  </si>
  <si>
    <t>Ancillary Network Services</t>
  </si>
  <si>
    <t>Data Input Work Sheet</t>
  </si>
  <si>
    <t>This worksheet left blank intentionally</t>
  </si>
  <si>
    <t>Calculation of Overhead Factor</t>
  </si>
  <si>
    <t>Overhead Factor</t>
  </si>
  <si>
    <t>Average Hourly Rate (2012/13$) - Incl OH</t>
  </si>
  <si>
    <t>Ancillary Network Services - Service Description</t>
  </si>
  <si>
    <t>Ancillary Network Services - Summary</t>
  </si>
  <si>
    <t>Ancillary Network Services - Fee Breakdown</t>
  </si>
  <si>
    <t>Overheads</t>
  </si>
  <si>
    <t>Direct Operating Expenditure</t>
  </si>
  <si>
    <t>Hourly rate (excl overheads)</t>
  </si>
  <si>
    <t>Hourly rate (incl overheads)</t>
  </si>
  <si>
    <t>Framework &amp; Approach Service Description</t>
  </si>
  <si>
    <t>Network &amp; Corporate Overhead Factor</t>
  </si>
  <si>
    <t>Overhead Conversion Factor</t>
  </si>
  <si>
    <t>Average</t>
  </si>
  <si>
    <t>Total Costs</t>
  </si>
  <si>
    <t>Average Hourly Rates - 2012/13 Dollars</t>
  </si>
  <si>
    <t>Average Hourly Rates - Forecast Nominal</t>
  </si>
  <si>
    <t>Growth</t>
  </si>
  <si>
    <t>Forecast Volumes</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</si>
  <si>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</si>
  <si>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</si>
  <si>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</si>
  <si>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</si>
  <si>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</si>
  <si>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</si>
  <si>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 xml:space="preserve">Existing Service Description (2009-14) </t>
  </si>
  <si>
    <t>Updated Service Description (2015-19)</t>
  </si>
  <si>
    <t>Current Fee (Excl GST):</t>
  </si>
  <si>
    <t>Proposed Fee (Excl GST):</t>
  </si>
  <si>
    <t>Forecast Operating Expenditure</t>
  </si>
  <si>
    <t>Proposed Revenue (Nominal)</t>
  </si>
  <si>
    <t>Forecast Volumes &amp; Hours</t>
  </si>
  <si>
    <t>Estimated Hours Per Job</t>
  </si>
  <si>
    <t>2015-2019 Pricing Methodology for Service (Summary)</t>
  </si>
  <si>
    <t>Total hours as per work order</t>
  </si>
  <si>
    <t>Average Hourly Rate (Nominal)</t>
  </si>
  <si>
    <t>Labour Growth Rates</t>
  </si>
  <si>
    <t>Average Hourly Rate (Real 2012/13$)</t>
  </si>
  <si>
    <t xml:space="preserve">The average hourly labour rate in 2012/13 real dollars is converted to nominal dollars for each year in the next regulatory period using the nominal conversion factor derived from the CAM. </t>
  </si>
  <si>
    <t>Services involved in obtaining deeds of agreement in relation to property rights associated with contestable connections work</t>
  </si>
  <si>
    <t>Services involved in obtaining deeds</t>
  </si>
  <si>
    <t>NCP10001</t>
  </si>
  <si>
    <t>ADMINISTRATION OF CONTESTABLE WORKS (33.33%)</t>
  </si>
  <si>
    <t>2008/09</t>
  </si>
  <si>
    <t xml:space="preserve">This represents a new fee for Endeavour Energy. As a result, there are no historic revenues associated with the provision of this service. </t>
  </si>
  <si>
    <t>Specific work orders do not exist which capture the costs associated with the provision of this service. Current costs are estimated based on information provided by relevant stakeholders.</t>
  </si>
  <si>
    <t>All unit rates have been calculated in real 2012/13 dollars for comparison purposes. To estimate labour rates in real 2012/13 dollars for prior years, the actual salary increases for award staff in those years has been used.</t>
  </si>
  <si>
    <t>Manager Network Connections advised that the mix of employees that cost time to this work order are the same employees that would be involved in carrying out this ancillary network service. As a result, this work order is used as a proxy to calculate hourly rates associated with the provision of this service.
The average hourly rate is inflated by the overhead factor derived from the CAM to calculate an hourly labour rate inclusive of network and corporate overheads.</t>
  </si>
  <si>
    <t>Average Hourly Rate (2012/13$) - Excl OH</t>
  </si>
  <si>
    <t>Historic data in relation to volumes and/or hours required per job is not available for the provision of this service. 
Forecasts were provided by Manager Network Connections.</t>
  </si>
  <si>
    <t>Direct Opex ANS (Nominal)</t>
  </si>
  <si>
    <t>Total Opex ANS (Nominal)</t>
  </si>
  <si>
    <t>Direct ANS (Real 2012/13$)</t>
  </si>
  <si>
    <t>Endeavour Energy's overhead factor is derived from the Cost Allocation Methodology ('CAM') approved by the AER and the final opex budget for the regulatory period. Refer to the CAM model output for the forecast period.</t>
  </si>
  <si>
    <t>This represents a new fee for Endeavour Energy. As a result, there is no existing service description for the 2009-14 regulatory period.</t>
  </si>
  <si>
    <t>No description provided.</t>
  </si>
  <si>
    <t>Services related to the acquisition of tenure over, and access to, DNSP assets associated with contestable connection works.  New assets being connected to the network may be positioned on land not legally accessible to the DNSP. To ensure the DNSP has appropriate tenure and access to these new assets into the future, a Deed of Agreement is established in advance of connecting the new assets to facilitate the necessary execution of formal arrangements that create appropriate easement or lease arrangements to be registered on the land title deed.
Services provided in relation to obtaining deeds of agreement for property rights associated with contestable connection works, including processes associated with obtaining registered leases and easements for land on which DNSP assets are located (i.e. those assets assigned or “gifted” to DNSPs on electrification). These property rights are necessary in order to ensure that the DNSP is able to carry out ongoing maintenance in relation to its assets. As DNSPs often connect assets before registered leases or easements have been obtained, it is necessary to obtain deeds of agreement from landowners in the interim.</t>
  </si>
  <si>
    <t>Proposed Fees (Nominal) - Per Hour</t>
  </si>
  <si>
    <t>Pricing Mechanism:</t>
  </si>
  <si>
    <t>Per hour</t>
  </si>
  <si>
    <t>N/A - represents a new fee for the 2015-19 regulatory period</t>
  </si>
  <si>
    <t>Based on the following labour rates per hour for the 2015-19 regulatory period</t>
  </si>
  <si>
    <t>2) As historic work order data was not available for the provision of this service, a 2012/13 direct cost labour rate was developed based on information provided by relevant internal stakeholders. This included identifying the individuals involved in the provision of this service and determining an average 2012/13 labour rate.</t>
  </si>
  <si>
    <t>3) An overhead factor derived from Endeavour Energy's Cost Allocation Model ('CAM') was applied to the direct cost labour rate to calculate a labour rate inclusive of network and corporate overheads. In addition, a 2012/13 real to nominal conversion factor derived from the CAM was applied to the labour rate to calculate forecast rates in nominal dollars over the 2015-19 regulatory period.</t>
  </si>
  <si>
    <t>This represents a new fee for Endeavour Energy, and as a result there are no historic revenues associated with the provision of this service. In addition, specific work orders do not exist which capture the costs / volumes associated with the provision of this service. Therefore, actual historic costs and volumes cannot be provided.</t>
  </si>
  <si>
    <t>Proposed fees (including network and corporate overheads) were multiplied by forecast volumes to calculate forecast revenue. Forecast costs associated with the provision of this service were calculated by multiplying direct cost labour rates (per year) by the annual overhead factor and forecast volumes. Forecast revenue differs slightly to forecast costs, as the calculation of proposed fees uses an average overhead factor for the regulatory period, whereas costs are forecast based on the actual overhead factor for the year in order to balance to CAM outcomes. Forecast volumes were provided by the Manager Network Connections.</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</si>
  <si>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</si>
  <si>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Endeavour initially derived forecast ANS opex in real 2012/13 dollars. In order to convert from real to nominal the CAM provides a nominal conversion factor. Refer to the CAM model output for the forecast period.</t>
  </si>
  <si>
    <t>Calculation of Real to Nominal Conversion Factor</t>
  </si>
  <si>
    <t>Conversion Real to Nominal</t>
  </si>
  <si>
    <t>Direct ANS (Nominal)</t>
  </si>
  <si>
    <t>Conversion Factor (Real 2012/13$ to Nominal)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</si>
</sst>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_(* #,##0_);_(* \(#,##0\);_(* &quot;-&quot;??_);_(@_)"/>
  </numFmts>
  <fonts count="26"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sz val="10"/>
      <color indexed="8"/>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b/>
      <sz val="10"/>
      <color indexed="8"/>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s>
  <borders count="27">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theme="0"/>
      </left>
      <right/>
      <top/>
      <bottom style="thin">
        <color theme="0"/>
      </bottom>
      <diagonal/>
    </border>
    <border>
      <left/>
      <right/>
      <top/>
      <bottom style="thin">
        <color theme="0"/>
      </bottom>
      <diagonal/>
    </border>
  </borders>
  <cellStyleXfs count="18">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8" fillId="0" borderId="0"/>
    <xf numFmtId="0" fontId="15"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0" fontId="8" fillId="0" borderId="0"/>
    <xf numFmtId="0" fontId="2" fillId="0" borderId="0"/>
    <xf numFmtId="0" fontId="3" fillId="6" borderId="21" applyNumberFormat="0" applyFont="0" applyAlignment="0" applyProtection="0"/>
    <xf numFmtId="0" fontId="16" fillId="0" borderId="0"/>
    <xf numFmtId="0" fontId="1" fillId="0" borderId="0"/>
    <xf numFmtId="0" fontId="15" fillId="0" borderId="0"/>
  </cellStyleXfs>
  <cellXfs count="249">
    <xf numFmtId="0" fontId="0" fillId="0" borderId="0" xfId="0"/>
    <xf numFmtId="0" fontId="5"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9" fillId="0" borderId="0" xfId="0" applyFont="1" applyAlignment="1">
      <alignment horizontal="left" indent="15"/>
    </xf>
    <xf numFmtId="0" fontId="10" fillId="0" borderId="0" xfId="0" applyFont="1" applyAlignment="1">
      <alignment horizontal="left" indent="15"/>
    </xf>
    <xf numFmtId="169" fontId="0" fillId="0" borderId="0" xfId="0" applyNumberFormat="1"/>
    <xf numFmtId="166" fontId="7" fillId="0" borderId="0" xfId="2" applyNumberFormat="1" applyFont="1"/>
    <xf numFmtId="0" fontId="13" fillId="0" borderId="0" xfId="0" applyFont="1" applyAlignment="1">
      <alignment horizontal="left"/>
    </xf>
    <xf numFmtId="0" fontId="14" fillId="3" borderId="3" xfId="0" applyFont="1" applyFill="1" applyBorder="1"/>
    <xf numFmtId="0" fontId="14" fillId="3" borderId="4" xfId="0" applyFont="1" applyFill="1" applyBorder="1" applyAlignment="1">
      <alignment horizontal="left"/>
    </xf>
    <xf numFmtId="0" fontId="14" fillId="3" borderId="5" xfId="0" applyFont="1" applyFill="1" applyBorder="1" applyAlignment="1">
      <alignment horizontal="center"/>
    </xf>
    <xf numFmtId="0" fontId="14" fillId="3" borderId="0" xfId="0" applyFont="1" applyFill="1" applyBorder="1" applyAlignment="1">
      <alignment horizontal="left"/>
    </xf>
    <xf numFmtId="0" fontId="0" fillId="0" borderId="0" xfId="0" applyFont="1"/>
    <xf numFmtId="166" fontId="14" fillId="0" borderId="0" xfId="2" applyNumberFormat="1" applyFont="1"/>
    <xf numFmtId="0" fontId="11" fillId="0" borderId="7" xfId="0" applyFont="1" applyFill="1" applyBorder="1" applyAlignment="1">
      <alignment horizontal="left" vertical="center"/>
    </xf>
    <xf numFmtId="170" fontId="11" fillId="0" borderId="16" xfId="0" applyNumberFormat="1" applyFont="1" applyBorder="1" applyAlignment="1">
      <alignment horizontal="right" vertical="center" wrapText="1"/>
    </xf>
    <xf numFmtId="0" fontId="11" fillId="0" borderId="0" xfId="0" applyFont="1" applyAlignment="1">
      <alignment vertical="center"/>
    </xf>
    <xf numFmtId="0" fontId="19" fillId="0" borderId="0" xfId="0" applyFont="1" applyAlignment="1">
      <alignment vertical="center"/>
    </xf>
    <xf numFmtId="170" fontId="11" fillId="0" borderId="0" xfId="0" applyNumberFormat="1" applyFont="1" applyAlignment="1">
      <alignment vertical="center"/>
    </xf>
    <xf numFmtId="0" fontId="11" fillId="0" borderId="0" xfId="0" applyFont="1" applyAlignment="1">
      <alignment horizontal="left" vertical="center"/>
    </xf>
    <xf numFmtId="0" fontId="17" fillId="0" borderId="0" xfId="0" applyFont="1" applyAlignment="1">
      <alignment vertical="center"/>
    </xf>
    <xf numFmtId="0" fontId="23" fillId="0" borderId="0" xfId="0" applyFont="1" applyAlignment="1">
      <alignment vertical="center"/>
    </xf>
    <xf numFmtId="0" fontId="24" fillId="7" borderId="0" xfId="0" applyFont="1" applyFill="1" applyAlignment="1">
      <alignment vertical="center"/>
    </xf>
    <xf numFmtId="0" fontId="25" fillId="7" borderId="0" xfId="0" applyFont="1" applyFill="1" applyAlignment="1">
      <alignment vertical="center"/>
    </xf>
    <xf numFmtId="170" fontId="25" fillId="7" borderId="0" xfId="0" applyNumberFormat="1" applyFont="1" applyFill="1" applyAlignment="1">
      <alignment vertical="center"/>
    </xf>
    <xf numFmtId="0" fontId="25" fillId="7" borderId="0" xfId="0" applyFont="1" applyFill="1" applyAlignment="1">
      <alignment horizontal="left" vertical="center"/>
    </xf>
    <xf numFmtId="170" fontId="19" fillId="5" borderId="11" xfId="0" quotePrefix="1" applyNumberFormat="1" applyFont="1" applyFill="1" applyBorder="1" applyAlignment="1">
      <alignment horizontal="center" vertical="center"/>
    </xf>
    <xf numFmtId="170" fontId="19" fillId="5" borderId="7" xfId="0" quotePrefix="1" applyNumberFormat="1" applyFont="1" applyFill="1" applyBorder="1" applyAlignment="1">
      <alignment horizontal="center" vertical="center"/>
    </xf>
    <xf numFmtId="170" fontId="19" fillId="5" borderId="12" xfId="0" quotePrefix="1" applyNumberFormat="1" applyFont="1" applyFill="1" applyBorder="1" applyAlignment="1">
      <alignment horizontal="center" vertical="center"/>
    </xf>
    <xf numFmtId="0" fontId="18" fillId="5" borderId="13" xfId="0" quotePrefix="1" applyFont="1" applyFill="1" applyBorder="1" applyAlignment="1">
      <alignment horizontal="center" vertical="center"/>
    </xf>
    <xf numFmtId="0" fontId="19" fillId="8" borderId="7" xfId="0" applyFont="1" applyFill="1" applyBorder="1" applyAlignment="1">
      <alignment horizontal="left" vertical="center"/>
    </xf>
    <xf numFmtId="0" fontId="20" fillId="0" borderId="7" xfId="0" applyFont="1" applyBorder="1" applyAlignment="1">
      <alignment horizontal="left" vertical="center" wrapText="1"/>
    </xf>
    <xf numFmtId="170" fontId="11" fillId="0" borderId="9" xfId="0" applyNumberFormat="1" applyFont="1" applyBorder="1" applyAlignment="1">
      <alignment vertical="center"/>
    </xf>
    <xf numFmtId="9" fontId="11" fillId="0" borderId="7" xfId="1" applyFont="1" applyBorder="1" applyAlignment="1">
      <alignment horizontal="left" vertical="center" wrapText="1"/>
    </xf>
    <xf numFmtId="170" fontId="18" fillId="5" borderId="7" xfId="0" applyNumberFormat="1" applyFont="1" applyFill="1" applyBorder="1" applyAlignment="1">
      <alignment horizontal="left" vertical="center"/>
    </xf>
    <xf numFmtId="0" fontId="18" fillId="5" borderId="7" xfId="0" quotePrefix="1" applyFont="1" applyFill="1" applyBorder="1" applyAlignment="1">
      <alignment horizontal="center" vertical="center"/>
    </xf>
    <xf numFmtId="0" fontId="11" fillId="0" borderId="0" xfId="0" applyFont="1" applyFill="1" applyBorder="1" applyAlignment="1">
      <alignment horizontal="left" vertical="center"/>
    </xf>
    <xf numFmtId="170" fontId="11" fillId="0" borderId="0" xfId="0" applyNumberFormat="1" applyFont="1" applyAlignment="1">
      <alignment horizontal="left" vertical="center"/>
    </xf>
    <xf numFmtId="170" fontId="18" fillId="5" borderId="7" xfId="0" applyNumberFormat="1" applyFont="1" applyFill="1" applyBorder="1" applyAlignment="1">
      <alignment horizontal="center" vertical="center"/>
    </xf>
    <xf numFmtId="0" fontId="11" fillId="0" borderId="0" xfId="0" applyFont="1" applyAlignment="1">
      <alignment horizontal="center" vertical="center"/>
    </xf>
    <xf numFmtId="170" fontId="11" fillId="0" borderId="16" xfId="0" applyNumberFormat="1" applyFont="1" applyBorder="1" applyAlignment="1">
      <alignment vertical="center"/>
    </xf>
    <xf numFmtId="167" fontId="11" fillId="0" borderId="0" xfId="0" applyNumberFormat="1" applyFont="1" applyAlignment="1">
      <alignment vertical="center"/>
    </xf>
    <xf numFmtId="167" fontId="11" fillId="0" borderId="0" xfId="0" applyNumberFormat="1" applyFont="1" applyAlignment="1">
      <alignment horizontal="right" vertical="center"/>
    </xf>
    <xf numFmtId="0" fontId="11" fillId="0" borderId="0" xfId="0" applyFont="1" applyBorder="1" applyAlignment="1">
      <alignment vertical="center"/>
    </xf>
    <xf numFmtId="0" fontId="11" fillId="0" borderId="18" xfId="0" applyFont="1" applyBorder="1" applyAlignment="1">
      <alignment vertical="center"/>
    </xf>
    <xf numFmtId="169" fontId="19" fillId="0" borderId="13" xfId="0" applyNumberFormat="1" applyFont="1" applyBorder="1" applyAlignment="1">
      <alignment vertical="center"/>
    </xf>
    <xf numFmtId="169" fontId="11" fillId="0" borderId="0" xfId="0" applyNumberFormat="1" applyFont="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xf>
    <xf numFmtId="9" fontId="11" fillId="2" borderId="13" xfId="1" applyFont="1" applyFill="1" applyBorder="1" applyAlignment="1">
      <alignment horizontal="center" vertical="center"/>
    </xf>
    <xf numFmtId="0" fontId="14" fillId="3" borderId="0" xfId="0" applyFont="1" applyFill="1" applyBorder="1" applyAlignment="1">
      <alignment horizontal="left" vertical="center"/>
    </xf>
    <xf numFmtId="0" fontId="5" fillId="4" borderId="0" xfId="0" applyFont="1" applyFill="1" applyBorder="1" applyAlignment="1">
      <alignment vertical="center"/>
    </xf>
    <xf numFmtId="169" fontId="11" fillId="0" borderId="0" xfId="0" applyNumberFormat="1" applyFont="1" applyAlignment="1">
      <alignment vertical="center"/>
    </xf>
    <xf numFmtId="170" fontId="11" fillId="0" borderId="0" xfId="0" applyNumberFormat="1" applyFont="1" applyAlignment="1">
      <alignment horizontal="center" vertical="center"/>
    </xf>
    <xf numFmtId="0" fontId="18" fillId="0" borderId="0" xfId="0" applyFont="1" applyFill="1" applyBorder="1" applyAlignment="1">
      <alignment horizontal="center" vertical="center"/>
    </xf>
    <xf numFmtId="0" fontId="18" fillId="3" borderId="7" xfId="0" applyFont="1" applyFill="1" applyBorder="1" applyAlignment="1">
      <alignment horizontal="left" vertical="center"/>
    </xf>
    <xf numFmtId="167" fontId="19" fillId="0" borderId="0" xfId="0" applyNumberFormat="1" applyFont="1" applyFill="1" applyBorder="1" applyAlignment="1">
      <alignment horizontal="center" vertical="center" wrapText="1"/>
    </xf>
    <xf numFmtId="170" fontId="19" fillId="4" borderId="14" xfId="0" quotePrefix="1" applyNumberFormat="1" applyFont="1" applyFill="1" applyBorder="1" applyAlignment="1">
      <alignment horizontal="center" vertical="center" wrapText="1"/>
    </xf>
    <xf numFmtId="170" fontId="19" fillId="4" borderId="15" xfId="0" quotePrefix="1" applyNumberFormat="1" applyFont="1" applyFill="1" applyBorder="1" applyAlignment="1">
      <alignment horizontal="center" vertical="center" wrapText="1"/>
    </xf>
    <xf numFmtId="170" fontId="19" fillId="4" borderId="20" xfId="0" quotePrefix="1" applyNumberFormat="1" applyFont="1" applyFill="1" applyBorder="1" applyAlignment="1">
      <alignment horizontal="center" vertical="center" wrapText="1"/>
    </xf>
    <xf numFmtId="0" fontId="11" fillId="0" borderId="14" xfId="0" applyFont="1" applyBorder="1" applyAlignment="1">
      <alignment vertical="center"/>
    </xf>
    <xf numFmtId="167" fontId="11" fillId="0" borderId="0" xfId="0" applyNumberFormat="1" applyFont="1" applyFill="1" applyBorder="1" applyAlignment="1">
      <alignment horizontal="center" vertical="center"/>
    </xf>
    <xf numFmtId="169" fontId="11" fillId="0" borderId="0" xfId="0" applyNumberFormat="1" applyFont="1" applyBorder="1" applyAlignment="1">
      <alignment vertical="center"/>
    </xf>
    <xf numFmtId="170" fontId="11" fillId="0" borderId="8" xfId="0" applyNumberFormat="1" applyFont="1" applyBorder="1" applyAlignment="1">
      <alignment horizontal="center" vertical="center"/>
    </xf>
    <xf numFmtId="0" fontId="11" fillId="0" borderId="0" xfId="0" quotePrefix="1" applyFont="1" applyBorder="1" applyAlignment="1">
      <alignment horizontal="center" vertical="center"/>
    </xf>
    <xf numFmtId="0" fontId="11" fillId="0" borderId="0" xfId="0" applyFont="1" applyBorder="1" applyAlignment="1">
      <alignment horizontal="center" vertical="center"/>
    </xf>
    <xf numFmtId="167" fontId="11" fillId="0" borderId="0" xfId="0" applyNumberFormat="1" applyFont="1" applyBorder="1" applyAlignment="1">
      <alignment horizontal="center" vertical="center"/>
    </xf>
    <xf numFmtId="170" fontId="11" fillId="0" borderId="10" xfId="0" applyNumberFormat="1" applyFont="1" applyBorder="1" applyAlignment="1">
      <alignment horizontal="center" vertical="center"/>
    </xf>
    <xf numFmtId="167" fontId="11" fillId="0" borderId="0" xfId="0" applyNumberFormat="1" applyFont="1" applyAlignment="1">
      <alignment horizontal="center" vertical="center"/>
    </xf>
    <xf numFmtId="167" fontId="11" fillId="0" borderId="0" xfId="0" applyNumberFormat="1" applyFont="1" applyFill="1" applyAlignment="1">
      <alignment vertical="center"/>
    </xf>
    <xf numFmtId="170" fontId="19" fillId="4" borderId="8" xfId="0" quotePrefix="1" applyNumberFormat="1" applyFont="1" applyFill="1" applyBorder="1" applyAlignment="1">
      <alignment horizontal="center" vertical="center" wrapText="1"/>
    </xf>
    <xf numFmtId="169" fontId="5" fillId="0" borderId="0" xfId="0" applyNumberFormat="1" applyFont="1"/>
    <xf numFmtId="0" fontId="7" fillId="2" borderId="0" xfId="0" applyFont="1" applyFill="1"/>
    <xf numFmtId="0" fontId="5" fillId="0" borderId="23" xfId="0" applyFont="1" applyFill="1" applyBorder="1"/>
    <xf numFmtId="166" fontId="14" fillId="0" borderId="23" xfId="2" applyNumberFormat="1" applyFont="1" applyBorder="1"/>
    <xf numFmtId="0" fontId="14" fillId="2" borderId="0" xfId="0" applyFont="1" applyFill="1"/>
    <xf numFmtId="0" fontId="4" fillId="7" borderId="0" xfId="0" applyFont="1" applyFill="1" applyAlignment="1">
      <alignment horizontal="left"/>
    </xf>
    <xf numFmtId="0" fontId="12" fillId="7" borderId="0" xfId="0" applyFont="1" applyFill="1"/>
    <xf numFmtId="0" fontId="6" fillId="7" borderId="0" xfId="0" applyFont="1" applyFill="1"/>
    <xf numFmtId="0" fontId="14" fillId="3" borderId="0" xfId="0" applyFont="1" applyFill="1" applyBorder="1" applyAlignment="1">
      <alignment vertical="top"/>
    </xf>
    <xf numFmtId="170" fontId="19" fillId="4" borderId="11" xfId="0" quotePrefix="1" applyNumberFormat="1" applyFont="1" applyFill="1" applyBorder="1" applyAlignment="1">
      <alignment horizontal="center" vertical="center" wrapText="1"/>
    </xf>
    <xf numFmtId="170" fontId="19" fillId="4" borderId="12" xfId="0" quotePrefix="1" applyNumberFormat="1" applyFont="1" applyFill="1" applyBorder="1" applyAlignment="1">
      <alignment horizontal="center" vertical="center" wrapText="1"/>
    </xf>
    <xf numFmtId="170" fontId="19" fillId="4" borderId="13" xfId="0" quotePrefix="1" applyNumberFormat="1" applyFont="1" applyFill="1" applyBorder="1" applyAlignment="1">
      <alignment horizontal="center" vertical="center" wrapText="1"/>
    </xf>
    <xf numFmtId="170" fontId="19" fillId="5" borderId="7" xfId="0" quotePrefix="1" applyNumberFormat="1" applyFont="1" applyFill="1" applyBorder="1" applyAlignment="1">
      <alignment horizontal="center" vertical="center" wrapText="1"/>
    </xf>
    <xf numFmtId="0" fontId="11" fillId="0" borderId="0" xfId="0" applyFont="1" applyFill="1" applyBorder="1" applyAlignment="1">
      <alignment vertical="center"/>
    </xf>
    <xf numFmtId="0" fontId="12" fillId="7" borderId="0" xfId="0" applyFont="1" applyFill="1" applyAlignment="1">
      <alignment vertical="center"/>
    </xf>
    <xf numFmtId="0" fontId="21" fillId="7" borderId="0" xfId="0" applyFont="1" applyFill="1" applyAlignment="1">
      <alignment vertical="center"/>
    </xf>
    <xf numFmtId="167" fontId="21" fillId="7" borderId="0" xfId="0" applyNumberFormat="1" applyFont="1" applyFill="1" applyAlignment="1">
      <alignment vertical="center"/>
    </xf>
    <xf numFmtId="170" fontId="18" fillId="5" borderId="11" xfId="0" applyNumberFormat="1" applyFont="1" applyFill="1" applyBorder="1" applyAlignment="1">
      <alignment horizontal="center" vertical="center"/>
    </xf>
    <xf numFmtId="0" fontId="11" fillId="5" borderId="11" xfId="0" applyFont="1" applyFill="1" applyBorder="1" applyAlignment="1">
      <alignment vertical="center"/>
    </xf>
    <xf numFmtId="0" fontId="11" fillId="5" borderId="12" xfId="0" applyFont="1" applyFill="1" applyBorder="1" applyAlignment="1">
      <alignment vertical="center"/>
    </xf>
    <xf numFmtId="0" fontId="19" fillId="0" borderId="12" xfId="0" applyFont="1" applyBorder="1" applyAlignment="1">
      <alignment vertical="center"/>
    </xf>
    <xf numFmtId="10" fontId="19" fillId="0" borderId="12" xfId="1" applyNumberFormat="1" applyFont="1" applyBorder="1" applyAlignment="1">
      <alignment vertical="center"/>
    </xf>
    <xf numFmtId="169" fontId="11" fillId="0" borderId="0" xfId="0" applyNumberFormat="1" applyFont="1" applyAlignment="1">
      <alignment horizontal="right" vertical="center"/>
    </xf>
    <xf numFmtId="167" fontId="19" fillId="5" borderId="7" xfId="0" applyNumberFormat="1" applyFont="1" applyFill="1" applyBorder="1" applyAlignment="1">
      <alignment vertical="center"/>
    </xf>
    <xf numFmtId="9" fontId="19" fillId="5" borderId="7" xfId="1" applyFont="1" applyFill="1" applyBorder="1" applyAlignment="1">
      <alignment vertical="center"/>
    </xf>
    <xf numFmtId="167" fontId="11" fillId="0" borderId="14" xfId="0" applyNumberFormat="1" applyFont="1" applyBorder="1" applyAlignment="1">
      <alignment horizontal="right" vertical="center"/>
    </xf>
    <xf numFmtId="167" fontId="11" fillId="0" borderId="15" xfId="0" applyNumberFormat="1" applyFont="1" applyBorder="1" applyAlignment="1">
      <alignment horizontal="right" vertical="center"/>
    </xf>
    <xf numFmtId="167" fontId="11" fillId="0" borderId="20" xfId="0" applyNumberFormat="1" applyFont="1" applyBorder="1" applyAlignment="1">
      <alignment horizontal="right" vertical="center"/>
    </xf>
    <xf numFmtId="167" fontId="11" fillId="0" borderId="17" xfId="0" applyNumberFormat="1" applyFont="1" applyBorder="1" applyAlignment="1">
      <alignment horizontal="right" vertical="center"/>
    </xf>
    <xf numFmtId="167" fontId="11" fillId="0" borderId="18" xfId="0" applyNumberFormat="1" applyFont="1" applyBorder="1" applyAlignment="1">
      <alignment horizontal="right" vertical="center"/>
    </xf>
    <xf numFmtId="167" fontId="11" fillId="0" borderId="19" xfId="0" applyNumberFormat="1" applyFont="1" applyBorder="1" applyAlignment="1">
      <alignment horizontal="right" vertical="center"/>
    </xf>
    <xf numFmtId="171" fontId="7" fillId="0" borderId="0" xfId="3" applyNumberFormat="1" applyFont="1"/>
    <xf numFmtId="171" fontId="14" fillId="0" borderId="0" xfId="3" applyNumberFormat="1" applyFont="1"/>
    <xf numFmtId="0" fontId="14" fillId="3" borderId="6" xfId="0" applyFont="1" applyFill="1" applyBorder="1" applyAlignment="1">
      <alignment horizontal="center"/>
    </xf>
    <xf numFmtId="9" fontId="11" fillId="0" borderId="0" xfId="1" applyFont="1" applyAlignment="1">
      <alignment horizontal="center" vertical="center"/>
    </xf>
    <xf numFmtId="0" fontId="7" fillId="4" borderId="0" xfId="0" applyFont="1" applyFill="1" applyBorder="1" applyAlignment="1">
      <alignment horizontal="left" vertical="top" wrapText="1"/>
    </xf>
    <xf numFmtId="0" fontId="14" fillId="3" borderId="3" xfId="0" applyFont="1" applyFill="1" applyBorder="1" applyAlignment="1">
      <alignment vertical="top"/>
    </xf>
    <xf numFmtId="0" fontId="14" fillId="3" borderId="0" xfId="0" applyFont="1" applyFill="1" applyBorder="1" applyAlignment="1">
      <alignment horizontal="center"/>
    </xf>
    <xf numFmtId="164" fontId="7" fillId="4" borderId="0" xfId="2" applyFont="1" applyFill="1" applyBorder="1" applyAlignment="1">
      <alignment horizontal="left" vertical="top" wrapText="1"/>
    </xf>
    <xf numFmtId="0" fontId="11" fillId="0" borderId="0" xfId="0" applyFont="1" applyBorder="1" applyAlignment="1">
      <alignment horizontal="center" vertical="center"/>
    </xf>
    <xf numFmtId="170" fontId="18" fillId="0" borderId="0" xfId="0" applyNumberFormat="1" applyFont="1" applyFill="1" applyBorder="1" applyAlignment="1">
      <alignment horizontal="center" vertical="center"/>
    </xf>
    <xf numFmtId="0" fontId="11" fillId="0" borderId="0" xfId="0" applyFont="1" applyFill="1" applyBorder="1" applyAlignment="1">
      <alignment horizontal="center" vertical="center"/>
    </xf>
    <xf numFmtId="0" fontId="7" fillId="4" borderId="0" xfId="0" applyFont="1" applyFill="1" applyBorder="1" applyAlignment="1">
      <alignment horizontal="left" vertical="top" wrapText="1"/>
    </xf>
    <xf numFmtId="168" fontId="11" fillId="0" borderId="0" xfId="0" applyNumberFormat="1" applyFont="1" applyAlignment="1">
      <alignment vertical="center"/>
    </xf>
    <xf numFmtId="0" fontId="5" fillId="4" borderId="2" xfId="0" applyFont="1" applyFill="1" applyBorder="1" applyAlignment="1">
      <alignment horizontal="left"/>
    </xf>
    <xf numFmtId="0" fontId="0" fillId="4" borderId="2" xfId="0" applyFont="1" applyFill="1" applyBorder="1" applyAlignment="1">
      <alignment horizontal="left"/>
    </xf>
    <xf numFmtId="0" fontId="11" fillId="0" borderId="7" xfId="0" applyFont="1" applyBorder="1" applyAlignment="1">
      <alignment horizontal="left" vertical="center" wrapText="1"/>
    </xf>
    <xf numFmtId="0" fontId="11" fillId="0" borderId="15" xfId="0" applyFont="1" applyBorder="1" applyAlignment="1">
      <alignment vertical="center"/>
    </xf>
    <xf numFmtId="0" fontId="22" fillId="5" borderId="7" xfId="15" applyFont="1" applyFill="1" applyBorder="1" applyAlignment="1">
      <alignment horizontal="left"/>
    </xf>
    <xf numFmtId="0" fontId="22" fillId="5" borderId="11" xfId="15" applyFont="1" applyFill="1" applyBorder="1" applyAlignment="1">
      <alignment horizontal="left"/>
    </xf>
    <xf numFmtId="0" fontId="22" fillId="5" borderId="13" xfId="15" applyFont="1" applyFill="1" applyBorder="1" applyAlignment="1">
      <alignment horizontal="left"/>
    </xf>
    <xf numFmtId="0" fontId="22" fillId="5" borderId="12" xfId="15" applyFont="1" applyFill="1" applyBorder="1" applyAlignment="1">
      <alignment horizontal="left"/>
    </xf>
    <xf numFmtId="170" fontId="19" fillId="5" borderId="7" xfId="0" applyNumberFormat="1" applyFont="1" applyFill="1" applyBorder="1" applyAlignment="1">
      <alignment horizontal="center"/>
    </xf>
    <xf numFmtId="168" fontId="11" fillId="0" borderId="9" xfId="0" applyNumberFormat="1" applyFont="1" applyBorder="1" applyAlignment="1">
      <alignment vertical="center"/>
    </xf>
    <xf numFmtId="169" fontId="19" fillId="4" borderId="7" xfId="0" quotePrefix="1" applyNumberFormat="1" applyFont="1" applyFill="1" applyBorder="1" applyAlignment="1">
      <alignment horizontal="right" vertical="center"/>
    </xf>
    <xf numFmtId="167" fontId="19" fillId="2" borderId="7" xfId="0" applyNumberFormat="1" applyFont="1" applyFill="1" applyBorder="1" applyAlignment="1">
      <alignment horizontal="left" vertical="center"/>
    </xf>
    <xf numFmtId="0" fontId="11" fillId="0" borderId="7" xfId="0" applyFont="1" applyBorder="1" applyAlignment="1">
      <alignment vertical="center"/>
    </xf>
    <xf numFmtId="0" fontId="11" fillId="0" borderId="11" xfId="0" applyFont="1" applyBorder="1" applyAlignment="1">
      <alignment vertical="center"/>
    </xf>
    <xf numFmtId="0" fontId="11" fillId="0" borderId="12" xfId="0" applyFont="1" applyBorder="1" applyAlignment="1">
      <alignment vertical="center"/>
    </xf>
    <xf numFmtId="167" fontId="19" fillId="0" borderId="7" xfId="0" applyNumberFormat="1" applyFont="1" applyBorder="1" applyAlignment="1">
      <alignment vertical="center"/>
    </xf>
    <xf numFmtId="167" fontId="19" fillId="0" borderId="13" xfId="0" applyNumberFormat="1" applyFont="1" applyBorder="1" applyAlignment="1">
      <alignment vertical="center"/>
    </xf>
    <xf numFmtId="9" fontId="11" fillId="0" borderId="9" xfId="1" applyFont="1" applyBorder="1" applyAlignment="1">
      <alignment vertical="center"/>
    </xf>
    <xf numFmtId="0" fontId="19" fillId="0" borderId="17" xfId="0" applyFont="1" applyBorder="1" applyAlignment="1">
      <alignment vertical="center"/>
    </xf>
    <xf numFmtId="9" fontId="11" fillId="0" borderId="16" xfId="1" applyFont="1" applyBorder="1" applyAlignment="1">
      <alignment vertical="center"/>
    </xf>
    <xf numFmtId="169" fontId="19" fillId="0" borderId="7" xfId="0" applyNumberFormat="1" applyFont="1" applyBorder="1" applyAlignment="1">
      <alignment vertical="center"/>
    </xf>
    <xf numFmtId="170" fontId="11" fillId="0" borderId="0" xfId="0" applyNumberFormat="1" applyFont="1" applyAlignment="1">
      <alignment horizontal="right" vertical="center"/>
    </xf>
    <xf numFmtId="170" fontId="11" fillId="0" borderId="9" xfId="0" applyNumberFormat="1" applyFont="1" applyBorder="1" applyAlignment="1">
      <alignment horizontal="right" vertical="center" wrapText="1"/>
    </xf>
    <xf numFmtId="0" fontId="11" fillId="0" borderId="11" xfId="0" applyFont="1" applyBorder="1" applyAlignment="1">
      <alignment horizontal="left" vertical="center"/>
    </xf>
    <xf numFmtId="0" fontId="11" fillId="0" borderId="12" xfId="0" applyFont="1" applyBorder="1" applyAlignment="1">
      <alignment horizontal="left" vertical="center"/>
    </xf>
    <xf numFmtId="170" fontId="18" fillId="5" borderId="11" xfId="0" applyNumberFormat="1" applyFont="1" applyFill="1" applyBorder="1" applyAlignment="1">
      <alignment vertical="center"/>
    </xf>
    <xf numFmtId="170" fontId="18" fillId="5" borderId="12" xfId="0" applyNumberFormat="1" applyFont="1" applyFill="1" applyBorder="1" applyAlignment="1">
      <alignment vertical="center"/>
    </xf>
    <xf numFmtId="0" fontId="11" fillId="0" borderId="12" xfId="0" applyFont="1" applyBorder="1" applyAlignment="1">
      <alignment horizontal="left"/>
    </xf>
    <xf numFmtId="10" fontId="11" fillId="0" borderId="7" xfId="1" applyNumberFormat="1" applyFont="1" applyBorder="1" applyAlignment="1">
      <alignment vertical="center"/>
    </xf>
    <xf numFmtId="10" fontId="11" fillId="0" borderId="12" xfId="1" applyNumberFormat="1" applyFont="1" applyBorder="1" applyAlignment="1">
      <alignment vertical="center"/>
    </xf>
    <xf numFmtId="170" fontId="11" fillId="0" borderId="14" xfId="0" applyNumberFormat="1" applyFont="1" applyBorder="1" applyAlignment="1">
      <alignment horizontal="right" vertical="center"/>
    </xf>
    <xf numFmtId="170" fontId="11" fillId="0" borderId="8" xfId="0" applyNumberFormat="1" applyFont="1" applyBorder="1" applyAlignment="1">
      <alignment horizontal="right" vertical="center"/>
    </xf>
    <xf numFmtId="170" fontId="11" fillId="0" borderId="15" xfId="0" applyNumberFormat="1" applyFont="1" applyBorder="1" applyAlignment="1">
      <alignment horizontal="right" vertical="center"/>
    </xf>
    <xf numFmtId="170" fontId="19" fillId="5" borderId="24" xfId="0" applyNumberFormat="1" applyFont="1" applyFill="1" applyBorder="1" applyAlignment="1">
      <alignment horizontal="right"/>
    </xf>
    <xf numFmtId="170" fontId="19" fillId="5" borderId="22" xfId="0" applyNumberFormat="1" applyFont="1" applyFill="1" applyBorder="1" applyAlignment="1">
      <alignment horizontal="right"/>
    </xf>
    <xf numFmtId="170" fontId="19" fillId="5" borderId="23" xfId="0" applyNumberFormat="1" applyFont="1" applyFill="1" applyBorder="1" applyAlignment="1">
      <alignment horizontal="right"/>
    </xf>
    <xf numFmtId="0" fontId="11" fillId="0" borderId="8" xfId="0" applyFont="1" applyBorder="1" applyAlignment="1">
      <alignment vertical="center"/>
    </xf>
    <xf numFmtId="0" fontId="11" fillId="0" borderId="10" xfId="0" applyFont="1" applyBorder="1" applyAlignment="1">
      <alignment vertical="center"/>
    </xf>
    <xf numFmtId="170" fontId="11" fillId="0" borderId="20" xfId="0" applyNumberFormat="1" applyFont="1" applyBorder="1" applyAlignment="1">
      <alignment horizontal="right" vertical="center"/>
    </xf>
    <xf numFmtId="170" fontId="11" fillId="0" borderId="17" xfId="0" applyNumberFormat="1" applyFont="1" applyBorder="1" applyAlignment="1">
      <alignment horizontal="right" vertical="center"/>
    </xf>
    <xf numFmtId="170" fontId="11" fillId="0" borderId="18" xfId="0" applyNumberFormat="1" applyFont="1" applyBorder="1" applyAlignment="1">
      <alignment horizontal="right" vertical="center"/>
    </xf>
    <xf numFmtId="170" fontId="11" fillId="0" borderId="19" xfId="0" applyNumberFormat="1" applyFont="1" applyBorder="1" applyAlignment="1">
      <alignment horizontal="right" vertical="center"/>
    </xf>
    <xf numFmtId="170" fontId="18" fillId="3" borderId="17" xfId="0" applyNumberFormat="1" applyFont="1" applyFill="1" applyBorder="1" applyAlignment="1">
      <alignment horizontal="right" vertical="center"/>
    </xf>
    <xf numFmtId="170" fontId="18" fillId="3" borderId="18" xfId="0" applyNumberFormat="1" applyFont="1" applyFill="1" applyBorder="1" applyAlignment="1">
      <alignment horizontal="right" vertical="center"/>
    </xf>
    <xf numFmtId="170" fontId="18" fillId="3" borderId="19" xfId="0" applyNumberFormat="1" applyFont="1" applyFill="1" applyBorder="1" applyAlignment="1">
      <alignment horizontal="right" vertical="center"/>
    </xf>
    <xf numFmtId="171" fontId="11" fillId="0" borderId="14" xfId="0" applyNumberFormat="1" applyFont="1" applyBorder="1" applyAlignment="1">
      <alignment horizontal="right" vertical="center"/>
    </xf>
    <xf numFmtId="171" fontId="11" fillId="0" borderId="15" xfId="0" applyNumberFormat="1" applyFont="1" applyBorder="1" applyAlignment="1">
      <alignment horizontal="right" vertical="center"/>
    </xf>
    <xf numFmtId="171" fontId="11" fillId="0" borderId="20" xfId="0" applyNumberFormat="1" applyFont="1" applyBorder="1" applyAlignment="1">
      <alignment horizontal="right" vertical="center"/>
    </xf>
    <xf numFmtId="171" fontId="11" fillId="0" borderId="17" xfId="0" applyNumberFormat="1" applyFont="1" applyBorder="1" applyAlignment="1">
      <alignment horizontal="right" vertical="center"/>
    </xf>
    <xf numFmtId="171" fontId="11" fillId="0" borderId="18" xfId="0" applyNumberFormat="1" applyFont="1" applyBorder="1" applyAlignment="1">
      <alignment horizontal="right" vertical="center"/>
    </xf>
    <xf numFmtId="171" fontId="11" fillId="0" borderId="19" xfId="0" applyNumberFormat="1" applyFont="1" applyBorder="1" applyAlignment="1">
      <alignment horizontal="right" vertical="center"/>
    </xf>
    <xf numFmtId="171" fontId="18" fillId="3" borderId="17" xfId="0" applyNumberFormat="1" applyFont="1" applyFill="1" applyBorder="1" applyAlignment="1">
      <alignment horizontal="right" vertical="center"/>
    </xf>
    <xf numFmtId="171" fontId="18" fillId="3" borderId="18" xfId="0" applyNumberFormat="1" applyFont="1" applyFill="1" applyBorder="1" applyAlignment="1">
      <alignment horizontal="right" vertical="center"/>
    </xf>
    <xf numFmtId="171" fontId="18" fillId="3" borderId="19" xfId="0" applyNumberFormat="1" applyFont="1" applyFill="1" applyBorder="1" applyAlignment="1">
      <alignment horizontal="right" vertical="center"/>
    </xf>
    <xf numFmtId="171" fontId="11" fillId="0" borderId="0" xfId="0" applyNumberFormat="1" applyFont="1" applyAlignment="1">
      <alignment vertical="center"/>
    </xf>
    <xf numFmtId="171" fontId="18" fillId="3" borderId="11" xfId="0" applyNumberFormat="1" applyFont="1" applyFill="1" applyBorder="1" applyAlignment="1">
      <alignment horizontal="right" vertical="center"/>
    </xf>
    <xf numFmtId="171" fontId="18" fillId="3" borderId="12" xfId="0" applyNumberFormat="1" applyFont="1" applyFill="1" applyBorder="1" applyAlignment="1">
      <alignment horizontal="right" vertical="center"/>
    </xf>
    <xf numFmtId="171" fontId="18" fillId="3" borderId="13" xfId="0" applyNumberFormat="1" applyFont="1" applyFill="1" applyBorder="1" applyAlignment="1">
      <alignment horizontal="right" vertical="center"/>
    </xf>
    <xf numFmtId="0" fontId="19" fillId="8" borderId="8" xfId="0" applyFont="1" applyFill="1" applyBorder="1" applyAlignment="1">
      <alignment horizontal="left" vertical="center"/>
    </xf>
    <xf numFmtId="0" fontId="11" fillId="0" borderId="0" xfId="0" applyFont="1" applyBorder="1" applyAlignment="1">
      <alignment vertical="top" wrapText="1"/>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170" fontId="18" fillId="5" borderId="7" xfId="0" applyNumberFormat="1" applyFont="1" applyFill="1" applyBorder="1" applyAlignment="1">
      <alignment horizontal="left" vertical="center"/>
    </xf>
    <xf numFmtId="0" fontId="11" fillId="0" borderId="11" xfId="0" applyFont="1" applyFill="1" applyBorder="1" applyAlignment="1">
      <alignment horizontal="left" vertical="center"/>
    </xf>
    <xf numFmtId="0" fontId="11" fillId="0" borderId="12" xfId="0" applyFont="1" applyFill="1" applyBorder="1" applyAlignment="1">
      <alignment horizontal="left" vertical="center"/>
    </xf>
    <xf numFmtId="0" fontId="11" fillId="0" borderId="13" xfId="0" applyFont="1" applyFill="1" applyBorder="1" applyAlignment="1">
      <alignment horizontal="left" vertical="center"/>
    </xf>
    <xf numFmtId="170" fontId="18" fillId="5" borderId="11" xfId="0" applyNumberFormat="1" applyFont="1" applyFill="1" applyBorder="1" applyAlignment="1">
      <alignment horizontal="left" vertical="center"/>
    </xf>
    <xf numFmtId="170" fontId="18" fillId="5" borderId="12" xfId="0" applyNumberFormat="1" applyFont="1" applyFill="1" applyBorder="1" applyAlignment="1">
      <alignment horizontal="left" vertical="center"/>
    </xf>
    <xf numFmtId="170" fontId="18" fillId="5" borderId="13" xfId="0" applyNumberFormat="1" applyFont="1" applyFill="1" applyBorder="1" applyAlignment="1">
      <alignment horizontal="lef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170" fontId="11" fillId="2" borderId="11" xfId="0" applyNumberFormat="1" applyFont="1" applyFill="1" applyBorder="1" applyAlignment="1">
      <alignment horizontal="center" vertical="center"/>
    </xf>
    <xf numFmtId="170" fontId="11" fillId="2" borderId="12" xfId="0" applyNumberFormat="1" applyFont="1" applyFill="1" applyBorder="1" applyAlignment="1">
      <alignment horizontal="center" vertical="center"/>
    </xf>
    <xf numFmtId="170" fontId="11" fillId="2" borderId="13" xfId="0" applyNumberFormat="1" applyFont="1" applyFill="1" applyBorder="1" applyAlignment="1">
      <alignment horizontal="center" vertical="center"/>
    </xf>
    <xf numFmtId="170" fontId="18" fillId="5" borderId="11" xfId="0" applyNumberFormat="1" applyFont="1" applyFill="1" applyBorder="1" applyAlignment="1">
      <alignment horizontal="right" vertical="center"/>
    </xf>
    <xf numFmtId="170" fontId="18" fillId="5" borderId="12" xfId="0" applyNumberFormat="1" applyFont="1" applyFill="1" applyBorder="1" applyAlignment="1">
      <alignment horizontal="right" vertical="center"/>
    </xf>
    <xf numFmtId="170" fontId="18" fillId="5" borderId="13" xfId="0" applyNumberFormat="1" applyFont="1" applyFill="1" applyBorder="1" applyAlignment="1">
      <alignment horizontal="right" vertical="center"/>
    </xf>
    <xf numFmtId="167" fontId="19" fillId="2" borderId="11" xfId="0" applyNumberFormat="1" applyFont="1" applyFill="1" applyBorder="1" applyAlignment="1">
      <alignment horizontal="left" vertical="center"/>
    </xf>
    <xf numFmtId="167" fontId="19" fillId="2" borderId="12" xfId="0" applyNumberFormat="1" applyFont="1" applyFill="1" applyBorder="1" applyAlignment="1">
      <alignment horizontal="left" vertical="center"/>
    </xf>
    <xf numFmtId="167" fontId="19" fillId="2" borderId="13" xfId="0" applyNumberFormat="1" applyFont="1" applyFill="1" applyBorder="1" applyAlignment="1">
      <alignment horizontal="left" vertical="center"/>
    </xf>
    <xf numFmtId="9" fontId="11" fillId="2" borderId="8" xfId="1" applyFont="1" applyFill="1" applyBorder="1" applyAlignment="1">
      <alignment horizontal="center" vertical="center"/>
    </xf>
    <xf numFmtId="9" fontId="11" fillId="2" borderId="9" xfId="1" applyFont="1" applyFill="1" applyBorder="1" applyAlignment="1">
      <alignment horizontal="center" vertical="center"/>
    </xf>
    <xf numFmtId="9" fontId="11" fillId="2" borderId="10" xfId="1" applyFont="1" applyFill="1" applyBorder="1" applyAlignment="1">
      <alignment horizontal="center" vertical="center"/>
    </xf>
    <xf numFmtId="0" fontId="19" fillId="0" borderId="11" xfId="0" applyFont="1" applyBorder="1" applyAlignment="1">
      <alignment horizontal="right"/>
    </xf>
    <xf numFmtId="0" fontId="19" fillId="0" borderId="12" xfId="0" applyFont="1" applyBorder="1" applyAlignment="1">
      <alignment horizontal="right"/>
    </xf>
    <xf numFmtId="0" fontId="19" fillId="0" borderId="13" xfId="0" applyFont="1" applyBorder="1" applyAlignment="1">
      <alignment horizontal="right"/>
    </xf>
    <xf numFmtId="170" fontId="18" fillId="2" borderId="11" xfId="0" applyNumberFormat="1" applyFont="1" applyFill="1" applyBorder="1" applyAlignment="1">
      <alignment horizontal="left" vertical="center"/>
    </xf>
    <xf numFmtId="170" fontId="18" fillId="2" borderId="12" xfId="0" applyNumberFormat="1" applyFont="1" applyFill="1" applyBorder="1" applyAlignment="1">
      <alignment horizontal="left" vertical="center"/>
    </xf>
    <xf numFmtId="170" fontId="18" fillId="2" borderId="13" xfId="0" applyNumberFormat="1" applyFont="1" applyFill="1" applyBorder="1" applyAlignment="1">
      <alignment horizontal="left" vertical="center"/>
    </xf>
    <xf numFmtId="0" fontId="11" fillId="0" borderId="14" xfId="0" applyFont="1" applyBorder="1" applyAlignment="1">
      <alignment horizontal="right"/>
    </xf>
    <xf numFmtId="0" fontId="11" fillId="0" borderId="15" xfId="0" applyFont="1" applyBorder="1" applyAlignment="1">
      <alignment horizontal="right"/>
    </xf>
    <xf numFmtId="0" fontId="11" fillId="0" borderId="20" xfId="0" applyFont="1" applyBorder="1" applyAlignment="1">
      <alignment horizontal="right"/>
    </xf>
    <xf numFmtId="0" fontId="11" fillId="0" borderId="14" xfId="0" applyFont="1" applyBorder="1" applyAlignment="1">
      <alignment horizontal="right" vertical="center"/>
    </xf>
    <xf numFmtId="0" fontId="11" fillId="0" borderId="15" xfId="0" applyFont="1" applyBorder="1" applyAlignment="1">
      <alignment horizontal="right" vertical="center"/>
    </xf>
    <xf numFmtId="0" fontId="11" fillId="0" borderId="20" xfId="0" applyFont="1" applyBorder="1" applyAlignment="1">
      <alignment horizontal="right" vertical="center"/>
    </xf>
    <xf numFmtId="0" fontId="11" fillId="0" borderId="17" xfId="0" applyFont="1" applyBorder="1" applyAlignment="1">
      <alignment horizontal="right" vertical="center"/>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9" fillId="0" borderId="11" xfId="0" applyFont="1" applyBorder="1" applyAlignment="1">
      <alignment horizontal="right" vertical="center"/>
    </xf>
    <xf numFmtId="0" fontId="19" fillId="0" borderId="12" xfId="0" applyFont="1" applyBorder="1" applyAlignment="1">
      <alignment horizontal="right" vertical="center"/>
    </xf>
    <xf numFmtId="0" fontId="19" fillId="0" borderId="13" xfId="0" applyFont="1" applyBorder="1" applyAlignment="1">
      <alignment horizontal="right" vertical="center"/>
    </xf>
    <xf numFmtId="170" fontId="18" fillId="5" borderId="11" xfId="0" applyNumberFormat="1" applyFont="1" applyFill="1" applyBorder="1" applyAlignment="1">
      <alignment horizontal="right"/>
    </xf>
    <xf numFmtId="170" fontId="18" fillId="5" borderId="12" xfId="0" applyNumberFormat="1" applyFont="1" applyFill="1" applyBorder="1" applyAlignment="1">
      <alignment horizontal="right"/>
    </xf>
    <xf numFmtId="170" fontId="18" fillId="5" borderId="13" xfId="0" applyNumberFormat="1" applyFont="1" applyFill="1" applyBorder="1" applyAlignment="1">
      <alignment horizontal="right"/>
    </xf>
    <xf numFmtId="0" fontId="11" fillId="0" borderId="17" xfId="0" applyFont="1" applyBorder="1" applyAlignment="1">
      <alignment horizontal="right"/>
    </xf>
    <xf numFmtId="0" fontId="11" fillId="0" borderId="18" xfId="0" applyFont="1" applyBorder="1" applyAlignment="1">
      <alignment horizontal="right"/>
    </xf>
    <xf numFmtId="0" fontId="11" fillId="0" borderId="19" xfId="0" applyFont="1" applyBorder="1" applyAlignment="1">
      <alignment horizontal="right"/>
    </xf>
    <xf numFmtId="0" fontId="11" fillId="0" borderId="8"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0" fontId="0" fillId="4" borderId="25" xfId="0" applyFont="1" applyFill="1" applyBorder="1" applyAlignment="1">
      <alignment horizontal="left" wrapText="1"/>
    </xf>
    <xf numFmtId="0" fontId="0" fillId="4" borderId="26" xfId="0" applyFont="1" applyFill="1" applyBorder="1" applyAlignment="1">
      <alignment horizontal="left" wrapText="1"/>
    </xf>
    <xf numFmtId="0" fontId="7" fillId="4" borderId="1" xfId="0" applyFont="1" applyFill="1" applyBorder="1" applyAlignment="1">
      <alignment horizontal="left" vertical="top" wrapText="1"/>
    </xf>
    <xf numFmtId="0" fontId="0" fillId="4" borderId="1" xfId="0" applyFill="1" applyBorder="1" applyAlignment="1">
      <alignment horizontal="left" vertical="top" wrapText="1"/>
    </xf>
    <xf numFmtId="0" fontId="7" fillId="4" borderId="0" xfId="0" applyFont="1" applyFill="1" applyBorder="1" applyAlignment="1">
      <alignment horizontal="left" vertical="top" wrapText="1"/>
    </xf>
    <xf numFmtId="0" fontId="5" fillId="4" borderId="6" xfId="0" applyFont="1" applyFill="1" applyBorder="1" applyAlignment="1">
      <alignment horizontal="left"/>
    </xf>
    <xf numFmtId="0" fontId="5" fillId="4" borderId="0" xfId="0" applyFont="1" applyFill="1" applyBorder="1" applyAlignment="1">
      <alignment horizontal="left"/>
    </xf>
    <xf numFmtId="170" fontId="18" fillId="3" borderId="11" xfId="0" applyNumberFormat="1" applyFont="1" applyFill="1" applyBorder="1" applyAlignment="1">
      <alignment horizontal="center" vertical="center"/>
    </xf>
    <xf numFmtId="170" fontId="18" fillId="3" borderId="12" xfId="0" applyNumberFormat="1" applyFont="1" applyFill="1" applyBorder="1" applyAlignment="1">
      <alignment horizontal="center" vertical="center"/>
    </xf>
    <xf numFmtId="170" fontId="18" fillId="3" borderId="13" xfId="0" applyNumberFormat="1" applyFont="1" applyFill="1" applyBorder="1" applyAlignment="1">
      <alignment horizontal="center" vertical="center"/>
    </xf>
    <xf numFmtId="170" fontId="18" fillId="3" borderId="14" xfId="0" applyNumberFormat="1" applyFont="1" applyFill="1" applyBorder="1" applyAlignment="1">
      <alignment horizontal="center"/>
    </xf>
    <xf numFmtId="170" fontId="18" fillId="3" borderId="15" xfId="0" applyNumberFormat="1" applyFont="1" applyFill="1" applyBorder="1" applyAlignment="1">
      <alignment horizontal="center"/>
    </xf>
    <xf numFmtId="170" fontId="18" fillId="3" borderId="20" xfId="0" applyNumberFormat="1" applyFont="1" applyFill="1" applyBorder="1" applyAlignment="1">
      <alignment horizontal="center"/>
    </xf>
    <xf numFmtId="0" fontId="18" fillId="3" borderId="11"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3" xfId="0" applyFont="1" applyFill="1" applyBorder="1" applyAlignment="1">
      <alignment horizontal="center" vertical="center"/>
    </xf>
    <xf numFmtId="170" fontId="18" fillId="3" borderId="14" xfId="0" applyNumberFormat="1" applyFont="1" applyFill="1" applyBorder="1" applyAlignment="1">
      <alignment horizontal="center" vertical="center"/>
    </xf>
    <xf numFmtId="170" fontId="18" fillId="3" borderId="15" xfId="0" applyNumberFormat="1" applyFont="1" applyFill="1" applyBorder="1" applyAlignment="1">
      <alignment horizontal="center" vertical="center"/>
    </xf>
    <xf numFmtId="170" fontId="18" fillId="3" borderId="20" xfId="0" applyNumberFormat="1" applyFont="1" applyFill="1" applyBorder="1" applyAlignment="1">
      <alignment horizontal="center" vertical="center"/>
    </xf>
  </cellXfs>
  <cellStyles count="18">
    <cellStyle name="Comma" xfId="3" builtinId="3"/>
    <cellStyle name="Comma 2" xfId="10"/>
    <cellStyle name="Comma 3" xfId="11"/>
    <cellStyle name="Currency" xfId="2" builtinId="4"/>
    <cellStyle name="Currency 2" xfId="4"/>
    <cellStyle name="Normal" xfId="0" builtinId="0"/>
    <cellStyle name="Normal 15" xfId="17"/>
    <cellStyle name="Normal 2" xfId="5"/>
    <cellStyle name="Normal 2 2" xfId="6"/>
    <cellStyle name="Normal 2 2 2" xfId="12"/>
    <cellStyle name="Normal 3" xfId="7"/>
    <cellStyle name="Normal 4" xfId="13"/>
    <cellStyle name="Normal 5" xfId="16"/>
    <cellStyle name="Normal_Sheet1" xfId="15"/>
    <cellStyle name="Note 2" xfId="14"/>
    <cellStyle name="Percent" xfId="1" builtinId="5"/>
    <cellStyle name="Percent 2" xfId="8"/>
    <cellStyle name="Percent 3" xfId="9"/>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33</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77"/>
  <sheetViews>
    <sheetView showGridLines="0" zoomScaleNormal="100" workbookViewId="0"/>
  </sheetViews>
  <sheetFormatPr defaultColWidth="9.140625" defaultRowHeight="12.75" x14ac:dyDescent="0.25"/>
  <cols>
    <col min="1" max="1" width="2.85546875" style="19" customWidth="1"/>
    <col min="2" max="2" width="21.140625" style="19" bestFit="1" customWidth="1"/>
    <col min="3" max="3" width="16.85546875" style="19" customWidth="1"/>
    <col min="4" max="4" width="13.42578125" style="19" bestFit="1" customWidth="1"/>
    <col min="5" max="5" width="13.42578125" style="19" customWidth="1"/>
    <col min="6" max="6" width="12.7109375" style="19" customWidth="1"/>
    <col min="7" max="10" width="12.85546875" style="21" customWidth="1"/>
    <col min="11" max="11" width="12.85546875" style="19" customWidth="1"/>
    <col min="12" max="12" width="2.85546875" style="19" customWidth="1"/>
    <col min="13" max="13" width="49.85546875" style="22" customWidth="1"/>
    <col min="14" max="14" width="2.85546875" style="19" customWidth="1"/>
    <col min="15" max="17" width="9.140625" style="19" customWidth="1"/>
    <col min="18" max="16384" width="9.140625" style="19"/>
  </cols>
  <sheetData>
    <row r="1" spans="2:13" x14ac:dyDescent="0.25">
      <c r="B1" s="20"/>
    </row>
    <row r="2" spans="2:13" ht="21" x14ac:dyDescent="0.25">
      <c r="B2" s="23" t="s">
        <v>31</v>
      </c>
    </row>
    <row r="3" spans="2:13" ht="21" x14ac:dyDescent="0.25">
      <c r="B3" s="23" t="str">
        <f>'AER Summary'!C3</f>
        <v>Services involved in obtaining deeds of agreement in relation to property rights associated with contestable connections work</v>
      </c>
    </row>
    <row r="4" spans="2:13" ht="18.75" x14ac:dyDescent="0.25">
      <c r="B4" s="24" t="s">
        <v>32</v>
      </c>
    </row>
    <row r="6" spans="2:13" ht="15.75" x14ac:dyDescent="0.25">
      <c r="B6" s="25" t="s">
        <v>2</v>
      </c>
      <c r="C6" s="26"/>
      <c r="D6" s="26"/>
      <c r="E6" s="26"/>
      <c r="F6" s="26"/>
      <c r="G6" s="27"/>
      <c r="H6" s="27"/>
      <c r="I6" s="27"/>
      <c r="J6" s="27"/>
      <c r="K6" s="26"/>
      <c r="M6" s="28"/>
    </row>
    <row r="8" spans="2:13" x14ac:dyDescent="0.25">
      <c r="B8" s="185"/>
      <c r="C8" s="186"/>
      <c r="D8" s="186"/>
      <c r="E8" s="186"/>
      <c r="F8" s="187"/>
      <c r="G8" s="29" t="s">
        <v>8</v>
      </c>
      <c r="H8" s="30" t="s">
        <v>9</v>
      </c>
      <c r="I8" s="31" t="s">
        <v>10</v>
      </c>
      <c r="J8" s="30" t="s">
        <v>11</v>
      </c>
      <c r="K8" s="32" t="s">
        <v>12</v>
      </c>
      <c r="M8" s="33" t="s">
        <v>4</v>
      </c>
    </row>
    <row r="9" spans="2:13" ht="38.25" x14ac:dyDescent="0.25">
      <c r="B9" s="188" t="s">
        <v>2</v>
      </c>
      <c r="C9" s="189"/>
      <c r="D9" s="189"/>
      <c r="E9" s="189"/>
      <c r="F9" s="190"/>
      <c r="G9" s="191" t="s">
        <v>7</v>
      </c>
      <c r="H9" s="192"/>
      <c r="I9" s="192"/>
      <c r="J9" s="192"/>
      <c r="K9" s="193"/>
      <c r="M9" s="34" t="s">
        <v>78</v>
      </c>
    </row>
    <row r="11" spans="2:13" ht="15.75" x14ac:dyDescent="0.25">
      <c r="B11" s="25" t="s">
        <v>27</v>
      </c>
      <c r="C11" s="26"/>
      <c r="D11" s="26"/>
      <c r="E11" s="26"/>
      <c r="F11" s="26"/>
      <c r="G11" s="27"/>
      <c r="H11" s="27"/>
      <c r="I11" s="27"/>
      <c r="J11" s="27"/>
      <c r="K11" s="26"/>
      <c r="M11" s="28"/>
    </row>
    <row r="13" spans="2:13" x14ac:dyDescent="0.25">
      <c r="B13" s="37" t="s">
        <v>23</v>
      </c>
      <c r="C13" s="181" t="s">
        <v>26</v>
      </c>
      <c r="D13" s="181"/>
      <c r="E13" s="181"/>
      <c r="F13" s="181"/>
      <c r="G13" s="30" t="s">
        <v>8</v>
      </c>
      <c r="H13" s="30" t="s">
        <v>9</v>
      </c>
      <c r="I13" s="30" t="s">
        <v>10</v>
      </c>
      <c r="J13" s="30" t="s">
        <v>11</v>
      </c>
      <c r="K13" s="38" t="s">
        <v>12</v>
      </c>
      <c r="M13" s="33" t="s">
        <v>4</v>
      </c>
    </row>
    <row r="14" spans="2:13" ht="51" x14ac:dyDescent="0.25">
      <c r="B14" s="17"/>
      <c r="C14" s="182"/>
      <c r="D14" s="183"/>
      <c r="E14" s="183"/>
      <c r="F14" s="184"/>
      <c r="G14" s="191" t="s">
        <v>7</v>
      </c>
      <c r="H14" s="192"/>
      <c r="I14" s="192"/>
      <c r="J14" s="192"/>
      <c r="K14" s="193"/>
      <c r="M14" s="120" t="s">
        <v>79</v>
      </c>
    </row>
    <row r="15" spans="2:13" x14ac:dyDescent="0.25">
      <c r="B15" s="39"/>
      <c r="C15" s="39"/>
      <c r="D15" s="39"/>
      <c r="E15" s="39"/>
      <c r="F15" s="39"/>
      <c r="G15" s="40"/>
      <c r="H15" s="40"/>
      <c r="I15" s="40"/>
      <c r="J15" s="40"/>
      <c r="K15" s="22"/>
    </row>
    <row r="16" spans="2:13" ht="15.75" x14ac:dyDescent="0.25">
      <c r="B16" s="25" t="s">
        <v>29</v>
      </c>
      <c r="C16" s="26"/>
      <c r="D16" s="26"/>
      <c r="E16" s="26"/>
      <c r="F16" s="26"/>
      <c r="G16" s="27"/>
      <c r="H16" s="27"/>
      <c r="I16" s="27"/>
      <c r="J16" s="27"/>
      <c r="K16" s="26"/>
      <c r="M16" s="28"/>
    </row>
    <row r="18" spans="2:13" x14ac:dyDescent="0.25">
      <c r="B18" s="143" t="s">
        <v>25</v>
      </c>
      <c r="C18" s="144"/>
      <c r="D18" s="144"/>
      <c r="E18" s="144"/>
      <c r="F18" s="29" t="s">
        <v>77</v>
      </c>
      <c r="G18" s="29" t="s">
        <v>8</v>
      </c>
      <c r="H18" s="30" t="s">
        <v>9</v>
      </c>
      <c r="I18" s="31" t="s">
        <v>10</v>
      </c>
      <c r="J18" s="30" t="s">
        <v>11</v>
      </c>
      <c r="K18" s="32" t="s">
        <v>12</v>
      </c>
      <c r="M18" s="33" t="s">
        <v>4</v>
      </c>
    </row>
    <row r="19" spans="2:13" ht="51" x14ac:dyDescent="0.2">
      <c r="B19" s="141" t="s">
        <v>28</v>
      </c>
      <c r="C19" s="145"/>
      <c r="D19" s="142"/>
      <c r="E19" s="145"/>
      <c r="F19" s="146">
        <v>3.5000000000000003E-2</v>
      </c>
      <c r="G19" s="146">
        <v>3.5000000000000003E-2</v>
      </c>
      <c r="H19" s="146">
        <v>0.04</v>
      </c>
      <c r="I19" s="147">
        <v>0.04</v>
      </c>
      <c r="J19" s="146">
        <v>0</v>
      </c>
      <c r="K19" s="52"/>
      <c r="M19" s="36" t="s">
        <v>80</v>
      </c>
    </row>
    <row r="21" spans="2:13" ht="15.75" x14ac:dyDescent="0.25">
      <c r="B21" s="25" t="s">
        <v>49</v>
      </c>
      <c r="C21" s="26"/>
      <c r="D21" s="26"/>
      <c r="E21" s="26"/>
      <c r="F21" s="26"/>
      <c r="G21" s="27"/>
      <c r="H21" s="27"/>
      <c r="I21" s="27"/>
      <c r="J21" s="27"/>
      <c r="K21" s="26"/>
      <c r="M21" s="28"/>
    </row>
    <row r="25" spans="2:13" x14ac:dyDescent="0.2">
      <c r="B25" s="122" t="s">
        <v>23</v>
      </c>
      <c r="C25" s="123" t="s">
        <v>26</v>
      </c>
      <c r="D25" s="125"/>
      <c r="E25" s="125"/>
      <c r="F25" s="124"/>
      <c r="G25" s="29" t="s">
        <v>8</v>
      </c>
      <c r="H25" s="30" t="s">
        <v>9</v>
      </c>
      <c r="I25" s="30" t="s">
        <v>10</v>
      </c>
      <c r="J25" s="30" t="s">
        <v>11</v>
      </c>
      <c r="K25" s="38" t="s">
        <v>12</v>
      </c>
      <c r="M25" s="33" t="s">
        <v>4</v>
      </c>
    </row>
    <row r="26" spans="2:13" ht="12.75" customHeight="1" x14ac:dyDescent="0.25">
      <c r="B26" s="130" t="s">
        <v>75</v>
      </c>
      <c r="C26" s="131" t="s">
        <v>76</v>
      </c>
      <c r="D26" s="132"/>
      <c r="E26" s="132"/>
      <c r="F26" s="132"/>
      <c r="G26" s="200"/>
      <c r="H26" s="127">
        <v>69673.957241980213</v>
      </c>
      <c r="I26" s="127">
        <v>63542.142586919559</v>
      </c>
      <c r="J26" s="127">
        <v>71900.961568941828</v>
      </c>
      <c r="K26" s="200"/>
      <c r="M26" s="178" t="s">
        <v>81</v>
      </c>
    </row>
    <row r="27" spans="2:13" ht="12.75" customHeight="1" x14ac:dyDescent="0.25">
      <c r="B27" s="131" t="s">
        <v>68</v>
      </c>
      <c r="C27" s="132"/>
      <c r="D27" s="132"/>
      <c r="E27" s="132"/>
      <c r="F27" s="132"/>
      <c r="G27" s="201"/>
      <c r="H27" s="35">
        <v>974.29997691632445</v>
      </c>
      <c r="I27" s="35">
        <v>842.51181267592824</v>
      </c>
      <c r="J27" s="35">
        <v>816.54265548405033</v>
      </c>
      <c r="K27" s="201"/>
      <c r="M27" s="179"/>
    </row>
    <row r="28" spans="2:13" x14ac:dyDescent="0.25">
      <c r="B28" s="63" t="s">
        <v>69</v>
      </c>
      <c r="C28" s="121"/>
      <c r="D28" s="121"/>
      <c r="E28" s="121"/>
      <c r="F28" s="121"/>
      <c r="G28" s="201"/>
      <c r="H28" s="133">
        <f>+H26/H27</f>
        <v>71.511812473299486</v>
      </c>
      <c r="I28" s="133">
        <f>+I26/I27</f>
        <v>75.41988329528742</v>
      </c>
      <c r="J28" s="133">
        <f>+J26/J27</f>
        <v>88.055365002724315</v>
      </c>
      <c r="K28" s="201"/>
      <c r="M28" s="179"/>
    </row>
    <row r="29" spans="2:13" x14ac:dyDescent="0.25">
      <c r="B29" s="63" t="s">
        <v>70</v>
      </c>
      <c r="C29" s="121"/>
      <c r="D29" s="121"/>
      <c r="E29" s="121"/>
      <c r="F29" s="121"/>
      <c r="G29" s="201"/>
      <c r="H29" s="137">
        <f>+H19</f>
        <v>0.04</v>
      </c>
      <c r="I29" s="135">
        <f>+I19</f>
        <v>0.04</v>
      </c>
      <c r="J29" s="135">
        <f>+J19</f>
        <v>0</v>
      </c>
      <c r="K29" s="201"/>
      <c r="M29" s="179"/>
    </row>
    <row r="30" spans="2:13" x14ac:dyDescent="0.25">
      <c r="B30" s="136" t="s">
        <v>71</v>
      </c>
      <c r="C30" s="47"/>
      <c r="D30" s="47"/>
      <c r="E30" s="47"/>
      <c r="F30" s="47"/>
      <c r="G30" s="202"/>
      <c r="H30" s="134">
        <f>+H28*(1+I29)*(1+H29)</f>
        <v>77.347176371120725</v>
      </c>
      <c r="I30" s="133">
        <f>+I28*(1+I29)</f>
        <v>78.436678627098914</v>
      </c>
      <c r="J30" s="133">
        <f>+J28</f>
        <v>88.055365002724315</v>
      </c>
      <c r="K30" s="202"/>
      <c r="M30" s="179"/>
    </row>
    <row r="31" spans="2:13" x14ac:dyDescent="0.25">
      <c r="M31" s="179"/>
    </row>
    <row r="32" spans="2:13" x14ac:dyDescent="0.25">
      <c r="G32" s="129" t="s">
        <v>82</v>
      </c>
      <c r="H32" s="129"/>
      <c r="I32" s="129"/>
      <c r="J32" s="97">
        <f>AVERAGE(H30:J30)</f>
        <v>81.279740000314646</v>
      </c>
      <c r="K32" s="55"/>
      <c r="M32" s="179"/>
    </row>
    <row r="33" spans="2:13" x14ac:dyDescent="0.25">
      <c r="H33" s="44"/>
      <c r="I33" s="44"/>
      <c r="J33" s="44"/>
      <c r="M33" s="179"/>
    </row>
    <row r="34" spans="2:13" x14ac:dyDescent="0.25">
      <c r="G34" s="197" t="s">
        <v>35</v>
      </c>
      <c r="H34" s="198"/>
      <c r="I34" s="199"/>
      <c r="J34" s="98">
        <f>+$K$63-1</f>
        <v>1.2648945446885498</v>
      </c>
      <c r="M34" s="179"/>
    </row>
    <row r="35" spans="2:13" x14ac:dyDescent="0.25">
      <c r="H35" s="44"/>
      <c r="I35" s="44"/>
      <c r="J35" s="44"/>
      <c r="M35" s="179"/>
    </row>
    <row r="36" spans="2:13" x14ac:dyDescent="0.25">
      <c r="G36" s="129" t="s">
        <v>36</v>
      </c>
      <c r="H36" s="129"/>
      <c r="I36" s="129"/>
      <c r="J36" s="97">
        <f>+J32+(J34*J32)</f>
        <v>184.09003972041634</v>
      </c>
      <c r="K36" s="55"/>
      <c r="M36" s="180"/>
    </row>
    <row r="38" spans="2:13" ht="15.75" x14ac:dyDescent="0.25">
      <c r="B38" s="25" t="s">
        <v>65</v>
      </c>
      <c r="C38" s="26"/>
      <c r="D38" s="26"/>
      <c r="E38" s="26"/>
      <c r="F38" s="26"/>
      <c r="G38" s="27"/>
      <c r="H38" s="27"/>
      <c r="I38" s="27"/>
      <c r="J38" s="27"/>
      <c r="K38" s="26"/>
      <c r="M38" s="28"/>
    </row>
    <row r="40" spans="2:13" x14ac:dyDescent="0.25">
      <c r="B40" s="185" t="s">
        <v>3</v>
      </c>
      <c r="C40" s="186"/>
      <c r="D40" s="186"/>
      <c r="E40" s="186"/>
      <c r="F40" s="187"/>
      <c r="G40" s="29" t="s">
        <v>13</v>
      </c>
      <c r="H40" s="30" t="s">
        <v>14</v>
      </c>
      <c r="I40" s="30" t="s">
        <v>15</v>
      </c>
      <c r="J40" s="30" t="s">
        <v>16</v>
      </c>
      <c r="K40" s="86" t="s">
        <v>17</v>
      </c>
      <c r="M40" s="33" t="s">
        <v>4</v>
      </c>
    </row>
    <row r="41" spans="2:13" x14ac:dyDescent="0.25">
      <c r="B41" s="188" t="s">
        <v>74</v>
      </c>
      <c r="C41" s="189"/>
      <c r="D41" s="189"/>
      <c r="E41" s="189"/>
      <c r="F41" s="190"/>
      <c r="G41" s="148">
        <v>400</v>
      </c>
      <c r="H41" s="149">
        <v>400</v>
      </c>
      <c r="I41" s="150">
        <v>400</v>
      </c>
      <c r="J41" s="149">
        <v>400</v>
      </c>
      <c r="K41" s="149">
        <v>400</v>
      </c>
      <c r="M41" s="178" t="s">
        <v>83</v>
      </c>
    </row>
    <row r="42" spans="2:13" ht="13.5" thickBot="1" x14ac:dyDescent="0.25">
      <c r="G42" s="151">
        <f>SUM(G41:G41)</f>
        <v>400</v>
      </c>
      <c r="H42" s="152">
        <f>SUM(H41:H41)</f>
        <v>400</v>
      </c>
      <c r="I42" s="153">
        <f>SUM(I41:I41)</f>
        <v>400</v>
      </c>
      <c r="J42" s="152">
        <f>SUM(J41:J41)</f>
        <v>400</v>
      </c>
      <c r="K42" s="152">
        <f>SUM(K41:K41)</f>
        <v>400</v>
      </c>
      <c r="M42" s="179"/>
    </row>
    <row r="43" spans="2:13" x14ac:dyDescent="0.25">
      <c r="M43" s="179"/>
    </row>
    <row r="44" spans="2:13" x14ac:dyDescent="0.25">
      <c r="B44" s="185" t="s">
        <v>66</v>
      </c>
      <c r="C44" s="186"/>
      <c r="D44" s="186"/>
      <c r="E44" s="186"/>
      <c r="F44" s="187"/>
      <c r="M44" s="179"/>
    </row>
    <row r="45" spans="2:13" x14ac:dyDescent="0.2">
      <c r="B45" s="188" t="s">
        <v>74</v>
      </c>
      <c r="C45" s="189"/>
      <c r="D45" s="189"/>
      <c r="E45" s="189"/>
      <c r="F45" s="190"/>
      <c r="G45" s="126">
        <v>2</v>
      </c>
      <c r="M45" s="180"/>
    </row>
    <row r="47" spans="2:13" ht="15.75" x14ac:dyDescent="0.25">
      <c r="B47" s="25" t="s">
        <v>50</v>
      </c>
      <c r="C47" s="26"/>
      <c r="D47" s="26"/>
      <c r="E47" s="26"/>
      <c r="F47" s="26"/>
      <c r="G47" s="27"/>
      <c r="H47" s="27"/>
      <c r="I47" s="27"/>
      <c r="J47" s="27"/>
      <c r="K47" s="26"/>
      <c r="M47" s="28"/>
    </row>
    <row r="48" spans="2:13" x14ac:dyDescent="0.25">
      <c r="E48" s="42"/>
    </row>
    <row r="49" spans="2:13" x14ac:dyDescent="0.25">
      <c r="B49" s="92"/>
      <c r="C49" s="93"/>
      <c r="D49" s="93"/>
      <c r="E49" s="93"/>
      <c r="F49" s="30" t="s">
        <v>12</v>
      </c>
      <c r="G49" s="30" t="s">
        <v>13</v>
      </c>
      <c r="H49" s="30" t="s">
        <v>14</v>
      </c>
      <c r="I49" s="30" t="s">
        <v>15</v>
      </c>
      <c r="J49" s="30" t="s">
        <v>16</v>
      </c>
      <c r="K49" s="30" t="s">
        <v>17</v>
      </c>
      <c r="M49" s="33" t="s">
        <v>4</v>
      </c>
    </row>
    <row r="50" spans="2:13" x14ac:dyDescent="0.25">
      <c r="H50" s="44"/>
      <c r="I50" s="44"/>
      <c r="J50" s="44"/>
      <c r="M50" s="178" t="s">
        <v>72</v>
      </c>
    </row>
    <row r="51" spans="2:13" x14ac:dyDescent="0.25">
      <c r="B51" s="19" t="s">
        <v>74</v>
      </c>
      <c r="E51" s="19" t="s">
        <v>42</v>
      </c>
      <c r="F51" s="45">
        <f>G51/1.025</f>
        <v>84.786708818859154</v>
      </c>
      <c r="G51" s="45">
        <f>+$J$32*G70</f>
        <v>86.906376539330623</v>
      </c>
      <c r="H51" s="45">
        <f>+$J$32*H70</f>
        <v>90.698077405159438</v>
      </c>
      <c r="I51" s="45">
        <f>+$J$32*I70</f>
        <v>93.768905641660851</v>
      </c>
      <c r="J51" s="45">
        <f>+$J$32*J70</f>
        <v>97.072211460966841</v>
      </c>
      <c r="K51" s="45">
        <f>+$J$32*K70</f>
        <v>100.41502398500366</v>
      </c>
      <c r="M51" s="179"/>
    </row>
    <row r="52" spans="2:13" x14ac:dyDescent="0.25">
      <c r="B52" s="19" t="s">
        <v>74</v>
      </c>
      <c r="E52" s="19" t="s">
        <v>43</v>
      </c>
      <c r="F52" s="45">
        <f>G52/1.025</f>
        <v>192.03295426593067</v>
      </c>
      <c r="G52" s="45">
        <f>+$J$36*G70</f>
        <v>196.83377812257891</v>
      </c>
      <c r="H52" s="45">
        <f>+$J$36*H70</f>
        <v>205.42158072868543</v>
      </c>
      <c r="I52" s="45">
        <f>+$J$36*I70</f>
        <v>212.37668284921301</v>
      </c>
      <c r="J52" s="45">
        <f>+$J$36*J70</f>
        <v>219.8583221787971</v>
      </c>
      <c r="K52" s="45">
        <f>+$J$36*K70</f>
        <v>227.42944002840466</v>
      </c>
      <c r="M52" s="179"/>
    </row>
    <row r="53" spans="2:13" x14ac:dyDescent="0.25">
      <c r="G53" s="45"/>
      <c r="H53" s="45"/>
      <c r="I53" s="45"/>
      <c r="J53" s="45"/>
      <c r="K53" s="45"/>
      <c r="M53" s="179"/>
    </row>
    <row r="54" spans="2:13" x14ac:dyDescent="0.25">
      <c r="B54" s="94" t="s">
        <v>51</v>
      </c>
      <c r="C54" s="94"/>
      <c r="D54" s="94"/>
      <c r="E54" s="94"/>
      <c r="F54" s="94"/>
      <c r="G54" s="95"/>
      <c r="H54" s="95">
        <f>(H51-G51)/G51</f>
        <v>4.3629719898779021E-2</v>
      </c>
      <c r="I54" s="95">
        <f>(I51-H51)/H51</f>
        <v>3.3857699351041881E-2</v>
      </c>
      <c r="J54" s="95">
        <f>(J51-I51)/I51</f>
        <v>3.5228157956003224E-2</v>
      </c>
      <c r="K54" s="95">
        <f>(K51-J51)/J51</f>
        <v>3.4436348711196052E-2</v>
      </c>
      <c r="M54" s="180"/>
    </row>
    <row r="55" spans="2:13" x14ac:dyDescent="0.25">
      <c r="E55" s="42"/>
      <c r="H55" s="44"/>
      <c r="I55" s="44"/>
      <c r="J55" s="44"/>
    </row>
    <row r="56" spans="2:13" ht="15.75" x14ac:dyDescent="0.25">
      <c r="B56" s="25" t="s">
        <v>34</v>
      </c>
      <c r="C56" s="26"/>
      <c r="D56" s="26"/>
      <c r="E56" s="26"/>
      <c r="F56" s="26"/>
      <c r="G56" s="27"/>
      <c r="H56" s="27"/>
      <c r="I56" s="27"/>
      <c r="J56" s="27"/>
      <c r="K56" s="26"/>
      <c r="M56" s="28"/>
    </row>
    <row r="58" spans="2:13" x14ac:dyDescent="0.25">
      <c r="B58" s="194" t="s">
        <v>19</v>
      </c>
      <c r="C58" s="195"/>
      <c r="D58" s="195"/>
      <c r="E58" s="196"/>
      <c r="F58" s="91" t="s">
        <v>12</v>
      </c>
      <c r="G58" s="91" t="s">
        <v>13</v>
      </c>
      <c r="H58" s="91" t="s">
        <v>14</v>
      </c>
      <c r="I58" s="91" t="s">
        <v>15</v>
      </c>
      <c r="J58" s="91" t="s">
        <v>16</v>
      </c>
      <c r="K58" s="41" t="s">
        <v>17</v>
      </c>
      <c r="M58" s="33" t="s">
        <v>4</v>
      </c>
    </row>
    <row r="59" spans="2:13" ht="12.75" customHeight="1" x14ac:dyDescent="0.25">
      <c r="B59" s="212" t="s">
        <v>84</v>
      </c>
      <c r="C59" s="213"/>
      <c r="D59" s="213"/>
      <c r="E59" s="214"/>
      <c r="F59" s="35"/>
      <c r="G59" s="43">
        <v>18449161.14072692</v>
      </c>
      <c r="H59" s="43">
        <v>19652616.51053571</v>
      </c>
      <c r="I59" s="43">
        <v>20750302.453561164</v>
      </c>
      <c r="J59" s="43">
        <v>21950966.582370307</v>
      </c>
      <c r="K59" s="35">
        <v>23217206.584968176</v>
      </c>
      <c r="M59" s="178" t="s">
        <v>87</v>
      </c>
    </row>
    <row r="60" spans="2:13" x14ac:dyDescent="0.25">
      <c r="B60" s="215" t="s">
        <v>85</v>
      </c>
      <c r="C60" s="216"/>
      <c r="D60" s="216"/>
      <c r="E60" s="217"/>
      <c r="F60" s="35"/>
      <c r="G60" s="43">
        <v>40098372.700329572</v>
      </c>
      <c r="H60" s="43">
        <v>44414981.708611391</v>
      </c>
      <c r="I60" s="43">
        <v>47124811.758132517</v>
      </c>
      <c r="J60" s="43">
        <v>50429626.415997855</v>
      </c>
      <c r="K60" s="35">
        <v>53924251.70079805</v>
      </c>
      <c r="M60" s="179"/>
    </row>
    <row r="61" spans="2:13" x14ac:dyDescent="0.25">
      <c r="B61" s="218" t="s">
        <v>19</v>
      </c>
      <c r="C61" s="219"/>
      <c r="D61" s="219"/>
      <c r="E61" s="220"/>
      <c r="F61" s="48"/>
      <c r="G61" s="48">
        <f t="shared" ref="G61:K61" si="0">+G60/G59</f>
        <v>2.1734523534412387</v>
      </c>
      <c r="H61" s="48">
        <f t="shared" si="0"/>
        <v>2.2600034801880273</v>
      </c>
      <c r="I61" s="48">
        <f t="shared" si="0"/>
        <v>2.2710421625707418</v>
      </c>
      <c r="J61" s="48">
        <f t="shared" si="0"/>
        <v>2.2973761190315822</v>
      </c>
      <c r="K61" s="138">
        <f t="shared" si="0"/>
        <v>2.3225986082111594</v>
      </c>
      <c r="M61" s="179"/>
    </row>
    <row r="62" spans="2:13" x14ac:dyDescent="0.25">
      <c r="F62" s="21"/>
      <c r="K62" s="21"/>
      <c r="M62" s="179"/>
    </row>
    <row r="63" spans="2:13" x14ac:dyDescent="0.25">
      <c r="F63" s="206" t="s">
        <v>20</v>
      </c>
      <c r="G63" s="207"/>
      <c r="H63" s="207"/>
      <c r="I63" s="207"/>
      <c r="J63" s="208"/>
      <c r="K63" s="128">
        <f>AVERAGE(G61:K61)</f>
        <v>2.2648945446885498</v>
      </c>
      <c r="M63" s="180"/>
    </row>
    <row r="64" spans="2:13" x14ac:dyDescent="0.25">
      <c r="G64" s="19"/>
      <c r="H64" s="19"/>
      <c r="I64" s="19"/>
      <c r="J64" s="19"/>
      <c r="K64" s="139"/>
    </row>
    <row r="65" spans="2:13" ht="15.75" x14ac:dyDescent="0.25">
      <c r="B65" s="25" t="s">
        <v>102</v>
      </c>
      <c r="C65" s="26"/>
      <c r="D65" s="26"/>
      <c r="E65" s="26"/>
      <c r="F65" s="26"/>
      <c r="G65" s="27"/>
      <c r="H65" s="27"/>
      <c r="I65" s="27"/>
      <c r="J65" s="27"/>
      <c r="K65" s="26"/>
      <c r="M65" s="28"/>
    </row>
    <row r="67" spans="2:13" x14ac:dyDescent="0.2">
      <c r="B67" s="221" t="s">
        <v>103</v>
      </c>
      <c r="C67" s="222"/>
      <c r="D67" s="222"/>
      <c r="E67" s="223"/>
      <c r="F67" s="91" t="s">
        <v>12</v>
      </c>
      <c r="G67" s="91" t="s">
        <v>13</v>
      </c>
      <c r="H67" s="91" t="s">
        <v>14</v>
      </c>
      <c r="I67" s="91" t="s">
        <v>15</v>
      </c>
      <c r="J67" s="91" t="s">
        <v>16</v>
      </c>
      <c r="K67" s="41" t="s">
        <v>17</v>
      </c>
      <c r="M67" s="176" t="s">
        <v>4</v>
      </c>
    </row>
    <row r="68" spans="2:13" ht="12.75" customHeight="1" x14ac:dyDescent="0.2">
      <c r="B68" s="209" t="s">
        <v>86</v>
      </c>
      <c r="C68" s="210"/>
      <c r="D68" s="210"/>
      <c r="E68" s="211"/>
      <c r="F68" s="18"/>
      <c r="G68" s="18">
        <v>17254695.000010207</v>
      </c>
      <c r="H68" s="18">
        <v>17611834.848126188</v>
      </c>
      <c r="I68" s="18">
        <v>17986550.838063825</v>
      </c>
      <c r="J68" s="18">
        <v>18379810.552560411</v>
      </c>
      <c r="K68" s="140">
        <v>18792890.146016706</v>
      </c>
      <c r="M68" s="227" t="s">
        <v>101</v>
      </c>
    </row>
    <row r="69" spans="2:13" x14ac:dyDescent="0.2">
      <c r="B69" s="224" t="s">
        <v>104</v>
      </c>
      <c r="C69" s="225"/>
      <c r="D69" s="225"/>
      <c r="E69" s="226"/>
      <c r="F69" s="18"/>
      <c r="G69" s="18">
        <v>18449161.14072692</v>
      </c>
      <c r="H69" s="18">
        <v>19652616.51053571</v>
      </c>
      <c r="I69" s="18">
        <v>20750302.453561164</v>
      </c>
      <c r="J69" s="18">
        <v>21950966.582370307</v>
      </c>
      <c r="K69" s="140">
        <v>23217206.584968176</v>
      </c>
      <c r="M69" s="228"/>
    </row>
    <row r="70" spans="2:13" x14ac:dyDescent="0.2">
      <c r="B70" s="203" t="s">
        <v>105</v>
      </c>
      <c r="C70" s="204"/>
      <c r="D70" s="204"/>
      <c r="E70" s="205"/>
      <c r="F70" s="48"/>
      <c r="G70" s="48">
        <f t="shared" ref="G70:K70" si="1">+G69/G68</f>
        <v>1.0692255725595849</v>
      </c>
      <c r="H70" s="48">
        <f t="shared" si="1"/>
        <v>1.1158755847989712</v>
      </c>
      <c r="I70" s="48">
        <f t="shared" si="1"/>
        <v>1.1536565648622628</v>
      </c>
      <c r="J70" s="48">
        <f t="shared" si="1"/>
        <v>1.1942977605562106</v>
      </c>
      <c r="K70" s="138">
        <f t="shared" si="1"/>
        <v>1.2354250147037249</v>
      </c>
      <c r="M70" s="228"/>
    </row>
    <row r="71" spans="2:13" x14ac:dyDescent="0.25">
      <c r="F71" s="21"/>
      <c r="K71" s="21"/>
      <c r="M71" s="228"/>
    </row>
    <row r="72" spans="2:13" x14ac:dyDescent="0.25">
      <c r="F72" s="206" t="s">
        <v>21</v>
      </c>
      <c r="G72" s="207"/>
      <c r="H72" s="207"/>
      <c r="I72" s="207"/>
      <c r="J72" s="208"/>
      <c r="K72" s="128">
        <f>AVERAGE(G70:K70)</f>
        <v>1.1536960994961507</v>
      </c>
      <c r="M72" s="229"/>
    </row>
    <row r="73" spans="2:13" x14ac:dyDescent="0.25">
      <c r="K73" s="96"/>
      <c r="M73" s="177"/>
    </row>
    <row r="74" spans="2:13" x14ac:dyDescent="0.25">
      <c r="M74" s="50"/>
    </row>
    <row r="75" spans="2:13" x14ac:dyDescent="0.25">
      <c r="M75" s="51"/>
    </row>
    <row r="76" spans="2:13" x14ac:dyDescent="0.25">
      <c r="M76" s="51"/>
    </row>
    <row r="77" spans="2:13" x14ac:dyDescent="0.25">
      <c r="M77" s="51"/>
    </row>
  </sheetData>
  <mergeCells count="28">
    <mergeCell ref="B70:E70"/>
    <mergeCell ref="F63:J63"/>
    <mergeCell ref="F72:J72"/>
    <mergeCell ref="M59:M63"/>
    <mergeCell ref="B68:E68"/>
    <mergeCell ref="B59:E59"/>
    <mergeCell ref="B60:E60"/>
    <mergeCell ref="B61:E61"/>
    <mergeCell ref="B67:E67"/>
    <mergeCell ref="B69:E69"/>
    <mergeCell ref="M68:M72"/>
    <mergeCell ref="G9:K9"/>
    <mergeCell ref="G14:K14"/>
    <mergeCell ref="B58:E58"/>
    <mergeCell ref="G34:I34"/>
    <mergeCell ref="K26:K30"/>
    <mergeCell ref="G26:G30"/>
    <mergeCell ref="B8:F8"/>
    <mergeCell ref="B9:F9"/>
    <mergeCell ref="B45:F45"/>
    <mergeCell ref="B40:F40"/>
    <mergeCell ref="B41:F41"/>
    <mergeCell ref="M41:M45"/>
    <mergeCell ref="M50:M54"/>
    <mergeCell ref="C13:F13"/>
    <mergeCell ref="C14:F14"/>
    <mergeCell ref="M26:M36"/>
    <mergeCell ref="B44:F44"/>
  </mergeCells>
  <pageMargins left="0.39370078740157483" right="0.39370078740157483" top="0.39370078740157483" bottom="0.39370078740157483" header="0.19685039370078741" footer="0.19685039370078741"/>
  <pageSetup paperSize="9" scale="48" fitToHeight="0" orientation="portrait" r:id="rId1"/>
  <headerFooter>
    <oddFooter>&amp;C&amp;F&amp;R&amp;A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33</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38"/>
  <sheetViews>
    <sheetView showGridLines="0" tabSelected="1" zoomScaleNormal="100" workbookViewId="0"/>
  </sheetViews>
  <sheetFormatPr defaultColWidth="9.140625" defaultRowHeight="15" x14ac:dyDescent="0.25"/>
  <cols>
    <col min="1" max="1" width="2.42578125" customWidth="1"/>
    <col min="2" max="2" width="42.85546875" customWidth="1"/>
    <col min="3" max="8" width="14.28515625" customWidth="1"/>
    <col min="9" max="9" width="3" style="2" customWidth="1"/>
  </cols>
  <sheetData>
    <row r="2" spans="2:8" ht="21" x14ac:dyDescent="0.35">
      <c r="B2" s="80" t="s">
        <v>38</v>
      </c>
      <c r="C2" s="81"/>
      <c r="D2" s="81"/>
      <c r="E2" s="81"/>
      <c r="F2" s="81"/>
      <c r="G2" s="81"/>
      <c r="H2" s="81"/>
    </row>
    <row r="3" spans="2:8" ht="29.25" customHeight="1" x14ac:dyDescent="0.25">
      <c r="B3" s="110" t="s">
        <v>0</v>
      </c>
      <c r="C3" s="230" t="s">
        <v>73</v>
      </c>
      <c r="D3" s="231"/>
      <c r="E3" s="231"/>
      <c r="F3" s="231"/>
      <c r="G3" s="231"/>
      <c r="H3" s="231"/>
    </row>
    <row r="4" spans="2:8" x14ac:dyDescent="0.25">
      <c r="B4" s="11" t="s">
        <v>92</v>
      </c>
      <c r="C4" s="119" t="s">
        <v>93</v>
      </c>
      <c r="D4" s="118"/>
      <c r="E4" s="118"/>
      <c r="F4" s="118"/>
      <c r="G4" s="118"/>
      <c r="H4" s="118"/>
    </row>
    <row r="5" spans="2:8" x14ac:dyDescent="0.25">
      <c r="B5" s="110" t="s">
        <v>61</v>
      </c>
      <c r="C5" s="119" t="s">
        <v>94</v>
      </c>
      <c r="D5" s="118"/>
      <c r="E5" s="118"/>
      <c r="F5" s="118"/>
      <c r="G5" s="118"/>
      <c r="H5" s="118"/>
    </row>
    <row r="6" spans="2:8" x14ac:dyDescent="0.25">
      <c r="B6" s="82" t="s">
        <v>62</v>
      </c>
      <c r="C6" s="232" t="s">
        <v>95</v>
      </c>
      <c r="D6" s="232"/>
      <c r="E6" s="232"/>
      <c r="F6" s="232"/>
      <c r="G6" s="232"/>
      <c r="H6" s="232"/>
    </row>
    <row r="7" spans="2:8" x14ac:dyDescent="0.25">
      <c r="B7" s="82"/>
      <c r="C7" s="109"/>
      <c r="D7" s="111" t="s">
        <v>13</v>
      </c>
      <c r="E7" s="111" t="s">
        <v>14</v>
      </c>
      <c r="F7" s="111" t="s">
        <v>15</v>
      </c>
      <c r="G7" s="111" t="s">
        <v>16</v>
      </c>
      <c r="H7" s="111" t="s">
        <v>17</v>
      </c>
    </row>
    <row r="8" spans="2:8" x14ac:dyDescent="0.25">
      <c r="B8" s="82"/>
      <c r="C8" s="116"/>
      <c r="D8" s="112">
        <f>+'Input Sheet'!G52</f>
        <v>196.83377812257891</v>
      </c>
      <c r="E8" s="112">
        <f>+'Input Sheet'!H52</f>
        <v>205.42158072868543</v>
      </c>
      <c r="F8" s="112">
        <f>+'Input Sheet'!I52</f>
        <v>212.37668284921301</v>
      </c>
      <c r="G8" s="112">
        <f>+'Input Sheet'!J52</f>
        <v>219.8583221787971</v>
      </c>
      <c r="H8" s="112">
        <f>+'Input Sheet'!K52</f>
        <v>227.42944002840466</v>
      </c>
    </row>
    <row r="10" spans="2:8" x14ac:dyDescent="0.25">
      <c r="B10" s="78" t="s">
        <v>44</v>
      </c>
      <c r="C10" s="75"/>
      <c r="D10" s="75"/>
      <c r="E10" s="75"/>
      <c r="F10" s="75"/>
      <c r="G10" s="75"/>
      <c r="H10" s="75"/>
    </row>
    <row r="11" spans="2:8" x14ac:dyDescent="0.25">
      <c r="B11" s="233" t="s">
        <v>89</v>
      </c>
      <c r="C11" s="233"/>
      <c r="D11" s="233"/>
      <c r="E11" s="233"/>
      <c r="F11" s="233"/>
      <c r="G11" s="233"/>
      <c r="H11" s="233"/>
    </row>
    <row r="13" spans="2:8" x14ac:dyDescent="0.25">
      <c r="B13" s="78" t="s">
        <v>67</v>
      </c>
      <c r="C13" s="75"/>
      <c r="D13" s="75"/>
      <c r="E13" s="75"/>
      <c r="F13" s="75"/>
      <c r="G13" s="75"/>
      <c r="H13" s="75"/>
    </row>
    <row r="14" spans="2:8" ht="15" customHeight="1" x14ac:dyDescent="0.25">
      <c r="B14" s="233" t="s">
        <v>53</v>
      </c>
      <c r="C14" s="233"/>
      <c r="D14" s="233"/>
      <c r="E14" s="233"/>
      <c r="F14" s="233"/>
      <c r="G14" s="233"/>
      <c r="H14" s="233"/>
    </row>
    <row r="15" spans="2:8" ht="47.25" customHeight="1" x14ac:dyDescent="0.25">
      <c r="B15" s="234" t="s">
        <v>54</v>
      </c>
      <c r="C15" s="234"/>
      <c r="D15" s="234"/>
      <c r="E15" s="234"/>
      <c r="F15" s="234"/>
      <c r="G15" s="234"/>
      <c r="H15" s="234"/>
    </row>
    <row r="16" spans="2:8" ht="47.25" customHeight="1" x14ac:dyDescent="0.25">
      <c r="B16" s="234" t="s">
        <v>96</v>
      </c>
      <c r="C16" s="234"/>
      <c r="D16" s="234"/>
      <c r="E16" s="234"/>
      <c r="F16" s="234"/>
      <c r="G16" s="234"/>
      <c r="H16" s="234"/>
    </row>
    <row r="17" spans="2:8" ht="47.25" customHeight="1" x14ac:dyDescent="0.25">
      <c r="B17" s="234" t="s">
        <v>97</v>
      </c>
      <c r="C17" s="234"/>
      <c r="D17" s="234"/>
      <c r="E17" s="234"/>
      <c r="F17" s="234"/>
      <c r="G17" s="234"/>
      <c r="H17" s="234"/>
    </row>
    <row r="19" spans="2:8" x14ac:dyDescent="0.25">
      <c r="B19" s="78" t="s">
        <v>55</v>
      </c>
      <c r="C19" s="75"/>
      <c r="D19" s="75"/>
      <c r="E19" s="75"/>
      <c r="F19" s="75"/>
      <c r="G19" s="75"/>
      <c r="H19" s="75"/>
    </row>
    <row r="20" spans="2:8" ht="45.75" customHeight="1" x14ac:dyDescent="0.25">
      <c r="B20" s="233" t="s">
        <v>98</v>
      </c>
      <c r="C20" s="233"/>
      <c r="D20" s="233"/>
      <c r="E20" s="233"/>
      <c r="F20" s="233"/>
      <c r="G20" s="233"/>
      <c r="H20" s="233"/>
    </row>
    <row r="22" spans="2:8" x14ac:dyDescent="0.25">
      <c r="B22" s="78" t="s">
        <v>57</v>
      </c>
      <c r="C22" s="75"/>
      <c r="D22" s="75"/>
      <c r="E22" s="75"/>
      <c r="F22" s="75"/>
      <c r="G22" s="75"/>
      <c r="H22" s="75"/>
    </row>
    <row r="23" spans="2:8" ht="78" customHeight="1" x14ac:dyDescent="0.25">
      <c r="B23" s="233" t="s">
        <v>99</v>
      </c>
      <c r="C23" s="233"/>
      <c r="D23" s="233"/>
      <c r="E23" s="233"/>
      <c r="F23" s="233"/>
      <c r="G23" s="233"/>
      <c r="H23" s="233"/>
    </row>
    <row r="25" spans="2:8" x14ac:dyDescent="0.25">
      <c r="B25" s="12" t="s">
        <v>58</v>
      </c>
      <c r="C25" s="13" t="s">
        <v>13</v>
      </c>
      <c r="D25" s="13" t="s">
        <v>14</v>
      </c>
      <c r="E25" s="13" t="s">
        <v>15</v>
      </c>
      <c r="F25" s="13" t="s">
        <v>16</v>
      </c>
      <c r="G25" s="13" t="s">
        <v>17</v>
      </c>
      <c r="H25" s="107" t="s">
        <v>1</v>
      </c>
    </row>
    <row r="26" spans="2:8" x14ac:dyDescent="0.25">
      <c r="B26" s="15" t="s">
        <v>56</v>
      </c>
      <c r="C26" s="9">
        <f>'Fee Breakdown'!X11</f>
        <v>157467.02249806313</v>
      </c>
      <c r="D26" s="9">
        <f>'Fee Breakdown'!Y11</f>
        <v>164337.26458294835</v>
      </c>
      <c r="E26" s="9">
        <f>'Fee Breakdown'!Z11</f>
        <v>169901.34627937042</v>
      </c>
      <c r="F26" s="9">
        <f>'Fee Breakdown'!AA11</f>
        <v>175886.65774303768</v>
      </c>
      <c r="G26" s="9">
        <f>'Fee Breakdown'!AB11</f>
        <v>181943.55202272371</v>
      </c>
      <c r="H26" s="16">
        <f>SUM(C26:G26)</f>
        <v>849535.84312614333</v>
      </c>
    </row>
    <row r="27" spans="2:8" x14ac:dyDescent="0.25">
      <c r="B27" s="15"/>
      <c r="C27" s="9"/>
      <c r="D27" s="9"/>
      <c r="E27" s="9"/>
      <c r="F27" s="9"/>
      <c r="G27" s="9"/>
      <c r="H27" s="16"/>
    </row>
    <row r="28" spans="2:8" x14ac:dyDescent="0.25">
      <c r="B28" s="15" t="s">
        <v>22</v>
      </c>
      <c r="C28" s="9">
        <f>'Fee Breakdown'!L19</f>
        <v>69525.101231464505</v>
      </c>
      <c r="D28" s="9">
        <f>'Fee Breakdown'!M19</f>
        <v>72558.46192412755</v>
      </c>
      <c r="E28" s="9">
        <f>'Fee Breakdown'!N19</f>
        <v>75015.124513328687</v>
      </c>
      <c r="F28" s="9">
        <f>'Fee Breakdown'!O19</f>
        <v>77657.769168773477</v>
      </c>
      <c r="G28" s="9">
        <f>'Fee Breakdown'!P19</f>
        <v>80332.019188002931</v>
      </c>
      <c r="H28" s="16">
        <f>SUM(C28:G28)</f>
        <v>375088.47602569713</v>
      </c>
    </row>
    <row r="29" spans="2:8" x14ac:dyDescent="0.25">
      <c r="B29" s="15" t="s">
        <v>24</v>
      </c>
      <c r="C29" s="9">
        <f>'Fee Breakdown'!R19</f>
        <v>81584.393663302384</v>
      </c>
      <c r="D29" s="9">
        <f>'Fee Breakdown'!S19</f>
        <v>91423.914541491176</v>
      </c>
      <c r="E29" s="9">
        <f>'Fee Breakdown'!T19</f>
        <v>95347.386086934755</v>
      </c>
      <c r="F29" s="9">
        <f>'Fee Breakdown'!U19</f>
        <v>100751.33517683379</v>
      </c>
      <c r="G29" s="9">
        <f>'Fee Breakdown'!V19</f>
        <v>106247.01677284483</v>
      </c>
      <c r="H29" s="16">
        <f>SUM(C29:G29)</f>
        <v>475354.04624140693</v>
      </c>
    </row>
    <row r="30" spans="2:8" ht="15.75" thickBot="1" x14ac:dyDescent="0.3">
      <c r="B30" s="76" t="s">
        <v>48</v>
      </c>
      <c r="C30" s="77">
        <f>SUM(C28:C29)</f>
        <v>151109.49489476689</v>
      </c>
      <c r="D30" s="77">
        <f t="shared" ref="D30:H30" si="0">SUM(D28:D29)</f>
        <v>163982.37646561873</v>
      </c>
      <c r="E30" s="77">
        <f t="shared" si="0"/>
        <v>170362.51060026343</v>
      </c>
      <c r="F30" s="77">
        <f t="shared" si="0"/>
        <v>178409.10434560728</v>
      </c>
      <c r="G30" s="77">
        <f t="shared" si="0"/>
        <v>186579.03596084774</v>
      </c>
      <c r="H30" s="77">
        <f t="shared" si="0"/>
        <v>850442.52226710413</v>
      </c>
    </row>
    <row r="31" spans="2:8" x14ac:dyDescent="0.25">
      <c r="B31" s="15"/>
      <c r="C31" s="9"/>
      <c r="D31" s="9"/>
      <c r="E31" s="9"/>
      <c r="F31" s="9"/>
      <c r="G31" s="9"/>
      <c r="H31" s="16"/>
    </row>
    <row r="32" spans="2:8" x14ac:dyDescent="0.25">
      <c r="B32" t="s">
        <v>3</v>
      </c>
      <c r="C32" s="105">
        <f>'Fee Breakdown'!D19</f>
        <v>400</v>
      </c>
      <c r="D32" s="105">
        <f>'Fee Breakdown'!E19</f>
        <v>400</v>
      </c>
      <c r="E32" s="105">
        <f>'Fee Breakdown'!F19</f>
        <v>400</v>
      </c>
      <c r="F32" s="105">
        <f>'Fee Breakdown'!G19</f>
        <v>400</v>
      </c>
      <c r="G32" s="105">
        <f>'Fee Breakdown'!H19</f>
        <v>400</v>
      </c>
      <c r="H32" s="106">
        <f>SUM(C32:G32)</f>
        <v>2000</v>
      </c>
    </row>
    <row r="33" spans="2:8" x14ac:dyDescent="0.25">
      <c r="C33" s="3"/>
      <c r="D33" s="4"/>
      <c r="E33" s="3"/>
      <c r="F33" s="3"/>
      <c r="G33" s="3"/>
    </row>
    <row r="34" spans="2:8" x14ac:dyDescent="0.25">
      <c r="B34" s="78" t="s">
        <v>45</v>
      </c>
      <c r="C34" s="75"/>
      <c r="D34" s="75"/>
      <c r="E34" s="75"/>
      <c r="F34" s="75"/>
      <c r="G34" s="75"/>
      <c r="H34" s="75"/>
    </row>
    <row r="35" spans="2:8" ht="61.5" customHeight="1" x14ac:dyDescent="0.25">
      <c r="B35" s="233" t="s">
        <v>100</v>
      </c>
      <c r="C35" s="233"/>
      <c r="D35" s="233"/>
      <c r="E35" s="233"/>
      <c r="F35" s="233"/>
      <c r="G35" s="233"/>
      <c r="H35" s="233"/>
    </row>
    <row r="37" spans="2:8" x14ac:dyDescent="0.25">
      <c r="B37" s="12" t="s">
        <v>58</v>
      </c>
      <c r="C37" s="13" t="s">
        <v>13</v>
      </c>
      <c r="D37" s="13" t="s">
        <v>14</v>
      </c>
      <c r="E37" s="13" t="s">
        <v>15</v>
      </c>
      <c r="F37" s="13" t="s">
        <v>16</v>
      </c>
      <c r="G37" s="13" t="s">
        <v>17</v>
      </c>
      <c r="H37" s="107" t="s">
        <v>47</v>
      </c>
    </row>
    <row r="38" spans="2:8" x14ac:dyDescent="0.25">
      <c r="B38" t="s">
        <v>46</v>
      </c>
      <c r="C38" s="8">
        <f>+'Input Sheet'!G61</f>
        <v>2.1734523534412387</v>
      </c>
      <c r="D38" s="8">
        <f>+'Input Sheet'!H61</f>
        <v>2.2600034801880273</v>
      </c>
      <c r="E38" s="8">
        <f>+'Input Sheet'!I61</f>
        <v>2.2710421625707418</v>
      </c>
      <c r="F38" s="8">
        <f>+'Input Sheet'!J61</f>
        <v>2.2973761190315822</v>
      </c>
      <c r="G38" s="8">
        <f>+'Input Sheet'!K61</f>
        <v>2.3225986082111594</v>
      </c>
      <c r="H38" s="74">
        <f>AVERAGE(C38:G38)</f>
        <v>2.2648945446885498</v>
      </c>
    </row>
  </sheetData>
  <mergeCells count="10">
    <mergeCell ref="C3:H3"/>
    <mergeCell ref="C6:H6"/>
    <mergeCell ref="B35:H35"/>
    <mergeCell ref="B14:H14"/>
    <mergeCell ref="B11:H11"/>
    <mergeCell ref="B15:H15"/>
    <mergeCell ref="B16:H16"/>
    <mergeCell ref="B20:H20"/>
    <mergeCell ref="B17:H17"/>
    <mergeCell ref="B23:H23"/>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zoomScaleNormal="100" workbookViewId="0"/>
  </sheetViews>
  <sheetFormatPr defaultColWidth="9.140625" defaultRowHeight="15" x14ac:dyDescent="0.2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x14ac:dyDescent="0.35">
      <c r="B2" s="80" t="s">
        <v>37</v>
      </c>
      <c r="C2" s="80"/>
      <c r="D2" s="79"/>
      <c r="E2" s="79"/>
      <c r="F2" s="79"/>
      <c r="G2" s="79"/>
      <c r="H2" s="79"/>
      <c r="I2" s="79"/>
      <c r="J2" s="79"/>
      <c r="K2" s="79"/>
    </row>
    <row r="3" spans="2:13" x14ac:dyDescent="0.25">
      <c r="B3" s="14" t="s">
        <v>0</v>
      </c>
      <c r="C3" s="12"/>
      <c r="D3" s="235" t="str">
        <f>'AER Summary'!C3</f>
        <v>Services involved in obtaining deeds of agreement in relation to property rights associated with contestable connections work</v>
      </c>
      <c r="E3" s="236"/>
      <c r="F3" s="236"/>
      <c r="G3" s="236"/>
      <c r="H3" s="236"/>
      <c r="I3" s="236"/>
      <c r="J3" s="236"/>
      <c r="K3" s="236"/>
      <c r="M3" s="6"/>
    </row>
    <row r="4" spans="2:13" x14ac:dyDescent="0.25">
      <c r="M4" s="6"/>
    </row>
    <row r="5" spans="2:13" x14ac:dyDescent="0.25">
      <c r="B5" s="78" t="s">
        <v>59</v>
      </c>
      <c r="C5" s="78"/>
      <c r="D5" s="78"/>
      <c r="E5" s="78"/>
      <c r="F5" s="78"/>
      <c r="G5" s="78"/>
      <c r="H5" s="78"/>
      <c r="I5" s="78"/>
      <c r="J5" s="78"/>
      <c r="K5" s="78"/>
      <c r="M5" s="7"/>
    </row>
    <row r="6" spans="2:13" ht="30" customHeight="1" x14ac:dyDescent="0.25">
      <c r="B6" s="233" t="s">
        <v>88</v>
      </c>
      <c r="C6" s="233"/>
      <c r="D6" s="233"/>
      <c r="E6" s="233"/>
      <c r="F6" s="233"/>
      <c r="G6" s="233"/>
      <c r="H6" s="233"/>
      <c r="I6" s="233"/>
      <c r="J6" s="233"/>
      <c r="K6" s="233"/>
      <c r="M6" s="7"/>
    </row>
    <row r="8" spans="2:13" x14ac:dyDescent="0.25">
      <c r="B8" s="78" t="s">
        <v>5</v>
      </c>
      <c r="C8" s="78"/>
      <c r="D8" s="78"/>
      <c r="E8" s="78"/>
      <c r="F8" s="78"/>
      <c r="G8" s="78"/>
      <c r="H8" s="78"/>
      <c r="I8" s="78"/>
      <c r="J8" s="78"/>
      <c r="K8" s="78"/>
    </row>
    <row r="9" spans="2:13" x14ac:dyDescent="0.25">
      <c r="B9" s="233" t="s">
        <v>89</v>
      </c>
      <c r="C9" s="233"/>
      <c r="D9" s="233"/>
      <c r="E9" s="233"/>
      <c r="F9" s="233"/>
      <c r="G9" s="233"/>
      <c r="H9" s="233"/>
      <c r="I9" s="233"/>
      <c r="J9" s="233"/>
      <c r="K9" s="233"/>
    </row>
    <row r="11" spans="2:13" x14ac:dyDescent="0.25">
      <c r="B11" s="78" t="s">
        <v>60</v>
      </c>
      <c r="C11" s="78"/>
      <c r="D11" s="78"/>
      <c r="E11" s="78"/>
      <c r="F11" s="78"/>
      <c r="G11" s="78"/>
      <c r="H11" s="78"/>
      <c r="I11" s="78"/>
      <c r="J11" s="78"/>
      <c r="K11" s="78"/>
    </row>
    <row r="12" spans="2:13" ht="182.25" customHeight="1" x14ac:dyDescent="0.25">
      <c r="B12" s="233" t="s">
        <v>90</v>
      </c>
      <c r="C12" s="233"/>
      <c r="D12" s="233"/>
      <c r="E12" s="233"/>
      <c r="F12" s="233"/>
      <c r="G12" s="233"/>
      <c r="H12" s="233"/>
      <c r="I12" s="233"/>
      <c r="J12" s="233"/>
      <c r="K12" s="233"/>
    </row>
    <row r="13" spans="2:13" x14ac:dyDescent="0.25">
      <c r="B13" s="10"/>
    </row>
  </sheetData>
  <mergeCells count="4">
    <mergeCell ref="B12:K12"/>
    <mergeCell ref="D3:K3"/>
    <mergeCell ref="B9:K9"/>
    <mergeCell ref="B6:K6"/>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C26"/>
  <sheetViews>
    <sheetView showGridLines="0" zoomScaleNormal="100" workbookViewId="0"/>
  </sheetViews>
  <sheetFormatPr defaultColWidth="9.140625" defaultRowHeight="12.75" x14ac:dyDescent="0.25"/>
  <cols>
    <col min="1" max="1" width="2.5703125" style="19" customWidth="1"/>
    <col min="2" max="2" width="57.28515625" style="19" bestFit="1" customWidth="1"/>
    <col min="3" max="3" width="2.85546875" style="19" customWidth="1"/>
    <col min="4" max="5" width="10" style="19" customWidth="1"/>
    <col min="6" max="8" width="10" style="44" customWidth="1"/>
    <col min="9" max="9" width="2.85546875" style="44" customWidth="1"/>
    <col min="10" max="10" width="12" style="44" customWidth="1"/>
    <col min="11" max="11" width="2.85546875" style="44" customWidth="1"/>
    <col min="12" max="16" width="10" style="44" customWidth="1"/>
    <col min="17" max="17" width="3.7109375" style="55" customWidth="1"/>
    <col min="18" max="22" width="10" style="56" customWidth="1"/>
    <col min="23" max="23" width="3.7109375" style="19" customWidth="1"/>
    <col min="24" max="28" width="10" style="19" customWidth="1"/>
    <col min="29" max="29" width="2.85546875" style="19" customWidth="1"/>
    <col min="30" max="59" width="9.140625" style="19" customWidth="1"/>
    <col min="60" max="16384" width="9.140625" style="19"/>
  </cols>
  <sheetData>
    <row r="2" spans="2:29" ht="21" x14ac:dyDescent="0.25">
      <c r="B2" s="88" t="s">
        <v>39</v>
      </c>
      <c r="C2" s="89"/>
      <c r="D2" s="89"/>
      <c r="E2" s="89"/>
      <c r="F2" s="90"/>
      <c r="G2" s="90"/>
      <c r="H2" s="90"/>
      <c r="I2" s="90"/>
      <c r="J2" s="90"/>
      <c r="K2" s="90"/>
      <c r="L2" s="90"/>
      <c r="M2" s="90"/>
      <c r="N2" s="90"/>
      <c r="O2" s="90"/>
      <c r="P2" s="90"/>
      <c r="Q2" s="90"/>
      <c r="R2" s="90"/>
      <c r="S2" s="90"/>
      <c r="T2" s="90"/>
      <c r="U2" s="90"/>
      <c r="V2" s="90"/>
      <c r="W2" s="90"/>
      <c r="X2" s="90"/>
      <c r="Y2" s="90"/>
      <c r="Z2" s="90"/>
      <c r="AA2" s="90"/>
      <c r="AB2" s="90"/>
    </row>
    <row r="3" spans="2:29" ht="15" x14ac:dyDescent="0.25">
      <c r="B3" s="53" t="s">
        <v>0</v>
      </c>
      <c r="C3" s="54" t="str">
        <f>'AER Summary'!C3:H3</f>
        <v>Services involved in obtaining deeds of agreement in relation to property rights associated with contestable connections work</v>
      </c>
      <c r="D3" s="54"/>
      <c r="E3" s="54"/>
      <c r="F3" s="54"/>
      <c r="G3" s="54"/>
      <c r="H3" s="54"/>
      <c r="I3" s="54"/>
      <c r="J3" s="54"/>
      <c r="K3" s="54"/>
      <c r="L3" s="54"/>
      <c r="M3" s="54"/>
      <c r="N3" s="54"/>
      <c r="O3" s="54"/>
      <c r="P3" s="54"/>
      <c r="Q3" s="54"/>
      <c r="R3" s="54"/>
      <c r="S3" s="54"/>
      <c r="T3" s="54"/>
      <c r="U3" s="54"/>
      <c r="V3" s="54"/>
      <c r="W3" s="54"/>
      <c r="X3" s="54"/>
      <c r="Y3" s="54"/>
      <c r="Z3" s="54"/>
      <c r="AA3" s="54"/>
      <c r="AB3" s="54"/>
    </row>
    <row r="5" spans="2:29" ht="15" x14ac:dyDescent="0.25">
      <c r="B5" s="78" t="str">
        <f>"Proposed "&amp;'AER Summary'!C3&amp;" Fees &amp; Revenue"</f>
        <v>Proposed Services involved in obtaining deeds of agreement in relation to property rights associated with contestable connections work Fees &amp; Revenue</v>
      </c>
      <c r="C5" s="78"/>
      <c r="D5" s="78"/>
      <c r="E5" s="78"/>
      <c r="F5" s="78"/>
      <c r="G5" s="78"/>
      <c r="H5" s="78"/>
      <c r="I5" s="78"/>
      <c r="J5" s="78"/>
      <c r="K5" s="78"/>
      <c r="L5" s="78"/>
      <c r="M5" s="78"/>
      <c r="N5" s="78"/>
      <c r="O5" s="78"/>
      <c r="P5" s="78"/>
      <c r="Q5" s="78"/>
      <c r="R5" s="78"/>
      <c r="S5" s="78"/>
      <c r="T5" s="78"/>
      <c r="U5" s="78"/>
      <c r="V5" s="78"/>
      <c r="W5" s="78"/>
      <c r="X5" s="78"/>
      <c r="Y5" s="78"/>
      <c r="Z5" s="78"/>
      <c r="AA5" s="78"/>
      <c r="AB5" s="78"/>
    </row>
    <row r="6" spans="2:29" x14ac:dyDescent="0.25">
      <c r="I6" s="72"/>
      <c r="J6" s="72"/>
      <c r="K6" s="72"/>
      <c r="R6" s="49"/>
      <c r="S6" s="49"/>
      <c r="T6" s="49"/>
      <c r="U6" s="49"/>
      <c r="V6" s="49"/>
    </row>
    <row r="7" spans="2:29" x14ac:dyDescent="0.25">
      <c r="D7" s="243" t="s">
        <v>91</v>
      </c>
      <c r="E7" s="244"/>
      <c r="F7" s="244"/>
      <c r="G7" s="244"/>
      <c r="H7" s="245"/>
      <c r="I7" s="57"/>
      <c r="J7" s="55"/>
      <c r="K7" s="55"/>
      <c r="L7" s="55"/>
      <c r="M7" s="55"/>
      <c r="N7" s="55"/>
      <c r="O7" s="55"/>
      <c r="P7" s="55"/>
      <c r="W7" s="87"/>
      <c r="X7" s="243" t="s">
        <v>64</v>
      </c>
      <c r="Y7" s="244"/>
      <c r="Z7" s="244"/>
      <c r="AA7" s="244"/>
      <c r="AB7" s="245"/>
      <c r="AC7" s="87"/>
    </row>
    <row r="8" spans="2:29" x14ac:dyDescent="0.25">
      <c r="B8" s="58" t="s">
        <v>6</v>
      </c>
      <c r="D8" s="60" t="s">
        <v>13</v>
      </c>
      <c r="E8" s="61" t="s">
        <v>14</v>
      </c>
      <c r="F8" s="61" t="s">
        <v>15</v>
      </c>
      <c r="G8" s="61" t="s">
        <v>16</v>
      </c>
      <c r="H8" s="62" t="s">
        <v>17</v>
      </c>
      <c r="I8" s="59"/>
      <c r="J8" s="49"/>
      <c r="K8" s="49"/>
      <c r="L8" s="49"/>
      <c r="M8" s="49"/>
      <c r="N8" s="49"/>
      <c r="O8" s="49"/>
      <c r="P8" s="49"/>
      <c r="Q8" s="49"/>
      <c r="W8" s="115"/>
      <c r="X8" s="60" t="s">
        <v>13</v>
      </c>
      <c r="Y8" s="61" t="s">
        <v>14</v>
      </c>
      <c r="Z8" s="61" t="s">
        <v>15</v>
      </c>
      <c r="AA8" s="61" t="s">
        <v>16</v>
      </c>
      <c r="AB8" s="62" t="s">
        <v>17</v>
      </c>
      <c r="AC8" s="87"/>
    </row>
    <row r="9" spans="2:29" x14ac:dyDescent="0.25">
      <c r="B9" s="154" t="s">
        <v>74</v>
      </c>
      <c r="C9" s="67"/>
      <c r="D9" s="99">
        <f>+'Input Sheet'!G52</f>
        <v>196.83377812257891</v>
      </c>
      <c r="E9" s="100">
        <f>+'Input Sheet'!H52</f>
        <v>205.42158072868543</v>
      </c>
      <c r="F9" s="100">
        <f>+'Input Sheet'!I52</f>
        <v>212.37668284921301</v>
      </c>
      <c r="G9" s="100">
        <f>+'Input Sheet'!J52</f>
        <v>219.8583221787971</v>
      </c>
      <c r="H9" s="101">
        <f>+'Input Sheet'!K52</f>
        <v>227.42944002840466</v>
      </c>
      <c r="I9" s="64"/>
      <c r="J9" s="65"/>
      <c r="K9" s="65"/>
      <c r="L9" s="65"/>
      <c r="M9" s="65"/>
      <c r="N9" s="65"/>
      <c r="O9" s="65"/>
      <c r="P9" s="65"/>
      <c r="Q9" s="65"/>
      <c r="W9" s="87"/>
      <c r="X9" s="163">
        <f>+D9*D17*$J17</f>
        <v>157467.02249806313</v>
      </c>
      <c r="Y9" s="164">
        <f>+E9*E17*$J17</f>
        <v>164337.26458294835</v>
      </c>
      <c r="Z9" s="164">
        <f>+F9*F17*$J17</f>
        <v>169901.34627937042</v>
      </c>
      <c r="AA9" s="164">
        <f>+G9*G17*$J17</f>
        <v>175886.65774303768</v>
      </c>
      <c r="AB9" s="165">
        <f>+H9*H17*$J17</f>
        <v>181943.55202272371</v>
      </c>
      <c r="AC9" s="87"/>
    </row>
    <row r="10" spans="2:29" x14ac:dyDescent="0.25">
      <c r="B10" s="155"/>
      <c r="C10" s="68"/>
      <c r="D10" s="102"/>
      <c r="E10" s="103"/>
      <c r="F10" s="103"/>
      <c r="G10" s="103"/>
      <c r="H10" s="104"/>
      <c r="I10" s="69"/>
      <c r="J10" s="65"/>
      <c r="K10" s="65"/>
      <c r="L10" s="65"/>
      <c r="M10" s="65"/>
      <c r="N10" s="65"/>
      <c r="O10" s="65"/>
      <c r="P10" s="65"/>
      <c r="Q10" s="65"/>
      <c r="W10" s="87"/>
      <c r="X10" s="166"/>
      <c r="Y10" s="167"/>
      <c r="Z10" s="167"/>
      <c r="AA10" s="167"/>
      <c r="AB10" s="168"/>
      <c r="AC10" s="87"/>
    </row>
    <row r="11" spans="2:29" x14ac:dyDescent="0.25">
      <c r="C11" s="68"/>
      <c r="D11" s="68"/>
      <c r="E11" s="68"/>
      <c r="F11" s="71"/>
      <c r="G11" s="71"/>
      <c r="H11" s="71"/>
      <c r="I11" s="71"/>
      <c r="J11" s="71"/>
      <c r="K11" s="71"/>
      <c r="L11" s="71"/>
      <c r="M11" s="71"/>
      <c r="N11" s="71"/>
      <c r="O11" s="71"/>
      <c r="P11" s="71"/>
      <c r="R11" s="19"/>
      <c r="S11" s="19"/>
      <c r="T11" s="19"/>
      <c r="U11" s="19"/>
      <c r="V11" s="19"/>
      <c r="W11" s="87"/>
      <c r="X11" s="169">
        <f>SUM(X9:X10)</f>
        <v>157467.02249806313</v>
      </c>
      <c r="Y11" s="170">
        <f>SUM(Y9:Y10)</f>
        <v>164337.26458294835</v>
      </c>
      <c r="Z11" s="170">
        <f>SUM(Z9:Z10)</f>
        <v>169901.34627937042</v>
      </c>
      <c r="AA11" s="170">
        <f>SUM(AA9:AA10)</f>
        <v>175886.65774303768</v>
      </c>
      <c r="AB11" s="171">
        <f>SUM(AB9:AB10)</f>
        <v>181943.55202272371</v>
      </c>
      <c r="AC11" s="87"/>
    </row>
    <row r="12" spans="2:29" x14ac:dyDescent="0.25">
      <c r="C12" s="113"/>
      <c r="D12" s="113"/>
      <c r="E12" s="113"/>
      <c r="F12" s="71"/>
      <c r="G12" s="71"/>
      <c r="H12" s="71"/>
      <c r="I12" s="71"/>
      <c r="J12" s="71"/>
      <c r="K12" s="71"/>
      <c r="L12" s="71"/>
      <c r="M12" s="71"/>
      <c r="N12" s="71"/>
      <c r="O12" s="71"/>
      <c r="P12" s="71"/>
      <c r="R12" s="114"/>
      <c r="S12" s="114"/>
      <c r="T12" s="114"/>
      <c r="U12" s="114"/>
      <c r="V12" s="114"/>
      <c r="W12" s="87"/>
      <c r="X12" s="114"/>
      <c r="Y12" s="114"/>
      <c r="Z12" s="114"/>
      <c r="AA12" s="114"/>
      <c r="AB12" s="114"/>
      <c r="AC12" s="87"/>
    </row>
    <row r="13" spans="2:29" ht="15" x14ac:dyDescent="0.25">
      <c r="B13" s="78" t="s">
        <v>63</v>
      </c>
      <c r="C13" s="78"/>
      <c r="D13" s="78"/>
      <c r="E13" s="78"/>
      <c r="F13" s="78"/>
      <c r="G13" s="78"/>
      <c r="H13" s="78"/>
      <c r="I13" s="78"/>
      <c r="J13" s="78"/>
      <c r="K13" s="78"/>
      <c r="L13" s="78"/>
      <c r="M13" s="78"/>
      <c r="N13" s="78"/>
      <c r="O13" s="78"/>
      <c r="P13" s="78"/>
      <c r="Q13" s="78"/>
      <c r="R13" s="78"/>
      <c r="S13" s="78"/>
      <c r="T13" s="78"/>
      <c r="U13" s="78"/>
      <c r="V13" s="78"/>
      <c r="W13" s="78"/>
      <c r="X13" s="78"/>
      <c r="Y13" s="78"/>
      <c r="Z13" s="78"/>
      <c r="AA13" s="78"/>
      <c r="AB13" s="78"/>
    </row>
    <row r="14" spans="2:29" x14ac:dyDescent="0.25">
      <c r="I14" s="72"/>
      <c r="J14" s="72"/>
      <c r="K14" s="72"/>
      <c r="R14" s="108"/>
      <c r="S14" s="108"/>
      <c r="T14" s="108"/>
      <c r="U14" s="108"/>
      <c r="V14" s="108"/>
    </row>
    <row r="15" spans="2:29" s="55" customFormat="1" x14ac:dyDescent="0.2">
      <c r="C15" s="19"/>
      <c r="D15" s="240" t="s">
        <v>52</v>
      </c>
      <c r="E15" s="241"/>
      <c r="F15" s="241"/>
      <c r="G15" s="241"/>
      <c r="H15" s="242"/>
      <c r="L15" s="246" t="s">
        <v>41</v>
      </c>
      <c r="M15" s="247"/>
      <c r="N15" s="247"/>
      <c r="O15" s="247"/>
      <c r="P15" s="248"/>
      <c r="R15" s="237" t="s">
        <v>40</v>
      </c>
      <c r="S15" s="238"/>
      <c r="T15" s="238"/>
      <c r="U15" s="238"/>
      <c r="V15" s="239"/>
      <c r="X15" s="237" t="s">
        <v>30</v>
      </c>
      <c r="Y15" s="238"/>
      <c r="Z15" s="238"/>
      <c r="AA15" s="238"/>
      <c r="AB15" s="239"/>
    </row>
    <row r="16" spans="2:29" s="55" customFormat="1" ht="25.5" x14ac:dyDescent="0.25">
      <c r="B16" s="58" t="s">
        <v>6</v>
      </c>
      <c r="C16" s="19"/>
      <c r="D16" s="60" t="s">
        <v>13</v>
      </c>
      <c r="E16" s="61" t="s">
        <v>14</v>
      </c>
      <c r="F16" s="61" t="s">
        <v>15</v>
      </c>
      <c r="G16" s="61" t="s">
        <v>16</v>
      </c>
      <c r="H16" s="62" t="s">
        <v>17</v>
      </c>
      <c r="J16" s="73" t="s">
        <v>18</v>
      </c>
      <c r="L16" s="60" t="s">
        <v>13</v>
      </c>
      <c r="M16" s="61" t="s">
        <v>14</v>
      </c>
      <c r="N16" s="61" t="s">
        <v>15</v>
      </c>
      <c r="O16" s="61" t="s">
        <v>16</v>
      </c>
      <c r="P16" s="62" t="s">
        <v>17</v>
      </c>
      <c r="Q16" s="49"/>
      <c r="R16" s="60" t="s">
        <v>13</v>
      </c>
      <c r="S16" s="61" t="s">
        <v>14</v>
      </c>
      <c r="T16" s="61" t="s">
        <v>15</v>
      </c>
      <c r="U16" s="61" t="s">
        <v>16</v>
      </c>
      <c r="V16" s="62" t="s">
        <v>17</v>
      </c>
      <c r="W16" s="49"/>
      <c r="X16" s="83" t="s">
        <v>13</v>
      </c>
      <c r="Y16" s="84" t="s">
        <v>14</v>
      </c>
      <c r="Z16" s="84" t="s">
        <v>15</v>
      </c>
      <c r="AA16" s="84" t="s">
        <v>16</v>
      </c>
      <c r="AB16" s="85" t="s">
        <v>17</v>
      </c>
    </row>
    <row r="17" spans="2:28" s="55" customFormat="1" x14ac:dyDescent="0.25">
      <c r="B17" s="154" t="s">
        <v>74</v>
      </c>
      <c r="C17" s="46"/>
      <c r="D17" s="148">
        <f>+'Input Sheet'!G41</f>
        <v>400</v>
      </c>
      <c r="E17" s="150">
        <f>+'Input Sheet'!H41</f>
        <v>400</v>
      </c>
      <c r="F17" s="150">
        <f>+'Input Sheet'!I41</f>
        <v>400</v>
      </c>
      <c r="G17" s="150">
        <f>+'Input Sheet'!J41</f>
        <v>400</v>
      </c>
      <c r="H17" s="156">
        <f>+'Input Sheet'!K41</f>
        <v>400</v>
      </c>
      <c r="J17" s="66">
        <f>+'Input Sheet'!G45</f>
        <v>2</v>
      </c>
      <c r="L17" s="163">
        <f>$J17*D17*'Input Sheet'!G$51</f>
        <v>69525.101231464505</v>
      </c>
      <c r="M17" s="164">
        <f>$J17*E17*'Input Sheet'!H$51</f>
        <v>72558.46192412755</v>
      </c>
      <c r="N17" s="164">
        <f>$J17*F17*'Input Sheet'!I$51</f>
        <v>75015.124513328687</v>
      </c>
      <c r="O17" s="164">
        <f>$J17*G17*'Input Sheet'!J$51</f>
        <v>77657.769168773477</v>
      </c>
      <c r="P17" s="165">
        <f>$J17*H17*'Input Sheet'!K$51</f>
        <v>80332.019188002931</v>
      </c>
      <c r="Q17" s="172"/>
      <c r="R17" s="163">
        <f>+L17*('Input Sheet'!G$61-1)</f>
        <v>81584.393663302384</v>
      </c>
      <c r="S17" s="164">
        <f>+M17*('Input Sheet'!H$61-1)</f>
        <v>91423.914541491176</v>
      </c>
      <c r="T17" s="164">
        <f>+N17*('Input Sheet'!I$61-1)</f>
        <v>95347.386086934755</v>
      </c>
      <c r="U17" s="164">
        <f>+O17*('Input Sheet'!J$61-1)</f>
        <v>100751.33517683379</v>
      </c>
      <c r="V17" s="165">
        <f>+P17*('Input Sheet'!K$61-1)</f>
        <v>106247.01677284483</v>
      </c>
      <c r="W17" s="172"/>
      <c r="X17" s="163">
        <f>+L17+R17</f>
        <v>151109.49489476689</v>
      </c>
      <c r="Y17" s="164">
        <f t="shared" ref="Y17" si="0">+M17+S17</f>
        <v>163982.37646561873</v>
      </c>
      <c r="Z17" s="164">
        <f t="shared" ref="Z17" si="1">+N17+T17</f>
        <v>170362.51060026343</v>
      </c>
      <c r="AA17" s="164">
        <f t="shared" ref="AA17" si="2">+O17+U17</f>
        <v>178409.10434560728</v>
      </c>
      <c r="AB17" s="165">
        <f t="shared" ref="AB17" si="3">+P17+V17</f>
        <v>186579.03596084774</v>
      </c>
    </row>
    <row r="18" spans="2:28" s="55" customFormat="1" x14ac:dyDescent="0.25">
      <c r="B18" s="155"/>
      <c r="C18" s="46"/>
      <c r="D18" s="157"/>
      <c r="E18" s="158"/>
      <c r="F18" s="158"/>
      <c r="G18" s="158"/>
      <c r="H18" s="159"/>
      <c r="J18" s="70"/>
      <c r="L18" s="166"/>
      <c r="M18" s="167"/>
      <c r="N18" s="167"/>
      <c r="O18" s="167"/>
      <c r="P18" s="168"/>
      <c r="Q18" s="172"/>
      <c r="R18" s="166"/>
      <c r="S18" s="167"/>
      <c r="T18" s="167"/>
      <c r="U18" s="167"/>
      <c r="V18" s="168"/>
      <c r="W18" s="172"/>
      <c r="X18" s="166"/>
      <c r="Y18" s="167"/>
      <c r="Z18" s="167"/>
      <c r="AA18" s="167"/>
      <c r="AB18" s="168"/>
    </row>
    <row r="19" spans="2:28" s="55" customFormat="1" x14ac:dyDescent="0.25">
      <c r="C19" s="19"/>
      <c r="D19" s="160">
        <f>SUM(D17:D18)</f>
        <v>400</v>
      </c>
      <c r="E19" s="161">
        <f>SUM(E17:E18)</f>
        <v>400</v>
      </c>
      <c r="F19" s="161">
        <f>SUM(F17:F18)</f>
        <v>400</v>
      </c>
      <c r="G19" s="161">
        <f>SUM(G17:G18)</f>
        <v>400</v>
      </c>
      <c r="H19" s="162">
        <f>SUM(H17:H18)</f>
        <v>400</v>
      </c>
      <c r="L19" s="169">
        <f>SUM(L17:L18)</f>
        <v>69525.101231464505</v>
      </c>
      <c r="M19" s="170">
        <f>SUM(M17:M18)</f>
        <v>72558.46192412755</v>
      </c>
      <c r="N19" s="170">
        <f>SUM(N17:N18)</f>
        <v>75015.124513328687</v>
      </c>
      <c r="O19" s="170">
        <f>SUM(O17:O18)</f>
        <v>77657.769168773477</v>
      </c>
      <c r="P19" s="171">
        <f>SUM(P17:P18)</f>
        <v>80332.019188002931</v>
      </c>
      <c r="Q19" s="172"/>
      <c r="R19" s="173">
        <f>SUM(R17:R18)</f>
        <v>81584.393663302384</v>
      </c>
      <c r="S19" s="174">
        <f>SUM(S17:S18)</f>
        <v>91423.914541491176</v>
      </c>
      <c r="T19" s="174">
        <f>SUM(T17:T18)</f>
        <v>95347.386086934755</v>
      </c>
      <c r="U19" s="174">
        <f>SUM(U17:U18)</f>
        <v>100751.33517683379</v>
      </c>
      <c r="V19" s="175">
        <f>SUM(V17:V18)</f>
        <v>106247.01677284483</v>
      </c>
      <c r="W19" s="172"/>
      <c r="X19" s="173">
        <f>SUM(X17:X18)</f>
        <v>151109.49489476689</v>
      </c>
      <c r="Y19" s="174">
        <f>SUM(Y17:Y18)</f>
        <v>163982.37646561873</v>
      </c>
      <c r="Z19" s="174">
        <f>SUM(Z17:Z18)</f>
        <v>170362.51060026343</v>
      </c>
      <c r="AA19" s="174">
        <f>SUM(AA17:AA18)</f>
        <v>178409.10434560728</v>
      </c>
      <c r="AB19" s="175">
        <f>SUM(AB17:AB18)</f>
        <v>186579.03596084774</v>
      </c>
    </row>
    <row r="20" spans="2:28" s="55" customFormat="1" x14ac:dyDescent="0.25">
      <c r="L20" s="172"/>
      <c r="M20" s="172"/>
      <c r="N20" s="172"/>
      <c r="O20" s="172"/>
      <c r="P20" s="172"/>
      <c r="Q20" s="172"/>
      <c r="R20" s="172"/>
      <c r="S20" s="172"/>
      <c r="T20" s="172"/>
      <c r="U20" s="172"/>
      <c r="V20" s="172"/>
      <c r="W20" s="172"/>
      <c r="X20" s="172"/>
      <c r="Y20" s="172"/>
      <c r="Z20" s="172"/>
      <c r="AA20" s="172"/>
      <c r="AB20" s="172"/>
    </row>
    <row r="21" spans="2:28" s="55" customFormat="1" x14ac:dyDescent="0.25">
      <c r="R21" s="49"/>
      <c r="S21" s="49"/>
      <c r="T21" s="49"/>
      <c r="U21" s="49"/>
      <c r="V21" s="49"/>
    </row>
    <row r="22" spans="2:28" x14ac:dyDescent="0.25">
      <c r="X22" s="117"/>
      <c r="Y22" s="117"/>
      <c r="Z22" s="117"/>
      <c r="AA22" s="117"/>
      <c r="AB22" s="117"/>
    </row>
    <row r="23" spans="2:28" x14ac:dyDescent="0.25">
      <c r="AB23" s="117"/>
    </row>
    <row r="24" spans="2:28" x14ac:dyDescent="0.25">
      <c r="AB24" s="117"/>
    </row>
    <row r="25" spans="2:28" x14ac:dyDescent="0.25">
      <c r="AB25" s="117"/>
    </row>
    <row r="26" spans="2:28" x14ac:dyDescent="0.25">
      <c r="AB26" s="117"/>
    </row>
  </sheetData>
  <mergeCells count="6">
    <mergeCell ref="X15:AB15"/>
    <mergeCell ref="D15:H15"/>
    <mergeCell ref="D7:H7"/>
    <mergeCell ref="X7:AB7"/>
    <mergeCell ref="L15:P15"/>
    <mergeCell ref="R15:V15"/>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Input Documents --&gt;</vt:lpstr>
      <vt:lpstr>Input Sheet</vt:lpstr>
      <vt:lpstr>Methodology Statements --&gt;</vt:lpstr>
      <vt:lpstr>AER Summary</vt:lpstr>
      <vt:lpstr>Service Description</vt:lpstr>
      <vt:lpstr>Fee Breakdown</vt:lpstr>
      <vt:lpstr>'AER Summary'!Print_Area</vt:lpstr>
      <vt:lpstr>'Fee Breakdown'!Print_Area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2014-04-04T03:19:43Z</cp:lastPrinted>
  <dcterms:created xsi:type="dcterms:W3CDTF">2013-06-17T01:25:32Z</dcterms:created>
  <dcterms:modified xsi:type="dcterms:W3CDTF">2015-01-05T00:57:42Z</dcterms:modified>
</cp:coreProperties>
</file>