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 windowWidth="21720" windowHeight="13290" firstSheet="2" activeTab="3"/>
  </bookViews>
  <sheets>
    <sheet name="Input Documents --&gt;" sheetId="16" r:id="rId1"/>
    <sheet name="Input Sheet" sheetId="13" r:id="rId2"/>
    <sheet name="Methodology Statements --&gt;" sheetId="15" r:id="rId3"/>
    <sheet name="AER Summary" sheetId="8" r:id="rId4"/>
    <sheet name="Service Description" sheetId="9" r:id="rId5"/>
    <sheet name="Fee Breakdown" sheetId="11" r:id="rId6"/>
  </sheets>
  <definedNames>
    <definedName name="_xlnm.Print_Area" localSheetId="3">'AER Summary'!$A:$I</definedName>
    <definedName name="_xlnm.Print_Area" localSheetId="5">'Fee Breakdown'!$A$1:$AG$32</definedName>
    <definedName name="TM1REBUILDOPTION">1</definedName>
  </definedNames>
  <calcPr calcId="145621" calcMode="manual" concurrentCalc="0"/>
</workbook>
</file>

<file path=xl/calcChain.xml><?xml version="1.0" encoding="utf-8"?>
<calcChain xmlns="http://schemas.openxmlformats.org/spreadsheetml/2006/main">
  <c r="K147" i="13" l="1"/>
  <c r="K128" i="13"/>
  <c r="T22" i="11"/>
  <c r="K138" i="13"/>
  <c r="Z22" i="11"/>
  <c r="AF22" i="11"/>
  <c r="T23" i="11"/>
  <c r="Z23" i="11"/>
  <c r="AF23" i="11"/>
  <c r="T24" i="11"/>
  <c r="Z24" i="11"/>
  <c r="AF24" i="11"/>
  <c r="T25" i="11"/>
  <c r="Z25" i="11"/>
  <c r="AF25" i="11"/>
  <c r="T26" i="11"/>
  <c r="Z26" i="11"/>
  <c r="AF26" i="11"/>
  <c r="T27" i="11"/>
  <c r="Z27" i="11"/>
  <c r="AF27" i="11"/>
  <c r="AF29" i="11"/>
  <c r="J147" i="13"/>
  <c r="J128" i="13"/>
  <c r="S22" i="11"/>
  <c r="J138" i="13"/>
  <c r="Y22" i="11"/>
  <c r="AE22" i="11"/>
  <c r="S23" i="11"/>
  <c r="Y23" i="11"/>
  <c r="AE23" i="11"/>
  <c r="S24" i="11"/>
  <c r="Y24" i="11"/>
  <c r="AE24" i="11"/>
  <c r="S25" i="11"/>
  <c r="Y25" i="11"/>
  <c r="AE25" i="11"/>
  <c r="S26" i="11"/>
  <c r="Y26" i="11"/>
  <c r="AE26" i="11"/>
  <c r="S27" i="11"/>
  <c r="Y27" i="11"/>
  <c r="AE27" i="11"/>
  <c r="AE29" i="11"/>
  <c r="I147" i="13"/>
  <c r="I128" i="13"/>
  <c r="R22" i="11"/>
  <c r="I138" i="13"/>
  <c r="X22" i="11"/>
  <c r="AD22" i="11"/>
  <c r="R23" i="11"/>
  <c r="X23" i="11"/>
  <c r="AD23" i="11"/>
  <c r="R24" i="11"/>
  <c r="X24" i="11"/>
  <c r="AD24" i="11"/>
  <c r="R25" i="11"/>
  <c r="X25" i="11"/>
  <c r="AD25" i="11"/>
  <c r="R26" i="11"/>
  <c r="X26" i="11"/>
  <c r="AD26" i="11"/>
  <c r="R27" i="11"/>
  <c r="X27" i="11"/>
  <c r="AD27" i="11"/>
  <c r="AD29" i="11"/>
  <c r="H147" i="13"/>
  <c r="H128" i="13"/>
  <c r="Q22" i="11"/>
  <c r="H138" i="13"/>
  <c r="W22" i="11"/>
  <c r="AC22" i="11"/>
  <c r="Q23" i="11"/>
  <c r="W23" i="11"/>
  <c r="AC23" i="11"/>
  <c r="Q24" i="11"/>
  <c r="W24" i="11"/>
  <c r="AC24" i="11"/>
  <c r="Q25" i="11"/>
  <c r="W25" i="11"/>
  <c r="AC25" i="11"/>
  <c r="Q26" i="11"/>
  <c r="W26" i="11"/>
  <c r="AC26" i="11"/>
  <c r="Q27" i="11"/>
  <c r="W27" i="11"/>
  <c r="AC27" i="11"/>
  <c r="AC29" i="11"/>
  <c r="G147" i="13"/>
  <c r="G128" i="13"/>
  <c r="P22" i="11"/>
  <c r="G138" i="13"/>
  <c r="V22" i="11"/>
  <c r="AB22" i="11"/>
  <c r="P23" i="11"/>
  <c r="V23" i="11"/>
  <c r="AB23" i="11"/>
  <c r="P24" i="11"/>
  <c r="V24" i="11"/>
  <c r="AB24" i="11"/>
  <c r="P25" i="11"/>
  <c r="V25" i="11"/>
  <c r="AB25" i="11"/>
  <c r="P26" i="11"/>
  <c r="V26" i="11"/>
  <c r="AB26" i="11"/>
  <c r="P27" i="11"/>
  <c r="V27" i="11"/>
  <c r="AB27" i="11"/>
  <c r="AB29" i="11"/>
  <c r="Z29" i="11"/>
  <c r="Y29" i="11"/>
  <c r="X29" i="11"/>
  <c r="W29" i="11"/>
  <c r="V29" i="11"/>
  <c r="T29" i="11"/>
  <c r="S29" i="11"/>
  <c r="R29" i="11"/>
  <c r="Q29" i="11"/>
  <c r="P29" i="11"/>
  <c r="N22" i="11"/>
  <c r="N9" i="11"/>
  <c r="J47" i="13"/>
  <c r="K47" i="13"/>
  <c r="E10" i="11"/>
  <c r="F10" i="11"/>
  <c r="E11" i="11"/>
  <c r="F11" i="11"/>
  <c r="E12" i="11"/>
  <c r="F12" i="11"/>
  <c r="E13" i="11"/>
  <c r="F13" i="11"/>
  <c r="E14" i="11"/>
  <c r="F14" i="11"/>
  <c r="F9" i="11"/>
  <c r="E9" i="11"/>
  <c r="D9" i="11"/>
  <c r="I46" i="13"/>
  <c r="H46" i="13"/>
  <c r="K9" i="13"/>
  <c r="I45" i="13"/>
  <c r="J45" i="13"/>
  <c r="H45" i="13"/>
  <c r="K14" i="13"/>
  <c r="K13" i="13"/>
  <c r="K12" i="13"/>
  <c r="K11" i="13"/>
  <c r="K10" i="13"/>
  <c r="I9" i="13"/>
  <c r="H95" i="13"/>
  <c r="J104" i="13"/>
  <c r="I104" i="13"/>
  <c r="I39" i="13"/>
  <c r="I106" i="13"/>
  <c r="I107" i="13"/>
  <c r="I27" i="13"/>
  <c r="I112" i="13"/>
  <c r="I113" i="13"/>
  <c r="I114" i="13"/>
  <c r="I115" i="13"/>
  <c r="I116" i="13"/>
  <c r="J39" i="13"/>
  <c r="J106" i="13"/>
  <c r="J107" i="13"/>
  <c r="J27" i="13"/>
  <c r="J112" i="13"/>
  <c r="J113" i="13"/>
  <c r="J114" i="13"/>
  <c r="J116" i="13"/>
  <c r="J118" i="13"/>
  <c r="C27" i="11"/>
  <c r="D27" i="11"/>
  <c r="E27" i="11"/>
  <c r="F27" i="11"/>
  <c r="L27" i="11"/>
  <c r="K27" i="11"/>
  <c r="J27" i="11"/>
  <c r="I27" i="11"/>
  <c r="H27" i="11"/>
  <c r="F128" i="13"/>
  <c r="K140" i="13"/>
  <c r="G26" i="8"/>
  <c r="F26" i="8"/>
  <c r="C26" i="11"/>
  <c r="D26" i="11"/>
  <c r="E26" i="11"/>
  <c r="F26" i="11"/>
  <c r="L26" i="11"/>
  <c r="K26" i="11"/>
  <c r="J26" i="11"/>
  <c r="I26" i="11"/>
  <c r="H26" i="11"/>
  <c r="C25" i="11"/>
  <c r="D25" i="11"/>
  <c r="E25" i="11"/>
  <c r="F25" i="11"/>
  <c r="L25" i="11"/>
  <c r="K25" i="11"/>
  <c r="J25" i="11"/>
  <c r="I25" i="11"/>
  <c r="H25" i="11"/>
  <c r="C24" i="11"/>
  <c r="D24" i="11"/>
  <c r="E24" i="11"/>
  <c r="F24" i="11"/>
  <c r="L24" i="11"/>
  <c r="K24" i="11"/>
  <c r="J24" i="11"/>
  <c r="I24" i="11"/>
  <c r="H24" i="11"/>
  <c r="C23" i="11"/>
  <c r="D23" i="11"/>
  <c r="E23" i="11"/>
  <c r="F23" i="11"/>
  <c r="L23" i="11"/>
  <c r="K23" i="11"/>
  <c r="J23" i="11"/>
  <c r="I23" i="11"/>
  <c r="H23" i="11"/>
  <c r="C22" i="11"/>
  <c r="D22" i="11"/>
  <c r="E22" i="11"/>
  <c r="F22" i="11"/>
  <c r="L22" i="11"/>
  <c r="K22" i="11"/>
  <c r="J22" i="11"/>
  <c r="I22" i="11"/>
  <c r="H22" i="11"/>
  <c r="L29" i="11"/>
  <c r="K29" i="11"/>
  <c r="J29" i="11"/>
  <c r="I29" i="11"/>
  <c r="H29" i="11"/>
  <c r="H39" i="13"/>
  <c r="G39" i="13"/>
  <c r="K149" i="13"/>
  <c r="F147" i="13"/>
  <c r="H47" i="13"/>
  <c r="I47" i="13"/>
  <c r="J120" i="13"/>
  <c r="J122" i="13"/>
  <c r="G129" i="13"/>
  <c r="H9" i="11"/>
  <c r="P9" i="11"/>
  <c r="AB9" i="11"/>
  <c r="H10" i="11"/>
  <c r="P10" i="11"/>
  <c r="AB10" i="11"/>
  <c r="H11" i="11"/>
  <c r="P11" i="11"/>
  <c r="AB11" i="11"/>
  <c r="H12" i="11"/>
  <c r="P12" i="11"/>
  <c r="AB12" i="11"/>
  <c r="H13" i="11"/>
  <c r="P13" i="11"/>
  <c r="AB13" i="11"/>
  <c r="H14" i="11"/>
  <c r="P14" i="11"/>
  <c r="AB14" i="11"/>
  <c r="AB16" i="11"/>
  <c r="C33" i="8"/>
  <c r="H129" i="13"/>
  <c r="I9" i="11"/>
  <c r="Q9" i="11"/>
  <c r="AC9" i="11"/>
  <c r="I10" i="11"/>
  <c r="Q10" i="11"/>
  <c r="AC10" i="11"/>
  <c r="I11" i="11"/>
  <c r="Q11" i="11"/>
  <c r="AC11" i="11"/>
  <c r="I12" i="11"/>
  <c r="Q12" i="11"/>
  <c r="AC12" i="11"/>
  <c r="I13" i="11"/>
  <c r="Q13" i="11"/>
  <c r="AC13" i="11"/>
  <c r="I14" i="11"/>
  <c r="Q14" i="11"/>
  <c r="AC14" i="11"/>
  <c r="AC16" i="11"/>
  <c r="D33" i="8"/>
  <c r="I129" i="13"/>
  <c r="J9" i="11"/>
  <c r="R9" i="11"/>
  <c r="AD9" i="11"/>
  <c r="J10" i="11"/>
  <c r="R10" i="11"/>
  <c r="AD10" i="11"/>
  <c r="J11" i="11"/>
  <c r="R11" i="11"/>
  <c r="AD11" i="11"/>
  <c r="J12" i="11"/>
  <c r="R12" i="11"/>
  <c r="AD12" i="11"/>
  <c r="J13" i="11"/>
  <c r="R13" i="11"/>
  <c r="AD13" i="11"/>
  <c r="J14" i="11"/>
  <c r="R14" i="11"/>
  <c r="AD14" i="11"/>
  <c r="AD16" i="11"/>
  <c r="E33" i="8"/>
  <c r="J129" i="13"/>
  <c r="K9" i="11"/>
  <c r="S9" i="11"/>
  <c r="AE9" i="11"/>
  <c r="K10" i="11"/>
  <c r="S10" i="11"/>
  <c r="AE10" i="11"/>
  <c r="K11" i="11"/>
  <c r="S11" i="11"/>
  <c r="AE11" i="11"/>
  <c r="K12" i="11"/>
  <c r="S12" i="11"/>
  <c r="AE12" i="11"/>
  <c r="K13" i="11"/>
  <c r="S13" i="11"/>
  <c r="AE13" i="11"/>
  <c r="K14" i="11"/>
  <c r="S14" i="11"/>
  <c r="AE14" i="11"/>
  <c r="AE16" i="11"/>
  <c r="F33" i="8"/>
  <c r="K129" i="13"/>
  <c r="L9" i="11"/>
  <c r="T9" i="11"/>
  <c r="AF9" i="11"/>
  <c r="L10" i="11"/>
  <c r="T10" i="11"/>
  <c r="AF10" i="11"/>
  <c r="L11" i="11"/>
  <c r="T11" i="11"/>
  <c r="AF11" i="11"/>
  <c r="L12" i="11"/>
  <c r="T12" i="11"/>
  <c r="AF12" i="11"/>
  <c r="L13" i="11"/>
  <c r="T13" i="11"/>
  <c r="AF13" i="11"/>
  <c r="L14" i="11"/>
  <c r="T14" i="11"/>
  <c r="AF14" i="11"/>
  <c r="AF16" i="11"/>
  <c r="G33" i="8"/>
  <c r="H33" i="8"/>
  <c r="B5" i="11"/>
  <c r="F27" i="8"/>
  <c r="G27" i="8"/>
  <c r="H27" i="8"/>
  <c r="H26" i="8"/>
  <c r="F25" i="8"/>
  <c r="G25" i="8"/>
  <c r="H25" i="8"/>
  <c r="E8" i="8"/>
  <c r="F8" i="8"/>
  <c r="G8" i="8"/>
  <c r="H8" i="8"/>
  <c r="D8" i="8"/>
  <c r="H104" i="13"/>
  <c r="H106" i="13"/>
  <c r="F106" i="13"/>
  <c r="H27" i="13"/>
  <c r="H107" i="13"/>
  <c r="B3" i="13"/>
  <c r="D39" i="8"/>
  <c r="E39" i="8"/>
  <c r="F39" i="8"/>
  <c r="G39" i="8"/>
  <c r="C39" i="8"/>
  <c r="D36" i="8"/>
  <c r="E36" i="8"/>
  <c r="F36" i="8"/>
  <c r="G36" i="8"/>
  <c r="C36" i="8"/>
  <c r="D35" i="8"/>
  <c r="E35" i="8"/>
  <c r="F35" i="8"/>
  <c r="G35" i="8"/>
  <c r="C35" i="8"/>
  <c r="C3" i="11"/>
  <c r="K39" i="13"/>
  <c r="F29" i="11"/>
  <c r="E29" i="11"/>
  <c r="D29" i="11"/>
  <c r="C29" i="11"/>
  <c r="K131" i="13"/>
  <c r="J131" i="13"/>
  <c r="I131" i="13"/>
  <c r="H131" i="13"/>
  <c r="H35" i="8"/>
  <c r="H36" i="8"/>
  <c r="H37" i="8"/>
  <c r="G37" i="8"/>
  <c r="F37" i="8"/>
  <c r="E37" i="8"/>
  <c r="D37" i="8"/>
  <c r="C37" i="8"/>
  <c r="C45" i="8"/>
  <c r="D45" i="8"/>
  <c r="E45" i="8"/>
  <c r="F45" i="8"/>
  <c r="G45" i="8"/>
  <c r="H45" i="8"/>
  <c r="H39" i="8"/>
  <c r="J115" i="13"/>
  <c r="G27" i="13"/>
  <c r="D3" i="9"/>
</calcChain>
</file>

<file path=xl/comments1.xml><?xml version="1.0" encoding="utf-8"?>
<comments xmlns="http://schemas.openxmlformats.org/spreadsheetml/2006/main">
  <authors>
    <author>Jacob Muscat</author>
  </authors>
  <commentList>
    <comment ref="F21" authorId="0">
      <text>
        <r>
          <rPr>
            <b/>
            <sz val="9"/>
            <color indexed="81"/>
            <rFont val="Tahoma"/>
            <family val="2"/>
          </rPr>
          <t>Jacob Muscat:</t>
        </r>
        <r>
          <rPr>
            <sz val="9"/>
            <color indexed="81"/>
            <rFont val="Tahoma"/>
            <family val="2"/>
          </rPr>
          <t xml:space="preserve">
This represents the YTD May extrapolated figures for 2012/13 as the full 2012/13 year was not available when the forecast was developed.</t>
        </r>
      </text>
    </comment>
  </commentList>
</comments>
</file>

<file path=xl/sharedStrings.xml><?xml version="1.0" encoding="utf-8"?>
<sst xmlns="http://schemas.openxmlformats.org/spreadsheetml/2006/main" count="342" uniqueCount="154">
  <si>
    <t>Service:</t>
  </si>
  <si>
    <t>Total</t>
  </si>
  <si>
    <t>Historical Revenue</t>
  </si>
  <si>
    <t>Description</t>
  </si>
  <si>
    <t>Volumes</t>
  </si>
  <si>
    <t>Source</t>
  </si>
  <si>
    <t>Current Fee</t>
  </si>
  <si>
    <t>AER Framework and Approach paper March 2013</t>
  </si>
  <si>
    <t>Fee Type</t>
  </si>
  <si>
    <t>ADMINISTRATION OF CONTESTABLE WORKS</t>
  </si>
  <si>
    <t>Not available</t>
  </si>
  <si>
    <t>2009/10</t>
  </si>
  <si>
    <t>2010/11</t>
  </si>
  <si>
    <t>2011/12</t>
  </si>
  <si>
    <t>2012/13</t>
  </si>
  <si>
    <t>2013/14</t>
  </si>
  <si>
    <t>2014/15</t>
  </si>
  <si>
    <t>2015/16</t>
  </si>
  <si>
    <t>2016/17</t>
  </si>
  <si>
    <t>2017/18</t>
  </si>
  <si>
    <t>2018/19</t>
  </si>
  <si>
    <t>Overhead Factor (Nominal)</t>
  </si>
  <si>
    <t>Average NOMINAL Overhead Factor for Regulatory Period</t>
  </si>
  <si>
    <t>Average Conversion Factor From Real to Nominal</t>
  </si>
  <si>
    <t>Direct Costs (Nominal)</t>
  </si>
  <si>
    <t>Work Order</t>
  </si>
  <si>
    <t>Indirect Costs (Nominal)</t>
  </si>
  <si>
    <t>Hours</t>
  </si>
  <si>
    <t>Type</t>
  </si>
  <si>
    <t>Work Order Description</t>
  </si>
  <si>
    <t>Historical Work Order Costs</t>
  </si>
  <si>
    <t>EMPLOYEE_ID</t>
  </si>
  <si>
    <t>Name</t>
  </si>
  <si>
    <t>POS_TITLE</t>
  </si>
  <si>
    <t>Hourly Rate (Inc On-cost)</t>
  </si>
  <si>
    <t>AVERAGE</t>
  </si>
  <si>
    <t>No. of People</t>
  </si>
  <si>
    <t>Average hourly Rate
12/13$</t>
  </si>
  <si>
    <t>Assumed annual labour growth</t>
  </si>
  <si>
    <t>Historical Volumes</t>
  </si>
  <si>
    <t>Labour Growth</t>
  </si>
  <si>
    <t>Total Operating Expenditure</t>
  </si>
  <si>
    <t>All unit rates have been calculated in real 12/13 dollars for comparison purposes. To estimate labour rates in real 12/13 dollars for prior years, the actual salary increases for award staff in those years has been used.</t>
  </si>
  <si>
    <t>Ancillary Network Services</t>
  </si>
  <si>
    <t>Data Input Work Sheet</t>
  </si>
  <si>
    <t>This worksheet left blank intentionally</t>
  </si>
  <si>
    <t>Calculation of Overhead Factor</t>
  </si>
  <si>
    <t>Overhead Factor</t>
  </si>
  <si>
    <t>Ancillary Network Services - Service Description</t>
  </si>
  <si>
    <t>Ancillary Network Services - Summary</t>
  </si>
  <si>
    <t>Ancillary Network Services - Fee Breakdown</t>
  </si>
  <si>
    <t>Fee
(Excluding GST)</t>
  </si>
  <si>
    <t>Hourly Rate
(Excluding GST)</t>
  </si>
  <si>
    <t>Historic Volumes</t>
  </si>
  <si>
    <t>Overheads</t>
  </si>
  <si>
    <t>Direct Operating Expenditure</t>
  </si>
  <si>
    <t>Framework &amp; Approach Service Description</t>
  </si>
  <si>
    <t>Network &amp; Corporate Overhead Factor</t>
  </si>
  <si>
    <t>Overhead Conversion Factor</t>
  </si>
  <si>
    <t>Average</t>
  </si>
  <si>
    <t>Total Costs</t>
  </si>
  <si>
    <t>Fee
(Including GST)</t>
  </si>
  <si>
    <t>2012/13 YTD May Extrapolated</t>
  </si>
  <si>
    <t>Labour Growth Rates</t>
  </si>
  <si>
    <t>Growth</t>
  </si>
  <si>
    <t>Total Volumes</t>
  </si>
  <si>
    <t>Proposed Fees (Nominal)</t>
  </si>
  <si>
    <t>Forecast Volumes</t>
  </si>
  <si>
    <t>Forecast Operating Expenditure</t>
  </si>
  <si>
    <t>In order to derive unit rates for this Ancillary Network Service, the following methodology was used:</t>
  </si>
  <si>
    <t>1) The AER's Framework and Approach Paper (March 2013) was provided to Managers throughout Endeavour Energy in order to confirm what types of Ancillary Network Services were performed by the Company. Based on the responses received, the primary contributors to each service were identified.</t>
  </si>
  <si>
    <t>Historic Revenue, Costs &amp; Volumes</t>
  </si>
  <si>
    <t>Revenue</t>
  </si>
  <si>
    <t>Forecast Revenue, Costs &amp; Volumes</t>
  </si>
  <si>
    <t>Item</t>
  </si>
  <si>
    <t>General ledger</t>
  </si>
  <si>
    <t>Work orders &amp; cost estimates</t>
  </si>
  <si>
    <t>CAM projects invoiced</t>
  </si>
  <si>
    <t xml:space="preserve">Existing Service Description (2009-14) </t>
  </si>
  <si>
    <t>Updated Service Description (2015-19)</t>
  </si>
  <si>
    <t>Revenue related to this service is billed through Endeavour Energy's Ellipse billing system and is extracted from the general ledger.</t>
  </si>
  <si>
    <t>Subdivision - URD (Per Lot)</t>
  </si>
  <si>
    <t>Other - Industrial &amp; Commercial (Per Request)</t>
  </si>
  <si>
    <t>Other - Non Urban (Per Request)</t>
  </si>
  <si>
    <t>Other - URD (Per Request)</t>
  </si>
  <si>
    <t>Other - Asset Relocation (Per Request)</t>
  </si>
  <si>
    <t>Other - Public Lighting (Per Request)</t>
  </si>
  <si>
    <t xml:space="preserve">DISTRICT OPERATOR                       </t>
  </si>
  <si>
    <t>Avg Hourly Rate (Nominal) - District operator</t>
  </si>
  <si>
    <t>Estimated Costs (Sytem Operations)</t>
  </si>
  <si>
    <t>Average Unit Rates - 2012/13 Dollars</t>
  </si>
  <si>
    <t>Average Unit Rates - Forecast Nominal</t>
  </si>
  <si>
    <t>Unit rate (excl overheads)</t>
  </si>
  <si>
    <t>Unit rate (incl overheads)</t>
  </si>
  <si>
    <t>Average lots per job</t>
  </si>
  <si>
    <t>Proposed Unit Rates</t>
  </si>
  <si>
    <t>Substation Commissioning</t>
  </si>
  <si>
    <t>NCI10010</t>
  </si>
  <si>
    <t>NCI10001</t>
  </si>
  <si>
    <t>SUBSTATION COMMISSIONING</t>
  </si>
  <si>
    <t>Other - Industrial &amp; Commercial (Per Substation)</t>
  </si>
  <si>
    <t>Other - Non Urban (Per Substation)</t>
  </si>
  <si>
    <t>Other - URD (Per Substation)</t>
  </si>
  <si>
    <t>Other - Asset Relocation (Per Substation)</t>
  </si>
  <si>
    <t>Other - Public Lighting (Per Substation)</t>
  </si>
  <si>
    <t>Average Hourly Rates for Estimated Costs</t>
  </si>
  <si>
    <t>SOP Commissioning - Carried out by District Operators</t>
  </si>
  <si>
    <t>Includes Contestable substation commissioning (complex) and Contestable substation commissioning (basic). Involves the process of connecting the substation to the network. Complex involves kiosk and chamber substations that may involve protection settings. Basic is generally pole mounted substations.</t>
  </si>
  <si>
    <t>Payroll data was extracted as at 14/06/13 and provided by the Budgeting &amp; Forecasting Manager.  These hourly labour rates represent 2012/13 labour costs and are used to calculate an average hourly labour rate for those individuals involved in this service.</t>
  </si>
  <si>
    <t>Current Fee (Excl GST):</t>
  </si>
  <si>
    <t>The commissioning by a DNSP of a new substation (whether it is a single pole, padmount/kiosk or indoor/chamber) and includes:
1) all necessary pre-commissioning checks and tests prior to energising the substation via the high voltage switchgear and closing the low voltage circuit breaker, links or fuses; and 
2) the setting or resetting of protection equipment.</t>
  </si>
  <si>
    <t>Includes contestable substation commissioning (complex) and contestable substation commissioning (basic). Involves the process of connecting the substation to the network. Complex involves kiosk and chamber substations that may involve protection settings. Basic is generally pole mounted substations.</t>
  </si>
  <si>
    <t>These calculations represent the costs incurred by System Operations for the provision of this service.  These calculations were based on information provided by the Control Room Manager as individual work orders which capture the costs do not exist.
System Operations branch identified which employee positions carried out this type of work and provided and an estimate for the number of hours required to complete each task.</t>
  </si>
  <si>
    <t>The calculation of Substation Commissioning fees relies on an average unit rate.  An average unit rate is calculated for the historic period by dividing historic costs by historic volumes.  This is converted to 2012/13 real dollars and an average of the two years calculated.  This is inflated by the overhead factor derived from the CAM to calculate a fully loaded unit rate.
Only a 2 year period was used to calculate the average unit rate as the data contained in the work orders for 2010/11 were considered unreliable.</t>
  </si>
  <si>
    <t>Proposed Fee (Excl GST):</t>
  </si>
  <si>
    <t>Based on the following unit rates for the 2015-19 regulatory period - Refer to the Fee Breakdown schedule for specific fees</t>
  </si>
  <si>
    <t>Proposed Revenue (Nominal)</t>
  </si>
  <si>
    <t>Historical Average  Lots</t>
  </si>
  <si>
    <t>Average Lots</t>
  </si>
  <si>
    <t>Total number of lots</t>
  </si>
  <si>
    <t>Revenue for Subdivisions - URD (GST Exclusive)</t>
  </si>
  <si>
    <t>This information was sourced from billing data extracted from CAM's.</t>
  </si>
  <si>
    <t>2008/09</t>
  </si>
  <si>
    <t>2009-14 Current Fees</t>
  </si>
  <si>
    <t>Current fees approved by the AER for the 2009-14 regulatory period.</t>
  </si>
  <si>
    <t>Work orders relating to this service were identified and were extracted from the general ledger. These work orders capture the costs associated with performing this ancillary network service.</t>
  </si>
  <si>
    <t>The average unit rate in 2012/13 real dollars is converted to nominal dollars for each year in the next regulatory period using the nominal conversion factor derived from the CAM.  These rates form the basis of the calculation of the individual service fees.</t>
  </si>
  <si>
    <t>Endeavour Energy's overhead factor is derived from the Cost Allocation Methodology ('CAM') approved by the AER and the final opex budget for the regulatory period. Refer to the CAM model output for the forecast period.</t>
  </si>
  <si>
    <t>Direct Opex ANS (Nominal)</t>
  </si>
  <si>
    <t>Total Opex ANS (Nominal)</t>
  </si>
  <si>
    <t>Direct ANS (Real 2012/13$)</t>
  </si>
  <si>
    <t>The commissioning by a DNSP of a new substation, [basic = pole substations or single kiosk &lt;1MVA; complex = kiosks ≥1MVA, multiple kiosks or chamber/s] and includes:
1) all necessary commissioning checks and tests prior to, during and after energising the substation via the high voltage switchgear;
2) closing the low voltage circuit breaker, links or fuses;
3) the setting or resetting of protection equipment; and 
4) updating of engineering systems including the labelling of the network to comply with the asset numbering standards and safety requirements.
Basic commissioning involves energising a set of high voltage fuses and testing and operating a set of low voltage fuses and links.
An Access Permit / Authority fee in addition may be required to gain access to the network in order to undertake the commissioning.
DNSP will witness the required testing and commissioning activities and the subsequent recording in DNSP asset systems.</t>
  </si>
  <si>
    <t>Per lot or per substation</t>
  </si>
  <si>
    <t>Based on a unit rate of $886 per substation - Refer to the Fee Breakdown schedule for specific fees</t>
  </si>
  <si>
    <t>Pricing Mechanism:</t>
  </si>
  <si>
    <t>3) Where historic work order data was not available, the individuals involved in the provision of the service provided resource requirement (labour hours) and cost estimates for each type of activity conducted in relation to the service. This information was used, in conjunction with average historic labour rates for the individuals involved, to calculate historic labour hours and costs related to the provision of the service.</t>
  </si>
  <si>
    <t>2) Where available, the work orders used to capture the costs associated with the provision of this service were identified and extracted from the general ledger over a 2 year historic period (2011/12 to 2012/13). Adjustments were made to remove costs that were not relevant to the service. A 2 year period was used to calculate the average unit rate as the data contained in the work orders for 2010/11 were considered unreliable.</t>
  </si>
  <si>
    <t xml:space="preserve">4) Historic work order data and estimates provided by internal stakeholders were combined and used to derive an average unit rate for each year in the historic analysis period. These unit rates were converted to real 2012/13 dollars using actual award wage increases for the period, and an average 2012/13 unit rate derived based on the 2 years data.  </t>
  </si>
  <si>
    <t>Average Unit Rate (2012/13$) - Incl OH</t>
  </si>
  <si>
    <t>5) An overhead factor derived from Endeavour Energy's Cost Allocation Model ('CAM') was applied to the direct cost unit rate to calculate a unit rate inclusive of network and corporate overheads. In addition, a 2012/13 real to nominal conversion factor derived from the CAM was applied to the unit rate to calculate the forecast unit rates in nominal dollars over the 2015-19 regulatory period.</t>
  </si>
  <si>
    <t xml:space="preserve">Historic revenue was extracted from Endeavour Energy's general ledger via an account code combination specifically set up to capture the revenue related to this service (as defined in the 2009-14 regulatory period). As outlined above, historic costs were obtained from a mixture of actual costs recorded to specific work orders and resource requirement (labour hours) and cost estimates provided by individuals involved in the provision of this service (where specific work orders were not available). Historic volumes were derived based on the number of invoices that were raised throughout the year for the provision of this service. </t>
  </si>
  <si>
    <t>Endeavour Energy's overhead factor is derived from the Cost Allocation Methodology ('CAM') approved by the AER and the operating expenditure forecast for the 2015-19 regulatory period.  Specifically, the overhead factor represents the difference between Ancillary Network Services direct costs in the operating expenditure forecast and total Ancillary Network Services costs following the allocation of network and corporate overheads through the CAM.</t>
  </si>
  <si>
    <t>Volumes were derived based on the number of invoices that were raised throughout the year. CAMS (Endeavour Energy's contestable work system) was used to split the fees within the different categories for this ancillary network service.
2012/13 YTD May extrapolated has been included as this  was used to forecast future volumes. At the time future volumes forecasts were being estimated, the full year for 2012/13 was not available, only YTD May. YTD May results were extrapolated for 2012/13 and used in conjunction with prior years to develop averages for forecast volumes.</t>
  </si>
  <si>
    <t>Average Unit Rate (Nominal)</t>
  </si>
  <si>
    <t>Average Unit Rate (Real 2012/13$)</t>
  </si>
  <si>
    <t>Average Unit Rate (2012/13$) - Excl OH</t>
  </si>
  <si>
    <t>2015-2019 Pricing Methodology for Service (Summary)</t>
  </si>
  <si>
    <t>Proposed fees (including network and corporate overheads) were multiplied by forecast volumes at the fee sub category level to calculate forecast revenue. Forecast costs associated with the provision of the service were calculated by multiplying direct cost unit rates (per year) by the annual overhead factor and forecast volumes. Forecast revenue differs slightly to forecast costs, as the calculation of the proposed fees uses an average overhead factor for the regulatory period, whereas costs are forecast based on the actual overhead factor for the year in order to balance to CAM outcomes. Volumes were forecasted based on an average of historic data.</t>
  </si>
  <si>
    <t>2012/13
YTD Apr</t>
  </si>
  <si>
    <t>Calculation of Real to Nominal Conversion Factor</t>
  </si>
  <si>
    <t>Conversion Real to Nominal</t>
  </si>
  <si>
    <t>Direct ANS (Nominal)</t>
  </si>
  <si>
    <t>Conversion Factor (Real 2012/13$ to Nominal)</t>
  </si>
  <si>
    <t>Endeavour initially derived forecast ANS opex in real 2012/13 dollars. In order to convert from real to nominal the CAM provides a nominal conversion factor. Refer to the CAM model output for the forecast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</si>
</sst>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quot;$&quot;* #,##0.00_);_(&quot;$&quot;* \(#,##0.00\);_(&quot;$&quot;* &quot;-&quot;??_);_(@_)"/>
    <numFmt numFmtId="165" formatCode="_(* #,##0.00_);_(* \(#,##0.00\);_(* &quot;-&quot;??_);_(@_)"/>
    <numFmt numFmtId="166" formatCode="_-&quot;$&quot;* #,##0_-;\-&quot;$&quot;* #,##0_-;_-&quot;$&quot;* &quot;-&quot;??_-;_-@_-"/>
    <numFmt numFmtId="167" formatCode="&quot;$&quot;#,##0.00"/>
    <numFmt numFmtId="168" formatCode="&quot;$&quot;#,##0"/>
    <numFmt numFmtId="169" formatCode="#,##0.00\ ;\(#,##0.00\);\-\ "/>
    <numFmt numFmtId="170" formatCode="#,##0\ ;\(#,##0\);\-\ "/>
    <numFmt numFmtId="171" formatCode="_(* #,##0_);_(* \(#,##0\);_(* &quot;-&quot;??_);_(@_)"/>
  </numFmts>
  <fonts count="29"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name val="Arial"/>
      <family val="2"/>
    </font>
    <font>
      <sz val="10"/>
      <color theme="1"/>
      <name val="Arial"/>
      <family val="2"/>
    </font>
    <font>
      <sz val="10"/>
      <color theme="1"/>
      <name val="Symbol"/>
      <family val="1"/>
      <charset val="2"/>
    </font>
    <font>
      <sz val="10"/>
      <color theme="1"/>
      <name val="Calibri"/>
      <family val="2"/>
      <scheme val="minor"/>
    </font>
    <font>
      <b/>
      <sz val="16"/>
      <color theme="0"/>
      <name val="Calibri"/>
      <family val="2"/>
      <scheme val="minor"/>
    </font>
    <font>
      <b/>
      <sz val="11"/>
      <color rgb="FFFF0000"/>
      <name val="Calibri"/>
      <family val="2"/>
      <scheme val="minor"/>
    </font>
    <font>
      <b/>
      <sz val="11"/>
      <name val="Calibri"/>
      <family val="2"/>
      <scheme val="minor"/>
    </font>
    <font>
      <sz val="11"/>
      <color theme="1"/>
      <name val="Arial"/>
      <family val="2"/>
    </font>
    <font>
      <sz val="10"/>
      <color indexed="8"/>
      <name val="Arial"/>
      <family val="2"/>
    </font>
    <font>
      <b/>
      <sz val="16"/>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0"/>
      <color theme="0"/>
      <name val="Calibri"/>
      <family val="2"/>
      <scheme val="minor"/>
    </font>
    <font>
      <b/>
      <sz val="10"/>
      <color indexed="8"/>
      <name val="Calibri"/>
      <family val="2"/>
      <scheme val="minor"/>
    </font>
    <font>
      <sz val="10"/>
      <color indexed="8"/>
      <name val="Calibri"/>
      <family val="2"/>
      <scheme val="minor"/>
    </font>
    <font>
      <sz val="14"/>
      <color theme="1"/>
      <name val="Calibri"/>
      <family val="2"/>
      <scheme val="minor"/>
    </font>
    <font>
      <b/>
      <sz val="12"/>
      <color theme="0"/>
      <name val="Calibri"/>
      <family val="2"/>
      <scheme val="minor"/>
    </font>
    <font>
      <sz val="10"/>
      <color theme="0"/>
      <name val="Calibri"/>
      <family val="2"/>
      <scheme val="minor"/>
    </font>
    <font>
      <sz val="9"/>
      <color indexed="81"/>
      <name val="Tahoma"/>
      <family val="2"/>
    </font>
    <font>
      <b/>
      <sz val="9"/>
      <color indexed="81"/>
      <name val="Tahoma"/>
      <family val="2"/>
    </font>
  </fonts>
  <fills count="9">
    <fill>
      <patternFill patternType="none"/>
    </fill>
    <fill>
      <patternFill patternType="gray125"/>
    </fill>
    <fill>
      <patternFill patternType="solid">
        <fgColor theme="0" tint="-0.249977111117893"/>
        <bgColor indexed="64"/>
      </patternFill>
    </fill>
    <fill>
      <patternFill patternType="solid">
        <fgColor theme="6"/>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rgb="FFFFFFCC"/>
      </patternFill>
    </fill>
    <fill>
      <patternFill patternType="solid">
        <fgColor theme="1"/>
        <bgColor indexed="64"/>
      </patternFill>
    </fill>
    <fill>
      <patternFill patternType="solid">
        <fgColor theme="9" tint="0.39997558519241921"/>
        <bgColor indexed="64"/>
      </patternFill>
    </fill>
  </fills>
  <borders count="26">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s>
  <cellStyleXfs count="18">
    <xf numFmtId="0" fontId="0" fillId="0" borderId="0"/>
    <xf numFmtId="9"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8" fillId="0" borderId="0"/>
    <xf numFmtId="0" fontId="15"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165" fontId="8" fillId="0" borderId="0" applyFont="0" applyFill="0" applyBorder="0" applyAlignment="0" applyProtection="0"/>
    <xf numFmtId="165" fontId="15" fillId="0" borderId="0" applyFont="0" applyFill="0" applyBorder="0" applyAlignment="0" applyProtection="0"/>
    <xf numFmtId="0" fontId="8" fillId="0" borderId="0"/>
    <xf numFmtId="0" fontId="2" fillId="0" borderId="0"/>
    <xf numFmtId="0" fontId="3" fillId="6" borderId="22" applyNumberFormat="0" applyFont="0" applyAlignment="0" applyProtection="0"/>
    <xf numFmtId="0" fontId="16" fillId="0" borderId="0"/>
    <xf numFmtId="0" fontId="1" fillId="0" borderId="0"/>
    <xf numFmtId="0" fontId="15" fillId="0" borderId="0"/>
  </cellStyleXfs>
  <cellXfs count="374">
    <xf numFmtId="0" fontId="0" fillId="0" borderId="0" xfId="0"/>
    <xf numFmtId="0" fontId="5" fillId="0" borderId="0" xfId="0" applyFont="1"/>
    <xf numFmtId="0" fontId="0" fillId="0" borderId="0" xfId="0" applyFill="1"/>
    <xf numFmtId="10" fontId="0" fillId="0" borderId="0" xfId="1" applyNumberFormat="1" applyFont="1"/>
    <xf numFmtId="10" fontId="0" fillId="0" borderId="0" xfId="0" applyNumberFormat="1"/>
    <xf numFmtId="0" fontId="0" fillId="0" borderId="0" xfId="0" applyAlignment="1">
      <alignment horizontal="left"/>
    </xf>
    <xf numFmtId="0" fontId="9" fillId="0" borderId="0" xfId="0" applyFont="1" applyAlignment="1">
      <alignment horizontal="left" indent="15"/>
    </xf>
    <xf numFmtId="0" fontId="10" fillId="0" borderId="0" xfId="0" applyFont="1" applyAlignment="1">
      <alignment horizontal="left" indent="15"/>
    </xf>
    <xf numFmtId="169" fontId="0" fillId="0" borderId="0" xfId="0" applyNumberFormat="1"/>
    <xf numFmtId="166" fontId="7" fillId="0" borderId="0" xfId="2" applyNumberFormat="1" applyFont="1"/>
    <xf numFmtId="0" fontId="13" fillId="0" borderId="0" xfId="0" applyFont="1" applyAlignment="1">
      <alignment horizontal="left"/>
    </xf>
    <xf numFmtId="0" fontId="14" fillId="3" borderId="4" xfId="0" applyFont="1" applyFill="1" applyBorder="1" applyAlignment="1">
      <alignment horizontal="left"/>
    </xf>
    <xf numFmtId="0" fontId="14" fillId="3" borderId="5" xfId="0" applyFont="1" applyFill="1" applyBorder="1" applyAlignment="1">
      <alignment horizontal="center"/>
    </xf>
    <xf numFmtId="0" fontId="14" fillId="3" borderId="0" xfId="0" applyFont="1" applyFill="1" applyBorder="1" applyAlignment="1">
      <alignment horizontal="left"/>
    </xf>
    <xf numFmtId="0" fontId="0" fillId="0" borderId="0" xfId="0" applyFont="1"/>
    <xf numFmtId="0" fontId="7" fillId="4" borderId="2" xfId="0" applyFont="1" applyFill="1" applyBorder="1" applyAlignment="1">
      <alignment horizontal="left"/>
    </xf>
    <xf numFmtId="0" fontId="14" fillId="4" borderId="2" xfId="0" applyFont="1" applyFill="1" applyBorder="1" applyAlignment="1">
      <alignment horizontal="left"/>
    </xf>
    <xf numFmtId="166" fontId="14" fillId="0" borderId="0" xfId="2" applyNumberFormat="1" applyFont="1"/>
    <xf numFmtId="170" fontId="11" fillId="0" borderId="11" xfId="0" applyNumberFormat="1" applyFont="1" applyBorder="1" applyAlignment="1">
      <alignment horizontal="right" vertical="center"/>
    </xf>
    <xf numFmtId="170" fontId="11" fillId="0" borderId="7" xfId="0" applyNumberFormat="1" applyFont="1" applyBorder="1" applyAlignment="1">
      <alignment horizontal="right" vertical="center"/>
    </xf>
    <xf numFmtId="170" fontId="11" fillId="0" borderId="12" xfId="0" applyNumberFormat="1" applyFont="1" applyBorder="1" applyAlignment="1">
      <alignment horizontal="right" vertical="center"/>
    </xf>
    <xf numFmtId="0" fontId="11" fillId="0" borderId="7" xfId="0" applyFont="1" applyFill="1" applyBorder="1" applyAlignment="1">
      <alignment horizontal="left" vertical="center"/>
    </xf>
    <xf numFmtId="0" fontId="11" fillId="0" borderId="7" xfId="0" applyFont="1" applyBorder="1" applyAlignment="1">
      <alignment horizontal="center" vertical="center"/>
    </xf>
    <xf numFmtId="170" fontId="11" fillId="0" borderId="17" xfId="0" applyNumberFormat="1" applyFont="1" applyBorder="1" applyAlignment="1">
      <alignment horizontal="right" vertical="center" wrapText="1"/>
    </xf>
    <xf numFmtId="0" fontId="11" fillId="0" borderId="0" xfId="0" applyFont="1" applyAlignment="1">
      <alignment vertical="center"/>
    </xf>
    <xf numFmtId="0" fontId="19" fillId="0" borderId="0" xfId="0" applyFont="1" applyAlignment="1">
      <alignment vertical="center"/>
    </xf>
    <xf numFmtId="170" fontId="11" fillId="0" borderId="0" xfId="0" applyNumberFormat="1" applyFont="1" applyAlignment="1">
      <alignment vertical="center"/>
    </xf>
    <xf numFmtId="0" fontId="11" fillId="0" borderId="0" xfId="0" applyFont="1" applyAlignment="1">
      <alignment horizontal="left" vertical="center"/>
    </xf>
    <xf numFmtId="0" fontId="17" fillId="0" borderId="0" xfId="0" applyFont="1" applyAlignment="1">
      <alignment vertical="center"/>
    </xf>
    <xf numFmtId="0" fontId="24" fillId="0" borderId="0" xfId="0" applyFont="1" applyAlignment="1">
      <alignment vertical="center"/>
    </xf>
    <xf numFmtId="0" fontId="25" fillId="7" borderId="0" xfId="0" applyFont="1" applyFill="1" applyAlignment="1">
      <alignment vertical="center"/>
    </xf>
    <xf numFmtId="0" fontId="26" fillId="7" borderId="0" xfId="0" applyFont="1" applyFill="1" applyAlignment="1">
      <alignment vertical="center"/>
    </xf>
    <xf numFmtId="170" fontId="26" fillId="7" borderId="0" xfId="0" applyNumberFormat="1" applyFont="1" applyFill="1" applyAlignment="1">
      <alignment vertical="center"/>
    </xf>
    <xf numFmtId="0" fontId="26" fillId="7" borderId="0" xfId="0" applyFont="1" applyFill="1" applyAlignment="1">
      <alignment horizontal="left" vertical="center"/>
    </xf>
    <xf numFmtId="170" fontId="19" fillId="5" borderId="11" xfId="0" quotePrefix="1" applyNumberFormat="1" applyFont="1" applyFill="1" applyBorder="1" applyAlignment="1">
      <alignment horizontal="center" vertical="center"/>
    </xf>
    <xf numFmtId="170" fontId="19" fillId="5" borderId="7" xfId="0" quotePrefix="1" applyNumberFormat="1" applyFont="1" applyFill="1" applyBorder="1" applyAlignment="1">
      <alignment horizontal="center" vertical="center"/>
    </xf>
    <xf numFmtId="170" fontId="19" fillId="5" borderId="12" xfId="0" quotePrefix="1" applyNumberFormat="1" applyFont="1" applyFill="1" applyBorder="1" applyAlignment="1">
      <alignment horizontal="center" vertical="center"/>
    </xf>
    <xf numFmtId="0" fontId="18" fillId="5" borderId="13" xfId="0" quotePrefix="1" applyFont="1" applyFill="1" applyBorder="1" applyAlignment="1">
      <alignment horizontal="center" vertical="center"/>
    </xf>
    <xf numFmtId="0" fontId="19" fillId="8" borderId="7" xfId="0" applyFont="1" applyFill="1" applyBorder="1" applyAlignment="1">
      <alignment horizontal="left" vertical="center"/>
    </xf>
    <xf numFmtId="0" fontId="20" fillId="0" borderId="7" xfId="0" applyFont="1" applyBorder="1" applyAlignment="1">
      <alignment horizontal="left" vertical="center" wrapText="1"/>
    </xf>
    <xf numFmtId="170" fontId="11" fillId="0" borderId="8" xfId="0" applyNumberFormat="1" applyFont="1" applyBorder="1" applyAlignment="1">
      <alignment vertical="center"/>
    </xf>
    <xf numFmtId="170" fontId="11" fillId="0" borderId="15" xfId="0" applyNumberFormat="1" applyFont="1" applyBorder="1" applyAlignment="1">
      <alignment vertical="center"/>
    </xf>
    <xf numFmtId="170" fontId="11" fillId="0" borderId="9" xfId="0" applyNumberFormat="1" applyFont="1" applyBorder="1" applyAlignment="1">
      <alignment vertical="center"/>
    </xf>
    <xf numFmtId="170" fontId="11" fillId="0" borderId="0" xfId="0" applyNumberFormat="1" applyFont="1" applyBorder="1" applyAlignment="1">
      <alignment vertical="center"/>
    </xf>
    <xf numFmtId="170" fontId="11" fillId="0" borderId="18" xfId="0" applyNumberFormat="1" applyFont="1" applyBorder="1" applyAlignment="1">
      <alignment vertical="center"/>
    </xf>
    <xf numFmtId="170" fontId="11" fillId="0" borderId="19" xfId="0" applyNumberFormat="1" applyFont="1" applyBorder="1" applyAlignment="1">
      <alignment vertical="center"/>
    </xf>
    <xf numFmtId="170" fontId="19" fillId="5" borderId="25" xfId="0" applyNumberFormat="1" applyFont="1" applyFill="1" applyBorder="1" applyAlignment="1">
      <alignment vertical="center"/>
    </xf>
    <xf numFmtId="170" fontId="19" fillId="5" borderId="23" xfId="0" applyNumberFormat="1" applyFont="1" applyFill="1" applyBorder="1" applyAlignment="1">
      <alignment vertical="center"/>
    </xf>
    <xf numFmtId="170" fontId="19" fillId="5" borderId="24" xfId="0" applyNumberFormat="1" applyFont="1" applyFill="1" applyBorder="1" applyAlignment="1">
      <alignment vertical="center"/>
    </xf>
    <xf numFmtId="9" fontId="11" fillId="0" borderId="7" xfId="1" applyFont="1" applyBorder="1" applyAlignment="1">
      <alignment horizontal="left" vertical="center" wrapText="1"/>
    </xf>
    <xf numFmtId="170" fontId="18" fillId="5" borderId="7" xfId="0" applyNumberFormat="1" applyFont="1" applyFill="1" applyBorder="1" applyAlignment="1">
      <alignment horizontal="left" vertical="center"/>
    </xf>
    <xf numFmtId="0" fontId="18" fillId="5" borderId="7" xfId="0" quotePrefix="1" applyFont="1" applyFill="1" applyBorder="1" applyAlignment="1">
      <alignment horizontal="center" vertical="center"/>
    </xf>
    <xf numFmtId="0" fontId="11" fillId="0" borderId="0" xfId="0" applyFont="1" applyFill="1" applyBorder="1" applyAlignment="1">
      <alignment horizontal="left" vertical="center"/>
    </xf>
    <xf numFmtId="170" fontId="19" fillId="0" borderId="23" xfId="0" applyNumberFormat="1" applyFont="1" applyBorder="1" applyAlignment="1">
      <alignment horizontal="right" vertical="center"/>
    </xf>
    <xf numFmtId="170" fontId="11" fillId="0" borderId="0" xfId="0" applyNumberFormat="1" applyFont="1" applyAlignment="1">
      <alignment horizontal="left" vertical="center"/>
    </xf>
    <xf numFmtId="170" fontId="18" fillId="5" borderId="7" xfId="0" applyNumberFormat="1" applyFont="1" applyFill="1" applyBorder="1" applyAlignment="1">
      <alignment horizontal="center" vertical="center"/>
    </xf>
    <xf numFmtId="170" fontId="18" fillId="5" borderId="7" xfId="0" applyNumberFormat="1" applyFont="1" applyFill="1" applyBorder="1" applyAlignment="1">
      <alignment horizontal="center" vertical="center" wrapText="1"/>
    </xf>
    <xf numFmtId="169" fontId="11" fillId="0" borderId="7" xfId="0" applyNumberFormat="1" applyFont="1" applyBorder="1" applyAlignment="1">
      <alignment horizontal="center" vertical="center"/>
    </xf>
    <xf numFmtId="167" fontId="11" fillId="0" borderId="7" xfId="0" applyNumberFormat="1" applyFont="1" applyBorder="1" applyAlignment="1">
      <alignment vertical="center"/>
    </xf>
    <xf numFmtId="170" fontId="11" fillId="0" borderId="7" xfId="0" applyNumberFormat="1" applyFont="1" applyBorder="1" applyAlignment="1">
      <alignment vertical="center"/>
    </xf>
    <xf numFmtId="0" fontId="11" fillId="0" borderId="0" xfId="0" applyFont="1" applyAlignment="1">
      <alignment horizontal="center" vertical="center"/>
    </xf>
    <xf numFmtId="170" fontId="11" fillId="0" borderId="17" xfId="0" applyNumberFormat="1" applyFont="1" applyBorder="1" applyAlignment="1">
      <alignment vertical="center"/>
    </xf>
    <xf numFmtId="9" fontId="11" fillId="0" borderId="0" xfId="1" applyFont="1" applyBorder="1" applyAlignment="1">
      <alignment vertical="center"/>
    </xf>
    <xf numFmtId="9" fontId="11" fillId="0" borderId="17" xfId="1" applyFont="1" applyBorder="1" applyAlignment="1">
      <alignment vertical="center"/>
    </xf>
    <xf numFmtId="167" fontId="19" fillId="0" borderId="12" xfId="0" applyNumberFormat="1" applyFont="1" applyBorder="1" applyAlignment="1">
      <alignment vertical="center"/>
    </xf>
    <xf numFmtId="167" fontId="19" fillId="0" borderId="13" xfId="0" applyNumberFormat="1" applyFont="1" applyBorder="1" applyAlignment="1">
      <alignment vertical="center"/>
    </xf>
    <xf numFmtId="167" fontId="11" fillId="0" borderId="0" xfId="0" applyNumberFormat="1" applyFont="1" applyAlignment="1">
      <alignment vertical="center"/>
    </xf>
    <xf numFmtId="167" fontId="11" fillId="0" borderId="0" xfId="0" applyNumberFormat="1" applyFont="1" applyAlignment="1">
      <alignment horizontal="right" vertical="center"/>
    </xf>
    <xf numFmtId="0" fontId="22" fillId="5" borderId="7" xfId="15" applyFont="1" applyFill="1" applyBorder="1" applyAlignment="1">
      <alignment horizontal="left" vertical="center"/>
    </xf>
    <xf numFmtId="0" fontId="22" fillId="5" borderId="11" xfId="15" applyFont="1" applyFill="1" applyBorder="1" applyAlignment="1">
      <alignment horizontal="left" vertical="center"/>
    </xf>
    <xf numFmtId="0" fontId="22" fillId="5" borderId="13" xfId="15" applyFont="1" applyFill="1" applyBorder="1" applyAlignment="1">
      <alignment horizontal="left" vertical="center"/>
    </xf>
    <xf numFmtId="0" fontId="22" fillId="5" borderId="12" xfId="15" applyFont="1" applyFill="1" applyBorder="1" applyAlignment="1">
      <alignment horizontal="left" vertical="center"/>
    </xf>
    <xf numFmtId="170" fontId="11" fillId="5" borderId="12" xfId="0" applyNumberFormat="1" applyFont="1" applyFill="1" applyBorder="1" applyAlignment="1">
      <alignment vertical="center"/>
    </xf>
    <xf numFmtId="169" fontId="19" fillId="5" borderId="7" xfId="0" applyNumberFormat="1" applyFont="1" applyFill="1" applyBorder="1" applyAlignment="1">
      <alignment horizontal="right" vertical="center" wrapText="1"/>
    </xf>
    <xf numFmtId="0" fontId="23" fillId="0" borderId="0" xfId="15" applyFont="1" applyFill="1" applyBorder="1" applyAlignment="1">
      <alignment vertical="center"/>
    </xf>
    <xf numFmtId="0" fontId="11" fillId="0" borderId="0" xfId="0" applyFont="1" applyBorder="1" applyAlignment="1">
      <alignment vertical="center"/>
    </xf>
    <xf numFmtId="167" fontId="11" fillId="0" borderId="9" xfId="0" applyNumberFormat="1" applyFont="1" applyBorder="1" applyAlignment="1">
      <alignment vertical="center"/>
    </xf>
    <xf numFmtId="0" fontId="23" fillId="0" borderId="19" xfId="15" applyFont="1" applyFill="1" applyBorder="1" applyAlignment="1">
      <alignment vertical="center"/>
    </xf>
    <xf numFmtId="0" fontId="11" fillId="0" borderId="19" xfId="0" applyFont="1" applyBorder="1" applyAlignment="1">
      <alignment vertical="center"/>
    </xf>
    <xf numFmtId="167" fontId="11" fillId="0" borderId="10" xfId="0" applyNumberFormat="1" applyFont="1" applyBorder="1" applyAlignment="1">
      <alignment vertical="center"/>
    </xf>
    <xf numFmtId="169" fontId="19" fillId="0" borderId="13" xfId="0" applyNumberFormat="1" applyFont="1" applyBorder="1" applyAlignment="1">
      <alignment vertical="center"/>
    </xf>
    <xf numFmtId="169" fontId="11" fillId="0" borderId="0" xfId="0" applyNumberFormat="1" applyFont="1" applyAlignment="1">
      <alignment horizontal="center" vertical="center"/>
    </xf>
    <xf numFmtId="0" fontId="11" fillId="0" borderId="0" xfId="0" applyFont="1" applyBorder="1" applyAlignment="1">
      <alignment vertical="center" wrapText="1"/>
    </xf>
    <xf numFmtId="0" fontId="11" fillId="0" borderId="0" xfId="0" applyFont="1" applyBorder="1" applyAlignment="1">
      <alignment horizontal="left" vertical="center"/>
    </xf>
    <xf numFmtId="0" fontId="11" fillId="0" borderId="16" xfId="0" applyFont="1" applyBorder="1" applyAlignment="1">
      <alignment vertical="center"/>
    </xf>
    <xf numFmtId="0" fontId="11" fillId="2" borderId="13" xfId="0" applyFont="1" applyFill="1" applyBorder="1" applyAlignment="1">
      <alignment horizontal="right" vertical="center"/>
    </xf>
    <xf numFmtId="9" fontId="11" fillId="2" borderId="13" xfId="1" applyFont="1" applyFill="1" applyBorder="1" applyAlignment="1">
      <alignment horizontal="center" vertical="center"/>
    </xf>
    <xf numFmtId="170" fontId="19" fillId="2" borderId="23" xfId="0" applyNumberFormat="1" applyFont="1" applyFill="1" applyBorder="1" applyAlignment="1">
      <alignment horizontal="right" vertical="center"/>
    </xf>
    <xf numFmtId="170" fontId="11" fillId="2" borderId="7" xfId="0" applyNumberFormat="1" applyFont="1" applyFill="1" applyBorder="1" applyAlignment="1">
      <alignment vertical="center"/>
    </xf>
    <xf numFmtId="0" fontId="14" fillId="3" borderId="0" xfId="0" applyFont="1" applyFill="1" applyBorder="1" applyAlignment="1">
      <alignment horizontal="left" vertical="center"/>
    </xf>
    <xf numFmtId="0" fontId="5" fillId="4" borderId="0" xfId="0" applyFont="1" applyFill="1" applyBorder="1" applyAlignment="1">
      <alignment vertical="center"/>
    </xf>
    <xf numFmtId="169" fontId="11" fillId="0" borderId="0" xfId="0" applyNumberFormat="1" applyFont="1" applyAlignment="1">
      <alignment vertical="center"/>
    </xf>
    <xf numFmtId="170" fontId="11" fillId="0" borderId="0" xfId="0" applyNumberFormat="1" applyFont="1" applyAlignment="1">
      <alignment horizontal="center" vertical="center"/>
    </xf>
    <xf numFmtId="0" fontId="18" fillId="0" borderId="0" xfId="0" applyFont="1" applyFill="1" applyBorder="1" applyAlignment="1">
      <alignment horizontal="center" vertical="center"/>
    </xf>
    <xf numFmtId="0" fontId="18" fillId="3" borderId="7" xfId="0" applyFont="1" applyFill="1" applyBorder="1" applyAlignment="1">
      <alignment horizontal="left" vertical="center"/>
    </xf>
    <xf numFmtId="167" fontId="19" fillId="0" borderId="0" xfId="0" applyNumberFormat="1" applyFont="1" applyFill="1" applyBorder="1" applyAlignment="1">
      <alignment horizontal="center" vertical="center" wrapText="1"/>
    </xf>
    <xf numFmtId="170" fontId="19" fillId="4" borderId="14" xfId="0" quotePrefix="1" applyNumberFormat="1" applyFont="1" applyFill="1" applyBorder="1" applyAlignment="1">
      <alignment horizontal="center" vertical="center" wrapText="1"/>
    </xf>
    <xf numFmtId="170" fontId="19" fillId="4" borderId="15" xfId="0" quotePrefix="1" applyNumberFormat="1" applyFont="1" applyFill="1" applyBorder="1" applyAlignment="1">
      <alignment horizontal="center" vertical="center" wrapText="1"/>
    </xf>
    <xf numFmtId="170" fontId="19" fillId="4" borderId="21" xfId="0" quotePrefix="1" applyNumberFormat="1" applyFont="1" applyFill="1" applyBorder="1" applyAlignment="1">
      <alignment horizontal="center" vertical="center" wrapText="1"/>
    </xf>
    <xf numFmtId="0" fontId="11" fillId="0" borderId="14" xfId="0" applyFont="1" applyBorder="1" applyAlignment="1">
      <alignment vertical="center"/>
    </xf>
    <xf numFmtId="170" fontId="11" fillId="0" borderId="15" xfId="0" applyNumberFormat="1" applyFont="1" applyBorder="1" applyAlignment="1">
      <alignment horizontal="center" vertical="center"/>
    </xf>
    <xf numFmtId="167" fontId="11" fillId="0" borderId="0" xfId="0" applyNumberFormat="1" applyFont="1" applyFill="1" applyBorder="1" applyAlignment="1">
      <alignment horizontal="center" vertical="center"/>
    </xf>
    <xf numFmtId="169" fontId="11" fillId="0" borderId="0" xfId="0" applyNumberFormat="1" applyFont="1" applyBorder="1" applyAlignment="1">
      <alignment vertical="center"/>
    </xf>
    <xf numFmtId="170" fontId="11" fillId="0" borderId="14" xfId="0" applyNumberFormat="1" applyFont="1" applyBorder="1" applyAlignment="1">
      <alignment horizontal="center" vertical="center"/>
    </xf>
    <xf numFmtId="170" fontId="11" fillId="0" borderId="21" xfId="0" applyNumberFormat="1" applyFont="1" applyBorder="1" applyAlignment="1">
      <alignment horizontal="center" vertical="center"/>
    </xf>
    <xf numFmtId="170" fontId="11" fillId="0" borderId="8" xfId="0" applyNumberFormat="1" applyFont="1" applyBorder="1" applyAlignment="1">
      <alignment horizontal="center" vertical="center"/>
    </xf>
    <xf numFmtId="168" fontId="11" fillId="0" borderId="16" xfId="0" applyNumberFormat="1" applyFont="1" applyBorder="1" applyAlignment="1">
      <alignment horizontal="center" vertical="center"/>
    </xf>
    <xf numFmtId="170" fontId="11" fillId="0" borderId="0" xfId="0" applyNumberFormat="1" applyFont="1" applyBorder="1" applyAlignment="1">
      <alignment horizontal="center" vertical="center"/>
    </xf>
    <xf numFmtId="0" fontId="11" fillId="0" borderId="0" xfId="0" quotePrefix="1" applyFont="1" applyBorder="1" applyAlignment="1">
      <alignment horizontal="center" vertical="center"/>
    </xf>
    <xf numFmtId="0" fontId="11" fillId="0" borderId="0" xfId="0" applyFont="1" applyBorder="1" applyAlignment="1">
      <alignment horizontal="center" vertical="center"/>
    </xf>
    <xf numFmtId="167" fontId="11" fillId="0" borderId="0" xfId="0" applyNumberFormat="1" applyFont="1" applyBorder="1" applyAlignment="1">
      <alignment horizontal="center" vertical="center"/>
    </xf>
    <xf numFmtId="170" fontId="11" fillId="0" borderId="16" xfId="0" applyNumberFormat="1" applyFont="1" applyBorder="1" applyAlignment="1">
      <alignment horizontal="center" vertical="center"/>
    </xf>
    <xf numFmtId="170" fontId="11" fillId="0" borderId="17" xfId="0" applyNumberFormat="1" applyFont="1" applyBorder="1" applyAlignment="1">
      <alignment horizontal="center" vertical="center"/>
    </xf>
    <xf numFmtId="170" fontId="11" fillId="0" borderId="9" xfId="0" applyNumberFormat="1" applyFont="1" applyBorder="1" applyAlignment="1">
      <alignment horizontal="center" vertical="center"/>
    </xf>
    <xf numFmtId="0" fontId="11" fillId="0" borderId="18" xfId="0" applyFont="1" applyBorder="1" applyAlignment="1">
      <alignment vertical="center"/>
    </xf>
    <xf numFmtId="168" fontId="11" fillId="0" borderId="20" xfId="0" applyNumberFormat="1" applyFont="1" applyBorder="1" applyAlignment="1">
      <alignment horizontal="center" vertical="center"/>
    </xf>
    <xf numFmtId="170" fontId="11" fillId="0" borderId="18" xfId="0" applyNumberFormat="1" applyFont="1" applyBorder="1" applyAlignment="1">
      <alignment horizontal="center" vertical="center"/>
    </xf>
    <xf numFmtId="170" fontId="11" fillId="0" borderId="19" xfId="0" applyNumberFormat="1" applyFont="1" applyBorder="1" applyAlignment="1">
      <alignment horizontal="center" vertical="center"/>
    </xf>
    <xf numFmtId="170" fontId="11" fillId="0" borderId="20" xfId="0" applyNumberFormat="1" applyFont="1" applyBorder="1" applyAlignment="1">
      <alignment horizontal="center" vertical="center"/>
    </xf>
    <xf numFmtId="170" fontId="11" fillId="0" borderId="10" xfId="0" applyNumberFormat="1" applyFont="1" applyBorder="1" applyAlignment="1">
      <alignment horizontal="center" vertical="center"/>
    </xf>
    <xf numFmtId="167" fontId="11" fillId="0" borderId="0" xfId="0" applyNumberFormat="1" applyFont="1" applyAlignment="1">
      <alignment horizontal="center" vertical="center"/>
    </xf>
    <xf numFmtId="170" fontId="18" fillId="3" borderId="18" xfId="0" applyNumberFormat="1" applyFont="1" applyFill="1" applyBorder="1" applyAlignment="1">
      <alignment horizontal="center" vertical="center"/>
    </xf>
    <xf numFmtId="170" fontId="18" fillId="3" borderId="19" xfId="0" applyNumberFormat="1" applyFont="1" applyFill="1" applyBorder="1" applyAlignment="1">
      <alignment horizontal="center" vertical="center"/>
    </xf>
    <xf numFmtId="170" fontId="18" fillId="3" borderId="20" xfId="0" applyNumberFormat="1" applyFont="1" applyFill="1" applyBorder="1" applyAlignment="1">
      <alignment horizontal="center" vertical="center"/>
    </xf>
    <xf numFmtId="167" fontId="11" fillId="0" borderId="0" xfId="0" applyNumberFormat="1" applyFont="1" applyFill="1" applyAlignment="1">
      <alignment vertical="center"/>
    </xf>
    <xf numFmtId="0" fontId="19" fillId="4" borderId="11" xfId="0" applyFont="1" applyFill="1" applyBorder="1" applyAlignment="1">
      <alignment horizontal="center" vertical="center" wrapText="1"/>
    </xf>
    <xf numFmtId="0" fontId="19" fillId="4" borderId="12" xfId="0" applyFont="1" applyFill="1" applyBorder="1" applyAlignment="1">
      <alignment horizontal="center" vertical="center" wrapText="1"/>
    </xf>
    <xf numFmtId="0" fontId="19" fillId="4" borderId="13" xfId="0" applyFont="1" applyFill="1" applyBorder="1" applyAlignment="1">
      <alignment horizontal="center" vertical="center" wrapText="1"/>
    </xf>
    <xf numFmtId="168" fontId="11" fillId="0" borderId="17" xfId="0" applyNumberFormat="1" applyFont="1" applyFill="1" applyBorder="1" applyAlignment="1">
      <alignment horizontal="center" vertical="center"/>
    </xf>
    <xf numFmtId="168" fontId="11" fillId="0" borderId="0" xfId="0" applyNumberFormat="1" applyFont="1" applyBorder="1" applyAlignment="1">
      <alignment horizontal="center" vertical="center"/>
    </xf>
    <xf numFmtId="0" fontId="11" fillId="0" borderId="10" xfId="0" applyFont="1" applyBorder="1" applyAlignment="1">
      <alignment vertical="center"/>
    </xf>
    <xf numFmtId="168" fontId="11" fillId="0" borderId="19" xfId="0" applyNumberFormat="1" applyFont="1" applyBorder="1" applyAlignment="1">
      <alignment horizontal="center" vertical="center"/>
    </xf>
    <xf numFmtId="170" fontId="0" fillId="0" borderId="0" xfId="1" applyNumberFormat="1" applyFont="1"/>
    <xf numFmtId="169" fontId="5" fillId="0" borderId="0" xfId="0" applyNumberFormat="1" applyFont="1"/>
    <xf numFmtId="170" fontId="14" fillId="0" borderId="0" xfId="2" applyNumberFormat="1" applyFont="1"/>
    <xf numFmtId="0" fontId="7" fillId="2" borderId="0" xfId="0" applyFont="1" applyFill="1"/>
    <xf numFmtId="0" fontId="5" fillId="0" borderId="24" xfId="0" applyFont="1" applyFill="1" applyBorder="1"/>
    <xf numFmtId="166" fontId="14" fillId="0" borderId="24" xfId="2" applyNumberFormat="1" applyFont="1" applyBorder="1"/>
    <xf numFmtId="0" fontId="14" fillId="2" borderId="0" xfId="0" applyFont="1" applyFill="1"/>
    <xf numFmtId="0" fontId="4" fillId="7" borderId="0" xfId="0" applyFont="1" applyFill="1" applyAlignment="1">
      <alignment horizontal="left"/>
    </xf>
    <xf numFmtId="0" fontId="12" fillId="7" borderId="0" xfId="0" applyFont="1" applyFill="1"/>
    <xf numFmtId="0" fontId="6" fillId="7" borderId="0" xfId="0" applyFont="1" applyFill="1"/>
    <xf numFmtId="167" fontId="11" fillId="0" borderId="0" xfId="0" applyNumberFormat="1" applyFont="1" applyFill="1" applyBorder="1" applyAlignment="1">
      <alignment vertical="center" wrapText="1"/>
    </xf>
    <xf numFmtId="167" fontId="11" fillId="0" borderId="17" xfId="0" applyNumberFormat="1" applyFont="1" applyFill="1" applyBorder="1" applyAlignment="1">
      <alignment vertical="center" wrapText="1"/>
    </xf>
    <xf numFmtId="167" fontId="11" fillId="0" borderId="19" xfId="0" applyNumberFormat="1" applyFont="1" applyFill="1" applyBorder="1" applyAlignment="1">
      <alignment vertical="center" wrapText="1"/>
    </xf>
    <xf numFmtId="167" fontId="11" fillId="0" borderId="20" xfId="0" applyNumberFormat="1" applyFont="1" applyFill="1" applyBorder="1" applyAlignment="1">
      <alignment vertical="center" wrapText="1"/>
    </xf>
    <xf numFmtId="0" fontId="14" fillId="3" borderId="0" xfId="0" applyFont="1" applyFill="1" applyBorder="1" applyAlignment="1">
      <alignment vertical="top"/>
    </xf>
    <xf numFmtId="167" fontId="11" fillId="0" borderId="16" xfId="0" applyNumberFormat="1" applyFont="1" applyFill="1" applyBorder="1" applyAlignment="1">
      <alignment vertical="center" wrapText="1"/>
    </xf>
    <xf numFmtId="167" fontId="11" fillId="0" borderId="18" xfId="0" applyNumberFormat="1" applyFont="1" applyFill="1" applyBorder="1" applyAlignment="1">
      <alignment vertical="center" wrapText="1"/>
    </xf>
    <xf numFmtId="170" fontId="19" fillId="4" borderId="11" xfId="0" quotePrefix="1" applyNumberFormat="1" applyFont="1" applyFill="1" applyBorder="1" applyAlignment="1">
      <alignment horizontal="center" vertical="center" wrapText="1"/>
    </xf>
    <xf numFmtId="170" fontId="19" fillId="4" borderId="12" xfId="0" quotePrefix="1" applyNumberFormat="1" applyFont="1" applyFill="1" applyBorder="1" applyAlignment="1">
      <alignment horizontal="center" vertical="center" wrapText="1"/>
    </xf>
    <xf numFmtId="170" fontId="19" fillId="4" borderId="13" xfId="0" quotePrefix="1" applyNumberFormat="1" applyFont="1" applyFill="1" applyBorder="1" applyAlignment="1">
      <alignment horizontal="center" vertical="center" wrapText="1"/>
    </xf>
    <xf numFmtId="170" fontId="19" fillId="5" borderId="7" xfId="0" quotePrefix="1" applyNumberFormat="1" applyFont="1" applyFill="1" applyBorder="1" applyAlignment="1">
      <alignment horizontal="center" vertical="center" wrapText="1"/>
    </xf>
    <xf numFmtId="0" fontId="11" fillId="0" borderId="0" xfId="0" applyFont="1" applyFill="1" applyBorder="1" applyAlignment="1">
      <alignment vertical="center"/>
    </xf>
    <xf numFmtId="170" fontId="19" fillId="0" borderId="0" xfId="0" quotePrefix="1" applyNumberFormat="1" applyFont="1" applyFill="1" applyBorder="1" applyAlignment="1">
      <alignment horizontal="center" vertical="center" wrapText="1"/>
    </xf>
    <xf numFmtId="170" fontId="11" fillId="0" borderId="0" xfId="0" applyNumberFormat="1" applyFont="1" applyFill="1" applyBorder="1" applyAlignment="1">
      <alignment horizontal="center" vertical="center"/>
    </xf>
    <xf numFmtId="170" fontId="18" fillId="0" borderId="0" xfId="0" applyNumberFormat="1" applyFont="1" applyFill="1" applyBorder="1" applyAlignment="1">
      <alignment horizontal="center" vertical="center"/>
    </xf>
    <xf numFmtId="0" fontId="12" fillId="7" borderId="0" xfId="0" applyFont="1" applyFill="1" applyAlignment="1">
      <alignment vertical="center"/>
    </xf>
    <xf numFmtId="0" fontId="21" fillId="7" borderId="0" xfId="0" applyFont="1" applyFill="1" applyAlignment="1">
      <alignment vertical="center"/>
    </xf>
    <xf numFmtId="167" fontId="21" fillId="7" borderId="0" xfId="0" applyNumberFormat="1" applyFont="1" applyFill="1" applyAlignment="1">
      <alignment vertical="center"/>
    </xf>
    <xf numFmtId="170" fontId="18" fillId="3" borderId="11" xfId="0" applyNumberFormat="1" applyFont="1" applyFill="1" applyBorder="1" applyAlignment="1">
      <alignment horizontal="center" vertical="center"/>
    </xf>
    <xf numFmtId="170" fontId="18" fillId="3" borderId="12" xfId="0" applyNumberFormat="1" applyFont="1" applyFill="1" applyBorder="1" applyAlignment="1">
      <alignment horizontal="center" vertical="center"/>
    </xf>
    <xf numFmtId="170" fontId="18" fillId="3" borderId="13" xfId="0" applyNumberFormat="1" applyFont="1" applyFill="1" applyBorder="1" applyAlignment="1">
      <alignment horizontal="center" vertical="center"/>
    </xf>
    <xf numFmtId="0" fontId="11" fillId="2" borderId="9" xfId="0" applyFont="1" applyFill="1" applyBorder="1" applyAlignment="1">
      <alignment vertical="center"/>
    </xf>
    <xf numFmtId="167" fontId="11" fillId="2" borderId="9" xfId="0" applyNumberFormat="1" applyFont="1" applyFill="1" applyBorder="1" applyAlignment="1">
      <alignment vertical="center"/>
    </xf>
    <xf numFmtId="0" fontId="11" fillId="2" borderId="10" xfId="0" applyFont="1" applyFill="1" applyBorder="1" applyAlignment="1">
      <alignment vertical="center"/>
    </xf>
    <xf numFmtId="0" fontId="11" fillId="5" borderId="11" xfId="0" applyFont="1" applyFill="1" applyBorder="1" applyAlignment="1">
      <alignment vertical="center"/>
    </xf>
    <xf numFmtId="0" fontId="11" fillId="5" borderId="12" xfId="0" applyFont="1" applyFill="1" applyBorder="1" applyAlignment="1">
      <alignment vertical="center"/>
    </xf>
    <xf numFmtId="0" fontId="19" fillId="0" borderId="12" xfId="0" applyFont="1" applyBorder="1" applyAlignment="1">
      <alignment vertical="center"/>
    </xf>
    <xf numFmtId="10" fontId="19" fillId="0" borderId="12" xfId="1" applyNumberFormat="1" applyFont="1" applyBorder="1" applyAlignment="1">
      <alignment vertical="center"/>
    </xf>
    <xf numFmtId="10" fontId="19" fillId="0" borderId="13" xfId="1" applyNumberFormat="1" applyFont="1" applyBorder="1" applyAlignment="1">
      <alignment vertical="center"/>
    </xf>
    <xf numFmtId="169" fontId="11" fillId="0" borderId="0" xfId="0" applyNumberFormat="1" applyFont="1" applyAlignment="1">
      <alignment horizontal="right" vertical="center"/>
    </xf>
    <xf numFmtId="167" fontId="19" fillId="5" borderId="7" xfId="0" applyNumberFormat="1" applyFont="1" applyFill="1" applyBorder="1" applyAlignment="1">
      <alignment vertical="center"/>
    </xf>
    <xf numFmtId="9" fontId="19" fillId="5" borderId="7" xfId="1" applyFont="1" applyFill="1" applyBorder="1" applyAlignment="1">
      <alignment vertical="center"/>
    </xf>
    <xf numFmtId="167" fontId="11" fillId="0" borderId="14" xfId="0" applyNumberFormat="1" applyFont="1" applyBorder="1" applyAlignment="1">
      <alignment horizontal="right" vertical="center"/>
    </xf>
    <xf numFmtId="167" fontId="11" fillId="0" borderId="15" xfId="0" applyNumberFormat="1" applyFont="1" applyBorder="1" applyAlignment="1">
      <alignment horizontal="right" vertical="center"/>
    </xf>
    <xf numFmtId="167" fontId="11" fillId="0" borderId="21" xfId="0" applyNumberFormat="1" applyFont="1" applyBorder="1" applyAlignment="1">
      <alignment horizontal="right" vertical="center"/>
    </xf>
    <xf numFmtId="167" fontId="11" fillId="0" borderId="16" xfId="0" applyNumberFormat="1" applyFont="1" applyBorder="1" applyAlignment="1">
      <alignment horizontal="right" vertical="center"/>
    </xf>
    <xf numFmtId="167" fontId="11" fillId="0" borderId="0" xfId="0" applyNumberFormat="1" applyFont="1" applyBorder="1" applyAlignment="1">
      <alignment horizontal="right" vertical="center"/>
    </xf>
    <xf numFmtId="167" fontId="11" fillId="0" borderId="17" xfId="0" applyNumberFormat="1" applyFont="1" applyBorder="1" applyAlignment="1">
      <alignment horizontal="right" vertical="center"/>
    </xf>
    <xf numFmtId="167" fontId="11" fillId="0" borderId="18" xfId="0" applyNumberFormat="1" applyFont="1" applyBorder="1" applyAlignment="1">
      <alignment horizontal="right" vertical="center"/>
    </xf>
    <xf numFmtId="167" fontId="11" fillId="0" borderId="19" xfId="0" applyNumberFormat="1" applyFont="1" applyBorder="1" applyAlignment="1">
      <alignment horizontal="right" vertical="center"/>
    </xf>
    <xf numFmtId="167" fontId="11" fillId="0" borderId="20" xfId="0" applyNumberFormat="1" applyFont="1" applyBorder="1" applyAlignment="1">
      <alignment horizontal="right" vertical="center"/>
    </xf>
    <xf numFmtId="171" fontId="7" fillId="0" borderId="0" xfId="3" applyNumberFormat="1" applyFont="1"/>
    <xf numFmtId="171" fontId="14" fillId="0" borderId="0" xfId="3" applyNumberFormat="1" applyFont="1"/>
    <xf numFmtId="0" fontId="14" fillId="3" borderId="6" xfId="0" applyFont="1" applyFill="1" applyBorder="1" applyAlignment="1">
      <alignment horizontal="center"/>
    </xf>
    <xf numFmtId="9" fontId="11" fillId="0" borderId="0" xfId="1" applyFont="1" applyAlignment="1">
      <alignment horizontal="center" vertical="center"/>
    </xf>
    <xf numFmtId="0" fontId="11" fillId="0" borderId="14" xfId="0" applyFont="1" applyBorder="1" applyAlignment="1">
      <alignment horizontal="left"/>
    </xf>
    <xf numFmtId="0" fontId="11" fillId="0" borderId="15" xfId="0" applyFont="1" applyBorder="1" applyAlignment="1">
      <alignment horizontal="left"/>
    </xf>
    <xf numFmtId="0" fontId="11" fillId="0" borderId="21" xfId="0" applyFont="1" applyBorder="1" applyAlignment="1">
      <alignment horizontal="left"/>
    </xf>
    <xf numFmtId="0" fontId="11" fillId="0" borderId="16" xfId="0" applyFont="1" applyBorder="1" applyAlignment="1">
      <alignment horizontal="left"/>
    </xf>
    <xf numFmtId="0" fontId="11" fillId="0" borderId="0" xfId="0" applyFont="1" applyBorder="1" applyAlignment="1">
      <alignment horizontal="left"/>
    </xf>
    <xf numFmtId="0" fontId="11" fillId="0" borderId="17" xfId="0" applyFont="1" applyBorder="1" applyAlignment="1">
      <alignment horizontal="left"/>
    </xf>
    <xf numFmtId="0" fontId="11" fillId="0" borderId="18" xfId="0" applyFont="1" applyBorder="1" applyAlignment="1">
      <alignment horizontal="left"/>
    </xf>
    <xf numFmtId="0" fontId="11" fillId="0" borderId="19" xfId="0" applyFont="1" applyBorder="1" applyAlignment="1">
      <alignment horizontal="left"/>
    </xf>
    <xf numFmtId="0" fontId="11" fillId="0" borderId="20" xfId="0" applyFont="1" applyBorder="1" applyAlignment="1">
      <alignment horizontal="left"/>
    </xf>
    <xf numFmtId="0" fontId="23" fillId="0" borderId="15" xfId="15" applyFont="1" applyFill="1" applyBorder="1" applyAlignment="1">
      <alignment vertical="center"/>
    </xf>
    <xf numFmtId="0" fontId="11" fillId="0" borderId="15" xfId="0" applyFont="1" applyBorder="1" applyAlignment="1">
      <alignment vertical="center"/>
    </xf>
    <xf numFmtId="167" fontId="11" fillId="0" borderId="8" xfId="0" applyNumberFormat="1" applyFont="1" applyBorder="1" applyAlignment="1">
      <alignment vertical="center"/>
    </xf>
    <xf numFmtId="167" fontId="19" fillId="5" borderId="10" xfId="0" applyNumberFormat="1" applyFont="1" applyFill="1" applyBorder="1" applyAlignment="1">
      <alignment vertical="center"/>
    </xf>
    <xf numFmtId="0" fontId="11" fillId="2" borderId="21" xfId="0" applyFont="1" applyFill="1" applyBorder="1" applyAlignment="1">
      <alignment vertical="center"/>
    </xf>
    <xf numFmtId="0" fontId="11" fillId="2" borderId="17" xfId="0" applyFont="1" applyFill="1" applyBorder="1" applyAlignment="1">
      <alignment vertical="center"/>
    </xf>
    <xf numFmtId="170" fontId="19" fillId="5" borderId="8" xfId="0" quotePrefix="1" applyNumberFormat="1" applyFont="1" applyFill="1" applyBorder="1" applyAlignment="1">
      <alignment horizontal="center" vertical="center"/>
    </xf>
    <xf numFmtId="167" fontId="11" fillId="0" borderId="19" xfId="0" applyNumberFormat="1" applyFont="1" applyBorder="1" applyAlignment="1">
      <alignment vertical="center"/>
    </xf>
    <xf numFmtId="167" fontId="11" fillId="0" borderId="20" xfId="0" applyNumberFormat="1" applyFont="1" applyBorder="1" applyAlignment="1">
      <alignment vertical="center"/>
    </xf>
    <xf numFmtId="170" fontId="11" fillId="0" borderId="21" xfId="0" applyNumberFormat="1" applyFont="1" applyBorder="1" applyAlignment="1">
      <alignment vertical="center"/>
    </xf>
    <xf numFmtId="170" fontId="11" fillId="0" borderId="20" xfId="0" applyNumberFormat="1" applyFont="1" applyBorder="1" applyAlignment="1">
      <alignment vertical="center"/>
    </xf>
    <xf numFmtId="0" fontId="11" fillId="0" borderId="7" xfId="0" applyFont="1" applyBorder="1" applyAlignment="1">
      <alignment horizontal="left" vertical="center" wrapText="1"/>
    </xf>
    <xf numFmtId="0" fontId="7" fillId="4" borderId="0" xfId="0" applyFont="1" applyFill="1" applyBorder="1" applyAlignment="1">
      <alignment horizontal="left" vertical="top" wrapText="1"/>
    </xf>
    <xf numFmtId="170" fontId="18" fillId="0" borderId="0" xfId="0" applyNumberFormat="1" applyFont="1" applyFill="1" applyBorder="1" applyAlignment="1">
      <alignment horizontal="center" vertical="center"/>
    </xf>
    <xf numFmtId="170" fontId="18" fillId="0" borderId="0" xfId="0" applyNumberFormat="1" applyFont="1" applyFill="1" applyBorder="1" applyAlignment="1">
      <alignment horizontal="center" vertical="center"/>
    </xf>
    <xf numFmtId="167" fontId="19" fillId="0" borderId="7" xfId="0" applyNumberFormat="1" applyFont="1" applyBorder="1" applyAlignment="1">
      <alignment horizontal="right" vertical="center"/>
    </xf>
    <xf numFmtId="170" fontId="21" fillId="7" borderId="0" xfId="0" applyNumberFormat="1" applyFont="1" applyFill="1" applyAlignment="1">
      <alignment horizontal="center" vertical="center"/>
    </xf>
    <xf numFmtId="0" fontId="14" fillId="3" borderId="0" xfId="0" applyFont="1" applyFill="1" applyBorder="1" applyAlignment="1">
      <alignment horizontal="center"/>
    </xf>
    <xf numFmtId="164" fontId="7" fillId="4" borderId="0" xfId="2" applyFont="1" applyFill="1" applyBorder="1" applyAlignment="1">
      <alignment horizontal="left" vertical="top" wrapText="1"/>
    </xf>
    <xf numFmtId="166" fontId="7" fillId="0" borderId="0" xfId="2" applyNumberFormat="1" applyFont="1" applyAlignment="1">
      <alignment horizontal="center"/>
    </xf>
    <xf numFmtId="0" fontId="14" fillId="0" borderId="0" xfId="0" applyFont="1" applyFill="1" applyBorder="1" applyAlignment="1">
      <alignment horizontal="left"/>
    </xf>
    <xf numFmtId="0" fontId="14" fillId="0" borderId="0" xfId="0" applyFont="1" applyFill="1" applyBorder="1" applyAlignment="1">
      <alignment horizontal="center"/>
    </xf>
    <xf numFmtId="170" fontId="18" fillId="5" borderId="11" xfId="0" applyNumberFormat="1" applyFont="1" applyFill="1" applyBorder="1" applyAlignment="1">
      <alignment horizontal="center" vertical="center"/>
    </xf>
    <xf numFmtId="170" fontId="19" fillId="5" borderId="13" xfId="0" quotePrefix="1" applyNumberFormat="1" applyFont="1" applyFill="1" applyBorder="1" applyAlignment="1">
      <alignment horizontal="center" vertical="center"/>
    </xf>
    <xf numFmtId="170" fontId="19" fillId="3" borderId="13" xfId="0" quotePrefix="1" applyNumberFormat="1" applyFont="1" applyFill="1" applyBorder="1" applyAlignment="1">
      <alignment horizontal="center" vertical="center"/>
    </xf>
    <xf numFmtId="169" fontId="0" fillId="0" borderId="0" xfId="0" applyNumberFormat="1" applyFill="1" applyAlignment="1">
      <alignment horizontal="right"/>
    </xf>
    <xf numFmtId="170" fontId="19" fillId="5" borderId="13" xfId="0" quotePrefix="1" applyNumberFormat="1" applyFont="1" applyFill="1" applyBorder="1" applyAlignment="1">
      <alignment horizontal="center" vertical="center" wrapText="1"/>
    </xf>
    <xf numFmtId="0" fontId="11" fillId="0" borderId="21" xfId="0" applyFont="1" applyBorder="1" applyAlignment="1">
      <alignment vertical="center"/>
    </xf>
    <xf numFmtId="0" fontId="11" fillId="0" borderId="17" xfId="0" applyFont="1" applyBorder="1" applyAlignment="1">
      <alignment vertical="center"/>
    </xf>
    <xf numFmtId="0" fontId="11" fillId="0" borderId="20" xfId="0" applyFont="1" applyBorder="1" applyAlignment="1">
      <alignment vertical="center"/>
    </xf>
    <xf numFmtId="0" fontId="11" fillId="0" borderId="8" xfId="0" applyFont="1" applyBorder="1" applyAlignment="1">
      <alignment vertical="center"/>
    </xf>
    <xf numFmtId="0" fontId="11" fillId="0" borderId="9" xfId="0" applyFont="1" applyBorder="1" applyAlignment="1">
      <alignment vertical="center"/>
    </xf>
    <xf numFmtId="168" fontId="11" fillId="0" borderId="21" xfId="0" applyNumberFormat="1" applyFont="1" applyBorder="1" applyAlignment="1">
      <alignment vertical="center"/>
    </xf>
    <xf numFmtId="170" fontId="21" fillId="7" borderId="0" xfId="0" applyNumberFormat="1" applyFont="1" applyFill="1" applyAlignment="1">
      <alignment vertical="center"/>
    </xf>
    <xf numFmtId="170" fontId="5" fillId="4" borderId="0" xfId="0" applyNumberFormat="1" applyFont="1" applyFill="1" applyBorder="1" applyAlignment="1">
      <alignment vertical="center"/>
    </xf>
    <xf numFmtId="170" fontId="14" fillId="2" borderId="0" xfId="0" applyNumberFormat="1" applyFont="1" applyFill="1"/>
    <xf numFmtId="170" fontId="11" fillId="0" borderId="0" xfId="0" applyNumberFormat="1" applyFont="1" applyFill="1" applyAlignment="1">
      <alignment vertical="center"/>
    </xf>
    <xf numFmtId="170" fontId="19" fillId="4" borderId="7" xfId="0" applyNumberFormat="1" applyFont="1" applyFill="1" applyBorder="1" applyAlignment="1">
      <alignment horizontal="center" vertical="center" wrapText="1"/>
    </xf>
    <xf numFmtId="169" fontId="19" fillId="0" borderId="7" xfId="0" applyNumberFormat="1" applyFont="1" applyBorder="1" applyAlignment="1">
      <alignment vertical="center"/>
    </xf>
    <xf numFmtId="169" fontId="19" fillId="4" borderId="7" xfId="0" quotePrefix="1" applyNumberFormat="1" applyFont="1" applyFill="1" applyBorder="1" applyAlignment="1">
      <alignment horizontal="right" vertical="center"/>
    </xf>
    <xf numFmtId="170" fontId="11" fillId="0" borderId="0" xfId="0" applyNumberFormat="1" applyFont="1" applyAlignment="1">
      <alignment horizontal="right" vertical="center"/>
    </xf>
    <xf numFmtId="170" fontId="11" fillId="0" borderId="9" xfId="0" applyNumberFormat="1" applyFont="1" applyBorder="1" applyAlignment="1">
      <alignment horizontal="right" vertical="center" wrapText="1"/>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11" fillId="0" borderId="12" xfId="0" applyFont="1" applyBorder="1" applyAlignment="1">
      <alignment horizontal="left"/>
    </xf>
    <xf numFmtId="170" fontId="18" fillId="5" borderId="11" xfId="0" applyNumberFormat="1" applyFont="1" applyFill="1" applyBorder="1" applyAlignment="1">
      <alignment vertical="center"/>
    </xf>
    <xf numFmtId="170" fontId="18" fillId="5" borderId="12" xfId="0" applyNumberFormat="1" applyFont="1" applyFill="1" applyBorder="1" applyAlignment="1">
      <alignment vertical="center"/>
    </xf>
    <xf numFmtId="10" fontId="11" fillId="0" borderId="7" xfId="1" applyNumberFormat="1" applyFont="1" applyBorder="1" applyAlignment="1">
      <alignment vertical="center"/>
    </xf>
    <xf numFmtId="10" fontId="11" fillId="0" borderId="12" xfId="1" applyNumberFormat="1" applyFont="1" applyBorder="1" applyAlignment="1">
      <alignment vertical="center"/>
    </xf>
    <xf numFmtId="170" fontId="19" fillId="5" borderId="11" xfId="0" quotePrefix="1" applyNumberFormat="1" applyFont="1" applyFill="1" applyBorder="1" applyAlignment="1">
      <alignment horizontal="center" vertical="center" wrapText="1"/>
    </xf>
    <xf numFmtId="170" fontId="11" fillId="0" borderId="10" xfId="0" applyNumberFormat="1" applyFont="1" applyBorder="1" applyAlignment="1">
      <alignment vertical="center"/>
    </xf>
    <xf numFmtId="168" fontId="11" fillId="0" borderId="8" xfId="0" applyNumberFormat="1" applyFont="1" applyBorder="1" applyAlignment="1">
      <alignment horizontal="center" vertical="center"/>
    </xf>
    <xf numFmtId="168" fontId="11" fillId="0" borderId="9" xfId="0" applyNumberFormat="1" applyFont="1" applyBorder="1" applyAlignment="1">
      <alignment horizontal="center" vertical="center"/>
    </xf>
    <xf numFmtId="170" fontId="19" fillId="0" borderId="20" xfId="0" applyNumberFormat="1" applyFont="1" applyBorder="1" applyAlignment="1">
      <alignment vertical="center"/>
    </xf>
    <xf numFmtId="171" fontId="11" fillId="0" borderId="14" xfId="0" applyNumberFormat="1" applyFont="1" applyBorder="1" applyAlignment="1">
      <alignment horizontal="right" vertical="center"/>
    </xf>
    <xf numFmtId="171" fontId="11" fillId="0" borderId="15" xfId="0" applyNumberFormat="1" applyFont="1" applyBorder="1" applyAlignment="1">
      <alignment horizontal="right" vertical="center"/>
    </xf>
    <xf numFmtId="171" fontId="11" fillId="0" borderId="21" xfId="0" applyNumberFormat="1" applyFont="1" applyBorder="1" applyAlignment="1">
      <alignment horizontal="right" vertical="center"/>
    </xf>
    <xf numFmtId="171" fontId="11" fillId="0" borderId="16" xfId="0" applyNumberFormat="1" applyFont="1" applyBorder="1" applyAlignment="1">
      <alignment horizontal="right" vertical="center"/>
    </xf>
    <xf numFmtId="171" fontId="11" fillId="0" borderId="0" xfId="0" applyNumberFormat="1" applyFont="1" applyBorder="1" applyAlignment="1">
      <alignment horizontal="right" vertical="center"/>
    </xf>
    <xf numFmtId="171" fontId="11" fillId="0" borderId="17" xfId="0" applyNumberFormat="1" applyFont="1" applyBorder="1" applyAlignment="1">
      <alignment horizontal="right" vertical="center"/>
    </xf>
    <xf numFmtId="171" fontId="11" fillId="0" borderId="18" xfId="0" applyNumberFormat="1" applyFont="1" applyBorder="1" applyAlignment="1">
      <alignment horizontal="right" vertical="center"/>
    </xf>
    <xf numFmtId="171" fontId="11" fillId="0" borderId="19" xfId="0" applyNumberFormat="1" applyFont="1" applyBorder="1" applyAlignment="1">
      <alignment horizontal="right" vertical="center"/>
    </xf>
    <xf numFmtId="171" fontId="11" fillId="0" borderId="20" xfId="0" applyNumberFormat="1" applyFont="1" applyBorder="1" applyAlignment="1">
      <alignment horizontal="right" vertical="center"/>
    </xf>
    <xf numFmtId="171" fontId="18" fillId="3" borderId="11" xfId="0" applyNumberFormat="1" applyFont="1" applyFill="1" applyBorder="1" applyAlignment="1">
      <alignment horizontal="right" vertical="center"/>
    </xf>
    <xf numFmtId="171" fontId="18" fillId="3" borderId="12" xfId="0" applyNumberFormat="1" applyFont="1" applyFill="1" applyBorder="1" applyAlignment="1">
      <alignment horizontal="right" vertical="center"/>
    </xf>
    <xf numFmtId="171" fontId="18" fillId="3" borderId="13" xfId="0" applyNumberFormat="1" applyFont="1" applyFill="1" applyBorder="1" applyAlignment="1">
      <alignment horizontal="right" vertical="center"/>
    </xf>
    <xf numFmtId="171" fontId="11" fillId="0" borderId="0" xfId="0" applyNumberFormat="1" applyFont="1" applyAlignment="1">
      <alignment vertical="center"/>
    </xf>
    <xf numFmtId="171" fontId="18" fillId="3" borderId="18" xfId="0" applyNumberFormat="1" applyFont="1" applyFill="1" applyBorder="1" applyAlignment="1">
      <alignment horizontal="right" vertical="center"/>
    </xf>
    <xf numFmtId="171" fontId="18" fillId="3" borderId="19" xfId="0" applyNumberFormat="1" applyFont="1" applyFill="1" applyBorder="1" applyAlignment="1">
      <alignment horizontal="right" vertical="center"/>
    </xf>
    <xf numFmtId="171" fontId="18" fillId="3" borderId="20" xfId="0" applyNumberFormat="1" applyFont="1" applyFill="1" applyBorder="1" applyAlignment="1">
      <alignment horizontal="right" vertical="center"/>
    </xf>
    <xf numFmtId="0" fontId="14" fillId="3" borderId="3" xfId="0" applyFont="1" applyFill="1" applyBorder="1" applyAlignment="1">
      <alignment vertical="top"/>
    </xf>
    <xf numFmtId="170" fontId="11" fillId="2" borderId="9" xfId="0" applyNumberFormat="1" applyFont="1" applyFill="1" applyBorder="1" applyAlignment="1">
      <alignment horizontal="center" vertical="center"/>
    </xf>
    <xf numFmtId="168" fontId="11" fillId="2" borderId="16" xfId="0" applyNumberFormat="1" applyFont="1" applyFill="1" applyBorder="1" applyAlignment="1">
      <alignment horizontal="center" vertical="center"/>
    </xf>
    <xf numFmtId="0" fontId="19" fillId="8" borderId="8" xfId="0" applyFont="1" applyFill="1" applyBorder="1" applyAlignment="1">
      <alignment horizontal="left" vertical="center"/>
    </xf>
    <xf numFmtId="0" fontId="11" fillId="0" borderId="0" xfId="0" applyFont="1" applyBorder="1" applyAlignment="1">
      <alignment vertical="top" wrapText="1"/>
    </xf>
    <xf numFmtId="170" fontId="18" fillId="5" borderId="11" xfId="0" applyNumberFormat="1" applyFont="1" applyFill="1" applyBorder="1" applyAlignment="1">
      <alignment horizontal="left" vertical="center"/>
    </xf>
    <xf numFmtId="170" fontId="18" fillId="5" borderId="12" xfId="0" applyNumberFormat="1" applyFont="1" applyFill="1" applyBorder="1" applyAlignment="1">
      <alignment horizontal="left" vertical="center"/>
    </xf>
    <xf numFmtId="0" fontId="11" fillId="0" borderId="8" xfId="0" applyFont="1" applyBorder="1" applyAlignment="1">
      <alignment horizontal="left" vertical="center"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0" fontId="11" fillId="2" borderId="8" xfId="0" applyFont="1" applyFill="1" applyBorder="1" applyAlignment="1">
      <alignment horizontal="center" vertical="center"/>
    </xf>
    <xf numFmtId="0" fontId="11" fillId="2" borderId="10" xfId="0" applyFont="1" applyFill="1" applyBorder="1" applyAlignment="1">
      <alignment horizontal="center" vertical="center"/>
    </xf>
    <xf numFmtId="170" fontId="11" fillId="2" borderId="8" xfId="0" applyNumberFormat="1" applyFont="1" applyFill="1" applyBorder="1" applyAlignment="1">
      <alignment horizontal="center" vertical="center"/>
    </xf>
    <xf numFmtId="170" fontId="11" fillId="2" borderId="10" xfId="0" applyNumberFormat="1" applyFont="1" applyFill="1" applyBorder="1" applyAlignment="1">
      <alignment horizontal="center" vertical="center"/>
    </xf>
    <xf numFmtId="170" fontId="18" fillId="5" borderId="13" xfId="0" applyNumberFormat="1" applyFont="1" applyFill="1" applyBorder="1" applyAlignment="1">
      <alignment horizontal="left" vertical="center"/>
    </xf>
    <xf numFmtId="0" fontId="11" fillId="0" borderId="8" xfId="0" applyFont="1" applyBorder="1" applyAlignment="1">
      <alignment horizontal="left" vertical="top" wrapText="1"/>
    </xf>
    <xf numFmtId="0" fontId="11" fillId="0" borderId="9" xfId="0" applyFont="1" applyBorder="1" applyAlignment="1">
      <alignment horizontal="left" vertical="top" wrapText="1"/>
    </xf>
    <xf numFmtId="0" fontId="11" fillId="0" borderId="10" xfId="0" applyFont="1" applyBorder="1" applyAlignment="1">
      <alignment horizontal="left" vertical="top" wrapText="1"/>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11" fillId="0" borderId="13" xfId="0" applyFont="1" applyBorder="1" applyAlignment="1">
      <alignment horizontal="left" vertical="center"/>
    </xf>
    <xf numFmtId="170" fontId="18" fillId="5" borderId="14" xfId="0" applyNumberFormat="1" applyFont="1" applyFill="1" applyBorder="1" applyAlignment="1">
      <alignment horizontal="left" vertical="center"/>
    </xf>
    <xf numFmtId="170" fontId="18" fillId="5" borderId="15" xfId="0" applyNumberFormat="1" applyFont="1" applyFill="1" applyBorder="1" applyAlignment="1">
      <alignment horizontal="left" vertical="center"/>
    </xf>
    <xf numFmtId="170" fontId="18" fillId="5" borderId="21" xfId="0" applyNumberFormat="1" applyFont="1" applyFill="1" applyBorder="1" applyAlignment="1">
      <alignment horizontal="left" vertical="center"/>
    </xf>
    <xf numFmtId="170" fontId="18" fillId="5" borderId="7" xfId="0" applyNumberFormat="1" applyFont="1" applyFill="1" applyBorder="1" applyAlignment="1">
      <alignment horizontal="left" vertical="center"/>
    </xf>
    <xf numFmtId="0" fontId="11" fillId="0" borderId="11" xfId="0" applyFont="1" applyFill="1" applyBorder="1" applyAlignment="1">
      <alignment horizontal="left" vertical="center"/>
    </xf>
    <xf numFmtId="0" fontId="11" fillId="0" borderId="12" xfId="0" applyFont="1" applyFill="1" applyBorder="1" applyAlignment="1">
      <alignment horizontal="left" vertical="center"/>
    </xf>
    <xf numFmtId="0" fontId="11" fillId="0" borderId="13" xfId="0" applyFont="1" applyFill="1" applyBorder="1" applyAlignment="1">
      <alignment horizontal="left" vertical="center"/>
    </xf>
    <xf numFmtId="0" fontId="21" fillId="7" borderId="18" xfId="0" applyFont="1" applyFill="1" applyBorder="1" applyAlignment="1">
      <alignment horizontal="right" vertical="center"/>
    </xf>
    <xf numFmtId="0" fontId="21" fillId="7" borderId="19" xfId="0" applyFont="1" applyFill="1" applyBorder="1" applyAlignment="1">
      <alignment horizontal="right" vertical="center"/>
    </xf>
    <xf numFmtId="0" fontId="21" fillId="7" borderId="20" xfId="0" applyFont="1" applyFill="1" applyBorder="1" applyAlignment="1">
      <alignment horizontal="right" vertical="center"/>
    </xf>
    <xf numFmtId="167" fontId="19" fillId="2" borderId="7" xfId="0" applyNumberFormat="1" applyFont="1" applyFill="1" applyBorder="1" applyAlignment="1">
      <alignment horizontal="left" vertical="center"/>
    </xf>
    <xf numFmtId="170" fontId="11" fillId="2" borderId="9" xfId="0" applyNumberFormat="1" applyFont="1" applyFill="1" applyBorder="1" applyAlignment="1">
      <alignment horizontal="center" vertical="center"/>
    </xf>
    <xf numFmtId="0" fontId="11" fillId="0" borderId="18" xfId="0" applyFont="1" applyBorder="1" applyAlignment="1">
      <alignment horizontal="left" vertical="center"/>
    </xf>
    <xf numFmtId="0" fontId="11" fillId="0" borderId="19" xfId="0" applyFont="1" applyBorder="1" applyAlignment="1">
      <alignment horizontal="left" vertical="center"/>
    </xf>
    <xf numFmtId="0" fontId="11" fillId="0" borderId="14" xfId="0" applyFont="1" applyBorder="1" applyAlignment="1">
      <alignment horizontal="left" vertical="center"/>
    </xf>
    <xf numFmtId="0" fontId="11" fillId="0" borderId="15" xfId="0" applyFont="1" applyBorder="1" applyAlignment="1">
      <alignment horizontal="left" vertical="center"/>
    </xf>
    <xf numFmtId="0" fontId="11" fillId="0" borderId="21" xfId="0" applyFont="1" applyBorder="1" applyAlignment="1">
      <alignment horizontal="left" vertical="center"/>
    </xf>
    <xf numFmtId="0" fontId="19" fillId="0" borderId="18" xfId="0" applyFont="1" applyBorder="1" applyAlignment="1">
      <alignment horizontal="left" vertical="center"/>
    </xf>
    <xf numFmtId="0" fontId="19" fillId="0" borderId="19" xfId="0" applyFont="1" applyBorder="1" applyAlignment="1">
      <alignment horizontal="left" vertical="center"/>
    </xf>
    <xf numFmtId="0" fontId="19" fillId="0" borderId="20" xfId="0" applyFont="1" applyBorder="1" applyAlignment="1">
      <alignment horizontal="left" vertical="center"/>
    </xf>
    <xf numFmtId="170" fontId="18" fillId="5" borderId="11" xfId="0" applyNumberFormat="1" applyFont="1" applyFill="1" applyBorder="1" applyAlignment="1">
      <alignment horizontal="center" vertical="center"/>
    </xf>
    <xf numFmtId="170" fontId="18" fillId="5" borderId="12" xfId="0" applyNumberFormat="1" applyFont="1" applyFill="1" applyBorder="1" applyAlignment="1">
      <alignment horizontal="center" vertical="center"/>
    </xf>
    <xf numFmtId="170" fontId="18" fillId="5" borderId="13" xfId="0" applyNumberFormat="1" applyFont="1" applyFill="1" applyBorder="1" applyAlignment="1">
      <alignment horizontal="center" vertical="center"/>
    </xf>
    <xf numFmtId="170" fontId="18" fillId="2" borderId="11" xfId="0" applyNumberFormat="1" applyFont="1" applyFill="1" applyBorder="1" applyAlignment="1">
      <alignment horizontal="left" vertical="center"/>
    </xf>
    <xf numFmtId="170" fontId="18" fillId="2" borderId="12" xfId="0" applyNumberFormat="1" applyFont="1" applyFill="1" applyBorder="1" applyAlignment="1">
      <alignment horizontal="left" vertical="center"/>
    </xf>
    <xf numFmtId="170" fontId="18" fillId="2" borderId="13" xfId="0" applyNumberFormat="1" applyFont="1" applyFill="1" applyBorder="1" applyAlignment="1">
      <alignment horizontal="left" vertical="center"/>
    </xf>
    <xf numFmtId="0" fontId="11" fillId="0" borderId="14" xfId="0" applyFont="1" applyBorder="1" applyAlignment="1">
      <alignment horizontal="right"/>
    </xf>
    <xf numFmtId="0" fontId="11" fillId="0" borderId="15" xfId="0" applyFont="1" applyBorder="1" applyAlignment="1">
      <alignment horizontal="right"/>
    </xf>
    <xf numFmtId="0" fontId="11" fillId="0" borderId="21" xfId="0" applyFont="1" applyBorder="1" applyAlignment="1">
      <alignment horizontal="right"/>
    </xf>
    <xf numFmtId="0" fontId="11" fillId="0" borderId="11" xfId="0" applyFont="1" applyBorder="1" applyAlignment="1">
      <alignment horizontal="left" vertical="center" wrapText="1"/>
    </xf>
    <xf numFmtId="0" fontId="11" fillId="0" borderId="13" xfId="0" applyFont="1" applyBorder="1" applyAlignment="1">
      <alignment horizontal="left" vertical="center" wrapText="1"/>
    </xf>
    <xf numFmtId="0" fontId="19" fillId="0" borderId="11" xfId="0" applyFont="1" applyBorder="1" applyAlignment="1">
      <alignment horizontal="right" vertical="center"/>
    </xf>
    <xf numFmtId="0" fontId="19" fillId="0" borderId="12" xfId="0" applyFont="1" applyBorder="1" applyAlignment="1">
      <alignment horizontal="right" vertical="center"/>
    </xf>
    <xf numFmtId="0" fontId="19" fillId="0" borderId="13" xfId="0" applyFont="1" applyBorder="1" applyAlignment="1">
      <alignment horizontal="right" vertical="center"/>
    </xf>
    <xf numFmtId="170" fontId="18" fillId="5" borderId="11" xfId="0" applyNumberFormat="1" applyFont="1" applyFill="1" applyBorder="1" applyAlignment="1">
      <alignment horizontal="right"/>
    </xf>
    <xf numFmtId="170" fontId="18" fillId="5" borderId="12" xfId="0" applyNumberFormat="1" applyFont="1" applyFill="1" applyBorder="1" applyAlignment="1">
      <alignment horizontal="right"/>
    </xf>
    <xf numFmtId="170" fontId="18" fillId="5" borderId="13" xfId="0" applyNumberFormat="1" applyFont="1" applyFill="1" applyBorder="1" applyAlignment="1">
      <alignment horizontal="right"/>
    </xf>
    <xf numFmtId="0" fontId="11" fillId="0" borderId="18" xfId="0" applyFont="1" applyBorder="1" applyAlignment="1">
      <alignment horizontal="right"/>
    </xf>
    <xf numFmtId="0" fontId="11" fillId="0" borderId="19" xfId="0" applyFont="1" applyBorder="1" applyAlignment="1">
      <alignment horizontal="right"/>
    </xf>
    <xf numFmtId="0" fontId="11" fillId="0" borderId="20" xfId="0" applyFont="1" applyBorder="1" applyAlignment="1">
      <alignment horizontal="right"/>
    </xf>
    <xf numFmtId="0" fontId="19" fillId="0" borderId="11" xfId="0" applyFont="1" applyBorder="1" applyAlignment="1">
      <alignment horizontal="right"/>
    </xf>
    <xf numFmtId="0" fontId="19" fillId="0" borderId="12" xfId="0" applyFont="1" applyBorder="1" applyAlignment="1">
      <alignment horizontal="right"/>
    </xf>
    <xf numFmtId="0" fontId="19" fillId="0" borderId="13" xfId="0" applyFont="1" applyBorder="1" applyAlignment="1">
      <alignment horizontal="right"/>
    </xf>
    <xf numFmtId="170" fontId="18" fillId="5" borderId="11" xfId="0" applyNumberFormat="1" applyFont="1" applyFill="1" applyBorder="1" applyAlignment="1">
      <alignment horizontal="right" vertical="center"/>
    </xf>
    <xf numFmtId="170" fontId="18" fillId="5" borderId="12" xfId="0" applyNumberFormat="1" applyFont="1" applyFill="1" applyBorder="1" applyAlignment="1">
      <alignment horizontal="right" vertical="center"/>
    </xf>
    <xf numFmtId="170" fontId="18" fillId="5" borderId="13" xfId="0" applyNumberFormat="1" applyFont="1" applyFill="1" applyBorder="1" applyAlignment="1">
      <alignment horizontal="right" vertical="center"/>
    </xf>
    <xf numFmtId="0" fontId="11" fillId="0" borderId="14" xfId="0" applyFont="1" applyBorder="1" applyAlignment="1">
      <alignment horizontal="right" vertical="center"/>
    </xf>
    <xf numFmtId="0" fontId="11" fillId="0" borderId="15" xfId="0" applyFont="1" applyBorder="1" applyAlignment="1">
      <alignment horizontal="right" vertical="center"/>
    </xf>
    <xf numFmtId="0" fontId="11" fillId="0" borderId="21" xfId="0" applyFont="1" applyBorder="1" applyAlignment="1">
      <alignment horizontal="right" vertical="center"/>
    </xf>
    <xf numFmtId="0" fontId="11" fillId="0" borderId="18" xfId="0" applyFont="1" applyBorder="1" applyAlignment="1">
      <alignment horizontal="right" vertical="center"/>
    </xf>
    <xf numFmtId="0" fontId="11" fillId="0" borderId="19" xfId="0" applyFont="1" applyBorder="1" applyAlignment="1">
      <alignment horizontal="right" vertical="center"/>
    </xf>
    <xf numFmtId="0" fontId="11" fillId="0" borderId="20" xfId="0" applyFont="1" applyBorder="1" applyAlignment="1">
      <alignment horizontal="right" vertical="center"/>
    </xf>
    <xf numFmtId="0" fontId="7" fillId="4" borderId="1" xfId="0" applyFont="1" applyFill="1" applyBorder="1" applyAlignment="1">
      <alignment horizontal="left" vertical="top" wrapText="1"/>
    </xf>
    <xf numFmtId="0" fontId="7" fillId="0" borderId="0" xfId="2" applyNumberFormat="1" applyFont="1" applyAlignment="1">
      <alignment horizontal="left" vertical="top"/>
    </xf>
    <xf numFmtId="0" fontId="0" fillId="4" borderId="1" xfId="0" applyFill="1" applyBorder="1" applyAlignment="1">
      <alignment horizontal="left" vertical="top" wrapText="1"/>
    </xf>
    <xf numFmtId="0" fontId="7" fillId="4" borderId="0" xfId="0" applyFont="1" applyFill="1" applyBorder="1" applyAlignment="1">
      <alignment horizontal="left" vertical="top" wrapText="1"/>
    </xf>
    <xf numFmtId="0" fontId="14" fillId="3" borderId="6" xfId="0" applyFont="1" applyFill="1" applyBorder="1" applyAlignment="1">
      <alignment horizontal="left"/>
    </xf>
    <xf numFmtId="0" fontId="14" fillId="3" borderId="0" xfId="0" applyFont="1" applyFill="1" applyBorder="1" applyAlignment="1">
      <alignment horizontal="left"/>
    </xf>
    <xf numFmtId="0" fontId="14" fillId="3" borderId="4" xfId="0" applyFont="1" applyFill="1" applyBorder="1" applyAlignment="1">
      <alignment horizontal="left"/>
    </xf>
    <xf numFmtId="0" fontId="5" fillId="4" borderId="6" xfId="0" applyFont="1" applyFill="1" applyBorder="1" applyAlignment="1">
      <alignment horizontal="left"/>
    </xf>
    <xf numFmtId="0" fontId="5" fillId="4" borderId="0" xfId="0" applyFont="1" applyFill="1" applyBorder="1" applyAlignment="1">
      <alignment horizontal="left"/>
    </xf>
    <xf numFmtId="0" fontId="0" fillId="4" borderId="1" xfId="0" applyFill="1" applyBorder="1" applyAlignment="1">
      <alignment horizontal="left" wrapText="1"/>
    </xf>
    <xf numFmtId="170" fontId="18" fillId="3" borderId="11" xfId="0" applyNumberFormat="1" applyFont="1" applyFill="1" applyBorder="1" applyAlignment="1">
      <alignment horizontal="center" vertical="center"/>
    </xf>
    <xf numFmtId="170" fontId="18" fillId="3" borderId="12" xfId="0" applyNumberFormat="1" applyFont="1" applyFill="1" applyBorder="1" applyAlignment="1">
      <alignment horizontal="center" vertical="center"/>
    </xf>
    <xf numFmtId="170" fontId="18" fillId="3" borderId="13" xfId="0" applyNumberFormat="1" applyFont="1" applyFill="1" applyBorder="1" applyAlignment="1">
      <alignment horizontal="center" vertical="center"/>
    </xf>
    <xf numFmtId="170" fontId="18" fillId="3" borderId="14" xfId="0" applyNumberFormat="1" applyFont="1" applyFill="1" applyBorder="1" applyAlignment="1">
      <alignment horizontal="center"/>
    </xf>
    <xf numFmtId="170" fontId="18" fillId="3" borderId="15" xfId="0" applyNumberFormat="1" applyFont="1" applyFill="1" applyBorder="1" applyAlignment="1">
      <alignment horizontal="center"/>
    </xf>
    <xf numFmtId="170" fontId="18" fillId="3" borderId="21" xfId="0" applyNumberFormat="1" applyFont="1" applyFill="1" applyBorder="1" applyAlignment="1">
      <alignment horizontal="center"/>
    </xf>
    <xf numFmtId="0" fontId="18" fillId="3" borderId="14" xfId="0" applyFont="1" applyFill="1" applyBorder="1" applyAlignment="1">
      <alignment horizontal="center" vertical="center"/>
    </xf>
    <xf numFmtId="0" fontId="18" fillId="3" borderId="15" xfId="0" applyFont="1" applyFill="1" applyBorder="1" applyAlignment="1">
      <alignment horizontal="center" vertical="center"/>
    </xf>
    <xf numFmtId="0" fontId="18" fillId="3" borderId="21" xfId="0" applyFont="1" applyFill="1" applyBorder="1" applyAlignment="1">
      <alignment horizontal="center" vertical="center"/>
    </xf>
    <xf numFmtId="0" fontId="18" fillId="3" borderId="11" xfId="0" applyFont="1" applyFill="1" applyBorder="1" applyAlignment="1">
      <alignment horizontal="center" vertical="center"/>
    </xf>
    <xf numFmtId="0" fontId="18" fillId="3" borderId="12" xfId="0" applyFont="1" applyFill="1" applyBorder="1" applyAlignment="1">
      <alignment horizontal="center" vertical="center"/>
    </xf>
    <xf numFmtId="0" fontId="18" fillId="3" borderId="13" xfId="0" applyFont="1" applyFill="1" applyBorder="1" applyAlignment="1">
      <alignment horizontal="center" vertical="center"/>
    </xf>
    <xf numFmtId="170" fontId="18" fillId="0" borderId="0" xfId="0" applyNumberFormat="1" applyFont="1" applyFill="1" applyBorder="1" applyAlignment="1">
      <alignment horizontal="center" vertical="center"/>
    </xf>
    <xf numFmtId="170" fontId="18" fillId="3" borderId="14" xfId="0" applyNumberFormat="1" applyFont="1" applyFill="1" applyBorder="1" applyAlignment="1">
      <alignment horizontal="center" vertical="center"/>
    </xf>
    <xf numFmtId="170" fontId="18" fillId="3" borderId="15" xfId="0" applyNumberFormat="1" applyFont="1" applyFill="1" applyBorder="1" applyAlignment="1">
      <alignment horizontal="center" vertical="center"/>
    </xf>
    <xf numFmtId="170" fontId="18" fillId="3" borderId="21" xfId="0" applyNumberFormat="1" applyFont="1" applyFill="1" applyBorder="1" applyAlignment="1">
      <alignment horizontal="center" vertical="center"/>
    </xf>
    <xf numFmtId="0" fontId="23" fillId="2" borderId="8" xfId="15" applyFont="1" applyFill="1" applyBorder="1" applyAlignment="1">
      <alignment vertical="center"/>
    </xf>
    <xf numFmtId="0" fontId="23" fillId="2" borderId="14" xfId="15" applyFont="1" applyFill="1" applyBorder="1" applyAlignment="1">
      <alignment vertical="center"/>
    </xf>
    <xf numFmtId="0" fontId="23" fillId="2" borderId="21" xfId="15" applyFont="1" applyFill="1" applyBorder="1" applyAlignment="1">
      <alignment vertical="center"/>
    </xf>
    <xf numFmtId="0" fontId="23" fillId="2" borderId="9" xfId="15" applyFont="1" applyFill="1" applyBorder="1" applyAlignment="1">
      <alignment vertical="center"/>
    </xf>
    <xf numFmtId="0" fontId="23" fillId="2" borderId="16" xfId="15" applyFont="1" applyFill="1" applyBorder="1" applyAlignment="1">
      <alignment vertical="center"/>
    </xf>
    <xf numFmtId="0" fontId="23" fillId="2" borderId="17" xfId="15" applyFont="1" applyFill="1" applyBorder="1" applyAlignment="1">
      <alignment vertical="center"/>
    </xf>
    <xf numFmtId="0" fontId="23" fillId="2" borderId="10" xfId="15" applyFont="1" applyFill="1" applyBorder="1" applyAlignment="1">
      <alignment vertical="center"/>
    </xf>
    <xf numFmtId="0" fontId="23" fillId="2" borderId="18" xfId="15" applyFont="1" applyFill="1" applyBorder="1" applyAlignment="1">
      <alignment vertical="center"/>
    </xf>
    <xf numFmtId="0" fontId="23" fillId="2" borderId="20" xfId="15" applyFont="1" applyFill="1" applyBorder="1" applyAlignment="1">
      <alignment vertical="center"/>
    </xf>
  </cellXfs>
  <cellStyles count="18">
    <cellStyle name="Comma" xfId="3" builtinId="3"/>
    <cellStyle name="Comma 2" xfId="10"/>
    <cellStyle name="Comma 3" xfId="11"/>
    <cellStyle name="Currency" xfId="2" builtinId="4"/>
    <cellStyle name="Currency 2" xfId="4"/>
    <cellStyle name="Normal" xfId="0" builtinId="0"/>
    <cellStyle name="Normal 15" xfId="17"/>
    <cellStyle name="Normal 2" xfId="5"/>
    <cellStyle name="Normal 2 2" xfId="6"/>
    <cellStyle name="Normal 2 2 2" xfId="12"/>
    <cellStyle name="Normal 3" xfId="7"/>
    <cellStyle name="Normal 4" xfId="13"/>
    <cellStyle name="Normal 5" xfId="16"/>
    <cellStyle name="Normal_Sheet1" xfId="15"/>
    <cellStyle name="Note 2" xfId="14"/>
    <cellStyle name="Percent" xfId="1" builtinId="5"/>
    <cellStyle name="Percent 2" xfId="8"/>
    <cellStyle name="Percent 3" xfId="9"/>
  </cellStyles>
  <dxfs count="0"/>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customHeight="1" zeroHeight="1" x14ac:dyDescent="0.25"/>
  <cols>
    <col min="1" max="1" width="2.42578125" customWidth="1"/>
    <col min="2" max="5" width="9.140625" customWidth="1"/>
    <col min="6" max="16384" width="9.140625" hidden="1"/>
  </cols>
  <sheetData>
    <row r="1" spans="2:2" x14ac:dyDescent="0.25"/>
    <row r="2" spans="2:2" x14ac:dyDescent="0.25">
      <c r="B2" s="1" t="s">
        <v>45</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277"/>
  <sheetViews>
    <sheetView showGridLines="0" topLeftCell="A35" zoomScaleNormal="100" workbookViewId="0">
      <selection activeCell="B52" sqref="B52:D94"/>
    </sheetView>
  </sheetViews>
  <sheetFormatPr defaultColWidth="9.140625" defaultRowHeight="12.75" zeroHeight="1" x14ac:dyDescent="0.25"/>
  <cols>
    <col min="1" max="1" width="2.85546875" style="24" customWidth="1"/>
    <col min="2" max="2" width="21.140625" style="24" bestFit="1" customWidth="1"/>
    <col min="3" max="3" width="16.85546875" style="24" customWidth="1"/>
    <col min="4" max="4" width="13.42578125" style="24" bestFit="1" customWidth="1"/>
    <col min="5" max="5" width="13.42578125" style="24" customWidth="1"/>
    <col min="6" max="6" width="12.7109375" style="24" customWidth="1"/>
    <col min="7" max="10" width="12.85546875" style="26" customWidth="1"/>
    <col min="11" max="11" width="12.85546875" style="24" customWidth="1"/>
    <col min="12" max="12" width="2.85546875" style="24" customWidth="1"/>
    <col min="13" max="13" width="49.85546875" style="27" customWidth="1"/>
    <col min="14" max="14" width="2.85546875" style="24" customWidth="1"/>
    <col min="15" max="17" width="9.140625" style="24" customWidth="1"/>
    <col min="18" max="16384" width="9.140625" style="24"/>
  </cols>
  <sheetData>
    <row r="1" spans="2:13" x14ac:dyDescent="0.25">
      <c r="B1" s="25"/>
    </row>
    <row r="2" spans="2:13" ht="21" x14ac:dyDescent="0.25">
      <c r="B2" s="28" t="s">
        <v>43</v>
      </c>
    </row>
    <row r="3" spans="2:13" ht="21" x14ac:dyDescent="0.25">
      <c r="B3" s="28" t="str">
        <f>'AER Summary'!C3</f>
        <v>Substation Commissioning</v>
      </c>
    </row>
    <row r="4" spans="2:13" ht="18.75" x14ac:dyDescent="0.25">
      <c r="B4" s="29" t="s">
        <v>44</v>
      </c>
    </row>
    <row r="5" spans="2:13" x14ac:dyDescent="0.25"/>
    <row r="6" spans="2:13" ht="15.75" x14ac:dyDescent="0.25">
      <c r="B6" s="30" t="s">
        <v>123</v>
      </c>
      <c r="C6" s="31"/>
      <c r="D6" s="31"/>
      <c r="E6" s="31"/>
      <c r="F6" s="31"/>
      <c r="G6" s="32"/>
      <c r="H6" s="32"/>
      <c r="I6" s="32"/>
      <c r="J6" s="32"/>
      <c r="K6" s="31"/>
      <c r="M6" s="33"/>
    </row>
    <row r="7" spans="2:13" x14ac:dyDescent="0.25"/>
    <row r="8" spans="2:13" ht="25.5" x14ac:dyDescent="0.25">
      <c r="B8" s="271" t="s">
        <v>8</v>
      </c>
      <c r="C8" s="272"/>
      <c r="D8" s="272"/>
      <c r="E8" s="272"/>
      <c r="F8" s="272"/>
      <c r="G8" s="222"/>
      <c r="H8" s="245" t="s">
        <v>52</v>
      </c>
      <c r="I8" s="245" t="s">
        <v>94</v>
      </c>
      <c r="J8" s="245" t="s">
        <v>61</v>
      </c>
      <c r="K8" s="245" t="s">
        <v>51</v>
      </c>
      <c r="M8" s="38" t="s">
        <v>5</v>
      </c>
    </row>
    <row r="9" spans="2:13" ht="12.75" customHeight="1" x14ac:dyDescent="0.2">
      <c r="B9" s="190" t="s">
        <v>81</v>
      </c>
      <c r="C9" s="191"/>
      <c r="D9" s="191"/>
      <c r="E9" s="191"/>
      <c r="F9" s="191"/>
      <c r="G9" s="61"/>
      <c r="H9" s="268"/>
      <c r="I9" s="105">
        <f>+K10/K9</f>
        <v>32.500000000000007</v>
      </c>
      <c r="J9" s="247">
        <v>30</v>
      </c>
      <c r="K9" s="128">
        <f>+J9/11*10</f>
        <v>27.27272727272727</v>
      </c>
      <c r="M9" s="273" t="s">
        <v>124</v>
      </c>
    </row>
    <row r="10" spans="2:13" x14ac:dyDescent="0.2">
      <c r="B10" s="190" t="s">
        <v>100</v>
      </c>
      <c r="C10" s="191"/>
      <c r="D10" s="191"/>
      <c r="E10" s="191"/>
      <c r="F10" s="191"/>
      <c r="G10" s="61"/>
      <c r="H10" s="268"/>
      <c r="I10" s="267"/>
      <c r="J10" s="248">
        <v>975</v>
      </c>
      <c r="K10" s="128">
        <f t="shared" ref="K10:K14" si="0">+J10/11*10</f>
        <v>886.36363636363637</v>
      </c>
      <c r="M10" s="274"/>
    </row>
    <row r="11" spans="2:13" x14ac:dyDescent="0.2">
      <c r="B11" s="190" t="s">
        <v>101</v>
      </c>
      <c r="C11" s="191"/>
      <c r="D11" s="191"/>
      <c r="E11" s="191"/>
      <c r="F11" s="191"/>
      <c r="G11" s="61"/>
      <c r="H11" s="268"/>
      <c r="I11" s="267"/>
      <c r="J11" s="248">
        <v>975</v>
      </c>
      <c r="K11" s="128">
        <f t="shared" si="0"/>
        <v>886.36363636363637</v>
      </c>
      <c r="M11" s="274"/>
    </row>
    <row r="12" spans="2:13" x14ac:dyDescent="0.2">
      <c r="B12" s="190" t="s">
        <v>102</v>
      </c>
      <c r="C12" s="191"/>
      <c r="D12" s="191"/>
      <c r="E12" s="191"/>
      <c r="F12" s="191"/>
      <c r="G12" s="61"/>
      <c r="H12" s="268"/>
      <c r="I12" s="267"/>
      <c r="J12" s="248">
        <v>975</v>
      </c>
      <c r="K12" s="128">
        <f t="shared" si="0"/>
        <v>886.36363636363637</v>
      </c>
      <c r="M12" s="274"/>
    </row>
    <row r="13" spans="2:13" x14ac:dyDescent="0.2">
      <c r="B13" s="190" t="s">
        <v>103</v>
      </c>
      <c r="C13" s="191"/>
      <c r="D13" s="191"/>
      <c r="E13" s="191"/>
      <c r="F13" s="191"/>
      <c r="G13" s="61"/>
      <c r="H13" s="268"/>
      <c r="I13" s="267"/>
      <c r="J13" s="248">
        <v>975</v>
      </c>
      <c r="K13" s="128">
        <f t="shared" si="0"/>
        <v>886.36363636363637</v>
      </c>
      <c r="M13" s="274"/>
    </row>
    <row r="14" spans="2:13" x14ac:dyDescent="0.2">
      <c r="B14" s="190" t="s">
        <v>104</v>
      </c>
      <c r="C14" s="191"/>
      <c r="D14" s="191"/>
      <c r="E14" s="191"/>
      <c r="F14" s="191"/>
      <c r="G14" s="61"/>
      <c r="H14" s="268"/>
      <c r="I14" s="267"/>
      <c r="J14" s="248">
        <v>975</v>
      </c>
      <c r="K14" s="128">
        <f t="shared" si="0"/>
        <v>886.36363636363637</v>
      </c>
      <c r="M14" s="274"/>
    </row>
    <row r="15" spans="2:13" x14ac:dyDescent="0.2">
      <c r="B15" s="193"/>
      <c r="C15" s="194"/>
      <c r="D15" s="194"/>
      <c r="E15" s="194"/>
      <c r="F15" s="194"/>
      <c r="G15" s="206"/>
      <c r="H15" s="44"/>
      <c r="I15" s="246"/>
      <c r="J15" s="246"/>
      <c r="K15" s="206"/>
      <c r="M15" s="275"/>
    </row>
    <row r="16" spans="2:13" x14ac:dyDescent="0.25"/>
    <row r="17" spans="2:13" ht="15.75" x14ac:dyDescent="0.25">
      <c r="B17" s="30" t="s">
        <v>2</v>
      </c>
      <c r="C17" s="31"/>
      <c r="D17" s="31"/>
      <c r="E17" s="31"/>
      <c r="F17" s="31"/>
      <c r="G17" s="32"/>
      <c r="H17" s="32"/>
      <c r="I17" s="32"/>
      <c r="J17" s="32"/>
      <c r="K17" s="31"/>
      <c r="M17" s="33"/>
    </row>
    <row r="18" spans="2:13" x14ac:dyDescent="0.25"/>
    <row r="19" spans="2:13" x14ac:dyDescent="0.25">
      <c r="B19" s="271"/>
      <c r="C19" s="272"/>
      <c r="D19" s="272"/>
      <c r="E19" s="272"/>
      <c r="F19" s="280"/>
      <c r="G19" s="34" t="s">
        <v>11</v>
      </c>
      <c r="H19" s="35" t="s">
        <v>12</v>
      </c>
      <c r="I19" s="36" t="s">
        <v>13</v>
      </c>
      <c r="J19" s="35" t="s">
        <v>14</v>
      </c>
      <c r="K19" s="37" t="s">
        <v>15</v>
      </c>
      <c r="M19" s="38" t="s">
        <v>5</v>
      </c>
    </row>
    <row r="20" spans="2:13" ht="42" customHeight="1" x14ac:dyDescent="0.25">
      <c r="B20" s="284" t="s">
        <v>2</v>
      </c>
      <c r="C20" s="285"/>
      <c r="D20" s="285"/>
      <c r="E20" s="285"/>
      <c r="F20" s="286"/>
      <c r="G20" s="18">
        <v>433484.33999999653</v>
      </c>
      <c r="H20" s="19">
        <v>534949.68999999494</v>
      </c>
      <c r="I20" s="20">
        <v>462292.86999999633</v>
      </c>
      <c r="J20" s="19">
        <v>473494.71999999729</v>
      </c>
      <c r="K20" s="85"/>
      <c r="M20" s="39" t="s">
        <v>80</v>
      </c>
    </row>
    <row r="21" spans="2:13" x14ac:dyDescent="0.25"/>
    <row r="22" spans="2:13" ht="15.75" x14ac:dyDescent="0.25">
      <c r="B22" s="30" t="s">
        <v>30</v>
      </c>
      <c r="C22" s="31"/>
      <c r="D22" s="31"/>
      <c r="E22" s="31"/>
      <c r="F22" s="31"/>
      <c r="G22" s="32"/>
      <c r="H22" s="32"/>
      <c r="I22" s="32"/>
      <c r="J22" s="32"/>
      <c r="K22" s="31"/>
      <c r="M22" s="33"/>
    </row>
    <row r="23" spans="2:13" x14ac:dyDescent="0.25"/>
    <row r="24" spans="2:13" x14ac:dyDescent="0.25">
      <c r="B24" s="50" t="s">
        <v>25</v>
      </c>
      <c r="C24" s="290" t="s">
        <v>29</v>
      </c>
      <c r="D24" s="290"/>
      <c r="E24" s="290"/>
      <c r="F24" s="290"/>
      <c r="G24" s="35" t="s">
        <v>11</v>
      </c>
      <c r="H24" s="35" t="s">
        <v>12</v>
      </c>
      <c r="I24" s="35" t="s">
        <v>13</v>
      </c>
      <c r="J24" s="35" t="s">
        <v>14</v>
      </c>
      <c r="K24" s="51" t="s">
        <v>15</v>
      </c>
      <c r="M24" s="38" t="s">
        <v>5</v>
      </c>
    </row>
    <row r="25" spans="2:13" ht="27.75" customHeight="1" x14ac:dyDescent="0.25">
      <c r="B25" s="21" t="s">
        <v>97</v>
      </c>
      <c r="C25" s="291" t="s">
        <v>99</v>
      </c>
      <c r="D25" s="292"/>
      <c r="E25" s="292"/>
      <c r="F25" s="293"/>
      <c r="G25" s="278" t="s">
        <v>10</v>
      </c>
      <c r="H25" s="278" t="s">
        <v>10</v>
      </c>
      <c r="I25" s="19">
        <v>73805.336120729567</v>
      </c>
      <c r="J25" s="19">
        <v>94255.318594202254</v>
      </c>
      <c r="K25" s="276"/>
      <c r="M25" s="273" t="s">
        <v>125</v>
      </c>
    </row>
    <row r="26" spans="2:13" ht="27.75" customHeight="1" x14ac:dyDescent="0.25">
      <c r="B26" s="21" t="s">
        <v>98</v>
      </c>
      <c r="C26" s="291" t="s">
        <v>9</v>
      </c>
      <c r="D26" s="292"/>
      <c r="E26" s="292"/>
      <c r="F26" s="293"/>
      <c r="G26" s="279"/>
      <c r="H26" s="279"/>
      <c r="I26" s="19">
        <v>350579.74266295921</v>
      </c>
      <c r="J26" s="19">
        <v>300272.87681134971</v>
      </c>
      <c r="K26" s="277"/>
      <c r="M26" s="275"/>
    </row>
    <row r="27" spans="2:13" ht="13.5" thickBot="1" x14ac:dyDescent="0.3">
      <c r="B27" s="52"/>
      <c r="C27" s="52"/>
      <c r="D27" s="52"/>
      <c r="E27" s="52"/>
      <c r="F27" s="52"/>
      <c r="G27" s="53">
        <f t="shared" ref="G27" si="1">SUM(G25:G26)</f>
        <v>0</v>
      </c>
      <c r="H27" s="53">
        <f>SUM(H25:H26)</f>
        <v>0</v>
      </c>
      <c r="I27" s="53">
        <f t="shared" ref="I27:J27" si="2">SUM(I25:I26)</f>
        <v>424385.07878368878</v>
      </c>
      <c r="J27" s="53">
        <f t="shared" si="2"/>
        <v>394528.19540555193</v>
      </c>
      <c r="K27" s="87"/>
    </row>
    <row r="28" spans="2:13" x14ac:dyDescent="0.25">
      <c r="B28" s="52"/>
      <c r="C28" s="52"/>
      <c r="D28" s="52"/>
      <c r="E28" s="52"/>
      <c r="F28" s="52"/>
      <c r="G28" s="54"/>
      <c r="H28" s="54"/>
      <c r="I28" s="54"/>
      <c r="J28" s="54"/>
      <c r="K28" s="27"/>
    </row>
    <row r="29" spans="2:13" ht="15.75" x14ac:dyDescent="0.25">
      <c r="B29" s="30" t="s">
        <v>39</v>
      </c>
      <c r="C29" s="31"/>
      <c r="D29" s="31"/>
      <c r="E29" s="31"/>
      <c r="F29" s="31"/>
      <c r="G29" s="32"/>
      <c r="H29" s="32"/>
      <c r="I29" s="32"/>
      <c r="J29" s="32"/>
      <c r="K29" s="31"/>
      <c r="M29" s="33"/>
    </row>
    <row r="30" spans="2:13" x14ac:dyDescent="0.25"/>
    <row r="31" spans="2:13" ht="38.25" x14ac:dyDescent="0.25">
      <c r="B31" s="287" t="s">
        <v>8</v>
      </c>
      <c r="C31" s="288"/>
      <c r="D31" s="288"/>
      <c r="E31" s="288"/>
      <c r="F31" s="289"/>
      <c r="G31" s="34" t="s">
        <v>11</v>
      </c>
      <c r="H31" s="35" t="s">
        <v>12</v>
      </c>
      <c r="I31" s="35" t="s">
        <v>13</v>
      </c>
      <c r="J31" s="35" t="s">
        <v>14</v>
      </c>
      <c r="K31" s="152" t="s">
        <v>62</v>
      </c>
      <c r="M31" s="38" t="s">
        <v>5</v>
      </c>
    </row>
    <row r="32" spans="2:13" ht="24.95" customHeight="1" x14ac:dyDescent="0.2">
      <c r="B32" s="187" t="s">
        <v>81</v>
      </c>
      <c r="C32" s="188"/>
      <c r="D32" s="188"/>
      <c r="E32" s="188"/>
      <c r="F32" s="189"/>
      <c r="G32" s="41">
        <v>194</v>
      </c>
      <c r="H32" s="40">
        <v>197</v>
      </c>
      <c r="I32" s="41">
        <v>243</v>
      </c>
      <c r="J32" s="40">
        <v>280</v>
      </c>
      <c r="K32" s="40">
        <v>293</v>
      </c>
      <c r="M32" s="273" t="s">
        <v>142</v>
      </c>
    </row>
    <row r="33" spans="2:13" ht="24.95" customHeight="1" x14ac:dyDescent="0.2">
      <c r="B33" s="190" t="s">
        <v>100</v>
      </c>
      <c r="C33" s="191"/>
      <c r="D33" s="191"/>
      <c r="E33" s="191"/>
      <c r="F33" s="192"/>
      <c r="G33" s="43">
        <v>204</v>
      </c>
      <c r="H33" s="42">
        <v>265</v>
      </c>
      <c r="I33" s="43">
        <v>156</v>
      </c>
      <c r="J33" s="42">
        <v>127</v>
      </c>
      <c r="K33" s="42">
        <v>124</v>
      </c>
      <c r="M33" s="274"/>
    </row>
    <row r="34" spans="2:13" ht="24.95" customHeight="1" x14ac:dyDescent="0.2">
      <c r="B34" s="190" t="s">
        <v>101</v>
      </c>
      <c r="C34" s="191"/>
      <c r="D34" s="191"/>
      <c r="E34" s="191"/>
      <c r="F34" s="192"/>
      <c r="G34" s="43">
        <v>83</v>
      </c>
      <c r="H34" s="42">
        <v>77</v>
      </c>
      <c r="I34" s="43">
        <v>84</v>
      </c>
      <c r="J34" s="42">
        <v>85</v>
      </c>
      <c r="K34" s="42">
        <v>83</v>
      </c>
      <c r="M34" s="274"/>
    </row>
    <row r="35" spans="2:13" ht="24.95" customHeight="1" x14ac:dyDescent="0.2">
      <c r="B35" s="190" t="s">
        <v>102</v>
      </c>
      <c r="C35" s="191"/>
      <c r="D35" s="191"/>
      <c r="E35" s="191"/>
      <c r="F35" s="192"/>
      <c r="G35" s="43">
        <v>41</v>
      </c>
      <c r="H35" s="42">
        <v>58</v>
      </c>
      <c r="I35" s="43">
        <v>34</v>
      </c>
      <c r="J35" s="42">
        <v>41</v>
      </c>
      <c r="K35" s="42">
        <v>44</v>
      </c>
      <c r="M35" s="274"/>
    </row>
    <row r="36" spans="2:13" ht="24.95" customHeight="1" x14ac:dyDescent="0.2">
      <c r="B36" s="190" t="s">
        <v>103</v>
      </c>
      <c r="C36" s="191"/>
      <c r="D36" s="191"/>
      <c r="E36" s="191"/>
      <c r="F36" s="192"/>
      <c r="G36" s="43">
        <v>12</v>
      </c>
      <c r="H36" s="42">
        <v>20</v>
      </c>
      <c r="I36" s="43">
        <v>22</v>
      </c>
      <c r="J36" s="42">
        <v>28</v>
      </c>
      <c r="K36" s="42">
        <v>29</v>
      </c>
      <c r="M36" s="274"/>
    </row>
    <row r="37" spans="2:13" ht="24.95" customHeight="1" x14ac:dyDescent="0.2">
      <c r="B37" s="190" t="s">
        <v>104</v>
      </c>
      <c r="C37" s="191"/>
      <c r="D37" s="191"/>
      <c r="E37" s="191"/>
      <c r="F37" s="192"/>
      <c r="G37" s="43">
        <v>1</v>
      </c>
      <c r="H37" s="42">
        <v>7</v>
      </c>
      <c r="I37" s="43">
        <v>4</v>
      </c>
      <c r="J37" s="42">
        <v>5</v>
      </c>
      <c r="K37" s="42">
        <v>5</v>
      </c>
      <c r="M37" s="274"/>
    </row>
    <row r="38" spans="2:13" x14ac:dyDescent="0.2">
      <c r="B38" s="193"/>
      <c r="C38" s="194"/>
      <c r="D38" s="194"/>
      <c r="E38" s="194"/>
      <c r="F38" s="195"/>
      <c r="G38" s="43"/>
      <c r="H38" s="42"/>
      <c r="I38" s="43"/>
      <c r="J38" s="42"/>
      <c r="K38" s="42"/>
      <c r="M38" s="275"/>
    </row>
    <row r="39" spans="2:13" ht="13.5" thickBot="1" x14ac:dyDescent="0.3">
      <c r="G39" s="46">
        <f>SUM(G32:G37)</f>
        <v>535</v>
      </c>
      <c r="H39" s="47">
        <f>SUM(H32:H37)</f>
        <v>624</v>
      </c>
      <c r="I39" s="48">
        <f>SUM(I32:I37)</f>
        <v>543</v>
      </c>
      <c r="J39" s="47">
        <f>SUM(J32:J37)</f>
        <v>566</v>
      </c>
      <c r="K39" s="47">
        <f>SUM(K32:K37)</f>
        <v>578</v>
      </c>
    </row>
    <row r="40" spans="2:13" x14ac:dyDescent="0.25"/>
    <row r="41" spans="2:13" ht="15.75" x14ac:dyDescent="0.25">
      <c r="B41" s="30" t="s">
        <v>117</v>
      </c>
      <c r="C41" s="31"/>
      <c r="D41" s="31"/>
      <c r="E41" s="31"/>
      <c r="F41" s="31"/>
      <c r="G41" s="32"/>
      <c r="H41" s="32"/>
      <c r="I41" s="32"/>
      <c r="J41" s="32"/>
      <c r="K41" s="31"/>
      <c r="M41" s="33"/>
    </row>
    <row r="42" spans="2:13" x14ac:dyDescent="0.25"/>
    <row r="43" spans="2:13" ht="25.5" x14ac:dyDescent="0.25">
      <c r="B43" s="271" t="s">
        <v>118</v>
      </c>
      <c r="C43" s="272"/>
      <c r="D43" s="272"/>
      <c r="E43" s="272"/>
      <c r="F43" s="280"/>
      <c r="G43" s="34" t="s">
        <v>11</v>
      </c>
      <c r="H43" s="35" t="s">
        <v>12</v>
      </c>
      <c r="I43" s="219" t="s">
        <v>13</v>
      </c>
      <c r="J43" s="222" t="s">
        <v>148</v>
      </c>
      <c r="K43" s="220" t="s">
        <v>59</v>
      </c>
      <c r="M43" s="38" t="s">
        <v>5</v>
      </c>
    </row>
    <row r="44" spans="2:13" x14ac:dyDescent="0.25">
      <c r="B44" s="99" t="s">
        <v>120</v>
      </c>
      <c r="C44" s="197"/>
      <c r="D44" s="197"/>
      <c r="E44" s="197"/>
      <c r="F44" s="223"/>
      <c r="G44" s="278" t="s">
        <v>10</v>
      </c>
      <c r="H44" s="228">
        <v>156327.31</v>
      </c>
      <c r="I44" s="228">
        <v>196755.55</v>
      </c>
      <c r="J44" s="228">
        <v>185740.95</v>
      </c>
      <c r="K44" s="226"/>
      <c r="M44" s="273" t="s">
        <v>121</v>
      </c>
    </row>
    <row r="45" spans="2:13" x14ac:dyDescent="0.25">
      <c r="B45" s="84" t="s">
        <v>119</v>
      </c>
      <c r="C45" s="75"/>
      <c r="D45" s="75"/>
      <c r="E45" s="75"/>
      <c r="F45" s="224"/>
      <c r="G45" s="298"/>
      <c r="H45" s="61">
        <f>H44/$K$9</f>
        <v>5732.0013666666673</v>
      </c>
      <c r="I45" s="61">
        <f t="shared" ref="I45:J45" si="3">I44/$K$9</f>
        <v>7214.3701666666666</v>
      </c>
      <c r="J45" s="61">
        <f t="shared" si="3"/>
        <v>6810.5015000000012</v>
      </c>
      <c r="K45" s="227"/>
      <c r="M45" s="274"/>
    </row>
    <row r="46" spans="2:13" x14ac:dyDescent="0.25">
      <c r="B46" s="114" t="s">
        <v>4</v>
      </c>
      <c r="C46" s="78"/>
      <c r="D46" s="78"/>
      <c r="E46" s="78"/>
      <c r="F46" s="225"/>
      <c r="G46" s="279"/>
      <c r="H46" s="206">
        <f>H32</f>
        <v>197</v>
      </c>
      <c r="I46" s="206">
        <f t="shared" ref="I46" si="4">I32</f>
        <v>243</v>
      </c>
      <c r="J46" s="206">
        <v>239</v>
      </c>
      <c r="K46" s="130"/>
      <c r="M46" s="274"/>
    </row>
    <row r="47" spans="2:13" x14ac:dyDescent="0.25">
      <c r="B47" s="114" t="s">
        <v>94</v>
      </c>
      <c r="C47" s="78"/>
      <c r="D47" s="78"/>
      <c r="E47" s="78"/>
      <c r="F47" s="225"/>
      <c r="G47" s="206"/>
      <c r="H47" s="249">
        <f>+H45/H46</f>
        <v>29.096453637901863</v>
      </c>
      <c r="I47" s="249">
        <f>+I45/I46</f>
        <v>29.68876611796982</v>
      </c>
      <c r="J47" s="249">
        <f>+J45/J46</f>
        <v>28.495822175732222</v>
      </c>
      <c r="K47" s="220">
        <f>ROUND(AVERAGE(H47:J47),0)</f>
        <v>29</v>
      </c>
      <c r="M47" s="275"/>
    </row>
    <row r="48" spans="2:13" ht="15" x14ac:dyDescent="0.25">
      <c r="G48"/>
      <c r="H48" s="8"/>
      <c r="I48" s="8"/>
      <c r="J48" s="221"/>
    </row>
    <row r="49" spans="2:13" ht="15.75" x14ac:dyDescent="0.25">
      <c r="B49" s="30" t="s">
        <v>105</v>
      </c>
      <c r="C49" s="31"/>
      <c r="D49" s="31"/>
      <c r="E49" s="31"/>
      <c r="F49" s="31"/>
      <c r="G49" s="32"/>
      <c r="H49" s="32"/>
      <c r="I49" s="32"/>
      <c r="J49" s="32"/>
      <c r="K49" s="31"/>
      <c r="M49" s="33"/>
    </row>
    <row r="50" spans="2:13" x14ac:dyDescent="0.25"/>
    <row r="51" spans="2:13" ht="25.5" x14ac:dyDescent="0.25">
      <c r="B51" s="68" t="s">
        <v>31</v>
      </c>
      <c r="C51" s="69" t="s">
        <v>32</v>
      </c>
      <c r="D51" s="70"/>
      <c r="E51" s="71" t="s">
        <v>33</v>
      </c>
      <c r="F51" s="72"/>
      <c r="G51" s="72"/>
      <c r="H51" s="73" t="s">
        <v>34</v>
      </c>
      <c r="J51" s="24"/>
      <c r="M51" s="38" t="s">
        <v>5</v>
      </c>
    </row>
    <row r="52" spans="2:13" x14ac:dyDescent="0.25">
      <c r="B52" s="365"/>
      <c r="C52" s="366"/>
      <c r="D52" s="367"/>
      <c r="E52" s="196" t="s">
        <v>87</v>
      </c>
      <c r="F52" s="197"/>
      <c r="G52" s="41"/>
      <c r="H52" s="198">
        <v>80.411931859999996</v>
      </c>
      <c r="J52" s="24"/>
      <c r="M52" s="273" t="s">
        <v>108</v>
      </c>
    </row>
    <row r="53" spans="2:13" x14ac:dyDescent="0.25">
      <c r="B53" s="368"/>
      <c r="C53" s="369"/>
      <c r="D53" s="370"/>
      <c r="E53" s="74" t="s">
        <v>87</v>
      </c>
      <c r="F53" s="75"/>
      <c r="G53" s="43"/>
      <c r="H53" s="76">
        <v>84.861124009999997</v>
      </c>
      <c r="J53" s="24"/>
      <c r="M53" s="274"/>
    </row>
    <row r="54" spans="2:13" x14ac:dyDescent="0.25">
      <c r="B54" s="368"/>
      <c r="C54" s="369"/>
      <c r="D54" s="370"/>
      <c r="E54" s="74" t="s">
        <v>87</v>
      </c>
      <c r="F54" s="75"/>
      <c r="G54" s="43"/>
      <c r="H54" s="76">
        <v>84.861124009999997</v>
      </c>
      <c r="J54" s="24"/>
      <c r="M54" s="274"/>
    </row>
    <row r="55" spans="2:13" x14ac:dyDescent="0.25">
      <c r="B55" s="368"/>
      <c r="C55" s="369"/>
      <c r="D55" s="370"/>
      <c r="E55" s="74" t="s">
        <v>87</v>
      </c>
      <c r="F55" s="75"/>
      <c r="G55" s="43"/>
      <c r="H55" s="76">
        <v>80.411931859999996</v>
      </c>
      <c r="J55" s="24"/>
      <c r="M55" s="274"/>
    </row>
    <row r="56" spans="2:13" x14ac:dyDescent="0.25">
      <c r="B56" s="368"/>
      <c r="C56" s="369"/>
      <c r="D56" s="370"/>
      <c r="E56" s="74" t="s">
        <v>87</v>
      </c>
      <c r="F56" s="75"/>
      <c r="G56" s="43"/>
      <c r="H56" s="76">
        <v>84.861124009999997</v>
      </c>
      <c r="J56" s="24"/>
      <c r="M56" s="274"/>
    </row>
    <row r="57" spans="2:13" x14ac:dyDescent="0.25">
      <c r="B57" s="368"/>
      <c r="C57" s="369"/>
      <c r="D57" s="370"/>
      <c r="E57" s="74" t="s">
        <v>87</v>
      </c>
      <c r="F57" s="75"/>
      <c r="G57" s="43"/>
      <c r="H57" s="76">
        <v>84.861124009999997</v>
      </c>
      <c r="J57" s="24"/>
      <c r="M57" s="274"/>
    </row>
    <row r="58" spans="2:13" x14ac:dyDescent="0.25">
      <c r="B58" s="368"/>
      <c r="C58" s="369"/>
      <c r="D58" s="370"/>
      <c r="E58" s="74" t="s">
        <v>87</v>
      </c>
      <c r="F58" s="75"/>
      <c r="G58" s="43"/>
      <c r="H58" s="76">
        <v>84.861124009999997</v>
      </c>
      <c r="J58" s="24"/>
      <c r="M58" s="274"/>
    </row>
    <row r="59" spans="2:13" x14ac:dyDescent="0.25">
      <c r="B59" s="368"/>
      <c r="C59" s="369"/>
      <c r="D59" s="370"/>
      <c r="E59" s="74" t="s">
        <v>87</v>
      </c>
      <c r="F59" s="75"/>
      <c r="G59" s="43"/>
      <c r="H59" s="76">
        <v>84.861124009999997</v>
      </c>
      <c r="J59" s="24"/>
      <c r="M59" s="274"/>
    </row>
    <row r="60" spans="2:13" x14ac:dyDescent="0.25">
      <c r="B60" s="368"/>
      <c r="C60" s="369"/>
      <c r="D60" s="370"/>
      <c r="E60" s="74" t="s">
        <v>87</v>
      </c>
      <c r="F60" s="75"/>
      <c r="G60" s="43"/>
      <c r="H60" s="76">
        <v>80.411931859999996</v>
      </c>
      <c r="J60" s="24"/>
      <c r="M60" s="274"/>
    </row>
    <row r="61" spans="2:13" x14ac:dyDescent="0.25">
      <c r="B61" s="368"/>
      <c r="C61" s="369"/>
      <c r="D61" s="370"/>
      <c r="E61" s="74" t="s">
        <v>87</v>
      </c>
      <c r="F61" s="75"/>
      <c r="G61" s="43"/>
      <c r="H61" s="76">
        <v>84.861124009999997</v>
      </c>
      <c r="J61" s="24"/>
      <c r="M61" s="274"/>
    </row>
    <row r="62" spans="2:13" x14ac:dyDescent="0.25">
      <c r="B62" s="368"/>
      <c r="C62" s="369"/>
      <c r="D62" s="370"/>
      <c r="E62" s="74" t="s">
        <v>87</v>
      </c>
      <c r="F62" s="75"/>
      <c r="G62" s="43"/>
      <c r="H62" s="76">
        <v>84.861124009999997</v>
      </c>
      <c r="J62" s="24"/>
      <c r="M62" s="274"/>
    </row>
    <row r="63" spans="2:13" x14ac:dyDescent="0.25">
      <c r="B63" s="368"/>
      <c r="C63" s="369"/>
      <c r="D63" s="370"/>
      <c r="E63" s="74" t="s">
        <v>87</v>
      </c>
      <c r="F63" s="75"/>
      <c r="G63" s="43"/>
      <c r="H63" s="76">
        <v>80.411931859999996</v>
      </c>
      <c r="J63" s="24"/>
      <c r="M63" s="274"/>
    </row>
    <row r="64" spans="2:13" x14ac:dyDescent="0.25">
      <c r="B64" s="368"/>
      <c r="C64" s="369"/>
      <c r="D64" s="370"/>
      <c r="E64" s="74" t="s">
        <v>87</v>
      </c>
      <c r="F64" s="75"/>
      <c r="G64" s="43"/>
      <c r="H64" s="76">
        <v>84.861124009999997</v>
      </c>
      <c r="J64" s="24"/>
      <c r="M64" s="274"/>
    </row>
    <row r="65" spans="2:13" x14ac:dyDescent="0.25">
      <c r="B65" s="368"/>
      <c r="C65" s="369"/>
      <c r="D65" s="370"/>
      <c r="E65" s="74" t="s">
        <v>87</v>
      </c>
      <c r="F65" s="75"/>
      <c r="G65" s="43"/>
      <c r="H65" s="76">
        <v>84.861124009999997</v>
      </c>
      <c r="J65" s="24"/>
      <c r="M65" s="274"/>
    </row>
    <row r="66" spans="2:13" x14ac:dyDescent="0.25">
      <c r="B66" s="368"/>
      <c r="C66" s="369"/>
      <c r="D66" s="370"/>
      <c r="E66" s="74" t="s">
        <v>87</v>
      </c>
      <c r="F66" s="75"/>
      <c r="G66" s="43"/>
      <c r="H66" s="76">
        <v>84.861124009999997</v>
      </c>
      <c r="J66" s="24"/>
      <c r="M66" s="274"/>
    </row>
    <row r="67" spans="2:13" x14ac:dyDescent="0.25">
      <c r="B67" s="368"/>
      <c r="C67" s="369"/>
      <c r="D67" s="370"/>
      <c r="E67" s="74" t="s">
        <v>87</v>
      </c>
      <c r="F67" s="75"/>
      <c r="G67" s="43"/>
      <c r="H67" s="76">
        <v>83.502554650000008</v>
      </c>
      <c r="J67" s="24"/>
      <c r="M67" s="274"/>
    </row>
    <row r="68" spans="2:13" x14ac:dyDescent="0.25">
      <c r="B68" s="368"/>
      <c r="C68" s="369"/>
      <c r="D68" s="370"/>
      <c r="E68" s="74" t="s">
        <v>87</v>
      </c>
      <c r="F68" s="75"/>
      <c r="G68" s="43"/>
      <c r="H68" s="76">
        <v>84.861124009999997</v>
      </c>
      <c r="J68" s="24"/>
      <c r="M68" s="274"/>
    </row>
    <row r="69" spans="2:13" x14ac:dyDescent="0.25">
      <c r="B69" s="368"/>
      <c r="C69" s="369"/>
      <c r="D69" s="370"/>
      <c r="E69" s="74" t="s">
        <v>87</v>
      </c>
      <c r="F69" s="75"/>
      <c r="G69" s="43"/>
      <c r="H69" s="76">
        <v>83.502554650000008</v>
      </c>
      <c r="J69" s="24"/>
      <c r="M69" s="274"/>
    </row>
    <row r="70" spans="2:13" x14ac:dyDescent="0.25">
      <c r="B70" s="368"/>
      <c r="C70" s="369"/>
      <c r="D70" s="370"/>
      <c r="E70" s="74" t="s">
        <v>87</v>
      </c>
      <c r="F70" s="75"/>
      <c r="G70" s="43"/>
      <c r="H70" s="76">
        <v>84.861124009999997</v>
      </c>
      <c r="J70" s="24"/>
      <c r="M70" s="274"/>
    </row>
    <row r="71" spans="2:13" x14ac:dyDescent="0.25">
      <c r="B71" s="368"/>
      <c r="C71" s="369"/>
      <c r="D71" s="370"/>
      <c r="E71" s="74" t="s">
        <v>87</v>
      </c>
      <c r="F71" s="75"/>
      <c r="G71" s="43"/>
      <c r="H71" s="76">
        <v>84.861124009999997</v>
      </c>
      <c r="J71" s="24"/>
      <c r="M71" s="274"/>
    </row>
    <row r="72" spans="2:13" x14ac:dyDescent="0.25">
      <c r="B72" s="368"/>
      <c r="C72" s="369"/>
      <c r="D72" s="370"/>
      <c r="E72" s="74" t="s">
        <v>87</v>
      </c>
      <c r="F72" s="75"/>
      <c r="G72" s="43"/>
      <c r="H72" s="76">
        <v>84.861124009999997</v>
      </c>
      <c r="J72" s="24"/>
      <c r="M72" s="274"/>
    </row>
    <row r="73" spans="2:13" x14ac:dyDescent="0.25">
      <c r="B73" s="368"/>
      <c r="C73" s="369"/>
      <c r="D73" s="370"/>
      <c r="E73" s="74" t="s">
        <v>87</v>
      </c>
      <c r="F73" s="75"/>
      <c r="G73" s="43"/>
      <c r="H73" s="76">
        <v>84.861124009999997</v>
      </c>
      <c r="J73" s="24"/>
      <c r="M73" s="274"/>
    </row>
    <row r="74" spans="2:13" x14ac:dyDescent="0.25">
      <c r="B74" s="368"/>
      <c r="C74" s="369"/>
      <c r="D74" s="370"/>
      <c r="E74" s="74" t="s">
        <v>87</v>
      </c>
      <c r="F74" s="75"/>
      <c r="G74" s="43"/>
      <c r="H74" s="76">
        <v>83.502554650000008</v>
      </c>
      <c r="J74" s="24"/>
      <c r="M74" s="274"/>
    </row>
    <row r="75" spans="2:13" x14ac:dyDescent="0.25">
      <c r="B75" s="368"/>
      <c r="C75" s="369"/>
      <c r="D75" s="370"/>
      <c r="E75" s="74" t="s">
        <v>87</v>
      </c>
      <c r="F75" s="75"/>
      <c r="G75" s="43"/>
      <c r="H75" s="76">
        <v>83.502554650000008</v>
      </c>
      <c r="J75" s="24"/>
      <c r="M75" s="274"/>
    </row>
    <row r="76" spans="2:13" x14ac:dyDescent="0.25">
      <c r="B76" s="368"/>
      <c r="C76" s="369"/>
      <c r="D76" s="370"/>
      <c r="E76" s="74" t="s">
        <v>87</v>
      </c>
      <c r="F76" s="75"/>
      <c r="G76" s="43"/>
      <c r="H76" s="76">
        <v>84.861124009999997</v>
      </c>
      <c r="J76" s="24"/>
      <c r="M76" s="274"/>
    </row>
    <row r="77" spans="2:13" x14ac:dyDescent="0.25">
      <c r="B77" s="368"/>
      <c r="C77" s="369"/>
      <c r="D77" s="370"/>
      <c r="E77" s="74" t="s">
        <v>87</v>
      </c>
      <c r="F77" s="75"/>
      <c r="G77" s="43"/>
      <c r="H77" s="76">
        <v>84.861124009999997</v>
      </c>
      <c r="J77" s="24"/>
      <c r="M77" s="274"/>
    </row>
    <row r="78" spans="2:13" x14ac:dyDescent="0.25">
      <c r="B78" s="368"/>
      <c r="C78" s="369"/>
      <c r="D78" s="370"/>
      <c r="E78" s="74" t="s">
        <v>87</v>
      </c>
      <c r="F78" s="75"/>
      <c r="G78" s="43"/>
      <c r="H78" s="76">
        <v>84.861124009999997</v>
      </c>
      <c r="J78" s="24"/>
      <c r="M78" s="274"/>
    </row>
    <row r="79" spans="2:13" x14ac:dyDescent="0.25">
      <c r="B79" s="368"/>
      <c r="C79" s="369"/>
      <c r="D79" s="370"/>
      <c r="E79" s="74" t="s">
        <v>87</v>
      </c>
      <c r="F79" s="75"/>
      <c r="G79" s="43"/>
      <c r="H79" s="76">
        <v>84.861124009999997</v>
      </c>
      <c r="J79" s="24"/>
      <c r="M79" s="274"/>
    </row>
    <row r="80" spans="2:13" x14ac:dyDescent="0.25">
      <c r="B80" s="368"/>
      <c r="C80" s="369"/>
      <c r="D80" s="370"/>
      <c r="E80" s="74" t="s">
        <v>87</v>
      </c>
      <c r="F80" s="75"/>
      <c r="G80" s="43"/>
      <c r="H80" s="76">
        <v>84.861124009999997</v>
      </c>
      <c r="J80" s="24"/>
      <c r="M80" s="274"/>
    </row>
    <row r="81" spans="2:13" x14ac:dyDescent="0.25">
      <c r="B81" s="368"/>
      <c r="C81" s="369"/>
      <c r="D81" s="370"/>
      <c r="E81" s="74" t="s">
        <v>87</v>
      </c>
      <c r="F81" s="75"/>
      <c r="G81" s="43"/>
      <c r="H81" s="76">
        <v>80.411931859999996</v>
      </c>
      <c r="J81" s="24"/>
      <c r="M81" s="274"/>
    </row>
    <row r="82" spans="2:13" x14ac:dyDescent="0.25">
      <c r="B82" s="368"/>
      <c r="C82" s="369"/>
      <c r="D82" s="370"/>
      <c r="E82" s="74" t="s">
        <v>87</v>
      </c>
      <c r="F82" s="75"/>
      <c r="G82" s="43"/>
      <c r="H82" s="76">
        <v>84.861124009999997</v>
      </c>
      <c r="J82" s="24"/>
      <c r="M82" s="274"/>
    </row>
    <row r="83" spans="2:13" x14ac:dyDescent="0.25">
      <c r="B83" s="368"/>
      <c r="C83" s="369"/>
      <c r="D83" s="370"/>
      <c r="E83" s="74" t="s">
        <v>87</v>
      </c>
      <c r="F83" s="75"/>
      <c r="G83" s="43"/>
      <c r="H83" s="76">
        <v>84.861124009999997</v>
      </c>
      <c r="J83" s="24"/>
      <c r="M83" s="274"/>
    </row>
    <row r="84" spans="2:13" x14ac:dyDescent="0.25">
      <c r="B84" s="368"/>
      <c r="C84" s="369"/>
      <c r="D84" s="370"/>
      <c r="E84" s="74" t="s">
        <v>87</v>
      </c>
      <c r="F84" s="75"/>
      <c r="G84" s="43"/>
      <c r="H84" s="76">
        <v>84.861124009999997</v>
      </c>
      <c r="J84" s="24"/>
      <c r="M84" s="274"/>
    </row>
    <row r="85" spans="2:13" x14ac:dyDescent="0.25">
      <c r="B85" s="368"/>
      <c r="C85" s="369"/>
      <c r="D85" s="370"/>
      <c r="E85" s="74" t="s">
        <v>87</v>
      </c>
      <c r="F85" s="75"/>
      <c r="G85" s="43"/>
      <c r="H85" s="76">
        <v>84.861124009999997</v>
      </c>
      <c r="J85" s="24"/>
      <c r="M85" s="274"/>
    </row>
    <row r="86" spans="2:13" x14ac:dyDescent="0.25">
      <c r="B86" s="368"/>
      <c r="C86" s="369"/>
      <c r="D86" s="370"/>
      <c r="E86" s="74" t="s">
        <v>87</v>
      </c>
      <c r="F86" s="75"/>
      <c r="G86" s="43"/>
      <c r="H86" s="76">
        <v>84.861124009999997</v>
      </c>
      <c r="J86" s="24"/>
      <c r="M86" s="274"/>
    </row>
    <row r="87" spans="2:13" x14ac:dyDescent="0.25">
      <c r="B87" s="368"/>
      <c r="C87" s="369"/>
      <c r="D87" s="370"/>
      <c r="E87" s="74" t="s">
        <v>87</v>
      </c>
      <c r="F87" s="75"/>
      <c r="G87" s="43"/>
      <c r="H87" s="76">
        <v>84.861124009999997</v>
      </c>
      <c r="J87" s="24"/>
      <c r="M87" s="274"/>
    </row>
    <row r="88" spans="2:13" x14ac:dyDescent="0.25">
      <c r="B88" s="368"/>
      <c r="C88" s="369"/>
      <c r="D88" s="370"/>
      <c r="E88" s="74" t="s">
        <v>87</v>
      </c>
      <c r="F88" s="75"/>
      <c r="G88" s="43"/>
      <c r="H88" s="76">
        <v>84.861124009999997</v>
      </c>
      <c r="J88" s="24"/>
      <c r="M88" s="274"/>
    </row>
    <row r="89" spans="2:13" x14ac:dyDescent="0.25">
      <c r="B89" s="368"/>
      <c r="C89" s="369"/>
      <c r="D89" s="370"/>
      <c r="E89" s="74" t="s">
        <v>87</v>
      </c>
      <c r="F89" s="75"/>
      <c r="G89" s="43"/>
      <c r="H89" s="76">
        <v>84.861124009999997</v>
      </c>
      <c r="J89" s="24"/>
      <c r="M89" s="274"/>
    </row>
    <row r="90" spans="2:13" x14ac:dyDescent="0.25">
      <c r="B90" s="368"/>
      <c r="C90" s="369"/>
      <c r="D90" s="370"/>
      <c r="E90" s="74" t="s">
        <v>87</v>
      </c>
      <c r="F90" s="75"/>
      <c r="G90" s="43"/>
      <c r="H90" s="76">
        <v>84.861124009999997</v>
      </c>
      <c r="J90" s="24"/>
      <c r="M90" s="274"/>
    </row>
    <row r="91" spans="2:13" x14ac:dyDescent="0.25">
      <c r="B91" s="368"/>
      <c r="C91" s="369"/>
      <c r="D91" s="370"/>
      <c r="E91" s="74" t="s">
        <v>87</v>
      </c>
      <c r="F91" s="75"/>
      <c r="G91" s="43"/>
      <c r="H91" s="76">
        <v>83.502554650000008</v>
      </c>
      <c r="J91" s="24"/>
      <c r="M91" s="274"/>
    </row>
    <row r="92" spans="2:13" x14ac:dyDescent="0.25">
      <c r="B92" s="368"/>
      <c r="C92" s="369"/>
      <c r="D92" s="370"/>
      <c r="E92" s="74" t="s">
        <v>87</v>
      </c>
      <c r="F92" s="75"/>
      <c r="G92" s="43"/>
      <c r="H92" s="76">
        <v>84.861124009999997</v>
      </c>
      <c r="J92" s="24"/>
      <c r="M92" s="274"/>
    </row>
    <row r="93" spans="2:13" x14ac:dyDescent="0.25">
      <c r="B93" s="368"/>
      <c r="C93" s="369"/>
      <c r="D93" s="370"/>
      <c r="E93" s="74" t="s">
        <v>87</v>
      </c>
      <c r="F93" s="75"/>
      <c r="G93" s="43"/>
      <c r="H93" s="76">
        <v>84.861124009999997</v>
      </c>
      <c r="J93" s="24"/>
      <c r="M93" s="274"/>
    </row>
    <row r="94" spans="2:13" x14ac:dyDescent="0.25">
      <c r="B94" s="371"/>
      <c r="C94" s="372"/>
      <c r="D94" s="373"/>
      <c r="E94" s="77" t="s">
        <v>87</v>
      </c>
      <c r="F94" s="78"/>
      <c r="G94" s="45"/>
      <c r="H94" s="79">
        <v>84.861124009999997</v>
      </c>
      <c r="J94" s="24"/>
      <c r="M94" s="274"/>
    </row>
    <row r="95" spans="2:13" x14ac:dyDescent="0.25">
      <c r="G95" s="212" t="s">
        <v>35</v>
      </c>
      <c r="H95" s="199">
        <f>AVERAGE(H52:H94)</f>
        <v>84.185802904186005</v>
      </c>
      <c r="J95" s="24"/>
      <c r="M95" s="275"/>
    </row>
    <row r="96" spans="2:13" x14ac:dyDescent="0.25"/>
    <row r="97" spans="2:17" ht="15.75" x14ac:dyDescent="0.25">
      <c r="B97" s="30" t="s">
        <v>40</v>
      </c>
      <c r="C97" s="31"/>
      <c r="D97" s="31"/>
      <c r="E97" s="31"/>
      <c r="F97" s="31"/>
      <c r="G97" s="32"/>
      <c r="H97" s="32"/>
      <c r="I97" s="32"/>
      <c r="J97" s="32"/>
      <c r="K97" s="31"/>
      <c r="M97" s="33"/>
    </row>
    <row r="98" spans="2:17" x14ac:dyDescent="0.25"/>
    <row r="99" spans="2:17" x14ac:dyDescent="0.25">
      <c r="B99" s="241" t="s">
        <v>28</v>
      </c>
      <c r="C99" s="242"/>
      <c r="D99" s="242"/>
      <c r="E99" s="242"/>
      <c r="F99" s="34" t="s">
        <v>122</v>
      </c>
      <c r="G99" s="34" t="s">
        <v>11</v>
      </c>
      <c r="H99" s="35" t="s">
        <v>12</v>
      </c>
      <c r="I99" s="36" t="s">
        <v>13</v>
      </c>
      <c r="J99" s="35" t="s">
        <v>14</v>
      </c>
      <c r="K99" s="37" t="s">
        <v>15</v>
      </c>
      <c r="M99" s="38" t="s">
        <v>5</v>
      </c>
    </row>
    <row r="100" spans="2:17" ht="54" customHeight="1" x14ac:dyDescent="0.2">
      <c r="B100" s="238" t="s">
        <v>38</v>
      </c>
      <c r="C100" s="240"/>
      <c r="D100" s="239"/>
      <c r="E100" s="240"/>
      <c r="F100" s="243">
        <v>3.5000000000000003E-2</v>
      </c>
      <c r="G100" s="243">
        <v>3.5000000000000003E-2</v>
      </c>
      <c r="H100" s="243">
        <v>0.04</v>
      </c>
      <c r="I100" s="244">
        <v>0.04</v>
      </c>
      <c r="J100" s="243">
        <v>0</v>
      </c>
      <c r="K100" s="86"/>
      <c r="M100" s="49" t="s">
        <v>42</v>
      </c>
    </row>
    <row r="101" spans="2:17" x14ac:dyDescent="0.25"/>
    <row r="102" spans="2:17" ht="15.75" x14ac:dyDescent="0.25">
      <c r="B102" s="30" t="s">
        <v>89</v>
      </c>
      <c r="C102" s="31"/>
      <c r="D102" s="31"/>
      <c r="E102" s="31"/>
      <c r="F102" s="31"/>
      <c r="G102" s="32"/>
      <c r="H102" s="32"/>
      <c r="I102" s="32"/>
      <c r="J102" s="32"/>
      <c r="K102" s="31"/>
      <c r="M102" s="33"/>
    </row>
    <row r="103" spans="2:17" x14ac:dyDescent="0.25"/>
    <row r="104" spans="2:17" ht="15" customHeight="1" x14ac:dyDescent="0.25">
      <c r="E104" s="294" t="s">
        <v>88</v>
      </c>
      <c r="F104" s="295"/>
      <c r="G104" s="296"/>
      <c r="H104" s="211">
        <f>+I104/(1+H100)</f>
        <v>77.834507122953028</v>
      </c>
      <c r="I104" s="211">
        <f>+J104/(1+I100)</f>
        <v>80.94788740787115</v>
      </c>
      <c r="J104" s="211">
        <f>+H95</f>
        <v>84.185802904186005</v>
      </c>
    </row>
    <row r="105" spans="2:17" ht="38.25" x14ac:dyDescent="0.25">
      <c r="B105" s="271" t="s">
        <v>3</v>
      </c>
      <c r="C105" s="280"/>
      <c r="D105" s="55" t="s">
        <v>36</v>
      </c>
      <c r="E105" s="55" t="s">
        <v>27</v>
      </c>
      <c r="F105" s="56" t="s">
        <v>37</v>
      </c>
      <c r="G105" s="34" t="s">
        <v>11</v>
      </c>
      <c r="H105" s="35" t="s">
        <v>12</v>
      </c>
      <c r="I105" s="35" t="s">
        <v>13</v>
      </c>
      <c r="J105" s="35" t="s">
        <v>14</v>
      </c>
      <c r="K105" s="51" t="s">
        <v>15</v>
      </c>
      <c r="M105" s="38" t="s">
        <v>5</v>
      </c>
    </row>
    <row r="106" spans="2:17" ht="131.25" customHeight="1" x14ac:dyDescent="0.25">
      <c r="B106" s="316" t="s">
        <v>106</v>
      </c>
      <c r="C106" s="317"/>
      <c r="D106" s="22">
        <v>2</v>
      </c>
      <c r="E106" s="57">
        <v>1</v>
      </c>
      <c r="F106" s="58">
        <f>+H95</f>
        <v>84.185802904186005</v>
      </c>
      <c r="G106" s="88"/>
      <c r="H106" s="59">
        <f>+H104*$D$106*$E$106*H39</f>
        <v>97137.464889445371</v>
      </c>
      <c r="I106" s="59">
        <f>+I104*$D$106*$E$106*I39</f>
        <v>87909.405724948068</v>
      </c>
      <c r="J106" s="59">
        <f>+J104*$D$106*$E$106*J39</f>
        <v>95298.328887538562</v>
      </c>
      <c r="K106" s="88"/>
      <c r="M106" s="207" t="s">
        <v>112</v>
      </c>
      <c r="O106" s="26"/>
    </row>
    <row r="107" spans="2:17" ht="13.5" thickBot="1" x14ac:dyDescent="0.3">
      <c r="E107" s="60"/>
      <c r="H107" s="47">
        <f>SUM(H106:H106)</f>
        <v>97137.464889445371</v>
      </c>
      <c r="I107" s="47">
        <f>SUM(I106:I106)</f>
        <v>87909.405724948068</v>
      </c>
      <c r="J107" s="47">
        <f>SUM(J106:J106)</f>
        <v>95298.328887538562</v>
      </c>
      <c r="O107" s="25"/>
      <c r="P107" s="25"/>
      <c r="Q107" s="25"/>
    </row>
    <row r="108" spans="2:17" x14ac:dyDescent="0.25">
      <c r="E108" s="60"/>
    </row>
    <row r="109" spans="2:17" ht="15.75" x14ac:dyDescent="0.25">
      <c r="B109" s="30" t="s">
        <v>90</v>
      </c>
      <c r="C109" s="31"/>
      <c r="D109" s="31"/>
      <c r="E109" s="31"/>
      <c r="F109" s="31"/>
      <c r="G109" s="32"/>
      <c r="H109" s="32"/>
      <c r="I109" s="32"/>
      <c r="J109" s="32"/>
      <c r="K109" s="31"/>
      <c r="M109" s="33"/>
    </row>
    <row r="110" spans="2:17" x14ac:dyDescent="0.25">
      <c r="E110" s="60"/>
    </row>
    <row r="111" spans="2:17" x14ac:dyDescent="0.25">
      <c r="B111" s="307"/>
      <c r="C111" s="308"/>
      <c r="D111" s="308"/>
      <c r="E111" s="308"/>
      <c r="F111" s="308"/>
      <c r="G111" s="309"/>
      <c r="H111" s="202" t="s">
        <v>12</v>
      </c>
      <c r="I111" s="202" t="s">
        <v>13</v>
      </c>
      <c r="J111" s="202" t="s">
        <v>14</v>
      </c>
      <c r="K111" s="51" t="s">
        <v>15</v>
      </c>
      <c r="M111" s="38" t="s">
        <v>5</v>
      </c>
    </row>
    <row r="112" spans="2:17" x14ac:dyDescent="0.25">
      <c r="B112" s="301" t="s">
        <v>41</v>
      </c>
      <c r="C112" s="302"/>
      <c r="D112" s="302"/>
      <c r="E112" s="302"/>
      <c r="F112" s="302"/>
      <c r="G112" s="302"/>
      <c r="H112" s="278"/>
      <c r="I112" s="41">
        <f>+I107+I27</f>
        <v>512294.48450863687</v>
      </c>
      <c r="J112" s="205">
        <f>+J107+J27</f>
        <v>489826.52429309051</v>
      </c>
      <c r="K112" s="200"/>
      <c r="M112" s="281" t="s">
        <v>113</v>
      </c>
    </row>
    <row r="113" spans="2:14" x14ac:dyDescent="0.25">
      <c r="B113" s="299" t="s">
        <v>65</v>
      </c>
      <c r="C113" s="300"/>
      <c r="D113" s="300"/>
      <c r="E113" s="300"/>
      <c r="F113" s="300"/>
      <c r="G113" s="300"/>
      <c r="H113" s="298"/>
      <c r="I113" s="45">
        <f>+I39</f>
        <v>543</v>
      </c>
      <c r="J113" s="206">
        <f>+J39</f>
        <v>566</v>
      </c>
      <c r="K113" s="201"/>
      <c r="M113" s="282"/>
    </row>
    <row r="114" spans="2:14" x14ac:dyDescent="0.25">
      <c r="B114" s="284" t="s">
        <v>143</v>
      </c>
      <c r="C114" s="285"/>
      <c r="D114" s="285"/>
      <c r="E114" s="285"/>
      <c r="F114" s="285"/>
      <c r="G114" s="286"/>
      <c r="H114" s="298"/>
      <c r="I114" s="203">
        <f>+I112/I113</f>
        <v>943.45208933450624</v>
      </c>
      <c r="J114" s="204">
        <f>+J112/J113</f>
        <v>865.41788744362282</v>
      </c>
      <c r="K114" s="164"/>
      <c r="M114" s="282"/>
      <c r="N114" s="66"/>
    </row>
    <row r="115" spans="2:14" x14ac:dyDescent="0.25">
      <c r="B115" s="301" t="s">
        <v>63</v>
      </c>
      <c r="C115" s="302"/>
      <c r="D115" s="302"/>
      <c r="E115" s="302"/>
      <c r="F115" s="302"/>
      <c r="G115" s="303"/>
      <c r="H115" s="298"/>
      <c r="I115" s="62">
        <f>+I100</f>
        <v>0.04</v>
      </c>
      <c r="J115" s="63">
        <f>+J100</f>
        <v>0</v>
      </c>
      <c r="K115" s="163"/>
      <c r="M115" s="282"/>
    </row>
    <row r="116" spans="2:14" x14ac:dyDescent="0.25">
      <c r="B116" s="304" t="s">
        <v>144</v>
      </c>
      <c r="C116" s="305"/>
      <c r="D116" s="305"/>
      <c r="E116" s="305"/>
      <c r="F116" s="305"/>
      <c r="G116" s="306"/>
      <c r="H116" s="279"/>
      <c r="I116" s="64">
        <f>+I114*(1+I115)</f>
        <v>981.19017290788656</v>
      </c>
      <c r="J116" s="65">
        <f>+J114</f>
        <v>865.41788744362282</v>
      </c>
      <c r="K116" s="165"/>
      <c r="M116" s="282"/>
    </row>
    <row r="117" spans="2:14" x14ac:dyDescent="0.25">
      <c r="E117" s="60"/>
      <c r="H117" s="66"/>
      <c r="I117" s="66"/>
      <c r="J117" s="66"/>
      <c r="M117" s="282"/>
    </row>
    <row r="118" spans="2:14" x14ac:dyDescent="0.25">
      <c r="E118" s="60"/>
      <c r="G118" s="297" t="s">
        <v>145</v>
      </c>
      <c r="H118" s="297"/>
      <c r="I118" s="297"/>
      <c r="J118" s="172">
        <f>AVERAGE(I116:J116)</f>
        <v>923.30403017575463</v>
      </c>
      <c r="K118" s="91"/>
      <c r="M118" s="282"/>
    </row>
    <row r="119" spans="2:14" x14ac:dyDescent="0.25">
      <c r="E119" s="60"/>
      <c r="H119" s="66"/>
      <c r="I119" s="66"/>
      <c r="J119" s="66"/>
      <c r="K119" s="91"/>
      <c r="M119" s="282"/>
    </row>
    <row r="120" spans="2:14" x14ac:dyDescent="0.25">
      <c r="E120" s="60"/>
      <c r="G120" s="297" t="s">
        <v>47</v>
      </c>
      <c r="H120" s="297"/>
      <c r="I120" s="297"/>
      <c r="J120" s="173">
        <f>+K140-1</f>
        <v>1.2648945446885498</v>
      </c>
      <c r="K120" s="91"/>
      <c r="M120" s="282"/>
    </row>
    <row r="121" spans="2:14" x14ac:dyDescent="0.25">
      <c r="E121" s="60"/>
      <c r="H121" s="66"/>
      <c r="I121" s="66"/>
      <c r="J121" s="66"/>
      <c r="K121" s="91"/>
      <c r="M121" s="282"/>
    </row>
    <row r="122" spans="2:14" x14ac:dyDescent="0.25">
      <c r="E122" s="60"/>
      <c r="G122" s="297" t="s">
        <v>138</v>
      </c>
      <c r="H122" s="297"/>
      <c r="I122" s="297"/>
      <c r="J122" s="172">
        <f>+J118+(J120*J118)</f>
        <v>2091.1862610340186</v>
      </c>
      <c r="K122" s="91"/>
      <c r="M122" s="283"/>
    </row>
    <row r="123" spans="2:14" x14ac:dyDescent="0.25">
      <c r="E123" s="60"/>
      <c r="H123" s="66"/>
      <c r="I123" s="66"/>
      <c r="J123" s="66"/>
    </row>
    <row r="124" spans="2:14" ht="15.75" x14ac:dyDescent="0.25">
      <c r="B124" s="30" t="s">
        <v>91</v>
      </c>
      <c r="C124" s="31"/>
      <c r="D124" s="31"/>
      <c r="E124" s="31"/>
      <c r="F124" s="31"/>
      <c r="G124" s="32"/>
      <c r="H124" s="32"/>
      <c r="I124" s="32"/>
      <c r="J124" s="32"/>
      <c r="K124" s="31"/>
      <c r="M124" s="33"/>
    </row>
    <row r="125" spans="2:14" x14ac:dyDescent="0.25">
      <c r="E125" s="60"/>
    </row>
    <row r="126" spans="2:14" x14ac:dyDescent="0.25">
      <c r="B126" s="166"/>
      <c r="C126" s="167"/>
      <c r="D126" s="167"/>
      <c r="E126" s="167"/>
      <c r="F126" s="35" t="s">
        <v>15</v>
      </c>
      <c r="G126" s="35" t="s">
        <v>16</v>
      </c>
      <c r="H126" s="35" t="s">
        <v>17</v>
      </c>
      <c r="I126" s="35" t="s">
        <v>18</v>
      </c>
      <c r="J126" s="35" t="s">
        <v>19</v>
      </c>
      <c r="K126" s="35" t="s">
        <v>20</v>
      </c>
      <c r="M126" s="38" t="s">
        <v>5</v>
      </c>
    </row>
    <row r="127" spans="2:14" ht="12.75" customHeight="1" x14ac:dyDescent="0.25">
      <c r="H127" s="66"/>
      <c r="I127" s="66"/>
      <c r="J127" s="66"/>
      <c r="M127" s="281" t="s">
        <v>126</v>
      </c>
    </row>
    <row r="128" spans="2:14" x14ac:dyDescent="0.25">
      <c r="B128" s="24" t="s">
        <v>92</v>
      </c>
      <c r="F128" s="67">
        <f>+G128/1.025</f>
        <v>963.14173688901815</v>
      </c>
      <c r="G128" s="67">
        <f>$J118*G147</f>
        <v>987.22028031124353</v>
      </c>
      <c r="H128" s="67">
        <f>$J118*H147</f>
        <v>1030.2924246196171</v>
      </c>
      <c r="I128" s="67">
        <f>$J118*I147</f>
        <v>1065.1757557760441</v>
      </c>
      <c r="J128" s="67">
        <f>$J118*J147</f>
        <v>1102.6999355514276</v>
      </c>
      <c r="K128" s="67">
        <f>$J118*K147</f>
        <v>1140.6728950558902</v>
      </c>
      <c r="M128" s="282"/>
    </row>
    <row r="129" spans="2:13" x14ac:dyDescent="0.25">
      <c r="B129" s="24" t="s">
        <v>93</v>
      </c>
      <c r="G129" s="67">
        <f>$J122*G147</f>
        <v>2235.9498272828364</v>
      </c>
      <c r="H129" s="67">
        <f>$J122*H147</f>
        <v>2333.5036919549093</v>
      </c>
      <c r="I129" s="67">
        <f>$J122*I147</f>
        <v>2412.5107583916651</v>
      </c>
      <c r="J129" s="67">
        <f>$J122*J147</f>
        <v>2497.4990684588438</v>
      </c>
      <c r="K129" s="67">
        <f>$J122*K147</f>
        <v>2583.50381728618</v>
      </c>
      <c r="M129" s="282"/>
    </row>
    <row r="130" spans="2:13" x14ac:dyDescent="0.25">
      <c r="G130" s="67"/>
      <c r="H130" s="67"/>
      <c r="I130" s="67"/>
      <c r="J130" s="67"/>
      <c r="K130" s="67"/>
      <c r="M130" s="282"/>
    </row>
    <row r="131" spans="2:13" x14ac:dyDescent="0.25">
      <c r="B131" s="168" t="s">
        <v>64</v>
      </c>
      <c r="C131" s="168"/>
      <c r="D131" s="168"/>
      <c r="E131" s="168"/>
      <c r="F131" s="168"/>
      <c r="G131" s="169"/>
      <c r="H131" s="169">
        <f t="shared" ref="H131:K131" si="5">(H129-G129)/G129</f>
        <v>4.3629719898778764E-2</v>
      </c>
      <c r="I131" s="169">
        <f t="shared" si="5"/>
        <v>3.3857699351041999E-2</v>
      </c>
      <c r="J131" s="169">
        <f t="shared" si="5"/>
        <v>3.5228157956003196E-2</v>
      </c>
      <c r="K131" s="170">
        <f t="shared" si="5"/>
        <v>3.4436348711196128E-2</v>
      </c>
      <c r="M131" s="283"/>
    </row>
    <row r="132" spans="2:13" x14ac:dyDescent="0.25">
      <c r="E132" s="60"/>
      <c r="H132" s="66"/>
      <c r="I132" s="66"/>
      <c r="J132" s="66"/>
    </row>
    <row r="133" spans="2:13" ht="15.75" x14ac:dyDescent="0.25">
      <c r="B133" s="30" t="s">
        <v>46</v>
      </c>
      <c r="C133" s="31"/>
      <c r="D133" s="31"/>
      <c r="E133" s="31"/>
      <c r="F133" s="31"/>
      <c r="G133" s="32"/>
      <c r="H133" s="32"/>
      <c r="I133" s="32"/>
      <c r="J133" s="32"/>
      <c r="K133" s="31"/>
      <c r="M133" s="33"/>
    </row>
    <row r="134" spans="2:13" x14ac:dyDescent="0.25"/>
    <row r="135" spans="2:13" x14ac:dyDescent="0.25">
      <c r="B135" s="330" t="s">
        <v>21</v>
      </c>
      <c r="C135" s="331"/>
      <c r="D135" s="331"/>
      <c r="E135" s="332"/>
      <c r="F135" s="218" t="s">
        <v>15</v>
      </c>
      <c r="G135" s="218" t="s">
        <v>16</v>
      </c>
      <c r="H135" s="218" t="s">
        <v>17</v>
      </c>
      <c r="I135" s="218" t="s">
        <v>18</v>
      </c>
      <c r="J135" s="218" t="s">
        <v>19</v>
      </c>
      <c r="K135" s="55" t="s">
        <v>20</v>
      </c>
      <c r="M135" s="38" t="s">
        <v>5</v>
      </c>
    </row>
    <row r="136" spans="2:13" ht="12.75" customHeight="1" x14ac:dyDescent="0.25">
      <c r="B136" s="333" t="s">
        <v>128</v>
      </c>
      <c r="C136" s="334"/>
      <c r="D136" s="334"/>
      <c r="E136" s="335"/>
      <c r="F136" s="42"/>
      <c r="G136" s="61">
        <v>18449161.14072692</v>
      </c>
      <c r="H136" s="61">
        <v>19652616.51053571</v>
      </c>
      <c r="I136" s="61">
        <v>20750302.453561164</v>
      </c>
      <c r="J136" s="61">
        <v>21950966.582370307</v>
      </c>
      <c r="K136" s="42">
        <v>23217206.584968176</v>
      </c>
      <c r="M136" s="273" t="s">
        <v>127</v>
      </c>
    </row>
    <row r="137" spans="2:13" x14ac:dyDescent="0.25">
      <c r="B137" s="336" t="s">
        <v>129</v>
      </c>
      <c r="C137" s="337"/>
      <c r="D137" s="337"/>
      <c r="E137" s="338"/>
      <c r="F137" s="42"/>
      <c r="G137" s="61">
        <v>40098372.700329572</v>
      </c>
      <c r="H137" s="61">
        <v>44414981.708611391</v>
      </c>
      <c r="I137" s="61">
        <v>47124811.758132517</v>
      </c>
      <c r="J137" s="61">
        <v>50429626.415997855</v>
      </c>
      <c r="K137" s="42">
        <v>53924251.70079805</v>
      </c>
      <c r="M137" s="274"/>
    </row>
    <row r="138" spans="2:13" x14ac:dyDescent="0.25">
      <c r="B138" s="318" t="s">
        <v>21</v>
      </c>
      <c r="C138" s="319"/>
      <c r="D138" s="319"/>
      <c r="E138" s="320"/>
      <c r="F138" s="80"/>
      <c r="G138" s="80">
        <f t="shared" ref="G138:K138" si="6">+G137/G136</f>
        <v>2.1734523534412387</v>
      </c>
      <c r="H138" s="80">
        <f t="shared" si="6"/>
        <v>2.2600034801880273</v>
      </c>
      <c r="I138" s="80">
        <f t="shared" si="6"/>
        <v>2.2710421625707418</v>
      </c>
      <c r="J138" s="80">
        <f t="shared" si="6"/>
        <v>2.2973761190315822</v>
      </c>
      <c r="K138" s="234">
        <f t="shared" si="6"/>
        <v>2.3225986082111594</v>
      </c>
      <c r="M138" s="274"/>
    </row>
    <row r="139" spans="2:13" x14ac:dyDescent="0.25">
      <c r="F139" s="26"/>
      <c r="K139" s="26"/>
      <c r="M139" s="274"/>
    </row>
    <row r="140" spans="2:13" x14ac:dyDescent="0.25">
      <c r="F140" s="310" t="s">
        <v>22</v>
      </c>
      <c r="G140" s="311"/>
      <c r="H140" s="311"/>
      <c r="I140" s="311"/>
      <c r="J140" s="312"/>
      <c r="K140" s="235">
        <f>AVERAGE(G138:K138)</f>
        <v>2.2648945446885498</v>
      </c>
      <c r="M140" s="275"/>
    </row>
    <row r="141" spans="2:13" x14ac:dyDescent="0.25">
      <c r="G141" s="24"/>
      <c r="H141" s="24"/>
      <c r="I141" s="24"/>
      <c r="J141" s="24"/>
      <c r="K141" s="236"/>
    </row>
    <row r="142" spans="2:13" ht="15.75" x14ac:dyDescent="0.25">
      <c r="B142" s="30" t="s">
        <v>149</v>
      </c>
      <c r="C142" s="31"/>
      <c r="D142" s="31"/>
      <c r="E142" s="31"/>
      <c r="F142" s="31"/>
      <c r="G142" s="32"/>
      <c r="H142" s="32"/>
      <c r="I142" s="32"/>
      <c r="J142" s="32"/>
      <c r="K142" s="31"/>
      <c r="M142" s="33"/>
    </row>
    <row r="143" spans="2:13" x14ac:dyDescent="0.25"/>
    <row r="144" spans="2:13" x14ac:dyDescent="0.2">
      <c r="B144" s="321" t="s">
        <v>150</v>
      </c>
      <c r="C144" s="322"/>
      <c r="D144" s="322"/>
      <c r="E144" s="323"/>
      <c r="F144" s="218" t="s">
        <v>15</v>
      </c>
      <c r="G144" s="218" t="s">
        <v>16</v>
      </c>
      <c r="H144" s="218" t="s">
        <v>17</v>
      </c>
      <c r="I144" s="218" t="s">
        <v>18</v>
      </c>
      <c r="J144" s="218" t="s">
        <v>19</v>
      </c>
      <c r="K144" s="55" t="s">
        <v>20</v>
      </c>
      <c r="M144" s="269" t="s">
        <v>5</v>
      </c>
    </row>
    <row r="145" spans="2:13" ht="12.75" customHeight="1" x14ac:dyDescent="0.2">
      <c r="B145" s="313" t="s">
        <v>130</v>
      </c>
      <c r="C145" s="314"/>
      <c r="D145" s="314"/>
      <c r="E145" s="315"/>
      <c r="F145" s="23"/>
      <c r="G145" s="23">
        <v>17254695.000010207</v>
      </c>
      <c r="H145" s="23">
        <v>17611834.848126188</v>
      </c>
      <c r="I145" s="23">
        <v>17986550.838063825</v>
      </c>
      <c r="J145" s="23">
        <v>18379810.552560411</v>
      </c>
      <c r="K145" s="237">
        <v>18792890.146016706</v>
      </c>
      <c r="M145" s="281" t="s">
        <v>153</v>
      </c>
    </row>
    <row r="146" spans="2:13" x14ac:dyDescent="0.2">
      <c r="B146" s="324" t="s">
        <v>151</v>
      </c>
      <c r="C146" s="325"/>
      <c r="D146" s="325"/>
      <c r="E146" s="326"/>
      <c r="F146" s="23"/>
      <c r="G146" s="23">
        <v>18449161.14072692</v>
      </c>
      <c r="H146" s="23">
        <v>19652616.51053571</v>
      </c>
      <c r="I146" s="23">
        <v>20750302.453561164</v>
      </c>
      <c r="J146" s="23">
        <v>21950966.582370307</v>
      </c>
      <c r="K146" s="237">
        <v>23217206.584968176</v>
      </c>
      <c r="M146" s="282"/>
    </row>
    <row r="147" spans="2:13" x14ac:dyDescent="0.2">
      <c r="B147" s="327" t="s">
        <v>152</v>
      </c>
      <c r="C147" s="328"/>
      <c r="D147" s="328"/>
      <c r="E147" s="329"/>
      <c r="F147" s="80" t="e">
        <f>+F146/F145</f>
        <v>#DIV/0!</v>
      </c>
      <c r="G147" s="80">
        <f t="shared" ref="G147:K147" si="7">+G146/G145</f>
        <v>1.0692255725595849</v>
      </c>
      <c r="H147" s="80">
        <f t="shared" si="7"/>
        <v>1.1158755847989712</v>
      </c>
      <c r="I147" s="80">
        <f t="shared" si="7"/>
        <v>1.1536565648622628</v>
      </c>
      <c r="J147" s="80">
        <f t="shared" si="7"/>
        <v>1.1942977605562106</v>
      </c>
      <c r="K147" s="234">
        <f t="shared" si="7"/>
        <v>1.2354250147037249</v>
      </c>
      <c r="M147" s="282"/>
    </row>
    <row r="148" spans="2:13" x14ac:dyDescent="0.25">
      <c r="F148" s="26"/>
      <c r="K148" s="26"/>
      <c r="M148" s="282"/>
    </row>
    <row r="149" spans="2:13" x14ac:dyDescent="0.25">
      <c r="F149" s="310" t="s">
        <v>23</v>
      </c>
      <c r="G149" s="311"/>
      <c r="H149" s="311"/>
      <c r="I149" s="311"/>
      <c r="J149" s="312"/>
      <c r="K149" s="235">
        <f>AVERAGE(G147:K147)</f>
        <v>1.1536960994961507</v>
      </c>
      <c r="M149" s="283"/>
    </row>
    <row r="150" spans="2:13" x14ac:dyDescent="0.25">
      <c r="K150" s="171"/>
      <c r="M150" s="270"/>
    </row>
    <row r="151" spans="2:13" ht="12.75" customHeight="1" x14ac:dyDescent="0.25">
      <c r="M151" s="82"/>
    </row>
    <row r="152" spans="2:13" ht="12.75" customHeight="1" x14ac:dyDescent="0.25">
      <c r="M152" s="83"/>
    </row>
    <row r="153" spans="2:13" ht="12.75" customHeight="1" x14ac:dyDescent="0.25">
      <c r="M153" s="83"/>
    </row>
    <row r="154" spans="2:13" x14ac:dyDescent="0.25">
      <c r="K154" s="91"/>
      <c r="M154" s="83"/>
    </row>
    <row r="155" spans="2:13" x14ac:dyDescent="0.25"/>
    <row r="156" spans="2:13" x14ac:dyDescent="0.25"/>
    <row r="157" spans="2:13" x14ac:dyDescent="0.25"/>
    <row r="158" spans="2:13" x14ac:dyDescent="0.25"/>
    <row r="159" spans="2:13" x14ac:dyDescent="0.25"/>
    <row r="160" spans="2:13"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row r="185" x14ac:dyDescent="0.25"/>
    <row r="186" x14ac:dyDescent="0.25"/>
    <row r="187" x14ac:dyDescent="0.25"/>
    <row r="188" x14ac:dyDescent="0.25"/>
    <row r="189" x14ac:dyDescent="0.25"/>
    <row r="190" x14ac:dyDescent="0.25"/>
    <row r="191" x14ac:dyDescent="0.25"/>
    <row r="192" x14ac:dyDescent="0.25"/>
    <row r="193" x14ac:dyDescent="0.25"/>
    <row r="194" x14ac:dyDescent="0.25"/>
    <row r="195" x14ac:dyDescent="0.25"/>
    <row r="196" x14ac:dyDescent="0.25"/>
    <row r="197" x14ac:dyDescent="0.25"/>
    <row r="198" x14ac:dyDescent="0.25"/>
    <row r="199" x14ac:dyDescent="0.25"/>
    <row r="200" x14ac:dyDescent="0.25"/>
    <row r="201" x14ac:dyDescent="0.25"/>
    <row r="202" x14ac:dyDescent="0.25"/>
    <row r="203" x14ac:dyDescent="0.25"/>
    <row r="204" x14ac:dyDescent="0.25"/>
    <row r="205" x14ac:dyDescent="0.25"/>
    <row r="206" x14ac:dyDescent="0.25"/>
    <row r="207" x14ac:dyDescent="0.25"/>
    <row r="208" x14ac:dyDescent="0.25"/>
    <row r="209" x14ac:dyDescent="0.25"/>
    <row r="210" x14ac:dyDescent="0.25"/>
    <row r="211" x14ac:dyDescent="0.25"/>
    <row r="212" x14ac:dyDescent="0.25"/>
    <row r="213" x14ac:dyDescent="0.25"/>
    <row r="214" x14ac:dyDescent="0.25"/>
    <row r="215" x14ac:dyDescent="0.25"/>
    <row r="216" x14ac:dyDescent="0.25"/>
    <row r="217"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row r="237" x14ac:dyDescent="0.25"/>
    <row r="238" x14ac:dyDescent="0.25"/>
    <row r="239" x14ac:dyDescent="0.25"/>
    <row r="240" x14ac:dyDescent="0.25"/>
    <row r="241" x14ac:dyDescent="0.25"/>
    <row r="242" x14ac:dyDescent="0.25"/>
    <row r="243" x14ac:dyDescent="0.25"/>
    <row r="244" x14ac:dyDescent="0.25"/>
    <row r="245" x14ac:dyDescent="0.25"/>
    <row r="246" x14ac:dyDescent="0.25"/>
    <row r="247" x14ac:dyDescent="0.25"/>
    <row r="248" x14ac:dyDescent="0.25"/>
    <row r="249" x14ac:dyDescent="0.25"/>
    <row r="250" x14ac:dyDescent="0.25"/>
    <row r="251" x14ac:dyDescent="0.25"/>
    <row r="252" x14ac:dyDescent="0.25"/>
    <row r="253" x14ac:dyDescent="0.25"/>
    <row r="254" x14ac:dyDescent="0.25"/>
    <row r="255" x14ac:dyDescent="0.25"/>
    <row r="256" x14ac:dyDescent="0.25"/>
    <row r="257" x14ac:dyDescent="0.25"/>
    <row r="258" x14ac:dyDescent="0.25"/>
    <row r="259" x14ac:dyDescent="0.25"/>
    <row r="260" x14ac:dyDescent="0.25"/>
    <row r="261" x14ac:dyDescent="0.25"/>
    <row r="262" x14ac:dyDescent="0.25"/>
    <row r="263" x14ac:dyDescent="0.25"/>
    <row r="264" x14ac:dyDescent="0.25"/>
    <row r="265" x14ac:dyDescent="0.25"/>
    <row r="266" x14ac:dyDescent="0.25"/>
    <row r="267" x14ac:dyDescent="0.25"/>
    <row r="268" x14ac:dyDescent="0.25"/>
    <row r="269" x14ac:dyDescent="0.25"/>
    <row r="270" x14ac:dyDescent="0.25"/>
    <row r="271" x14ac:dyDescent="0.25"/>
    <row r="272" x14ac:dyDescent="0.25"/>
    <row r="273" x14ac:dyDescent="0.25"/>
    <row r="274" x14ac:dyDescent="0.25"/>
    <row r="275" x14ac:dyDescent="0.25"/>
    <row r="276" x14ac:dyDescent="0.25"/>
    <row r="277" x14ac:dyDescent="0.25"/>
  </sheetData>
  <mergeCells count="44">
    <mergeCell ref="F149:J149"/>
    <mergeCell ref="M136:M140"/>
    <mergeCell ref="B145:E145"/>
    <mergeCell ref="B106:C106"/>
    <mergeCell ref="B138:E138"/>
    <mergeCell ref="B144:E144"/>
    <mergeCell ref="B146:E146"/>
    <mergeCell ref="B147:E147"/>
    <mergeCell ref="F140:J140"/>
    <mergeCell ref="B135:E135"/>
    <mergeCell ref="B136:E136"/>
    <mergeCell ref="B137:E137"/>
    <mergeCell ref="M145:M149"/>
    <mergeCell ref="B105:C105"/>
    <mergeCell ref="M112:M122"/>
    <mergeCell ref="B113:G113"/>
    <mergeCell ref="B114:G114"/>
    <mergeCell ref="B115:G115"/>
    <mergeCell ref="B116:G116"/>
    <mergeCell ref="G120:I120"/>
    <mergeCell ref="B111:G111"/>
    <mergeCell ref="B112:G112"/>
    <mergeCell ref="H112:H116"/>
    <mergeCell ref="B43:F43"/>
    <mergeCell ref="M44:M47"/>
    <mergeCell ref="M127:M131"/>
    <mergeCell ref="M52:M95"/>
    <mergeCell ref="B19:F19"/>
    <mergeCell ref="B20:F20"/>
    <mergeCell ref="B31:F31"/>
    <mergeCell ref="M25:M26"/>
    <mergeCell ref="C24:F24"/>
    <mergeCell ref="C25:F25"/>
    <mergeCell ref="C26:F26"/>
    <mergeCell ref="M32:M38"/>
    <mergeCell ref="E104:G104"/>
    <mergeCell ref="G118:I118"/>
    <mergeCell ref="G122:I122"/>
    <mergeCell ref="G44:G46"/>
    <mergeCell ref="B8:F8"/>
    <mergeCell ref="M9:M15"/>
    <mergeCell ref="K25:K26"/>
    <mergeCell ref="G25:G26"/>
    <mergeCell ref="H25:H26"/>
  </mergeCells>
  <pageMargins left="0.39370078740157483" right="0.39370078740157483" top="0.39370078740157483" bottom="0.39370078740157483" header="0.19685039370078741" footer="0.19685039370078741"/>
  <pageSetup paperSize="8" scale="70" fitToHeight="2" orientation="portrait" r:id="rId1"/>
  <headerFooter>
    <oddFooter>&amp;C&amp;F&amp;R&amp;A</oddFooter>
  </headerFooter>
  <rowBreaks count="1" manualBreakCount="1">
    <brk id="10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zeroHeight="1" x14ac:dyDescent="0.25"/>
  <cols>
    <col min="1" max="1" width="2.42578125" customWidth="1"/>
    <col min="2" max="5" width="9.140625" customWidth="1"/>
    <col min="6" max="16384" width="9.140625" hidden="1"/>
  </cols>
  <sheetData>
    <row r="1" spans="2:2" x14ac:dyDescent="0.25"/>
    <row r="2" spans="2:2" x14ac:dyDescent="0.25">
      <c r="B2" s="1" t="s">
        <v>45</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45"/>
  <sheetViews>
    <sheetView showGridLines="0" tabSelected="1" zoomScaleNormal="100" workbookViewId="0"/>
  </sheetViews>
  <sheetFormatPr defaultColWidth="9.140625" defaultRowHeight="15" x14ac:dyDescent="0.25"/>
  <cols>
    <col min="1" max="1" width="2.42578125" customWidth="1"/>
    <col min="2" max="2" width="42.85546875" customWidth="1"/>
    <col min="3" max="8" width="14.28515625" customWidth="1"/>
    <col min="9" max="9" width="3" style="2" customWidth="1"/>
  </cols>
  <sheetData>
    <row r="2" spans="2:8" ht="21" x14ac:dyDescent="0.35">
      <c r="B2" s="140" t="s">
        <v>49</v>
      </c>
      <c r="C2" s="141"/>
      <c r="D2" s="141"/>
      <c r="E2" s="141"/>
      <c r="F2" s="141"/>
      <c r="G2" s="141"/>
      <c r="H2" s="141"/>
    </row>
    <row r="3" spans="2:8" x14ac:dyDescent="0.25">
      <c r="B3" s="266" t="s">
        <v>0</v>
      </c>
      <c r="C3" s="15" t="s">
        <v>96</v>
      </c>
      <c r="D3" s="16"/>
      <c r="E3" s="16"/>
      <c r="F3" s="16"/>
      <c r="G3" s="16"/>
      <c r="H3" s="16"/>
    </row>
    <row r="4" spans="2:8" x14ac:dyDescent="0.25">
      <c r="B4" s="266" t="s">
        <v>134</v>
      </c>
      <c r="C4" s="339" t="s">
        <v>132</v>
      </c>
      <c r="D4" s="339"/>
      <c r="E4" s="339"/>
      <c r="F4" s="339"/>
      <c r="G4" s="339"/>
      <c r="H4" s="339"/>
    </row>
    <row r="5" spans="2:8" ht="30" customHeight="1" x14ac:dyDescent="0.25">
      <c r="B5" s="266" t="s">
        <v>109</v>
      </c>
      <c r="C5" s="339" t="s">
        <v>133</v>
      </c>
      <c r="D5" s="339"/>
      <c r="E5" s="339"/>
      <c r="F5" s="339"/>
      <c r="G5" s="339"/>
      <c r="H5" s="339"/>
    </row>
    <row r="6" spans="2:8" ht="31.5" customHeight="1" x14ac:dyDescent="0.25">
      <c r="B6" s="146" t="s">
        <v>114</v>
      </c>
      <c r="C6" s="339" t="s">
        <v>115</v>
      </c>
      <c r="D6" s="339"/>
      <c r="E6" s="339"/>
      <c r="F6" s="339"/>
      <c r="G6" s="339"/>
      <c r="H6" s="339"/>
    </row>
    <row r="7" spans="2:8" x14ac:dyDescent="0.25">
      <c r="B7" s="146"/>
      <c r="C7" s="208"/>
      <c r="D7" s="213" t="s">
        <v>16</v>
      </c>
      <c r="E7" s="213" t="s">
        <v>17</v>
      </c>
      <c r="F7" s="213" t="s">
        <v>18</v>
      </c>
      <c r="G7" s="213" t="s">
        <v>19</v>
      </c>
      <c r="H7" s="213" t="s">
        <v>20</v>
      </c>
    </row>
    <row r="8" spans="2:8" x14ac:dyDescent="0.25">
      <c r="B8" s="146"/>
      <c r="C8" s="208"/>
      <c r="D8" s="214">
        <f>'Input Sheet'!G129</f>
        <v>2235.9498272828364</v>
      </c>
      <c r="E8" s="214">
        <f>'Input Sheet'!H129</f>
        <v>2333.5036919549093</v>
      </c>
      <c r="F8" s="214">
        <f>'Input Sheet'!I129</f>
        <v>2412.5107583916651</v>
      </c>
      <c r="G8" s="214">
        <f>'Input Sheet'!J129</f>
        <v>2497.4990684588438</v>
      </c>
      <c r="H8" s="214">
        <f>'Input Sheet'!K129</f>
        <v>2583.50381728618</v>
      </c>
    </row>
    <row r="10" spans="2:8" x14ac:dyDescent="0.25">
      <c r="B10" s="138" t="s">
        <v>56</v>
      </c>
      <c r="C10" s="135"/>
      <c r="D10" s="135"/>
      <c r="E10" s="135"/>
      <c r="F10" s="135"/>
      <c r="G10" s="135"/>
      <c r="H10" s="135"/>
    </row>
    <row r="11" spans="2:8" ht="47.25" customHeight="1" x14ac:dyDescent="0.25">
      <c r="B11" s="341" t="s">
        <v>107</v>
      </c>
      <c r="C11" s="341"/>
      <c r="D11" s="341"/>
      <c r="E11" s="341"/>
      <c r="F11" s="341"/>
      <c r="G11" s="341"/>
      <c r="H11" s="341"/>
    </row>
    <row r="13" spans="2:8" x14ac:dyDescent="0.25">
      <c r="B13" s="138" t="s">
        <v>146</v>
      </c>
      <c r="C13" s="135"/>
      <c r="D13" s="135"/>
      <c r="E13" s="135"/>
      <c r="F13" s="135"/>
      <c r="G13" s="135"/>
      <c r="H13" s="135"/>
    </row>
    <row r="14" spans="2:8" ht="15" customHeight="1" x14ac:dyDescent="0.25">
      <c r="B14" s="341" t="s">
        <v>69</v>
      </c>
      <c r="C14" s="341"/>
      <c r="D14" s="341"/>
      <c r="E14" s="341"/>
      <c r="F14" s="341"/>
      <c r="G14" s="341"/>
      <c r="H14" s="341"/>
    </row>
    <row r="15" spans="2:8" ht="47.25" customHeight="1" x14ac:dyDescent="0.25">
      <c r="B15" s="342" t="s">
        <v>70</v>
      </c>
      <c r="C15" s="342"/>
      <c r="D15" s="342"/>
      <c r="E15" s="342"/>
      <c r="F15" s="342"/>
      <c r="G15" s="342"/>
      <c r="H15" s="342"/>
    </row>
    <row r="16" spans="2:8" ht="60.75" customHeight="1" x14ac:dyDescent="0.25">
      <c r="B16" s="342" t="s">
        <v>136</v>
      </c>
      <c r="C16" s="342"/>
      <c r="D16" s="342"/>
      <c r="E16" s="342"/>
      <c r="F16" s="342"/>
      <c r="G16" s="342"/>
      <c r="H16" s="342"/>
    </row>
    <row r="17" spans="2:8" ht="47.25" customHeight="1" x14ac:dyDescent="0.25">
      <c r="B17" s="342" t="s">
        <v>135</v>
      </c>
      <c r="C17" s="342"/>
      <c r="D17" s="342"/>
      <c r="E17" s="342"/>
      <c r="F17" s="342"/>
      <c r="G17" s="342"/>
      <c r="H17" s="342"/>
    </row>
    <row r="18" spans="2:8" ht="47.25" customHeight="1" x14ac:dyDescent="0.25">
      <c r="B18" s="342" t="s">
        <v>137</v>
      </c>
      <c r="C18" s="342"/>
      <c r="D18" s="342"/>
      <c r="E18" s="342"/>
      <c r="F18" s="342"/>
      <c r="G18" s="342"/>
      <c r="H18" s="342"/>
    </row>
    <row r="19" spans="2:8" ht="47.25" customHeight="1" x14ac:dyDescent="0.25">
      <c r="B19" s="342" t="s">
        <v>139</v>
      </c>
      <c r="C19" s="342"/>
      <c r="D19" s="342"/>
      <c r="E19" s="342"/>
      <c r="F19" s="342"/>
      <c r="G19" s="342"/>
      <c r="H19" s="342"/>
    </row>
    <row r="21" spans="2:8" x14ac:dyDescent="0.25">
      <c r="B21" s="138" t="s">
        <v>71</v>
      </c>
      <c r="C21" s="135"/>
      <c r="D21" s="135"/>
      <c r="E21" s="135"/>
      <c r="F21" s="135"/>
      <c r="G21" s="135"/>
      <c r="H21" s="135"/>
    </row>
    <row r="22" spans="2:8" ht="77.25" customHeight="1" x14ac:dyDescent="0.25">
      <c r="B22" s="341" t="s">
        <v>140</v>
      </c>
      <c r="C22" s="341"/>
      <c r="D22" s="341"/>
      <c r="E22" s="341"/>
      <c r="F22" s="341"/>
      <c r="G22" s="341"/>
      <c r="H22" s="341"/>
    </row>
    <row r="24" spans="2:8" x14ac:dyDescent="0.25">
      <c r="B24" s="13" t="s">
        <v>74</v>
      </c>
      <c r="C24" s="343" t="s">
        <v>5</v>
      </c>
      <c r="D24" s="344"/>
      <c r="E24" s="345"/>
      <c r="F24" s="12" t="s">
        <v>13</v>
      </c>
      <c r="G24" s="12" t="s">
        <v>14</v>
      </c>
      <c r="H24" s="185" t="s">
        <v>1</v>
      </c>
    </row>
    <row r="25" spans="2:8" x14ac:dyDescent="0.25">
      <c r="B25" s="14" t="s">
        <v>72</v>
      </c>
      <c r="C25" s="340" t="s">
        <v>75</v>
      </c>
      <c r="D25" s="340"/>
      <c r="E25" s="9"/>
      <c r="F25" s="9">
        <f>'Input Sheet'!I20</f>
        <v>462292.86999999633</v>
      </c>
      <c r="G25" s="9">
        <f>'Input Sheet'!J20</f>
        <v>473494.71999999729</v>
      </c>
      <c r="H25" s="17">
        <f>SUM(E25:G25)</f>
        <v>935787.58999999356</v>
      </c>
    </row>
    <row r="26" spans="2:8" x14ac:dyDescent="0.25">
      <c r="B26" s="14" t="s">
        <v>24</v>
      </c>
      <c r="C26" s="340" t="s">
        <v>76</v>
      </c>
      <c r="D26" s="340"/>
      <c r="E26" s="215"/>
      <c r="F26" s="9">
        <f>'Input Sheet'!I112</f>
        <v>512294.48450863687</v>
      </c>
      <c r="G26" s="9">
        <f>'Input Sheet'!J112</f>
        <v>489826.52429309051</v>
      </c>
      <c r="H26" s="17">
        <f>SUM(E26:G26)</f>
        <v>1002121.0088017273</v>
      </c>
    </row>
    <row r="27" spans="2:8" x14ac:dyDescent="0.25">
      <c r="B27" t="s">
        <v>4</v>
      </c>
      <c r="C27" s="340" t="s">
        <v>77</v>
      </c>
      <c r="D27" s="340"/>
      <c r="E27" s="132"/>
      <c r="F27" s="132">
        <f>'Input Sheet'!I39</f>
        <v>543</v>
      </c>
      <c r="G27" s="132">
        <f>'Input Sheet'!J39</f>
        <v>566</v>
      </c>
      <c r="H27" s="134">
        <f>SUM(E27:G27)</f>
        <v>1109</v>
      </c>
    </row>
    <row r="29" spans="2:8" x14ac:dyDescent="0.25">
      <c r="B29" s="138" t="s">
        <v>73</v>
      </c>
      <c r="C29" s="135"/>
      <c r="D29" s="135"/>
      <c r="E29" s="135"/>
      <c r="F29" s="135"/>
      <c r="G29" s="135"/>
      <c r="H29" s="135"/>
    </row>
    <row r="30" spans="2:8" ht="78" customHeight="1" x14ac:dyDescent="0.25">
      <c r="B30" s="341" t="s">
        <v>147</v>
      </c>
      <c r="C30" s="341"/>
      <c r="D30" s="341"/>
      <c r="E30" s="341"/>
      <c r="F30" s="341"/>
      <c r="G30" s="341"/>
      <c r="H30" s="341"/>
    </row>
    <row r="32" spans="2:8" x14ac:dyDescent="0.25">
      <c r="B32" s="11" t="s">
        <v>74</v>
      </c>
      <c r="C32" s="12" t="s">
        <v>16</v>
      </c>
      <c r="D32" s="12" t="s">
        <v>17</v>
      </c>
      <c r="E32" s="12" t="s">
        <v>18</v>
      </c>
      <c r="F32" s="12" t="s">
        <v>19</v>
      </c>
      <c r="G32" s="12" t="s">
        <v>20</v>
      </c>
      <c r="H32" s="185" t="s">
        <v>1</v>
      </c>
    </row>
    <row r="33" spans="2:8" s="2" customFormat="1" x14ac:dyDescent="0.25">
      <c r="B33" s="14" t="s">
        <v>72</v>
      </c>
      <c r="C33" s="9">
        <f>'Fee Breakdown'!AB16</f>
        <v>1274491.4015512168</v>
      </c>
      <c r="D33" s="9">
        <f>'Fee Breakdown'!AC16</f>
        <v>1330097.1044142982</v>
      </c>
      <c r="E33" s="9">
        <f>'Fee Breakdown'!AD16</f>
        <v>1375131.1322832492</v>
      </c>
      <c r="F33" s="9">
        <f>'Fee Breakdown'!AE16</f>
        <v>1423574.4690215408</v>
      </c>
      <c r="G33" s="9">
        <f>'Fee Breakdown'!AF16</f>
        <v>1472597.1758531225</v>
      </c>
      <c r="H33" s="17">
        <f>SUM(C33:G33)</f>
        <v>6875891.283123428</v>
      </c>
    </row>
    <row r="34" spans="2:8" s="2" customFormat="1" x14ac:dyDescent="0.25">
      <c r="B34" s="216"/>
      <c r="C34" s="217"/>
      <c r="D34" s="217"/>
      <c r="E34" s="217"/>
      <c r="F34" s="217"/>
      <c r="G34" s="217"/>
      <c r="H34" s="217"/>
    </row>
    <row r="35" spans="2:8" x14ac:dyDescent="0.25">
      <c r="B35" s="14" t="s">
        <v>24</v>
      </c>
      <c r="C35" s="9">
        <f>'Fee Breakdown'!P29</f>
        <v>562715.55977740872</v>
      </c>
      <c r="D35" s="9">
        <f>'Fee Breakdown'!Q29</f>
        <v>587266.68203318177</v>
      </c>
      <c r="E35" s="9">
        <f>'Fee Breakdown'!R29</f>
        <v>607150.18079234508</v>
      </c>
      <c r="F35" s="9">
        <f>'Fee Breakdown'!S29</f>
        <v>628538.96326431388</v>
      </c>
      <c r="G35" s="9">
        <f>'Fee Breakdown'!T29</f>
        <v>650183.55018185754</v>
      </c>
      <c r="H35" s="17">
        <f>SUM(C35:G35)</f>
        <v>3035854.9360491075</v>
      </c>
    </row>
    <row r="36" spans="2:8" x14ac:dyDescent="0.25">
      <c r="B36" s="14" t="s">
        <v>26</v>
      </c>
      <c r="C36" s="9">
        <f>'Fee Breakdown'!V29</f>
        <v>660319.89793880435</v>
      </c>
      <c r="D36" s="9">
        <f>'Fee Breakdown'!W29</f>
        <v>739958.06316028477</v>
      </c>
      <c r="E36" s="9">
        <f>'Fee Breakdown'!X29</f>
        <v>771713.47879951913</v>
      </c>
      <c r="F36" s="9">
        <f>'Fee Breakdown'!Y29</f>
        <v>815451.44081998966</v>
      </c>
      <c r="G36" s="9">
        <f>'Fee Breakdown'!Z29</f>
        <v>859931.85855231504</v>
      </c>
      <c r="H36" s="17">
        <f>SUM(C36:G36)</f>
        <v>3847374.7392709134</v>
      </c>
    </row>
    <row r="37" spans="2:8" ht="15.75" thickBot="1" x14ac:dyDescent="0.3">
      <c r="B37" s="136" t="s">
        <v>60</v>
      </c>
      <c r="C37" s="137">
        <f>SUM(C35:C36)</f>
        <v>1223035.4577162131</v>
      </c>
      <c r="D37" s="137">
        <f t="shared" ref="D37:H37" si="0">SUM(D35:D36)</f>
        <v>1327224.7451934665</v>
      </c>
      <c r="E37" s="137">
        <f t="shared" si="0"/>
        <v>1378863.6595918643</v>
      </c>
      <c r="F37" s="137">
        <f t="shared" si="0"/>
        <v>1443990.4040843034</v>
      </c>
      <c r="G37" s="137">
        <f t="shared" si="0"/>
        <v>1510115.4087341726</v>
      </c>
      <c r="H37" s="137">
        <f t="shared" si="0"/>
        <v>6883229.6753200209</v>
      </c>
    </row>
    <row r="38" spans="2:8" x14ac:dyDescent="0.25">
      <c r="B38" s="14"/>
      <c r="C38" s="9"/>
      <c r="D38" s="9"/>
      <c r="E38" s="9"/>
      <c r="F38" s="9"/>
      <c r="G38" s="9"/>
      <c r="H38" s="17"/>
    </row>
    <row r="39" spans="2:8" x14ac:dyDescent="0.25">
      <c r="B39" t="s">
        <v>4</v>
      </c>
      <c r="C39" s="183">
        <f>'Fee Breakdown'!H29</f>
        <v>570</v>
      </c>
      <c r="D39" s="183">
        <f>'Fee Breakdown'!I29</f>
        <v>570</v>
      </c>
      <c r="E39" s="183">
        <f>'Fee Breakdown'!J29</f>
        <v>570</v>
      </c>
      <c r="F39" s="183">
        <f>'Fee Breakdown'!K29</f>
        <v>570</v>
      </c>
      <c r="G39" s="183">
        <f>'Fee Breakdown'!L29</f>
        <v>570</v>
      </c>
      <c r="H39" s="184">
        <f>SUM(C39:G39)</f>
        <v>2850</v>
      </c>
    </row>
    <row r="40" spans="2:8" x14ac:dyDescent="0.25">
      <c r="C40" s="3"/>
      <c r="D40" s="4"/>
      <c r="E40" s="3"/>
      <c r="F40" s="3"/>
      <c r="G40" s="3"/>
    </row>
    <row r="41" spans="2:8" x14ac:dyDescent="0.25">
      <c r="B41" s="138" t="s">
        <v>57</v>
      </c>
      <c r="C41" s="135"/>
      <c r="D41" s="135"/>
      <c r="E41" s="135"/>
      <c r="F41" s="135"/>
      <c r="G41" s="135"/>
      <c r="H41" s="135"/>
    </row>
    <row r="42" spans="2:8" ht="61.5" customHeight="1" x14ac:dyDescent="0.25">
      <c r="B42" s="341" t="s">
        <v>141</v>
      </c>
      <c r="C42" s="341"/>
      <c r="D42" s="341"/>
      <c r="E42" s="341"/>
      <c r="F42" s="341"/>
      <c r="G42" s="341"/>
      <c r="H42" s="341"/>
    </row>
    <row r="44" spans="2:8" x14ac:dyDescent="0.25">
      <c r="B44" s="11" t="s">
        <v>74</v>
      </c>
      <c r="C44" s="12" t="s">
        <v>16</v>
      </c>
      <c r="D44" s="12" t="s">
        <v>17</v>
      </c>
      <c r="E44" s="12" t="s">
        <v>18</v>
      </c>
      <c r="F44" s="12" t="s">
        <v>19</v>
      </c>
      <c r="G44" s="12" t="s">
        <v>20</v>
      </c>
      <c r="H44" s="185" t="s">
        <v>59</v>
      </c>
    </row>
    <row r="45" spans="2:8" x14ac:dyDescent="0.25">
      <c r="B45" t="s">
        <v>58</v>
      </c>
      <c r="C45" s="8">
        <f>+'Input Sheet'!G138</f>
        <v>2.1734523534412387</v>
      </c>
      <c r="D45" s="8">
        <f>+'Input Sheet'!H138</f>
        <v>2.2600034801880273</v>
      </c>
      <c r="E45" s="8">
        <f>+'Input Sheet'!I138</f>
        <v>2.2710421625707418</v>
      </c>
      <c r="F45" s="8">
        <f>+'Input Sheet'!J138</f>
        <v>2.2973761190315822</v>
      </c>
      <c r="G45" s="8">
        <f>+'Input Sheet'!K138</f>
        <v>2.3225986082111594</v>
      </c>
      <c r="H45" s="133">
        <f>AVERAGE(C45:G45)</f>
        <v>2.2648945446885498</v>
      </c>
    </row>
  </sheetData>
  <mergeCells count="17">
    <mergeCell ref="B42:H42"/>
    <mergeCell ref="B14:H14"/>
    <mergeCell ref="B11:H11"/>
    <mergeCell ref="B15:H15"/>
    <mergeCell ref="B16:H16"/>
    <mergeCell ref="B17:H17"/>
    <mergeCell ref="B22:H22"/>
    <mergeCell ref="B18:H18"/>
    <mergeCell ref="B19:H19"/>
    <mergeCell ref="B30:H30"/>
    <mergeCell ref="C25:D25"/>
    <mergeCell ref="C24:E24"/>
    <mergeCell ref="C4:H4"/>
    <mergeCell ref="C5:H5"/>
    <mergeCell ref="C26:D26"/>
    <mergeCell ref="C27:D27"/>
    <mergeCell ref="C6:H6"/>
  </mergeCells>
  <pageMargins left="0.39370078740157483" right="0.39370078740157483" top="0.39370078740157483" bottom="0.39370078740157483" header="0.19685039370078741" footer="0.19685039370078741"/>
  <pageSetup paperSize="9" scale="71" orientation="portrait" r:id="rId1"/>
  <headerFooter>
    <oddFooter>&amp;C&amp;F&amp;R&amp;A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13"/>
  <sheetViews>
    <sheetView showGridLines="0" zoomScaleNormal="100" workbookViewId="0"/>
  </sheetViews>
  <sheetFormatPr defaultColWidth="9.140625" defaultRowHeight="15" x14ac:dyDescent="0.25"/>
  <cols>
    <col min="1" max="1" width="2.42578125" customWidth="1"/>
    <col min="2" max="2" width="2.42578125" style="5" customWidth="1"/>
    <col min="3" max="3" width="10.140625" style="5" customWidth="1"/>
    <col min="4" max="9" width="13.140625" style="5" customWidth="1"/>
    <col min="10" max="11" width="9.140625" style="5" customWidth="1"/>
    <col min="12" max="12" width="2.85546875" style="5" customWidth="1"/>
    <col min="13" max="14" width="9.140625" customWidth="1"/>
  </cols>
  <sheetData>
    <row r="2" spans="2:13" ht="21" x14ac:dyDescent="0.35">
      <c r="B2" s="140" t="s">
        <v>48</v>
      </c>
      <c r="C2" s="140"/>
      <c r="D2" s="139"/>
      <c r="E2" s="139"/>
      <c r="F2" s="139"/>
      <c r="G2" s="139"/>
      <c r="H2" s="139"/>
      <c r="I2" s="139"/>
      <c r="J2" s="139"/>
      <c r="K2" s="139"/>
    </row>
    <row r="3" spans="2:13" x14ac:dyDescent="0.25">
      <c r="B3" s="13" t="s">
        <v>0</v>
      </c>
      <c r="C3" s="11"/>
      <c r="D3" s="346" t="str">
        <f>'AER Summary'!C3</f>
        <v>Substation Commissioning</v>
      </c>
      <c r="E3" s="347"/>
      <c r="F3" s="347"/>
      <c r="G3" s="347"/>
      <c r="H3" s="347"/>
      <c r="I3" s="347"/>
      <c r="J3" s="347"/>
      <c r="K3" s="347"/>
      <c r="M3" s="6"/>
    </row>
    <row r="4" spans="2:13" x14ac:dyDescent="0.25">
      <c r="M4" s="6"/>
    </row>
    <row r="5" spans="2:13" x14ac:dyDescent="0.25">
      <c r="B5" s="138" t="s">
        <v>78</v>
      </c>
      <c r="C5" s="138"/>
      <c r="D5" s="138"/>
      <c r="E5" s="138"/>
      <c r="F5" s="138"/>
      <c r="G5" s="138"/>
      <c r="H5" s="138"/>
      <c r="I5" s="138"/>
      <c r="J5" s="138"/>
      <c r="K5" s="138"/>
      <c r="M5" s="7"/>
    </row>
    <row r="6" spans="2:13" ht="93.75" customHeight="1" x14ac:dyDescent="0.25">
      <c r="B6" s="341" t="s">
        <v>110</v>
      </c>
      <c r="C6" s="341"/>
      <c r="D6" s="341"/>
      <c r="E6" s="341"/>
      <c r="F6" s="341"/>
      <c r="G6" s="341"/>
      <c r="H6" s="341"/>
      <c r="I6" s="341"/>
      <c r="J6" s="341"/>
      <c r="K6" s="341"/>
      <c r="M6" s="7"/>
    </row>
    <row r="8" spans="2:13" x14ac:dyDescent="0.25">
      <c r="B8" s="138" t="s">
        <v>7</v>
      </c>
      <c r="C8" s="138"/>
      <c r="D8" s="138"/>
      <c r="E8" s="138"/>
      <c r="F8" s="138"/>
      <c r="G8" s="138"/>
      <c r="H8" s="138"/>
      <c r="I8" s="138"/>
      <c r="J8" s="138"/>
      <c r="K8" s="138"/>
    </row>
    <row r="9" spans="2:13" ht="44.25" customHeight="1" x14ac:dyDescent="0.25">
      <c r="B9" s="348" t="s">
        <v>111</v>
      </c>
      <c r="C9" s="348"/>
      <c r="D9" s="348"/>
      <c r="E9" s="348"/>
      <c r="F9" s="348"/>
      <c r="G9" s="348"/>
      <c r="H9" s="348"/>
      <c r="I9" s="348"/>
      <c r="J9" s="348"/>
      <c r="K9" s="348"/>
    </row>
    <row r="11" spans="2:13" x14ac:dyDescent="0.25">
      <c r="B11" s="138" t="s">
        <v>79</v>
      </c>
      <c r="C11" s="138"/>
      <c r="D11" s="138"/>
      <c r="E11" s="138"/>
      <c r="F11" s="138"/>
      <c r="G11" s="138"/>
      <c r="H11" s="138"/>
      <c r="I11" s="138"/>
      <c r="J11" s="138"/>
      <c r="K11" s="138"/>
    </row>
    <row r="12" spans="2:13" ht="258.75" customHeight="1" x14ac:dyDescent="0.25">
      <c r="B12" s="341" t="s">
        <v>131</v>
      </c>
      <c r="C12" s="341"/>
      <c r="D12" s="341"/>
      <c r="E12" s="341"/>
      <c r="F12" s="341"/>
      <c r="G12" s="341"/>
      <c r="H12" s="341"/>
      <c r="I12" s="341"/>
      <c r="J12" s="341"/>
      <c r="K12" s="341"/>
    </row>
    <row r="13" spans="2:13" x14ac:dyDescent="0.25">
      <c r="B13" s="10"/>
    </row>
  </sheetData>
  <mergeCells count="4">
    <mergeCell ref="B12:K12"/>
    <mergeCell ref="D3:K3"/>
    <mergeCell ref="B9:K9"/>
    <mergeCell ref="B6:K6"/>
  </mergeCells>
  <pageMargins left="0.39370078740157483" right="0.39370078740157483" top="0.39370078740157483" bottom="0.39370078740157483" header="0.19685039370078741" footer="0.19685039370078741"/>
  <pageSetup paperSize="9" scale="85" orientation="portrait" r:id="rId1"/>
  <headerFooter>
    <oddFooter>&amp;C&amp;F&amp;R&amp;A</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2:AG36"/>
  <sheetViews>
    <sheetView showGridLines="0" zoomScaleNormal="100" workbookViewId="0"/>
  </sheetViews>
  <sheetFormatPr defaultColWidth="9.140625" defaultRowHeight="12.75" x14ac:dyDescent="0.25"/>
  <cols>
    <col min="1" max="1" width="2.5703125" style="24" customWidth="1"/>
    <col min="2" max="2" width="57.28515625" style="24" bestFit="1" customWidth="1"/>
    <col min="3" max="6" width="10" style="24" customWidth="1"/>
    <col min="7" max="7" width="2.85546875" style="24" customWidth="1"/>
    <col min="8" max="9" width="10" style="24" customWidth="1"/>
    <col min="10" max="12" width="10" style="66" customWidth="1"/>
    <col min="13" max="13" width="2.85546875" style="66" customWidth="1"/>
    <col min="14" max="14" width="12" style="26" customWidth="1"/>
    <col min="15" max="15" width="2.85546875" style="66" customWidth="1"/>
    <col min="16" max="20" width="10" style="66" customWidth="1"/>
    <col min="21" max="21" width="3.7109375" style="91" customWidth="1"/>
    <col min="22" max="26" width="10" style="92" customWidth="1"/>
    <col min="27" max="27" width="3.7109375" style="24" customWidth="1"/>
    <col min="28" max="32" width="10" style="24" customWidth="1"/>
    <col min="33" max="33" width="2.85546875" style="24" customWidth="1"/>
    <col min="34" max="63" width="9.140625" style="24" customWidth="1"/>
    <col min="64" max="16384" width="9.140625" style="24"/>
  </cols>
  <sheetData>
    <row r="2" spans="2:33" ht="21" x14ac:dyDescent="0.25">
      <c r="B2" s="157" t="s">
        <v>50</v>
      </c>
      <c r="C2" s="158"/>
      <c r="D2" s="158"/>
      <c r="E2" s="158"/>
      <c r="F2" s="158"/>
      <c r="G2" s="158"/>
      <c r="H2" s="158"/>
      <c r="I2" s="158"/>
      <c r="J2" s="159"/>
      <c r="K2" s="159"/>
      <c r="L2" s="159"/>
      <c r="M2" s="159"/>
      <c r="N2" s="229"/>
      <c r="O2" s="159"/>
      <c r="P2" s="159"/>
      <c r="Q2" s="159"/>
      <c r="R2" s="159"/>
      <c r="S2" s="159"/>
      <c r="T2" s="159"/>
      <c r="U2" s="159"/>
      <c r="V2" s="159"/>
      <c r="W2" s="159"/>
      <c r="X2" s="159"/>
      <c r="Y2" s="159"/>
      <c r="Z2" s="159"/>
      <c r="AA2" s="159"/>
      <c r="AB2" s="159"/>
      <c r="AC2" s="159"/>
      <c r="AD2" s="159"/>
      <c r="AE2" s="159"/>
      <c r="AF2" s="159"/>
    </row>
    <row r="3" spans="2:33" ht="15" x14ac:dyDescent="0.25">
      <c r="B3" s="89" t="s">
        <v>0</v>
      </c>
      <c r="C3" s="90" t="str">
        <f>+'AER Summary'!C3</f>
        <v>Substation Commissioning</v>
      </c>
      <c r="D3" s="90"/>
      <c r="E3" s="90"/>
      <c r="F3" s="90"/>
      <c r="G3" s="90"/>
      <c r="H3" s="90"/>
      <c r="I3" s="90"/>
      <c r="J3" s="90"/>
      <c r="K3" s="90"/>
      <c r="L3" s="90"/>
      <c r="M3" s="90"/>
      <c r="N3" s="230"/>
      <c r="O3" s="90"/>
      <c r="P3" s="90"/>
      <c r="Q3" s="90"/>
      <c r="R3" s="90"/>
      <c r="S3" s="90"/>
      <c r="T3" s="90"/>
      <c r="U3" s="90"/>
      <c r="V3" s="90"/>
      <c r="W3" s="90"/>
      <c r="X3" s="90"/>
      <c r="Y3" s="90"/>
      <c r="Z3" s="90"/>
      <c r="AA3" s="90"/>
      <c r="AB3" s="90"/>
      <c r="AC3" s="90"/>
      <c r="AD3" s="90"/>
      <c r="AE3" s="90"/>
      <c r="AF3" s="90"/>
    </row>
    <row r="5" spans="2:33" ht="15" x14ac:dyDescent="0.25">
      <c r="B5" s="138" t="str">
        <f>"Proposed "&amp;'AER Summary'!C3&amp;" Fees &amp; Revenue"</f>
        <v>Proposed Substation Commissioning Fees &amp; Revenue</v>
      </c>
      <c r="C5" s="138"/>
      <c r="D5" s="138"/>
      <c r="E5" s="138"/>
      <c r="F5" s="138"/>
      <c r="G5" s="138"/>
      <c r="H5" s="138"/>
      <c r="I5" s="138"/>
      <c r="J5" s="138"/>
      <c r="K5" s="138"/>
      <c r="L5" s="138"/>
      <c r="M5" s="138"/>
      <c r="N5" s="231"/>
      <c r="O5" s="138"/>
      <c r="P5" s="138"/>
      <c r="Q5" s="138"/>
      <c r="R5" s="138"/>
      <c r="S5" s="138"/>
      <c r="T5" s="138"/>
      <c r="U5" s="138"/>
      <c r="V5" s="138"/>
      <c r="W5" s="138"/>
      <c r="X5" s="138"/>
      <c r="Y5" s="138"/>
      <c r="Z5" s="138"/>
      <c r="AA5" s="138"/>
      <c r="AB5" s="138"/>
      <c r="AC5" s="138"/>
      <c r="AD5" s="138"/>
      <c r="AE5" s="138"/>
      <c r="AF5" s="138"/>
    </row>
    <row r="6" spans="2:33" x14ac:dyDescent="0.25">
      <c r="M6" s="124"/>
      <c r="N6" s="232"/>
      <c r="O6" s="124"/>
      <c r="V6" s="81"/>
      <c r="W6" s="81"/>
      <c r="X6" s="81"/>
      <c r="Y6" s="81"/>
      <c r="Z6" s="81"/>
    </row>
    <row r="7" spans="2:33" x14ac:dyDescent="0.25">
      <c r="C7" s="355" t="s">
        <v>6</v>
      </c>
      <c r="D7" s="356"/>
      <c r="E7" s="356"/>
      <c r="F7" s="357"/>
      <c r="H7" s="358" t="s">
        <v>95</v>
      </c>
      <c r="I7" s="359"/>
      <c r="J7" s="359"/>
      <c r="K7" s="359"/>
      <c r="L7" s="360"/>
      <c r="M7" s="93"/>
      <c r="N7" s="210"/>
      <c r="O7" s="93"/>
      <c r="P7" s="358" t="s">
        <v>66</v>
      </c>
      <c r="Q7" s="359"/>
      <c r="R7" s="359"/>
      <c r="S7" s="359"/>
      <c r="T7" s="360"/>
      <c r="V7" s="361"/>
      <c r="W7" s="361"/>
      <c r="X7" s="361"/>
      <c r="Y7" s="361"/>
      <c r="Z7" s="361"/>
      <c r="AA7" s="153"/>
      <c r="AB7" s="358" t="s">
        <v>116</v>
      </c>
      <c r="AC7" s="359"/>
      <c r="AD7" s="359"/>
      <c r="AE7" s="359"/>
      <c r="AF7" s="360"/>
      <c r="AG7" s="153"/>
    </row>
    <row r="8" spans="2:33" ht="51" x14ac:dyDescent="0.25">
      <c r="B8" s="94" t="s">
        <v>8</v>
      </c>
      <c r="C8" s="125" t="s">
        <v>52</v>
      </c>
      <c r="D8" s="126" t="s">
        <v>94</v>
      </c>
      <c r="E8" s="126" t="s">
        <v>61</v>
      </c>
      <c r="F8" s="127" t="s">
        <v>51</v>
      </c>
      <c r="H8" s="149" t="s">
        <v>16</v>
      </c>
      <c r="I8" s="150" t="s">
        <v>17</v>
      </c>
      <c r="J8" s="150" t="s">
        <v>18</v>
      </c>
      <c r="K8" s="150" t="s">
        <v>19</v>
      </c>
      <c r="L8" s="151" t="s">
        <v>20</v>
      </c>
      <c r="M8" s="95"/>
      <c r="N8" s="233" t="s">
        <v>94</v>
      </c>
      <c r="O8" s="95"/>
      <c r="P8" s="96" t="s">
        <v>16</v>
      </c>
      <c r="Q8" s="97" t="s">
        <v>17</v>
      </c>
      <c r="R8" s="97" t="s">
        <v>18</v>
      </c>
      <c r="S8" s="97" t="s">
        <v>19</v>
      </c>
      <c r="T8" s="98" t="s">
        <v>20</v>
      </c>
      <c r="V8" s="154"/>
      <c r="W8" s="154"/>
      <c r="X8" s="154"/>
      <c r="Y8" s="154"/>
      <c r="Z8" s="154"/>
      <c r="AA8" s="153"/>
      <c r="AB8" s="96" t="s">
        <v>16</v>
      </c>
      <c r="AC8" s="97" t="s">
        <v>17</v>
      </c>
      <c r="AD8" s="97" t="s">
        <v>18</v>
      </c>
      <c r="AE8" s="97" t="s">
        <v>19</v>
      </c>
      <c r="AF8" s="98" t="s">
        <v>20</v>
      </c>
      <c r="AG8" s="153"/>
    </row>
    <row r="9" spans="2:33" x14ac:dyDescent="0.25">
      <c r="B9" s="99" t="s">
        <v>81</v>
      </c>
      <c r="C9" s="106"/>
      <c r="D9" s="107">
        <f>'Input Sheet'!I9</f>
        <v>32.500000000000007</v>
      </c>
      <c r="E9" s="129">
        <f>'Input Sheet'!J9</f>
        <v>30</v>
      </c>
      <c r="F9" s="128">
        <f>'Input Sheet'!K9</f>
        <v>27.27272727272727</v>
      </c>
      <c r="G9" s="108"/>
      <c r="H9" s="147">
        <f>+'Input Sheet'!G$129</f>
        <v>2235.9498272828364</v>
      </c>
      <c r="I9" s="142">
        <f>+'Input Sheet'!H$129</f>
        <v>2333.5036919549093</v>
      </c>
      <c r="J9" s="142">
        <f>+'Input Sheet'!I$129</f>
        <v>2412.5107583916651</v>
      </c>
      <c r="K9" s="142">
        <f>+'Input Sheet'!J$129</f>
        <v>2497.4990684588438</v>
      </c>
      <c r="L9" s="143">
        <f>+'Input Sheet'!K$129</f>
        <v>2583.50381728618</v>
      </c>
      <c r="M9" s="101"/>
      <c r="N9" s="105">
        <f>'Input Sheet'!$K$47</f>
        <v>29</v>
      </c>
      <c r="O9" s="101"/>
      <c r="P9" s="174">
        <f>+H9/$N$9</f>
        <v>77.101718182166778</v>
      </c>
      <c r="Q9" s="175">
        <f t="shared" ref="Q9:T9" si="0">+I9/$N$9</f>
        <v>80.465644550169287</v>
      </c>
      <c r="R9" s="175">
        <f t="shared" si="0"/>
        <v>83.190026151436726</v>
      </c>
      <c r="S9" s="175">
        <f t="shared" si="0"/>
        <v>86.120657533063579</v>
      </c>
      <c r="T9" s="176">
        <f t="shared" si="0"/>
        <v>89.08633852710966</v>
      </c>
      <c r="U9" s="102"/>
      <c r="V9" s="155"/>
      <c r="W9" s="155"/>
      <c r="X9" s="155"/>
      <c r="Y9" s="155"/>
      <c r="Z9" s="155"/>
      <c r="AA9" s="153"/>
      <c r="AB9" s="250">
        <f>P9*$N$9*H22</f>
        <v>518740.35992961802</v>
      </c>
      <c r="AC9" s="251">
        <f t="shared" ref="AC9:AF9" si="1">Q9*$N$9*I22</f>
        <v>541372.85653353902</v>
      </c>
      <c r="AD9" s="251">
        <f t="shared" si="1"/>
        <v>559702.49594686634</v>
      </c>
      <c r="AE9" s="251">
        <f t="shared" si="1"/>
        <v>579419.78388245171</v>
      </c>
      <c r="AF9" s="252">
        <f t="shared" si="1"/>
        <v>599372.88561039371</v>
      </c>
      <c r="AG9" s="153"/>
    </row>
    <row r="10" spans="2:33" x14ac:dyDescent="0.25">
      <c r="B10" s="84" t="s">
        <v>82</v>
      </c>
      <c r="C10" s="106"/>
      <c r="D10" s="107"/>
      <c r="E10" s="129">
        <f>'Input Sheet'!J10</f>
        <v>975</v>
      </c>
      <c r="F10" s="128">
        <f>'Input Sheet'!K10</f>
        <v>886.36363636363637</v>
      </c>
      <c r="G10" s="108"/>
      <c r="H10" s="147">
        <f>+'Input Sheet'!G$129</f>
        <v>2235.9498272828364</v>
      </c>
      <c r="I10" s="142">
        <f>+'Input Sheet'!H$129</f>
        <v>2333.5036919549093</v>
      </c>
      <c r="J10" s="142">
        <f>+'Input Sheet'!I$129</f>
        <v>2412.5107583916651</v>
      </c>
      <c r="K10" s="142">
        <f>+'Input Sheet'!J$129</f>
        <v>2497.4990684588438</v>
      </c>
      <c r="L10" s="143">
        <f>+'Input Sheet'!K$129</f>
        <v>2583.50381728618</v>
      </c>
      <c r="M10" s="101"/>
      <c r="N10" s="113"/>
      <c r="O10" s="101"/>
      <c r="P10" s="177">
        <f>+H10</f>
        <v>2235.9498272828364</v>
      </c>
      <c r="Q10" s="178">
        <f t="shared" ref="Q10:Q14" si="2">+I10</f>
        <v>2333.5036919549093</v>
      </c>
      <c r="R10" s="178">
        <f t="shared" ref="R10:R14" si="3">+J10</f>
        <v>2412.5107583916651</v>
      </c>
      <c r="S10" s="178">
        <f t="shared" ref="S10:S14" si="4">+K10</f>
        <v>2497.4990684588438</v>
      </c>
      <c r="T10" s="179">
        <f t="shared" ref="T10:T14" si="5">+L10</f>
        <v>2583.50381728618</v>
      </c>
      <c r="U10" s="102"/>
      <c r="V10" s="155"/>
      <c r="W10" s="155"/>
      <c r="X10" s="155"/>
      <c r="Y10" s="155"/>
      <c r="Z10" s="155"/>
      <c r="AA10" s="153"/>
      <c r="AB10" s="253">
        <f>P10*H23</f>
        <v>418122.61770189041</v>
      </c>
      <c r="AC10" s="254">
        <f t="shared" ref="AC10:AF10" si="6">Q10*I23</f>
        <v>436365.19039556803</v>
      </c>
      <c r="AD10" s="254">
        <f t="shared" si="6"/>
        <v>451139.51181924139</v>
      </c>
      <c r="AE10" s="254">
        <f t="shared" si="6"/>
        <v>467032.32580180379</v>
      </c>
      <c r="AF10" s="255">
        <f t="shared" si="6"/>
        <v>483115.21383251564</v>
      </c>
      <c r="AG10" s="153"/>
    </row>
    <row r="11" spans="2:33" x14ac:dyDescent="0.25">
      <c r="B11" s="84" t="s">
        <v>83</v>
      </c>
      <c r="C11" s="106"/>
      <c r="D11" s="107"/>
      <c r="E11" s="129">
        <f>'Input Sheet'!J11</f>
        <v>975</v>
      </c>
      <c r="F11" s="128">
        <f>'Input Sheet'!K11</f>
        <v>886.36363636363637</v>
      </c>
      <c r="G11" s="108"/>
      <c r="H11" s="147">
        <f>+'Input Sheet'!G$129</f>
        <v>2235.9498272828364</v>
      </c>
      <c r="I11" s="142">
        <f>+'Input Sheet'!H$129</f>
        <v>2333.5036919549093</v>
      </c>
      <c r="J11" s="142">
        <f>+'Input Sheet'!I$129</f>
        <v>2412.5107583916651</v>
      </c>
      <c r="K11" s="142">
        <f>+'Input Sheet'!J$129</f>
        <v>2497.4990684588438</v>
      </c>
      <c r="L11" s="143">
        <f>+'Input Sheet'!K$129</f>
        <v>2583.50381728618</v>
      </c>
      <c r="M11" s="101"/>
      <c r="N11" s="113"/>
      <c r="O11" s="101"/>
      <c r="P11" s="177">
        <f t="shared" ref="P11:P14" si="7">+H11</f>
        <v>2235.9498272828364</v>
      </c>
      <c r="Q11" s="178">
        <f t="shared" si="2"/>
        <v>2333.5036919549093</v>
      </c>
      <c r="R11" s="178">
        <f t="shared" si="3"/>
        <v>2412.5107583916651</v>
      </c>
      <c r="S11" s="178">
        <f t="shared" si="4"/>
        <v>2497.4990684588438</v>
      </c>
      <c r="T11" s="179">
        <f t="shared" si="5"/>
        <v>2583.50381728618</v>
      </c>
      <c r="U11" s="102"/>
      <c r="V11" s="155"/>
      <c r="W11" s="155"/>
      <c r="X11" s="155"/>
      <c r="Y11" s="155"/>
      <c r="Z11" s="155"/>
      <c r="AA11" s="153"/>
      <c r="AB11" s="253">
        <f t="shared" ref="AB11:AB14" si="8">P11*H24</f>
        <v>183347.88583719259</v>
      </c>
      <c r="AC11" s="254">
        <f t="shared" ref="AC11:AC14" si="9">Q11*I24</f>
        <v>191347.30274030258</v>
      </c>
      <c r="AD11" s="254">
        <f t="shared" ref="AD11:AD14" si="10">R11*J24</f>
        <v>197825.88218811655</v>
      </c>
      <c r="AE11" s="254">
        <f t="shared" ref="AE11:AE14" si="11">S11*K24</f>
        <v>204794.9236136252</v>
      </c>
      <c r="AF11" s="255">
        <f t="shared" ref="AF11:AF14" si="12">T11*L24</f>
        <v>211847.31301746677</v>
      </c>
      <c r="AG11" s="153"/>
    </row>
    <row r="12" spans="2:33" x14ac:dyDescent="0.25">
      <c r="B12" s="84" t="s">
        <v>84</v>
      </c>
      <c r="C12" s="106"/>
      <c r="D12" s="107"/>
      <c r="E12" s="129">
        <f>'Input Sheet'!J12</f>
        <v>975</v>
      </c>
      <c r="F12" s="128">
        <f>'Input Sheet'!K12</f>
        <v>886.36363636363637</v>
      </c>
      <c r="G12" s="108"/>
      <c r="H12" s="147">
        <f>+'Input Sheet'!G$129</f>
        <v>2235.9498272828364</v>
      </c>
      <c r="I12" s="142">
        <f>+'Input Sheet'!H$129</f>
        <v>2333.5036919549093</v>
      </c>
      <c r="J12" s="142">
        <f>+'Input Sheet'!I$129</f>
        <v>2412.5107583916651</v>
      </c>
      <c r="K12" s="142">
        <f>+'Input Sheet'!J$129</f>
        <v>2497.4990684588438</v>
      </c>
      <c r="L12" s="143">
        <f>+'Input Sheet'!K$129</f>
        <v>2583.50381728618</v>
      </c>
      <c r="M12" s="101"/>
      <c r="N12" s="113"/>
      <c r="O12" s="101"/>
      <c r="P12" s="177">
        <f t="shared" si="7"/>
        <v>2235.9498272828364</v>
      </c>
      <c r="Q12" s="178">
        <f t="shared" si="2"/>
        <v>2333.5036919549093</v>
      </c>
      <c r="R12" s="178">
        <f t="shared" si="3"/>
        <v>2412.5107583916651</v>
      </c>
      <c r="S12" s="178">
        <f t="shared" si="4"/>
        <v>2497.4990684588438</v>
      </c>
      <c r="T12" s="179">
        <f t="shared" si="5"/>
        <v>2583.50381728618</v>
      </c>
      <c r="U12" s="102"/>
      <c r="V12" s="155"/>
      <c r="W12" s="155"/>
      <c r="X12" s="155"/>
      <c r="Y12" s="155"/>
      <c r="Z12" s="155"/>
      <c r="AA12" s="153"/>
      <c r="AB12" s="253">
        <f t="shared" si="8"/>
        <v>98381.7924004448</v>
      </c>
      <c r="AC12" s="254">
        <f t="shared" si="9"/>
        <v>102674.16244601601</v>
      </c>
      <c r="AD12" s="254">
        <f t="shared" si="10"/>
        <v>106150.47336923327</v>
      </c>
      <c r="AE12" s="254">
        <f t="shared" si="11"/>
        <v>109889.95901218912</v>
      </c>
      <c r="AF12" s="255">
        <f t="shared" si="12"/>
        <v>113674.16796059192</v>
      </c>
      <c r="AG12" s="153"/>
    </row>
    <row r="13" spans="2:33" x14ac:dyDescent="0.25">
      <c r="B13" s="84" t="s">
        <v>85</v>
      </c>
      <c r="C13" s="106"/>
      <c r="D13" s="107"/>
      <c r="E13" s="129">
        <f>'Input Sheet'!J13</f>
        <v>975</v>
      </c>
      <c r="F13" s="128">
        <f>'Input Sheet'!K13</f>
        <v>886.36363636363637</v>
      </c>
      <c r="G13" s="108"/>
      <c r="H13" s="147">
        <f>+'Input Sheet'!G$129</f>
        <v>2235.9498272828364</v>
      </c>
      <c r="I13" s="142">
        <f>+'Input Sheet'!H$129</f>
        <v>2333.5036919549093</v>
      </c>
      <c r="J13" s="142">
        <f>+'Input Sheet'!I$129</f>
        <v>2412.5107583916651</v>
      </c>
      <c r="K13" s="142">
        <f>+'Input Sheet'!J$129</f>
        <v>2497.4990684588438</v>
      </c>
      <c r="L13" s="143">
        <f>+'Input Sheet'!K$129</f>
        <v>2583.50381728618</v>
      </c>
      <c r="M13" s="101"/>
      <c r="N13" s="113"/>
      <c r="O13" s="101"/>
      <c r="P13" s="177">
        <f t="shared" si="7"/>
        <v>2235.9498272828364</v>
      </c>
      <c r="Q13" s="178">
        <f t="shared" si="2"/>
        <v>2333.5036919549093</v>
      </c>
      <c r="R13" s="178">
        <f t="shared" si="3"/>
        <v>2412.5107583916651</v>
      </c>
      <c r="S13" s="178">
        <f t="shared" si="4"/>
        <v>2497.4990684588438</v>
      </c>
      <c r="T13" s="179">
        <f t="shared" si="5"/>
        <v>2583.50381728618</v>
      </c>
      <c r="U13" s="102"/>
      <c r="V13" s="155"/>
      <c r="W13" s="155"/>
      <c r="X13" s="155"/>
      <c r="Y13" s="155"/>
      <c r="Z13" s="155"/>
      <c r="AA13" s="153"/>
      <c r="AB13" s="253">
        <f t="shared" si="8"/>
        <v>46954.946372939565</v>
      </c>
      <c r="AC13" s="254">
        <f t="shared" si="9"/>
        <v>49003.577531053095</v>
      </c>
      <c r="AD13" s="254">
        <f t="shared" si="10"/>
        <v>50662.725926224972</v>
      </c>
      <c r="AE13" s="254">
        <f t="shared" si="11"/>
        <v>52447.480437635721</v>
      </c>
      <c r="AF13" s="255">
        <f t="shared" si="12"/>
        <v>54253.580163009778</v>
      </c>
      <c r="AG13" s="153"/>
    </row>
    <row r="14" spans="2:33" x14ac:dyDescent="0.25">
      <c r="B14" s="84" t="s">
        <v>86</v>
      </c>
      <c r="C14" s="106"/>
      <c r="D14" s="107"/>
      <c r="E14" s="129">
        <f>'Input Sheet'!J14</f>
        <v>975</v>
      </c>
      <c r="F14" s="128">
        <f>'Input Sheet'!K14</f>
        <v>886.36363636363637</v>
      </c>
      <c r="G14" s="108"/>
      <c r="H14" s="147">
        <f>+'Input Sheet'!G$129</f>
        <v>2235.9498272828364</v>
      </c>
      <c r="I14" s="142">
        <f>+'Input Sheet'!H$129</f>
        <v>2333.5036919549093</v>
      </c>
      <c r="J14" s="142">
        <f>+'Input Sheet'!I$129</f>
        <v>2412.5107583916651</v>
      </c>
      <c r="K14" s="142">
        <f>+'Input Sheet'!J$129</f>
        <v>2497.4990684588438</v>
      </c>
      <c r="L14" s="143">
        <f>+'Input Sheet'!K$129</f>
        <v>2583.50381728618</v>
      </c>
      <c r="M14" s="101"/>
      <c r="N14" s="113"/>
      <c r="O14" s="101"/>
      <c r="P14" s="177">
        <f t="shared" si="7"/>
        <v>2235.9498272828364</v>
      </c>
      <c r="Q14" s="178">
        <f t="shared" si="2"/>
        <v>2333.5036919549093</v>
      </c>
      <c r="R14" s="178">
        <f t="shared" si="3"/>
        <v>2412.5107583916651</v>
      </c>
      <c r="S14" s="178">
        <f t="shared" si="4"/>
        <v>2497.4990684588438</v>
      </c>
      <c r="T14" s="179">
        <f t="shared" si="5"/>
        <v>2583.50381728618</v>
      </c>
      <c r="U14" s="102"/>
      <c r="V14" s="155"/>
      <c r="W14" s="155"/>
      <c r="X14" s="155"/>
      <c r="Y14" s="155"/>
      <c r="Z14" s="155"/>
      <c r="AA14" s="153"/>
      <c r="AB14" s="253">
        <f t="shared" si="8"/>
        <v>8943.7993091313456</v>
      </c>
      <c r="AC14" s="254">
        <f t="shared" si="9"/>
        <v>9334.0147678196372</v>
      </c>
      <c r="AD14" s="254">
        <f t="shared" si="10"/>
        <v>9650.0430335666606</v>
      </c>
      <c r="AE14" s="254">
        <f t="shared" si="11"/>
        <v>9989.9962738353752</v>
      </c>
      <c r="AF14" s="255">
        <f t="shared" si="12"/>
        <v>10334.01526914472</v>
      </c>
      <c r="AG14" s="153"/>
    </row>
    <row r="15" spans="2:33" x14ac:dyDescent="0.25">
      <c r="B15" s="130"/>
      <c r="C15" s="131"/>
      <c r="D15" s="78"/>
      <c r="E15" s="78"/>
      <c r="F15" s="115"/>
      <c r="G15" s="109"/>
      <c r="H15" s="148"/>
      <c r="I15" s="144"/>
      <c r="J15" s="144"/>
      <c r="K15" s="144"/>
      <c r="L15" s="145"/>
      <c r="M15" s="110"/>
      <c r="N15" s="119"/>
      <c r="O15" s="110"/>
      <c r="P15" s="180"/>
      <c r="Q15" s="181"/>
      <c r="R15" s="181"/>
      <c r="S15" s="181"/>
      <c r="T15" s="182"/>
      <c r="U15" s="102"/>
      <c r="V15" s="155"/>
      <c r="W15" s="155"/>
      <c r="X15" s="155"/>
      <c r="Y15" s="155"/>
      <c r="Z15" s="155"/>
      <c r="AA15" s="153"/>
      <c r="AB15" s="256"/>
      <c r="AC15" s="257"/>
      <c r="AD15" s="257"/>
      <c r="AE15" s="257"/>
      <c r="AF15" s="258"/>
      <c r="AG15" s="153"/>
    </row>
    <row r="16" spans="2:33" x14ac:dyDescent="0.25">
      <c r="C16" s="110"/>
      <c r="D16" s="75"/>
      <c r="E16" s="75"/>
      <c r="F16" s="75"/>
      <c r="G16" s="109"/>
      <c r="H16" s="109"/>
      <c r="I16" s="109"/>
      <c r="J16" s="120"/>
      <c r="K16" s="120"/>
      <c r="L16" s="120"/>
      <c r="M16" s="120"/>
      <c r="N16" s="92"/>
      <c r="O16" s="120"/>
      <c r="P16" s="120"/>
      <c r="Q16" s="120"/>
      <c r="R16" s="120"/>
      <c r="S16" s="120"/>
      <c r="T16" s="120"/>
      <c r="V16" s="156"/>
      <c r="W16" s="156"/>
      <c r="X16" s="156"/>
      <c r="Y16" s="156"/>
      <c r="Z16" s="156"/>
      <c r="AA16" s="153"/>
      <c r="AB16" s="259">
        <f>SUM(AB9:AB15)</f>
        <v>1274491.4015512168</v>
      </c>
      <c r="AC16" s="260">
        <f>SUM(AC9:AC15)</f>
        <v>1330097.1044142982</v>
      </c>
      <c r="AD16" s="260">
        <f>SUM(AD9:AD15)</f>
        <v>1375131.1322832492</v>
      </c>
      <c r="AE16" s="260">
        <f>SUM(AE9:AE15)</f>
        <v>1423574.4690215408</v>
      </c>
      <c r="AF16" s="261">
        <f>SUM(AF9:AF15)</f>
        <v>1472597.1758531225</v>
      </c>
      <c r="AG16" s="153"/>
    </row>
    <row r="17" spans="2:33" x14ac:dyDescent="0.25">
      <c r="C17" s="110"/>
      <c r="D17" s="75"/>
      <c r="E17" s="75"/>
      <c r="F17" s="75"/>
      <c r="G17" s="109"/>
      <c r="H17" s="109"/>
      <c r="I17" s="109"/>
      <c r="J17" s="120"/>
      <c r="K17" s="120"/>
      <c r="L17" s="120"/>
      <c r="M17" s="120"/>
      <c r="N17" s="92"/>
      <c r="O17" s="120"/>
      <c r="P17" s="120"/>
      <c r="Q17" s="120"/>
      <c r="R17" s="120"/>
      <c r="S17" s="120"/>
      <c r="T17" s="120"/>
      <c r="V17" s="209"/>
      <c r="W17" s="209"/>
      <c r="X17" s="209"/>
      <c r="Y17" s="209"/>
      <c r="Z17" s="209"/>
      <c r="AA17" s="153"/>
      <c r="AB17" s="209"/>
      <c r="AC17" s="209"/>
      <c r="AD17" s="209"/>
      <c r="AE17" s="209"/>
      <c r="AF17" s="209"/>
      <c r="AG17" s="153"/>
    </row>
    <row r="18" spans="2:33" ht="15" x14ac:dyDescent="0.25">
      <c r="B18" s="138" t="s">
        <v>68</v>
      </c>
      <c r="C18" s="138"/>
      <c r="D18" s="138"/>
      <c r="E18" s="138"/>
      <c r="F18" s="138"/>
      <c r="G18" s="138"/>
      <c r="H18" s="138"/>
      <c r="I18" s="138"/>
      <c r="J18" s="138"/>
      <c r="K18" s="138"/>
      <c r="L18" s="138"/>
      <c r="M18" s="138"/>
      <c r="N18" s="231"/>
      <c r="O18" s="138"/>
      <c r="P18" s="138"/>
      <c r="Q18" s="138"/>
      <c r="R18" s="138"/>
      <c r="S18" s="138"/>
      <c r="T18" s="138"/>
      <c r="U18" s="138"/>
      <c r="V18" s="138"/>
      <c r="W18" s="138"/>
      <c r="X18" s="138"/>
      <c r="Y18" s="138"/>
      <c r="Z18" s="138"/>
      <c r="AA18" s="138"/>
      <c r="AB18" s="138"/>
      <c r="AC18" s="138"/>
      <c r="AD18" s="138"/>
      <c r="AE18" s="138"/>
      <c r="AF18" s="138"/>
    </row>
    <row r="19" spans="2:33" x14ac:dyDescent="0.25">
      <c r="M19" s="124"/>
      <c r="N19" s="232"/>
      <c r="O19" s="124"/>
      <c r="V19" s="186"/>
      <c r="W19" s="186"/>
      <c r="X19" s="186"/>
      <c r="Y19" s="186"/>
      <c r="Z19" s="186"/>
    </row>
    <row r="20" spans="2:33" s="91" customFormat="1" x14ac:dyDescent="0.2">
      <c r="C20" s="349" t="s">
        <v>53</v>
      </c>
      <c r="D20" s="350"/>
      <c r="E20" s="350"/>
      <c r="F20" s="351"/>
      <c r="G20" s="24"/>
      <c r="H20" s="352" t="s">
        <v>67</v>
      </c>
      <c r="I20" s="353"/>
      <c r="J20" s="353"/>
      <c r="K20" s="353"/>
      <c r="L20" s="354"/>
      <c r="N20" s="26"/>
      <c r="P20" s="362" t="s">
        <v>55</v>
      </c>
      <c r="Q20" s="363"/>
      <c r="R20" s="363"/>
      <c r="S20" s="363"/>
      <c r="T20" s="364"/>
      <c r="V20" s="349" t="s">
        <v>54</v>
      </c>
      <c r="W20" s="350"/>
      <c r="X20" s="350"/>
      <c r="Y20" s="350"/>
      <c r="Z20" s="351"/>
      <c r="AB20" s="349" t="s">
        <v>41</v>
      </c>
      <c r="AC20" s="350"/>
      <c r="AD20" s="350"/>
      <c r="AE20" s="350"/>
      <c r="AF20" s="351"/>
    </row>
    <row r="21" spans="2:33" s="91" customFormat="1" ht="25.5" x14ac:dyDescent="0.25">
      <c r="B21" s="94" t="s">
        <v>8</v>
      </c>
      <c r="C21" s="96" t="s">
        <v>11</v>
      </c>
      <c r="D21" s="97" t="s">
        <v>12</v>
      </c>
      <c r="E21" s="97" t="s">
        <v>13</v>
      </c>
      <c r="F21" s="98" t="s">
        <v>14</v>
      </c>
      <c r="G21" s="24"/>
      <c r="H21" s="149" t="s">
        <v>16</v>
      </c>
      <c r="I21" s="150" t="s">
        <v>17</v>
      </c>
      <c r="J21" s="150" t="s">
        <v>18</v>
      </c>
      <c r="K21" s="150" t="s">
        <v>19</v>
      </c>
      <c r="L21" s="151" t="s">
        <v>20</v>
      </c>
      <c r="N21" s="233" t="s">
        <v>94</v>
      </c>
      <c r="P21" s="96" t="s">
        <v>16</v>
      </c>
      <c r="Q21" s="97" t="s">
        <v>17</v>
      </c>
      <c r="R21" s="97" t="s">
        <v>18</v>
      </c>
      <c r="S21" s="97" t="s">
        <v>19</v>
      </c>
      <c r="T21" s="98" t="s">
        <v>20</v>
      </c>
      <c r="U21" s="81"/>
      <c r="V21" s="96" t="s">
        <v>16</v>
      </c>
      <c r="W21" s="97" t="s">
        <v>17</v>
      </c>
      <c r="X21" s="97" t="s">
        <v>18</v>
      </c>
      <c r="Y21" s="97" t="s">
        <v>19</v>
      </c>
      <c r="Z21" s="98" t="s">
        <v>20</v>
      </c>
      <c r="AA21" s="81"/>
      <c r="AB21" s="149" t="s">
        <v>16</v>
      </c>
      <c r="AC21" s="150" t="s">
        <v>17</v>
      </c>
      <c r="AD21" s="150" t="s">
        <v>18</v>
      </c>
      <c r="AE21" s="150" t="s">
        <v>19</v>
      </c>
      <c r="AF21" s="151" t="s">
        <v>20</v>
      </c>
    </row>
    <row r="22" spans="2:33" s="91" customFormat="1" x14ac:dyDescent="0.25">
      <c r="B22" s="99" t="s">
        <v>81</v>
      </c>
      <c r="C22" s="103">
        <f>+'Input Sheet'!G32</f>
        <v>194</v>
      </c>
      <c r="D22" s="100">
        <f>+'Input Sheet'!H32</f>
        <v>197</v>
      </c>
      <c r="E22" s="100">
        <f>+'Input Sheet'!I32</f>
        <v>243</v>
      </c>
      <c r="F22" s="104">
        <f>+'Input Sheet'!K32</f>
        <v>293</v>
      </c>
      <c r="G22" s="75"/>
      <c r="H22" s="111">
        <f>ROUND(AVERAGE($C22:$F22),0)</f>
        <v>232</v>
      </c>
      <c r="I22" s="107">
        <f t="shared" ref="I22:L27" si="13">ROUND(AVERAGE($C22:$F22),0)</f>
        <v>232</v>
      </c>
      <c r="J22" s="107">
        <f t="shared" si="13"/>
        <v>232</v>
      </c>
      <c r="K22" s="107">
        <f t="shared" si="13"/>
        <v>232</v>
      </c>
      <c r="L22" s="112">
        <f t="shared" si="13"/>
        <v>232</v>
      </c>
      <c r="N22" s="105">
        <f>'Input Sheet'!$K$47</f>
        <v>29</v>
      </c>
      <c r="P22" s="250">
        <f>'Input Sheet'!G$128*'Fee Breakdown'!H22</f>
        <v>229035.10503220849</v>
      </c>
      <c r="Q22" s="251">
        <f>'Input Sheet'!H$128*'Fee Breakdown'!I22</f>
        <v>239027.84251175117</v>
      </c>
      <c r="R22" s="251">
        <f>'Input Sheet'!I$128*'Fee Breakdown'!J22</f>
        <v>247120.77534004222</v>
      </c>
      <c r="S22" s="251">
        <f>'Input Sheet'!J$128*'Fee Breakdown'!K22</f>
        <v>255826.38504793122</v>
      </c>
      <c r="T22" s="252">
        <f>'Input Sheet'!K$128*'Fee Breakdown'!L22</f>
        <v>264636.11165296653</v>
      </c>
      <c r="U22" s="262"/>
      <c r="V22" s="250">
        <f>+P22*('Input Sheet'!G$138-1)</f>
        <v>268761.78302070632</v>
      </c>
      <c r="W22" s="251">
        <f>+Q22*('Input Sheet'!H$138-1)</f>
        <v>301175.91342664219</v>
      </c>
      <c r="X22" s="251">
        <f>+R22*('Input Sheet'!I$138-1)</f>
        <v>314100.92470436572</v>
      </c>
      <c r="Y22" s="251">
        <f>+S22*('Input Sheet'!J$138-1)</f>
        <v>331903.04257936421</v>
      </c>
      <c r="Z22" s="252">
        <f>+T22*('Input Sheet'!K$138-1)</f>
        <v>350007.35295462649</v>
      </c>
      <c r="AA22" s="262"/>
      <c r="AB22" s="250">
        <f>+P22+V22</f>
        <v>497796.88805291482</v>
      </c>
      <c r="AC22" s="251">
        <f t="shared" ref="AC22:AC27" si="14">+Q22+W22</f>
        <v>540203.7559383933</v>
      </c>
      <c r="AD22" s="251">
        <f t="shared" ref="AD22:AD27" si="15">+R22+X22</f>
        <v>561221.70004440797</v>
      </c>
      <c r="AE22" s="251">
        <f t="shared" ref="AE22:AE27" si="16">+S22+Y22</f>
        <v>587729.42762729549</v>
      </c>
      <c r="AF22" s="252">
        <f t="shared" ref="AF22:AF27" si="17">+T22+Z22</f>
        <v>614643.46460759302</v>
      </c>
    </row>
    <row r="23" spans="2:33" s="91" customFormat="1" x14ac:dyDescent="0.25">
      <c r="B23" s="84" t="s">
        <v>82</v>
      </c>
      <c r="C23" s="111">
        <f>+'Input Sheet'!G33</f>
        <v>204</v>
      </c>
      <c r="D23" s="107">
        <f>+'Input Sheet'!H33</f>
        <v>265</v>
      </c>
      <c r="E23" s="107">
        <f>+'Input Sheet'!I33</f>
        <v>156</v>
      </c>
      <c r="F23" s="112">
        <f>+'Input Sheet'!K33</f>
        <v>124</v>
      </c>
      <c r="G23" s="75"/>
      <c r="H23" s="111">
        <f t="shared" ref="H23:H27" si="18">ROUND(AVERAGE($C23:$F23),0)</f>
        <v>187</v>
      </c>
      <c r="I23" s="107">
        <f t="shared" si="13"/>
        <v>187</v>
      </c>
      <c r="J23" s="107">
        <f t="shared" si="13"/>
        <v>187</v>
      </c>
      <c r="K23" s="107">
        <f t="shared" si="13"/>
        <v>187</v>
      </c>
      <c r="L23" s="112">
        <f t="shared" si="13"/>
        <v>187</v>
      </c>
      <c r="N23" s="113"/>
      <c r="P23" s="253">
        <f>+'Input Sheet'!G$128*'Fee Breakdown'!H23</f>
        <v>184610.19241820255</v>
      </c>
      <c r="Q23" s="254">
        <f>+'Input Sheet'!H$128*'Fee Breakdown'!I23</f>
        <v>192664.6834038684</v>
      </c>
      <c r="R23" s="254">
        <f>+'Input Sheet'!I$128*'Fee Breakdown'!J23</f>
        <v>199187.86633012025</v>
      </c>
      <c r="S23" s="254">
        <f>+'Input Sheet'!J$128*'Fee Breakdown'!K23</f>
        <v>206204.88794811696</v>
      </c>
      <c r="T23" s="255">
        <f>+'Input Sheet'!K$128*'Fee Breakdown'!L23</f>
        <v>213305.83137545147</v>
      </c>
      <c r="U23" s="262"/>
      <c r="V23" s="253">
        <f>+P23*('Input Sheet'!G$138-1)</f>
        <v>216631.26476237969</v>
      </c>
      <c r="W23" s="254">
        <f>+Q23*('Input Sheet'!H$138-1)</f>
        <v>242758.17159819865</v>
      </c>
      <c r="X23" s="254">
        <f>+R23*('Input Sheet'!I$138-1)</f>
        <v>253176.17637808787</v>
      </c>
      <c r="Y23" s="254">
        <f>+S23*('Input Sheet'!J$138-1)</f>
        <v>267525.29725147027</v>
      </c>
      <c r="Z23" s="255">
        <f>+T23*('Input Sheet'!K$138-1)</f>
        <v>282117.99570049637</v>
      </c>
      <c r="AA23" s="262"/>
      <c r="AB23" s="253">
        <f t="shared" ref="AB23:AB27" si="19">+P23+V23</f>
        <v>401241.45718058222</v>
      </c>
      <c r="AC23" s="254">
        <f t="shared" si="14"/>
        <v>435422.85500206705</v>
      </c>
      <c r="AD23" s="254">
        <f t="shared" si="15"/>
        <v>452364.04270820809</v>
      </c>
      <c r="AE23" s="254">
        <f t="shared" si="16"/>
        <v>473730.18519958726</v>
      </c>
      <c r="AF23" s="255">
        <f t="shared" si="17"/>
        <v>495423.82707594783</v>
      </c>
    </row>
    <row r="24" spans="2:33" s="91" customFormat="1" x14ac:dyDescent="0.25">
      <c r="B24" s="84" t="s">
        <v>83</v>
      </c>
      <c r="C24" s="111">
        <f>+'Input Sheet'!G34</f>
        <v>83</v>
      </c>
      <c r="D24" s="107">
        <f>+'Input Sheet'!H34</f>
        <v>77</v>
      </c>
      <c r="E24" s="107">
        <f>+'Input Sheet'!I34</f>
        <v>84</v>
      </c>
      <c r="F24" s="112">
        <f>+'Input Sheet'!K34</f>
        <v>83</v>
      </c>
      <c r="G24" s="75"/>
      <c r="H24" s="111">
        <f t="shared" si="18"/>
        <v>82</v>
      </c>
      <c r="I24" s="107">
        <f t="shared" si="13"/>
        <v>82</v>
      </c>
      <c r="J24" s="107">
        <f t="shared" si="13"/>
        <v>82</v>
      </c>
      <c r="K24" s="107">
        <f t="shared" si="13"/>
        <v>82</v>
      </c>
      <c r="L24" s="112">
        <f t="shared" si="13"/>
        <v>82</v>
      </c>
      <c r="N24" s="113"/>
      <c r="P24" s="253">
        <f>+'Input Sheet'!G$128*'Fee Breakdown'!H24</f>
        <v>80952.062985521974</v>
      </c>
      <c r="Q24" s="254">
        <f>+'Input Sheet'!H$128*'Fee Breakdown'!I24</f>
        <v>84483.97881880861</v>
      </c>
      <c r="R24" s="254">
        <f>+'Input Sheet'!I$128*'Fee Breakdown'!J24</f>
        <v>87344.411973635608</v>
      </c>
      <c r="S24" s="254">
        <f>+'Input Sheet'!J$128*'Fee Breakdown'!K24</f>
        <v>90421.394715217073</v>
      </c>
      <c r="T24" s="255">
        <f>+'Input Sheet'!K$128*'Fee Breakdown'!L24</f>
        <v>93535.177394582992</v>
      </c>
      <c r="U24" s="262"/>
      <c r="V24" s="253">
        <f>+P24*('Input Sheet'!G$138-1)</f>
        <v>94993.38882628415</v>
      </c>
      <c r="W24" s="254">
        <f>+Q24*('Input Sheet'!H$138-1)</f>
        <v>106450.10733183044</v>
      </c>
      <c r="X24" s="254">
        <f>+R24*('Input Sheet'!I$138-1)</f>
        <v>111018.43028343959</v>
      </c>
      <c r="Y24" s="254">
        <f>+S24*('Input Sheet'!J$138-1)</f>
        <v>117310.55815305114</v>
      </c>
      <c r="Z24" s="255">
        <f>+T24*('Input Sheet'!K$138-1)</f>
        <v>123709.49544085936</v>
      </c>
      <c r="AA24" s="262"/>
      <c r="AB24" s="253">
        <f t="shared" si="19"/>
        <v>175945.45181180612</v>
      </c>
      <c r="AC24" s="254">
        <f t="shared" si="14"/>
        <v>190934.08615063905</v>
      </c>
      <c r="AD24" s="254">
        <f t="shared" si="15"/>
        <v>198362.84225707519</v>
      </c>
      <c r="AE24" s="254">
        <f t="shared" si="16"/>
        <v>207731.95286826821</v>
      </c>
      <c r="AF24" s="255">
        <f t="shared" si="17"/>
        <v>217244.67283544235</v>
      </c>
    </row>
    <row r="25" spans="2:33" s="91" customFormat="1" x14ac:dyDescent="0.25">
      <c r="B25" s="84" t="s">
        <v>84</v>
      </c>
      <c r="C25" s="111">
        <f>+'Input Sheet'!G35</f>
        <v>41</v>
      </c>
      <c r="D25" s="107">
        <f>+'Input Sheet'!H35</f>
        <v>58</v>
      </c>
      <c r="E25" s="107">
        <f>+'Input Sheet'!I35</f>
        <v>34</v>
      </c>
      <c r="F25" s="112">
        <f>+'Input Sheet'!K35</f>
        <v>44</v>
      </c>
      <c r="G25" s="75"/>
      <c r="H25" s="111">
        <f t="shared" si="18"/>
        <v>44</v>
      </c>
      <c r="I25" s="107">
        <f t="shared" si="13"/>
        <v>44</v>
      </c>
      <c r="J25" s="107">
        <f t="shared" si="13"/>
        <v>44</v>
      </c>
      <c r="K25" s="107">
        <f t="shared" si="13"/>
        <v>44</v>
      </c>
      <c r="L25" s="112">
        <f t="shared" si="13"/>
        <v>44</v>
      </c>
      <c r="N25" s="113"/>
      <c r="P25" s="253">
        <f>+'Input Sheet'!G$128*'Fee Breakdown'!H25</f>
        <v>43437.692333694715</v>
      </c>
      <c r="Q25" s="254">
        <f>+'Input Sheet'!H$128*'Fee Breakdown'!I25</f>
        <v>45332.866683263157</v>
      </c>
      <c r="R25" s="254">
        <f>+'Input Sheet'!I$128*'Fee Breakdown'!J25</f>
        <v>46867.73325414594</v>
      </c>
      <c r="S25" s="254">
        <f>+'Input Sheet'!J$128*'Fee Breakdown'!K25</f>
        <v>48518.797164262818</v>
      </c>
      <c r="T25" s="255">
        <f>+'Input Sheet'!K$128*'Fee Breakdown'!L25</f>
        <v>50189.607382459166</v>
      </c>
      <c r="U25" s="262"/>
      <c r="V25" s="253">
        <f>+P25*('Input Sheet'!G$138-1)</f>
        <v>50972.062297030512</v>
      </c>
      <c r="W25" s="254">
        <f>+Q25*('Input Sheet'!H$138-1)</f>
        <v>57119.569787811452</v>
      </c>
      <c r="X25" s="254">
        <f>+R25*('Input Sheet'!I$138-1)</f>
        <v>59570.865030138324</v>
      </c>
      <c r="Y25" s="254">
        <f>+S25*('Input Sheet'!J$138-1)</f>
        <v>62947.128765051835</v>
      </c>
      <c r="Z25" s="255">
        <f>+T25*('Input Sheet'!K$138-1)</f>
        <v>66380.704870705027</v>
      </c>
      <c r="AA25" s="262"/>
      <c r="AB25" s="253">
        <f t="shared" si="19"/>
        <v>94409.75463072522</v>
      </c>
      <c r="AC25" s="254">
        <f t="shared" si="14"/>
        <v>102452.43647107462</v>
      </c>
      <c r="AD25" s="254">
        <f t="shared" si="15"/>
        <v>106438.59828428426</v>
      </c>
      <c r="AE25" s="254">
        <f t="shared" si="16"/>
        <v>111465.92592931466</v>
      </c>
      <c r="AF25" s="255">
        <f t="shared" si="17"/>
        <v>116570.31225316419</v>
      </c>
    </row>
    <row r="26" spans="2:33" s="91" customFormat="1" x14ac:dyDescent="0.25">
      <c r="B26" s="84" t="s">
        <v>85</v>
      </c>
      <c r="C26" s="111">
        <f>+'Input Sheet'!G36</f>
        <v>12</v>
      </c>
      <c r="D26" s="107">
        <f>+'Input Sheet'!H36</f>
        <v>20</v>
      </c>
      <c r="E26" s="107">
        <f>+'Input Sheet'!I36</f>
        <v>22</v>
      </c>
      <c r="F26" s="112">
        <f>+'Input Sheet'!K36</f>
        <v>29</v>
      </c>
      <c r="G26" s="75"/>
      <c r="H26" s="111">
        <f t="shared" si="18"/>
        <v>21</v>
      </c>
      <c r="I26" s="107">
        <f t="shared" si="13"/>
        <v>21</v>
      </c>
      <c r="J26" s="107">
        <f t="shared" si="13"/>
        <v>21</v>
      </c>
      <c r="K26" s="107">
        <f t="shared" si="13"/>
        <v>21</v>
      </c>
      <c r="L26" s="112">
        <f t="shared" si="13"/>
        <v>21</v>
      </c>
      <c r="N26" s="113"/>
      <c r="P26" s="253">
        <f>+'Input Sheet'!G$128*'Fee Breakdown'!H26</f>
        <v>20731.625886536112</v>
      </c>
      <c r="Q26" s="254">
        <f>+'Input Sheet'!H$128*'Fee Breakdown'!I26</f>
        <v>21636.140917011959</v>
      </c>
      <c r="R26" s="254">
        <f>+'Input Sheet'!I$128*'Fee Breakdown'!J26</f>
        <v>22368.690871296927</v>
      </c>
      <c r="S26" s="254">
        <f>+'Input Sheet'!J$128*'Fee Breakdown'!K26</f>
        <v>23156.698646579982</v>
      </c>
      <c r="T26" s="255">
        <f>+'Input Sheet'!K$128*'Fee Breakdown'!L26</f>
        <v>23954.130796173693</v>
      </c>
      <c r="U26" s="262"/>
      <c r="V26" s="253">
        <f>+P26*('Input Sheet'!G$138-1)</f>
        <v>24327.575187219107</v>
      </c>
      <c r="W26" s="254">
        <f>+Q26*('Input Sheet'!H$138-1)</f>
        <v>27261.612853273644</v>
      </c>
      <c r="X26" s="254">
        <f>+R26*('Input Sheet'!I$138-1)</f>
        <v>28431.549218929656</v>
      </c>
      <c r="Y26" s="254">
        <f>+S26*('Input Sheet'!J$138-1)</f>
        <v>30042.947819683828</v>
      </c>
      <c r="Z26" s="255">
        <f>+T26*('Input Sheet'!K$138-1)</f>
        <v>31681.700051927397</v>
      </c>
      <c r="AA26" s="262"/>
      <c r="AB26" s="253">
        <f t="shared" si="19"/>
        <v>45059.201073755219</v>
      </c>
      <c r="AC26" s="254">
        <f t="shared" si="14"/>
        <v>48897.753770285606</v>
      </c>
      <c r="AD26" s="254">
        <f t="shared" si="15"/>
        <v>50800.24009022658</v>
      </c>
      <c r="AE26" s="254">
        <f t="shared" si="16"/>
        <v>53199.64646626381</v>
      </c>
      <c r="AF26" s="255">
        <f t="shared" si="17"/>
        <v>55635.83084810109</v>
      </c>
    </row>
    <row r="27" spans="2:33" s="91" customFormat="1" x14ac:dyDescent="0.25">
      <c r="B27" s="84" t="s">
        <v>86</v>
      </c>
      <c r="C27" s="111">
        <f>+'Input Sheet'!G37</f>
        <v>1</v>
      </c>
      <c r="D27" s="107">
        <f>+'Input Sheet'!H37</f>
        <v>7</v>
      </c>
      <c r="E27" s="107">
        <f>+'Input Sheet'!I37</f>
        <v>4</v>
      </c>
      <c r="F27" s="112">
        <f>+'Input Sheet'!K37</f>
        <v>5</v>
      </c>
      <c r="G27" s="75"/>
      <c r="H27" s="111">
        <f t="shared" si="18"/>
        <v>4</v>
      </c>
      <c r="I27" s="107">
        <f t="shared" si="13"/>
        <v>4</v>
      </c>
      <c r="J27" s="107">
        <f t="shared" si="13"/>
        <v>4</v>
      </c>
      <c r="K27" s="107">
        <f t="shared" si="13"/>
        <v>4</v>
      </c>
      <c r="L27" s="112">
        <f t="shared" si="13"/>
        <v>4</v>
      </c>
      <c r="N27" s="113"/>
      <c r="P27" s="253">
        <f>+'Input Sheet'!G$128*'Fee Breakdown'!H27</f>
        <v>3948.8811212449741</v>
      </c>
      <c r="Q27" s="254">
        <f>+'Input Sheet'!H$128*'Fee Breakdown'!I27</f>
        <v>4121.1696984784685</v>
      </c>
      <c r="R27" s="254">
        <f>+'Input Sheet'!I$128*'Fee Breakdown'!J27</f>
        <v>4260.7030231041763</v>
      </c>
      <c r="S27" s="254">
        <f>+'Input Sheet'!J$128*'Fee Breakdown'!K27</f>
        <v>4410.7997422057106</v>
      </c>
      <c r="T27" s="255">
        <f>+'Input Sheet'!K$128*'Fee Breakdown'!L27</f>
        <v>4562.6915802235608</v>
      </c>
      <c r="U27" s="262"/>
      <c r="V27" s="253">
        <f>+P27*('Input Sheet'!G$138-1)</f>
        <v>4633.8238451845918</v>
      </c>
      <c r="W27" s="254">
        <f>+Q27*('Input Sheet'!H$138-1)</f>
        <v>5192.6881625283131</v>
      </c>
      <c r="X27" s="254">
        <f>+R27*('Input Sheet'!I$138-1)</f>
        <v>5415.5331845580295</v>
      </c>
      <c r="Y27" s="254">
        <f>+S27*('Input Sheet'!J$138-1)</f>
        <v>5722.4662513683479</v>
      </c>
      <c r="Z27" s="255">
        <f>+T27*('Input Sheet'!K$138-1)</f>
        <v>6034.6095337004572</v>
      </c>
      <c r="AA27" s="262"/>
      <c r="AB27" s="253">
        <f t="shared" si="19"/>
        <v>8582.7049664295664</v>
      </c>
      <c r="AC27" s="254">
        <f t="shared" si="14"/>
        <v>9313.8578610067816</v>
      </c>
      <c r="AD27" s="254">
        <f t="shared" si="15"/>
        <v>9676.2362076622048</v>
      </c>
      <c r="AE27" s="254">
        <f t="shared" si="16"/>
        <v>10133.265993574059</v>
      </c>
      <c r="AF27" s="255">
        <f t="shared" si="17"/>
        <v>10597.301113924019</v>
      </c>
    </row>
    <row r="28" spans="2:33" s="91" customFormat="1" x14ac:dyDescent="0.25">
      <c r="B28" s="114"/>
      <c r="C28" s="116"/>
      <c r="D28" s="117"/>
      <c r="E28" s="117"/>
      <c r="F28" s="118"/>
      <c r="G28" s="75"/>
      <c r="H28" s="116"/>
      <c r="I28" s="117"/>
      <c r="J28" s="117"/>
      <c r="K28" s="117"/>
      <c r="L28" s="118"/>
      <c r="N28" s="119"/>
      <c r="P28" s="256"/>
      <c r="Q28" s="257"/>
      <c r="R28" s="257"/>
      <c r="S28" s="257"/>
      <c r="T28" s="258"/>
      <c r="U28" s="262"/>
      <c r="V28" s="256"/>
      <c r="W28" s="257"/>
      <c r="X28" s="257"/>
      <c r="Y28" s="257"/>
      <c r="Z28" s="258"/>
      <c r="AA28" s="262"/>
      <c r="AB28" s="256"/>
      <c r="AC28" s="257"/>
      <c r="AD28" s="257"/>
      <c r="AE28" s="257"/>
      <c r="AF28" s="258"/>
    </row>
    <row r="29" spans="2:33" s="91" customFormat="1" x14ac:dyDescent="0.25">
      <c r="C29" s="121">
        <f>SUM(C22:C28)</f>
        <v>535</v>
      </c>
      <c r="D29" s="122">
        <f>SUM(D22:D28)</f>
        <v>624</v>
      </c>
      <c r="E29" s="122">
        <f>SUM(E22:E28)</f>
        <v>543</v>
      </c>
      <c r="F29" s="123">
        <f>SUM(F22:F28)</f>
        <v>578</v>
      </c>
      <c r="G29" s="24"/>
      <c r="H29" s="160">
        <f>SUM(H22:H28)</f>
        <v>570</v>
      </c>
      <c r="I29" s="161">
        <f>SUM(I22:I28)</f>
        <v>570</v>
      </c>
      <c r="J29" s="161">
        <f>SUM(J22:J28)</f>
        <v>570</v>
      </c>
      <c r="K29" s="161">
        <f>SUM(K22:K28)</f>
        <v>570</v>
      </c>
      <c r="L29" s="162">
        <f>SUM(L22:L28)</f>
        <v>570</v>
      </c>
      <c r="N29" s="26"/>
      <c r="P29" s="263">
        <f>SUM(P22:P28)</f>
        <v>562715.55977740872</v>
      </c>
      <c r="Q29" s="264">
        <f>SUM(Q22:Q28)</f>
        <v>587266.68203318177</v>
      </c>
      <c r="R29" s="264">
        <f>SUM(R22:R28)</f>
        <v>607150.18079234508</v>
      </c>
      <c r="S29" s="264">
        <f>SUM(S22:S28)</f>
        <v>628538.96326431388</v>
      </c>
      <c r="T29" s="265">
        <f>SUM(T22:T28)</f>
        <v>650183.55018185754</v>
      </c>
      <c r="U29" s="262"/>
      <c r="V29" s="259">
        <f>SUM(V22:V28)</f>
        <v>660319.89793880435</v>
      </c>
      <c r="W29" s="260">
        <f>SUM(W22:W28)</f>
        <v>739958.06316028477</v>
      </c>
      <c r="X29" s="260">
        <f>SUM(X22:X28)</f>
        <v>771713.47879951913</v>
      </c>
      <c r="Y29" s="260">
        <f>SUM(Y22:Y28)</f>
        <v>815451.44081998966</v>
      </c>
      <c r="Z29" s="261">
        <f>SUM(Z22:Z28)</f>
        <v>859931.85855231504</v>
      </c>
      <c r="AA29" s="262"/>
      <c r="AB29" s="259">
        <f>SUM(AB22:AB28)</f>
        <v>1223035.4577162131</v>
      </c>
      <c r="AC29" s="260">
        <f>SUM(AC22:AC28)</f>
        <v>1327224.7451934663</v>
      </c>
      <c r="AD29" s="260">
        <f>SUM(AD22:AD28)</f>
        <v>1378863.6595918643</v>
      </c>
      <c r="AE29" s="260">
        <f>SUM(AE22:AE28)</f>
        <v>1443990.4040843036</v>
      </c>
      <c r="AF29" s="261">
        <f>SUM(AF22:AF28)</f>
        <v>1510115.4087341726</v>
      </c>
    </row>
    <row r="30" spans="2:33" s="91" customFormat="1" x14ac:dyDescent="0.25">
      <c r="N30" s="26"/>
      <c r="P30" s="262"/>
      <c r="Q30" s="262"/>
      <c r="R30" s="262"/>
      <c r="S30" s="262"/>
      <c r="T30" s="262"/>
      <c r="U30" s="262"/>
      <c r="V30" s="262"/>
      <c r="W30" s="262"/>
      <c r="X30" s="262"/>
      <c r="Y30" s="262"/>
      <c r="Z30" s="262"/>
      <c r="AA30" s="262"/>
      <c r="AB30" s="262"/>
      <c r="AC30" s="262"/>
      <c r="AD30" s="262"/>
      <c r="AE30" s="262"/>
      <c r="AF30" s="262"/>
    </row>
    <row r="31" spans="2:33" s="91" customFormat="1" x14ac:dyDescent="0.25">
      <c r="N31" s="26"/>
      <c r="V31" s="81"/>
      <c r="W31" s="81"/>
      <c r="X31" s="81"/>
      <c r="Y31" s="81"/>
      <c r="Z31" s="81"/>
    </row>
    <row r="32" spans="2:33" x14ac:dyDescent="0.25">
      <c r="H32" s="66"/>
      <c r="I32" s="66"/>
    </row>
    <row r="33" spans="8:9" x14ac:dyDescent="0.25">
      <c r="H33" s="66"/>
      <c r="I33" s="66"/>
    </row>
    <row r="34" spans="8:9" x14ac:dyDescent="0.25">
      <c r="H34" s="66"/>
      <c r="I34" s="66"/>
    </row>
    <row r="35" spans="8:9" x14ac:dyDescent="0.25">
      <c r="H35" s="66"/>
      <c r="I35" s="66"/>
    </row>
    <row r="36" spans="8:9" x14ac:dyDescent="0.25">
      <c r="H36" s="66"/>
      <c r="I36" s="66"/>
    </row>
  </sheetData>
  <mergeCells count="10">
    <mergeCell ref="AB20:AF20"/>
    <mergeCell ref="C20:F20"/>
    <mergeCell ref="H20:L20"/>
    <mergeCell ref="C7:F7"/>
    <mergeCell ref="P7:T7"/>
    <mergeCell ref="H7:L7"/>
    <mergeCell ref="V7:Z7"/>
    <mergeCell ref="P20:T20"/>
    <mergeCell ref="V20:Z20"/>
    <mergeCell ref="AB7:AF7"/>
  </mergeCells>
  <pageMargins left="0.39370078740157483" right="0.39370078740157483" top="0.39370078740157483" bottom="0.39370078740157483" header="0.19685039370078741" footer="0.19685039370078741"/>
  <pageSetup paperSize="8" scale="60" orientation="landscape" r:id="rId1"/>
  <headerFooter>
    <oddFooter>&amp;C&amp;F&amp;R&amp;A</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Input Documents --&gt;</vt:lpstr>
      <vt:lpstr>Input Sheet</vt:lpstr>
      <vt:lpstr>Methodology Statements --&gt;</vt:lpstr>
      <vt:lpstr>AER Summary</vt:lpstr>
      <vt:lpstr>Service Description</vt:lpstr>
      <vt:lpstr>Fee Breakdown</vt:lpstr>
      <vt:lpstr>'AER Summary'!Print_Area</vt:lpstr>
      <vt:lpstr>'Fee Breakdown'!Print_Area</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Jacob Muscat</cp:lastModifiedBy>
  <cp:lastPrinted>2014-04-28T05:50:27Z</cp:lastPrinted>
  <dcterms:created xsi:type="dcterms:W3CDTF">2013-06-17T01:25:32Z</dcterms:created>
  <dcterms:modified xsi:type="dcterms:W3CDTF">2015-01-05T00:58:59Z</dcterms:modified>
</cp:coreProperties>
</file>