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808"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Breakdown'!$A$1:$AE$36</definedName>
    <definedName name="TM1REBUILDOPTION">1</definedName>
  </definedNames>
  <calcPr calcId="145621" calcMode="manual" concurrentCalc="0"/>
</workbook>
</file>

<file path=xl/calcChain.xml><?xml version="1.0" encoding="utf-8"?>
<calcChain xmlns="http://schemas.openxmlformats.org/spreadsheetml/2006/main">
  <c r="K274" i="13" l="1"/>
  <c r="K240" i="13"/>
  <c r="R24" i="11"/>
  <c r="K265" i="13"/>
  <c r="X24" i="11"/>
  <c r="AD24" i="11"/>
  <c r="K241" i="13"/>
  <c r="R25" i="11"/>
  <c r="X25" i="11"/>
  <c r="AD25" i="11"/>
  <c r="K242" i="13"/>
  <c r="R26" i="11"/>
  <c r="X26" i="11"/>
  <c r="AD26" i="11"/>
  <c r="K243" i="13"/>
  <c r="R27" i="11"/>
  <c r="X27" i="11"/>
  <c r="AD27" i="11"/>
  <c r="K244" i="13"/>
  <c r="R28" i="11"/>
  <c r="X28" i="11"/>
  <c r="AD28" i="11"/>
  <c r="K245" i="13"/>
  <c r="R29" i="11"/>
  <c r="X29" i="11"/>
  <c r="AD29" i="11"/>
  <c r="K246" i="13"/>
  <c r="R30" i="11"/>
  <c r="X30" i="11"/>
  <c r="AD30" i="11"/>
  <c r="K247" i="13"/>
  <c r="R31" i="11"/>
  <c r="X31" i="11"/>
  <c r="AD31" i="11"/>
  <c r="AD33" i="11"/>
  <c r="J274" i="13"/>
  <c r="J240" i="13"/>
  <c r="Q24" i="11"/>
  <c r="J265" i="13"/>
  <c r="W24" i="11"/>
  <c r="AC24" i="11"/>
  <c r="J241" i="13"/>
  <c r="Q25" i="11"/>
  <c r="W25" i="11"/>
  <c r="AC25" i="11"/>
  <c r="J242" i="13"/>
  <c r="Q26" i="11"/>
  <c r="W26" i="11"/>
  <c r="AC26" i="11"/>
  <c r="J243" i="13"/>
  <c r="Q27" i="11"/>
  <c r="W27" i="11"/>
  <c r="AC27" i="11"/>
  <c r="J244" i="13"/>
  <c r="Q28" i="11"/>
  <c r="W28" i="11"/>
  <c r="AC28" i="11"/>
  <c r="J245" i="13"/>
  <c r="Q29" i="11"/>
  <c r="W29" i="11"/>
  <c r="AC29" i="11"/>
  <c r="J246" i="13"/>
  <c r="Q30" i="11"/>
  <c r="W30" i="11"/>
  <c r="AC30" i="11"/>
  <c r="J247" i="13"/>
  <c r="Q31" i="11"/>
  <c r="W31" i="11"/>
  <c r="AC31" i="11"/>
  <c r="AC33" i="11"/>
  <c r="I274" i="13"/>
  <c r="I240" i="13"/>
  <c r="P24" i="11"/>
  <c r="I265" i="13"/>
  <c r="V24" i="11"/>
  <c r="AB24" i="11"/>
  <c r="I241" i="13"/>
  <c r="P25" i="11"/>
  <c r="V25" i="11"/>
  <c r="AB25" i="11"/>
  <c r="I242" i="13"/>
  <c r="P26" i="11"/>
  <c r="V26" i="11"/>
  <c r="AB26" i="11"/>
  <c r="I243" i="13"/>
  <c r="P27" i="11"/>
  <c r="V27" i="11"/>
  <c r="AB27" i="11"/>
  <c r="I244" i="13"/>
  <c r="P28" i="11"/>
  <c r="V28" i="11"/>
  <c r="AB28" i="11"/>
  <c r="I245" i="13"/>
  <c r="P29" i="11"/>
  <c r="V29" i="11"/>
  <c r="AB29" i="11"/>
  <c r="I246" i="13"/>
  <c r="P30" i="11"/>
  <c r="V30" i="11"/>
  <c r="AB30" i="11"/>
  <c r="I247" i="13"/>
  <c r="P31" i="11"/>
  <c r="V31" i="11"/>
  <c r="AB31" i="11"/>
  <c r="AB33" i="11"/>
  <c r="H274" i="13"/>
  <c r="H240" i="13"/>
  <c r="O24" i="11"/>
  <c r="H265" i="13"/>
  <c r="U24" i="11"/>
  <c r="AA24" i="11"/>
  <c r="H241" i="13"/>
  <c r="O25" i="11"/>
  <c r="U25" i="11"/>
  <c r="AA25" i="11"/>
  <c r="H242" i="13"/>
  <c r="O26" i="11"/>
  <c r="U26" i="11"/>
  <c r="AA26" i="11"/>
  <c r="H243" i="13"/>
  <c r="O27" i="11"/>
  <c r="U27" i="11"/>
  <c r="AA27" i="11"/>
  <c r="H244" i="13"/>
  <c r="O28" i="11"/>
  <c r="U28" i="11"/>
  <c r="AA28" i="11"/>
  <c r="H245" i="13"/>
  <c r="O29" i="11"/>
  <c r="U29" i="11"/>
  <c r="AA29" i="11"/>
  <c r="H246" i="13"/>
  <c r="O30" i="11"/>
  <c r="U30" i="11"/>
  <c r="AA30" i="11"/>
  <c r="H247" i="13"/>
  <c r="O31" i="11"/>
  <c r="U31" i="11"/>
  <c r="AA31" i="11"/>
  <c r="AA33" i="11"/>
  <c r="G274" i="13"/>
  <c r="G240" i="13"/>
  <c r="N24" i="11"/>
  <c r="G265" i="13"/>
  <c r="T24" i="11"/>
  <c r="Z24" i="11"/>
  <c r="G241" i="13"/>
  <c r="N25" i="11"/>
  <c r="T25" i="11"/>
  <c r="Z25" i="11"/>
  <c r="G242" i="13"/>
  <c r="N26" i="11"/>
  <c r="T26" i="11"/>
  <c r="Z26" i="11"/>
  <c r="G243" i="13"/>
  <c r="N27" i="11"/>
  <c r="T27" i="11"/>
  <c r="Z27" i="11"/>
  <c r="G244" i="13"/>
  <c r="N28" i="11"/>
  <c r="T28" i="11"/>
  <c r="Z28" i="11"/>
  <c r="G245" i="13"/>
  <c r="N29" i="11"/>
  <c r="T29" i="11"/>
  <c r="Z29" i="11"/>
  <c r="G246" i="13"/>
  <c r="N30" i="11"/>
  <c r="T30" i="11"/>
  <c r="Z30" i="11"/>
  <c r="G247" i="13"/>
  <c r="N31" i="11"/>
  <c r="T31" i="11"/>
  <c r="Z31" i="11"/>
  <c r="Z33" i="11"/>
  <c r="X33" i="11"/>
  <c r="W33" i="11"/>
  <c r="V33" i="11"/>
  <c r="U33" i="11"/>
  <c r="T33" i="11"/>
  <c r="R33" i="11"/>
  <c r="Q33" i="11"/>
  <c r="P33" i="11"/>
  <c r="O33" i="11"/>
  <c r="N33" i="11"/>
  <c r="K267" i="13"/>
  <c r="J217" i="13"/>
  <c r="K217" i="13"/>
  <c r="G249" i="13"/>
  <c r="N9" i="11"/>
  <c r="Z9" i="11"/>
  <c r="J218" i="13"/>
  <c r="K218" i="13"/>
  <c r="G250" i="13"/>
  <c r="N10" i="11"/>
  <c r="Z10" i="11"/>
  <c r="J219" i="13"/>
  <c r="K219" i="13"/>
  <c r="G251" i="13"/>
  <c r="N11" i="11"/>
  <c r="Z11" i="11"/>
  <c r="J220" i="13"/>
  <c r="K220" i="13"/>
  <c r="G252" i="13"/>
  <c r="N12" i="11"/>
  <c r="Z12" i="11"/>
  <c r="J221" i="13"/>
  <c r="K221" i="13"/>
  <c r="G253" i="13"/>
  <c r="N13" i="11"/>
  <c r="Z13" i="11"/>
  <c r="J222" i="13"/>
  <c r="K222" i="13"/>
  <c r="G254" i="13"/>
  <c r="N14" i="11"/>
  <c r="Z14" i="11"/>
  <c r="J223" i="13"/>
  <c r="K223" i="13"/>
  <c r="G255" i="13"/>
  <c r="N15" i="11"/>
  <c r="Z15" i="11"/>
  <c r="J224" i="13"/>
  <c r="K224" i="13"/>
  <c r="G256" i="13"/>
  <c r="N16" i="11"/>
  <c r="Z16" i="11"/>
  <c r="Z18" i="11"/>
  <c r="C33" i="8"/>
  <c r="H249" i="13"/>
  <c r="O9" i="11"/>
  <c r="AA9" i="11"/>
  <c r="H250" i="13"/>
  <c r="O10" i="11"/>
  <c r="AA10" i="11"/>
  <c r="H251" i="13"/>
  <c r="O11" i="11"/>
  <c r="AA11" i="11"/>
  <c r="H252" i="13"/>
  <c r="O12" i="11"/>
  <c r="AA12" i="11"/>
  <c r="H253" i="13"/>
  <c r="O13" i="11"/>
  <c r="AA13" i="11"/>
  <c r="H254" i="13"/>
  <c r="O14" i="11"/>
  <c r="AA14" i="11"/>
  <c r="H255" i="13"/>
  <c r="O15" i="11"/>
  <c r="AA15" i="11"/>
  <c r="H256" i="13"/>
  <c r="O16" i="11"/>
  <c r="AA16" i="11"/>
  <c r="AA18" i="11"/>
  <c r="D33" i="8"/>
  <c r="I249" i="13"/>
  <c r="P9" i="11"/>
  <c r="AB9" i="11"/>
  <c r="I250" i="13"/>
  <c r="P10" i="11"/>
  <c r="AB10" i="11"/>
  <c r="I251" i="13"/>
  <c r="P11" i="11"/>
  <c r="AB11" i="11"/>
  <c r="I252" i="13"/>
  <c r="P12" i="11"/>
  <c r="AB12" i="11"/>
  <c r="I253" i="13"/>
  <c r="P13" i="11"/>
  <c r="AB13" i="11"/>
  <c r="I254" i="13"/>
  <c r="P14" i="11"/>
  <c r="AB14" i="11"/>
  <c r="I255" i="13"/>
  <c r="P15" i="11"/>
  <c r="AB15" i="11"/>
  <c r="I256" i="13"/>
  <c r="P16" i="11"/>
  <c r="AB16" i="11"/>
  <c r="AB18" i="11"/>
  <c r="E33" i="8"/>
  <c r="J249" i="13"/>
  <c r="Q9" i="11"/>
  <c r="AC9" i="11"/>
  <c r="J250" i="13"/>
  <c r="Q10" i="11"/>
  <c r="AC10" i="11"/>
  <c r="J251" i="13"/>
  <c r="Q11" i="11"/>
  <c r="AC11" i="11"/>
  <c r="J252" i="13"/>
  <c r="Q12" i="11"/>
  <c r="AC12" i="11"/>
  <c r="J253" i="13"/>
  <c r="Q13" i="11"/>
  <c r="AC13" i="11"/>
  <c r="J254" i="13"/>
  <c r="Q14" i="11"/>
  <c r="AC14" i="11"/>
  <c r="J255" i="13"/>
  <c r="Q15" i="11"/>
  <c r="AC15" i="11"/>
  <c r="J256" i="13"/>
  <c r="Q16" i="11"/>
  <c r="AC16" i="11"/>
  <c r="AC18" i="11"/>
  <c r="F33" i="8"/>
  <c r="K249" i="13"/>
  <c r="R9" i="11"/>
  <c r="AD9" i="11"/>
  <c r="K250" i="13"/>
  <c r="R10" i="11"/>
  <c r="AD10" i="11"/>
  <c r="K251" i="13"/>
  <c r="R11" i="11"/>
  <c r="AD11" i="11"/>
  <c r="K252" i="13"/>
  <c r="R12" i="11"/>
  <c r="AD12" i="11"/>
  <c r="K253" i="13"/>
  <c r="R13" i="11"/>
  <c r="AD13" i="11"/>
  <c r="K254" i="13"/>
  <c r="R14" i="11"/>
  <c r="AD14" i="11"/>
  <c r="K255" i="13"/>
  <c r="R15" i="11"/>
  <c r="AD15" i="11"/>
  <c r="K256" i="13"/>
  <c r="R16" i="11"/>
  <c r="AD16" i="11"/>
  <c r="AD18" i="11"/>
  <c r="G33" i="8"/>
  <c r="H33" i="8"/>
  <c r="C10" i="11"/>
  <c r="D10" i="11"/>
  <c r="E10" i="11"/>
  <c r="F10" i="11"/>
  <c r="C11" i="11"/>
  <c r="D11" i="11"/>
  <c r="E11" i="11"/>
  <c r="F11" i="11"/>
  <c r="C12" i="11"/>
  <c r="D12" i="11"/>
  <c r="E12" i="11"/>
  <c r="F12" i="11"/>
  <c r="C13" i="11"/>
  <c r="D13" i="11"/>
  <c r="E13" i="11"/>
  <c r="F13" i="11"/>
  <c r="C14" i="11"/>
  <c r="D14" i="11"/>
  <c r="E14" i="11"/>
  <c r="F14" i="11"/>
  <c r="C15" i="11"/>
  <c r="D15" i="11"/>
  <c r="E15" i="11"/>
  <c r="F15" i="11"/>
  <c r="C16" i="11"/>
  <c r="D16" i="11"/>
  <c r="E16" i="11"/>
  <c r="F16" i="11"/>
  <c r="F9" i="11"/>
  <c r="E9" i="11"/>
  <c r="K10" i="13"/>
  <c r="K11" i="13"/>
  <c r="K12" i="13"/>
  <c r="H13" i="13"/>
  <c r="K13" i="13"/>
  <c r="H14" i="13"/>
  <c r="K14" i="13"/>
  <c r="H15" i="13"/>
  <c r="K15" i="13"/>
  <c r="H16" i="13"/>
  <c r="K16" i="13"/>
  <c r="K9" i="13"/>
  <c r="D9" i="11"/>
  <c r="C9" i="11"/>
  <c r="E217" i="13"/>
  <c r="H175" i="13"/>
  <c r="F217" i="13"/>
  <c r="G217" i="13"/>
  <c r="H192" i="13"/>
  <c r="H217" i="13"/>
  <c r="I217" i="13"/>
  <c r="K27" i="13"/>
  <c r="D31" i="11"/>
  <c r="E31" i="11"/>
  <c r="F31" i="11"/>
  <c r="L31" i="11"/>
  <c r="E224" i="13"/>
  <c r="F224" i="13"/>
  <c r="G224" i="13"/>
  <c r="H224" i="13"/>
  <c r="I224" i="13"/>
  <c r="K31" i="11"/>
  <c r="J31" i="11"/>
  <c r="I31" i="11"/>
  <c r="H31" i="11"/>
  <c r="J201" i="13"/>
  <c r="J202" i="13"/>
  <c r="G231" i="13"/>
  <c r="G233" i="13"/>
  <c r="F233" i="13"/>
  <c r="J211" i="13"/>
  <c r="I201" i="13"/>
  <c r="I202" i="13"/>
  <c r="I211" i="13"/>
  <c r="H201" i="13"/>
  <c r="H202" i="13"/>
  <c r="H211" i="13"/>
  <c r="D30" i="11"/>
  <c r="E30" i="11"/>
  <c r="F30" i="11"/>
  <c r="L30" i="11"/>
  <c r="E223" i="13"/>
  <c r="F223" i="13"/>
  <c r="G223" i="13"/>
  <c r="H223" i="13"/>
  <c r="I223" i="13"/>
  <c r="K30" i="11"/>
  <c r="J30" i="11"/>
  <c r="I30" i="11"/>
  <c r="H30" i="11"/>
  <c r="G230" i="13"/>
  <c r="G232" i="13"/>
  <c r="F232" i="13"/>
  <c r="J210" i="13"/>
  <c r="I210" i="13"/>
  <c r="H210" i="13"/>
  <c r="D29" i="11"/>
  <c r="E29" i="11"/>
  <c r="F29" i="11"/>
  <c r="L29" i="11"/>
  <c r="E222" i="13"/>
  <c r="F222" i="13"/>
  <c r="G222" i="13"/>
  <c r="H222" i="13"/>
  <c r="I222" i="13"/>
  <c r="K29" i="11"/>
  <c r="J29" i="11"/>
  <c r="I29" i="11"/>
  <c r="H29" i="11"/>
  <c r="J209" i="13"/>
  <c r="I209" i="13"/>
  <c r="H209" i="13"/>
  <c r="D28" i="11"/>
  <c r="E28" i="11"/>
  <c r="F28" i="11"/>
  <c r="L28" i="11"/>
  <c r="E221" i="13"/>
  <c r="F221" i="13"/>
  <c r="G221" i="13"/>
  <c r="H221" i="13"/>
  <c r="I221" i="13"/>
  <c r="K28" i="11"/>
  <c r="J28" i="11"/>
  <c r="I28" i="11"/>
  <c r="H28" i="11"/>
  <c r="J208" i="13"/>
  <c r="I208" i="13"/>
  <c r="H208" i="13"/>
  <c r="D27" i="11"/>
  <c r="E27" i="11"/>
  <c r="F27" i="11"/>
  <c r="L27" i="11"/>
  <c r="E220" i="13"/>
  <c r="F220" i="13"/>
  <c r="G220" i="13"/>
  <c r="H220" i="13"/>
  <c r="I220" i="13"/>
  <c r="K27" i="11"/>
  <c r="J27" i="11"/>
  <c r="I27" i="11"/>
  <c r="H27" i="11"/>
  <c r="F231" i="13"/>
  <c r="J207" i="13"/>
  <c r="I207" i="13"/>
  <c r="H207" i="13"/>
  <c r="D26" i="11"/>
  <c r="E26" i="11"/>
  <c r="F26" i="11"/>
  <c r="L26" i="11"/>
  <c r="E219" i="13"/>
  <c r="F219" i="13"/>
  <c r="G219" i="13"/>
  <c r="H219" i="13"/>
  <c r="I219" i="13"/>
  <c r="K26" i="11"/>
  <c r="J26" i="11"/>
  <c r="I26" i="11"/>
  <c r="H26" i="11"/>
  <c r="F230" i="13"/>
  <c r="J206" i="13"/>
  <c r="I206" i="13"/>
  <c r="H206" i="13"/>
  <c r="D25" i="11"/>
  <c r="E25" i="11"/>
  <c r="F25" i="11"/>
  <c r="L25" i="11"/>
  <c r="E218" i="13"/>
  <c r="F218" i="13"/>
  <c r="G218" i="13"/>
  <c r="H218" i="13"/>
  <c r="I218" i="13"/>
  <c r="K25" i="11"/>
  <c r="J25" i="11"/>
  <c r="I25" i="11"/>
  <c r="H25" i="11"/>
  <c r="J205" i="13"/>
  <c r="I205" i="13"/>
  <c r="H205" i="13"/>
  <c r="D24" i="11"/>
  <c r="E24" i="11"/>
  <c r="F24" i="11"/>
  <c r="L24" i="11"/>
  <c r="K24" i="11"/>
  <c r="J24" i="11"/>
  <c r="I24" i="11"/>
  <c r="H24" i="11"/>
  <c r="J204" i="13"/>
  <c r="I204" i="13"/>
  <c r="H204" i="13"/>
  <c r="J212" i="13"/>
  <c r="G26" i="8"/>
  <c r="I212" i="13"/>
  <c r="F26" i="8"/>
  <c r="H212" i="13"/>
  <c r="E26" i="8"/>
  <c r="J40" i="13"/>
  <c r="I40" i="13"/>
  <c r="H40" i="13"/>
  <c r="F256" i="13"/>
  <c r="F255" i="13"/>
  <c r="F254" i="13"/>
  <c r="F253" i="13"/>
  <c r="F252" i="13"/>
  <c r="F251" i="13"/>
  <c r="F250" i="13"/>
  <c r="F249" i="13"/>
  <c r="F247" i="13"/>
  <c r="F246" i="13"/>
  <c r="F245" i="13"/>
  <c r="F244" i="13"/>
  <c r="F243" i="13"/>
  <c r="F242" i="13"/>
  <c r="F241" i="13"/>
  <c r="F240" i="13"/>
  <c r="G236" i="13"/>
  <c r="G238" i="13"/>
  <c r="F238" i="13"/>
  <c r="G235" i="13"/>
  <c r="G237" i="13"/>
  <c r="F237" i="13"/>
  <c r="F236" i="13"/>
  <c r="F235" i="13"/>
  <c r="K276" i="13"/>
  <c r="B5" i="11"/>
  <c r="K236" i="13"/>
  <c r="H9" i="8"/>
  <c r="J236" i="13"/>
  <c r="G9" i="8"/>
  <c r="I236" i="13"/>
  <c r="F9" i="8"/>
  <c r="H236" i="13"/>
  <c r="E9" i="8"/>
  <c r="K235" i="13"/>
  <c r="H8" i="8"/>
  <c r="J235" i="13"/>
  <c r="G8" i="8"/>
  <c r="I235" i="13"/>
  <c r="F8" i="8"/>
  <c r="H235" i="13"/>
  <c r="E8" i="8"/>
  <c r="D9" i="8"/>
  <c r="D8" i="8"/>
  <c r="K238" i="13"/>
  <c r="L16" i="11"/>
  <c r="J238" i="13"/>
  <c r="K16" i="11"/>
  <c r="I238" i="13"/>
  <c r="J16" i="11"/>
  <c r="H238" i="13"/>
  <c r="I16" i="11"/>
  <c r="K237" i="13"/>
  <c r="L15" i="11"/>
  <c r="J237" i="13"/>
  <c r="K15" i="11"/>
  <c r="I237" i="13"/>
  <c r="J15" i="11"/>
  <c r="H237" i="13"/>
  <c r="I15" i="11"/>
  <c r="L14" i="11"/>
  <c r="K14" i="11"/>
  <c r="J14" i="11"/>
  <c r="I14" i="11"/>
  <c r="L13" i="11"/>
  <c r="K13" i="11"/>
  <c r="J13" i="11"/>
  <c r="I13" i="11"/>
  <c r="L12" i="11"/>
  <c r="K12" i="11"/>
  <c r="J12" i="11"/>
  <c r="I12" i="11"/>
  <c r="L11" i="11"/>
  <c r="K11" i="11"/>
  <c r="J11" i="11"/>
  <c r="I11" i="11"/>
  <c r="L10" i="11"/>
  <c r="K10" i="11"/>
  <c r="J10" i="11"/>
  <c r="I10" i="11"/>
  <c r="L9" i="11"/>
  <c r="K9" i="11"/>
  <c r="J9" i="11"/>
  <c r="I9" i="11"/>
  <c r="H16" i="11"/>
  <c r="H15" i="11"/>
  <c r="H14" i="11"/>
  <c r="H13" i="11"/>
  <c r="H12" i="11"/>
  <c r="H11" i="11"/>
  <c r="H10" i="11"/>
  <c r="H9" i="11"/>
  <c r="K231" i="13"/>
  <c r="K233" i="13"/>
  <c r="J231" i="13"/>
  <c r="J233" i="13"/>
  <c r="I231" i="13"/>
  <c r="I233" i="13"/>
  <c r="H231" i="13"/>
  <c r="H233" i="13"/>
  <c r="K230" i="13"/>
  <c r="K232" i="13"/>
  <c r="J230" i="13"/>
  <c r="J232" i="13"/>
  <c r="I230" i="13"/>
  <c r="I232" i="13"/>
  <c r="H230" i="13"/>
  <c r="H232" i="13"/>
  <c r="K258" i="13"/>
  <c r="J258" i="13"/>
  <c r="I258" i="13"/>
  <c r="H258" i="13"/>
  <c r="L33" i="11"/>
  <c r="K33" i="11"/>
  <c r="J33" i="11"/>
  <c r="I33" i="11"/>
  <c r="B3" i="13"/>
  <c r="H27" i="13"/>
  <c r="I27" i="13"/>
  <c r="J27" i="13"/>
  <c r="D39" i="8"/>
  <c r="E39" i="8"/>
  <c r="F39" i="8"/>
  <c r="G39" i="8"/>
  <c r="H33" i="11"/>
  <c r="C39" i="8"/>
  <c r="D36" i="8"/>
  <c r="E36" i="8"/>
  <c r="F36" i="8"/>
  <c r="G36" i="8"/>
  <c r="C36" i="8"/>
  <c r="D35" i="8"/>
  <c r="E35" i="8"/>
  <c r="F35" i="8"/>
  <c r="G35" i="8"/>
  <c r="C35" i="8"/>
  <c r="F27" i="8"/>
  <c r="G27" i="8"/>
  <c r="E27" i="8"/>
  <c r="E25" i="8"/>
  <c r="F25" i="8"/>
  <c r="G25" i="8"/>
  <c r="H25" i="8"/>
  <c r="C3" i="11"/>
  <c r="F33" i="11"/>
  <c r="E33" i="11"/>
  <c r="D33" i="11"/>
  <c r="C33" i="11"/>
  <c r="H35" i="8"/>
  <c r="H36" i="8"/>
  <c r="H37" i="8"/>
  <c r="G37" i="8"/>
  <c r="F37" i="8"/>
  <c r="E37" i="8"/>
  <c r="D37" i="8"/>
  <c r="C37" i="8"/>
  <c r="C45" i="8"/>
  <c r="D45" i="8"/>
  <c r="E45" i="8"/>
  <c r="F45" i="8"/>
  <c r="G45" i="8"/>
  <c r="H45" i="8"/>
  <c r="H27" i="8"/>
  <c r="H26" i="8"/>
  <c r="H39" i="8"/>
  <c r="G27" i="13"/>
  <c r="D3" i="9"/>
</calcChain>
</file>

<file path=xl/sharedStrings.xml><?xml version="1.0" encoding="utf-8"?>
<sst xmlns="http://schemas.openxmlformats.org/spreadsheetml/2006/main" count="496" uniqueCount="143">
  <si>
    <t>Service:</t>
  </si>
  <si>
    <t>Total</t>
  </si>
  <si>
    <t>Historical Revenue</t>
  </si>
  <si>
    <t>Description</t>
  </si>
  <si>
    <t>Volumes</t>
  </si>
  <si>
    <t>Source</t>
  </si>
  <si>
    <t>Current Fee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</si>
  <si>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</si>
  <si>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</si>
  <si>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</si>
  <si>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</si>
  <si>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</si>
  <si>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</si>
  <si>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</si>
  <si>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</si>
  <si>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</si>
  <si>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</si>
  <si>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</si>
  <si>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</si>
  <si>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</si>
  <si>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</si>
  <si>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</si>
  <si>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</si>
  <si>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</si>
  <si>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</si>
  <si>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</si>
  <si>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</si>
  <si>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</si>
  <si>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</si>
  <si>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</si>
  <si>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</si>
  <si>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</si>
  <si>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</si>
  <si>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AVERAGE</t>
  </si>
  <si>
    <t>Assumed annual labour growth</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</si>
  <si>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</si>
  <si>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</si>
  <si>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</si>
  <si>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</si>
  <si>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</si>
  <si>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</si>
  <si>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</si>
  <si>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</si>
  <si>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</si>
  <si>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</si>
  <si>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</si>
  <si>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</si>
  <si>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</si>
  <si>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</si>
  <si>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</si>
  <si>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</si>
  <si>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</si>
  <si>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</si>
  <si>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</si>
  <si>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</si>
  <si>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</si>
  <si>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Proposed Hourly Rates</t>
  </si>
  <si>
    <t>Fee
(Including GST)</t>
  </si>
  <si>
    <t>Growth</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</si>
  <si>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</si>
  <si>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</si>
  <si>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</si>
  <si>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</si>
  <si>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</si>
  <si>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</si>
  <si>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</si>
  <si>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</si>
  <si>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</si>
  <si>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</si>
  <si>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</si>
  <si>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</si>
  <si>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Revenue related to this service is billed through Endeavour Energy's Ellipse billing system and is extracted from the general ledger.</t>
  </si>
  <si>
    <t>No historical work orders exist to capture the costs for this ancillary network service.</t>
  </si>
  <si>
    <t>Average Hourly Rates for Estimated Costs</t>
  </si>
  <si>
    <t>Average Unit Rates - 2012/13 Dollars</t>
  </si>
  <si>
    <t>Estimated Costs</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</si>
  <si>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</si>
  <si>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</si>
  <si>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</si>
  <si>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</si>
  <si>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Cost Estimates</t>
  </si>
  <si>
    <t>Access (Standby Person)</t>
  </si>
  <si>
    <t>Normal Time - 1 x Visit - Open / Close - 1 hour</t>
  </si>
  <si>
    <t>Normal Time - 1 x Visit - Open / Isolate &amp; CSO to close - 1 hour</t>
  </si>
  <si>
    <t>Normal Time - 2 x Visit - Open / Close &amp; no isolation - 2 hours</t>
  </si>
  <si>
    <t>Normal Time - 2 x Visit - Open / Isolate / Close - 2 hours</t>
  </si>
  <si>
    <t>Overtime - 1 x Visit - Open / Close - 1 hour</t>
  </si>
  <si>
    <t>Overtime - 1 x Visit - Open / Isolate &amp; CSO to close - 1 hour</t>
  </si>
  <si>
    <t>Overtime - 2 x Visit - Open / Close &amp; no isolation - 2 hours</t>
  </si>
  <si>
    <t>Overtime - 2 x Visit - Open / Isolate / Close - 2 hours</t>
  </si>
  <si>
    <t xml:space="preserve">EFM                                     </t>
  </si>
  <si>
    <t xml:space="preserve">INSTALLATION INSPECTORS                 </t>
  </si>
  <si>
    <t>Average Unit Rate (2012/13$) - Incl OH</t>
  </si>
  <si>
    <t>EFM - 
Estimated  Hours</t>
  </si>
  <si>
    <t>Installation Inspector - 
Estimated  Hours</t>
  </si>
  <si>
    <t>Average Hourly Rate (Nominal) - EFM</t>
  </si>
  <si>
    <t>Average Hourly Rate (Nominal) - Installation Insp</t>
  </si>
  <si>
    <t>EFM - 
Unit Rate</t>
  </si>
  <si>
    <t>Installation Inspector - 
Unit Rate</t>
  </si>
  <si>
    <t>No. of people</t>
  </si>
  <si>
    <t xml:space="preserve">The provision of access to switchrooms, substations and the like to an ASP who is accompanied by a member of staff of a DNSP, but does not include the circumstance where an ASP is provided with keys for the purpose of securing access and is not accompanied by a member of staff of the DNSP.
</t>
  </si>
  <si>
    <t xml:space="preserve">The provision of access to switchrooms, substations and the like to an ASP who is accompanied by a distributor’s staff member, but does not include the circumstance where an ASP is provided with keys for the purpose of securing access and is not accompanied by distributor’s staff member.
</t>
  </si>
  <si>
    <t>Normal Time - EFM Only (Hourly Rate)</t>
  </si>
  <si>
    <t>Normal Time - EFM &amp; Installation Inspector (Hourly Rate)</t>
  </si>
  <si>
    <t>Overtime - EFM Only (Hourly Rate)</t>
  </si>
  <si>
    <t>Overtime - EFM &amp; Installation Inspector (Hourly Rate)</t>
  </si>
  <si>
    <t>Standard Hours</t>
  </si>
  <si>
    <t>Hourly Rate
(Excluding GST)</t>
  </si>
  <si>
    <t>Payroll data was extracted as at 14/06/13 and provided by the Budgeting &amp; Forecasting Manager.  These hourly labour rates represent 2012/13 labour costs and are used to calculate an average hourly labour rate for those individuals involved in this service.</t>
  </si>
  <si>
    <t>EFM</t>
  </si>
  <si>
    <t>EFM &amp; Inspector</t>
  </si>
  <si>
    <t>Proposed Revenue (Nominal)</t>
  </si>
  <si>
    <t>2008/09</t>
  </si>
  <si>
    <t>2009-14 Current Fees</t>
  </si>
  <si>
    <t>Current fees approved by the AER for the 2009-14 regulatory period.</t>
  </si>
  <si>
    <t>Volumes were derived based on revenue invoiced divided by the fee rate, in conjunction with information from individual invoices.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</si>
  <si>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</si>
  <si>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</si>
  <si>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</si>
  <si>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</si>
  <si>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No description provided.</t>
  </si>
  <si>
    <t>Per job</t>
  </si>
  <si>
    <t>Pricing Mechanism:</t>
  </si>
  <si>
    <t>Current Fee (Excl GST):</t>
  </si>
  <si>
    <t>Based on the following labour rates per hour for the 2015-19 regulatory period - Refer to the Fee Breakdown schedule for specific fees</t>
  </si>
  <si>
    <t>Proposed Fee (Excl GST):</t>
  </si>
  <si>
    <t>3) An overhead factor derived from Endeavour Energy's Cost Allocation Model ('CAM') was applied to the direct labour rate to calculate a labour rate inclusive of network and corporate overheads. In addition, a 2012/13 real to nominal conversion factor derived from the CAM was applied to the labour rate to calculate the forecast labour rates in nominal dollars over the 2015-19 regulatory period.</t>
  </si>
  <si>
    <t xml:space="preserve">4) The labour rates inclusive of network and corporate overheads were multiplied by the standard hours approved for the 2009-14 regulatory period to calculate a fixed fee for each fee sub category over the 2015-19 regulatory period.  </t>
  </si>
  <si>
    <t>Revenue / current fee</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</si>
  <si>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</si>
  <si>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Based on a rate of $64 per hour for an Electrical Fitter Mechanic ('EFM') EFM and $144 per hour for an EFM and an Installation Inspector - Refer to the Fee Breakdown schedule for specific fees</t>
  </si>
  <si>
    <t>2) As historic work order data was not available for this service, a 2012/13 unit rate was calculated based on information (hours and personnel type) provided by the individuals involved in the provision of this service and the average 2012/13 labour rate for the relevant positions.</t>
  </si>
  <si>
    <t>The calculation of these unit rates were built up based on the timing, number of people and the average hourly rate of the employee positions that carry out this service. This is inflated by the overhead factor derived from the CAM to calculate a fully loaded unit rate.
For unit rates involving overtime, the hourly rate was inflated by a factor of 1.75 as allowed in previous AER submissions.</t>
  </si>
  <si>
    <t>Historic revenue was extracted from Endeavour Energy's general ledger via an account code combination specifically set up to capture revenue for this service (as defined in the 2009-14 regulatory period). Historic costs were estimated based on resource requirement (labour hours) and volumes provided by individuals involved in the provision of this service. Historic volumes were derived based on revenue invoiced divided by the fee rate in conjunction with information from individual invoices.</t>
  </si>
  <si>
    <t>These calculations represent the costs related to this service.  These calculations were based on information provided by the Network Operations representatives as individual work orders which captured the costs do not exist.
Network Operations representatives identified which employee positions carried out this type of work and provided an estimate for the number of hours required to complete each task.</t>
  </si>
  <si>
    <t>Average Unit Rate (2012/13$) - Excl OH</t>
  </si>
  <si>
    <t>2015-2019 Pricing Methodology for Service (Summary)</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</si>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</sst>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6" tint="0.79998168889431442"/>
        <bgColor indexed="64"/>
      </patternFill>
    </fill>
  </fills>
  <borders count="33">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theme="0"/>
      </bottom>
      <diagonal/>
    </border>
    <border>
      <left/>
      <right/>
      <top/>
      <bottom style="thin">
        <color theme="0"/>
      </bottom>
      <diagonal/>
    </border>
    <border>
      <left/>
      <right style="thin">
        <color indexed="64"/>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57">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170" fontId="11" fillId="2" borderId="7" xfId="0" applyNumberFormat="1" applyFont="1" applyFill="1" applyBorder="1" applyAlignment="1">
      <alignment horizontal="center" vertical="center"/>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9" xfId="0" applyNumberFormat="1" applyFont="1" applyBorder="1" applyAlignment="1">
      <alignment vertical="center"/>
    </xf>
    <xf numFmtId="170" fontId="19" fillId="5" borderId="23"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67" fontId="19" fillId="0" borderId="7" xfId="0" applyNumberFormat="1" applyFont="1" applyBorder="1" applyAlignment="1">
      <alignment horizontal="center"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70" fontId="21" fillId="7" borderId="0" xfId="0" applyNumberFormat="1" applyFont="1" applyFill="1" applyAlignment="1">
      <alignment vertical="center"/>
    </xf>
    <xf numFmtId="167" fontId="19" fillId="5" borderId="25" xfId="0" applyNumberFormat="1" applyFont="1" applyFill="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right" vertical="center" wrapText="1"/>
    </xf>
    <xf numFmtId="170" fontId="19" fillId="4" borderId="21" xfId="0" quotePrefix="1" applyNumberFormat="1" applyFont="1" applyFill="1" applyBorder="1" applyAlignment="1">
      <alignment horizontal="right"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70"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70" fontId="18" fillId="3" borderId="19"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9" fillId="4" borderId="14" xfId="0" quotePrefix="1" applyNumberFormat="1" applyFont="1" applyFill="1" applyBorder="1" applyAlignment="1">
      <alignment horizontal="right" vertical="center" wrapText="1"/>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7" xfId="0" applyFont="1" applyBorder="1" applyAlignment="1">
      <alignment horizontal="left" vertical="center" wrapText="1"/>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9" fontId="11" fillId="0" borderId="0" xfId="1" applyFont="1" applyAlignment="1">
      <alignment vertical="center"/>
    </xf>
    <xf numFmtId="0" fontId="11" fillId="0" borderId="0" xfId="0" applyFont="1" applyBorder="1" applyAlignment="1">
      <alignment horizontal="left" vertical="center" wrapText="1"/>
    </xf>
    <xf numFmtId="0" fontId="11" fillId="0" borderId="11" xfId="0" applyFont="1" applyBorder="1" applyAlignment="1">
      <alignment horizontal="left"/>
    </xf>
    <xf numFmtId="0" fontId="11" fillId="0" borderId="12" xfId="0" applyFont="1" applyBorder="1" applyAlignment="1">
      <alignment horizontal="left"/>
    </xf>
    <xf numFmtId="0" fontId="11" fillId="0" borderId="13" xfId="0" applyFont="1" applyBorder="1" applyAlignment="1">
      <alignment horizontal="left"/>
    </xf>
    <xf numFmtId="167" fontId="19" fillId="5" borderId="24" xfId="0" applyNumberFormat="1" applyFont="1" applyFill="1" applyBorder="1" applyAlignment="1">
      <alignment vertical="center"/>
    </xf>
    <xf numFmtId="170" fontId="18" fillId="5" borderId="14" xfId="0" applyNumberFormat="1" applyFont="1" applyFill="1" applyBorder="1" applyAlignment="1">
      <alignment horizontal="left"/>
    </xf>
    <xf numFmtId="170" fontId="18" fillId="5" borderId="15" xfId="0" applyNumberFormat="1" applyFont="1" applyFill="1" applyBorder="1" applyAlignment="1">
      <alignment horizontal="left"/>
    </xf>
    <xf numFmtId="0" fontId="11" fillId="0" borderId="0" xfId="0" applyFont="1" applyBorder="1" applyAlignment="1">
      <alignment horizontal="left"/>
    </xf>
    <xf numFmtId="0" fontId="11" fillId="0" borderId="14" xfId="0" applyFont="1" applyBorder="1" applyAlignment="1">
      <alignment horizontal="left"/>
    </xf>
    <xf numFmtId="0" fontId="11" fillId="0" borderId="15" xfId="0" applyFont="1" applyBorder="1" applyAlignment="1">
      <alignment horizontal="left"/>
    </xf>
    <xf numFmtId="0" fontId="11" fillId="0" borderId="16"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0" xfId="0" applyFont="1" applyBorder="1" applyAlignment="1">
      <alignment horizontal="center"/>
    </xf>
    <xf numFmtId="170" fontId="18" fillId="5" borderId="14" xfId="0" applyNumberFormat="1" applyFont="1" applyFill="1" applyBorder="1" applyAlignment="1">
      <alignment horizontal="center" wrapText="1"/>
    </xf>
    <xf numFmtId="0" fontId="11" fillId="0" borderId="16" xfId="0" applyFont="1" applyBorder="1" applyAlignment="1">
      <alignment horizontal="center"/>
    </xf>
    <xf numFmtId="0" fontId="11" fillId="0" borderId="18" xfId="0" applyFont="1" applyBorder="1" applyAlignment="1">
      <alignment horizontal="center"/>
    </xf>
    <xf numFmtId="170" fontId="18" fillId="5" borderId="11" xfId="0" applyNumberFormat="1" applyFont="1" applyFill="1" applyBorder="1" applyAlignment="1">
      <alignment horizontal="center" wrapText="1"/>
    </xf>
    <xf numFmtId="167" fontId="11" fillId="0" borderId="17" xfId="0" applyNumberFormat="1" applyFont="1" applyBorder="1" applyAlignment="1">
      <alignment horizontal="center"/>
    </xf>
    <xf numFmtId="0" fontId="11" fillId="0" borderId="14" xfId="0" applyFont="1" applyBorder="1" applyAlignment="1">
      <alignment horizontal="center"/>
    </xf>
    <xf numFmtId="167" fontId="11" fillId="0" borderId="21" xfId="0" applyNumberFormat="1" applyFont="1" applyBorder="1" applyAlignment="1">
      <alignment horizontal="center"/>
    </xf>
    <xf numFmtId="167" fontId="11" fillId="0" borderId="20" xfId="0" applyNumberFormat="1" applyFont="1" applyBorder="1" applyAlignment="1">
      <alignment horizontal="center"/>
    </xf>
    <xf numFmtId="170" fontId="19" fillId="5" borderId="8" xfId="0" quotePrefix="1" applyNumberFormat="1" applyFont="1" applyFill="1" applyBorder="1" applyAlignment="1">
      <alignment horizontal="center" vertical="center" wrapText="1"/>
    </xf>
    <xf numFmtId="167" fontId="11" fillId="0" borderId="0" xfId="0" applyNumberFormat="1" applyFont="1" applyBorder="1" applyAlignment="1">
      <alignment vertical="center"/>
    </xf>
    <xf numFmtId="170" fontId="18" fillId="5" borderId="8" xfId="0" applyNumberFormat="1" applyFont="1" applyFill="1" applyBorder="1" applyAlignment="1">
      <alignment horizontal="center" vertical="center" wrapText="1"/>
    </xf>
    <xf numFmtId="9" fontId="11" fillId="0" borderId="8" xfId="1" applyFont="1" applyBorder="1" applyAlignment="1">
      <alignment horizontal="center"/>
    </xf>
    <xf numFmtId="9" fontId="11" fillId="0" borderId="9" xfId="1" applyFont="1" applyBorder="1" applyAlignment="1">
      <alignment horizontal="center"/>
    </xf>
    <xf numFmtId="9" fontId="11" fillId="0" borderId="10" xfId="1" applyFont="1" applyBorder="1" applyAlignment="1">
      <alignment horizontal="center"/>
    </xf>
    <xf numFmtId="167" fontId="11" fillId="9" borderId="8" xfId="0" applyNumberFormat="1" applyFont="1" applyFill="1" applyBorder="1" applyAlignment="1">
      <alignment vertical="center"/>
    </xf>
    <xf numFmtId="167" fontId="11" fillId="9" borderId="9" xfId="0" applyNumberFormat="1" applyFont="1" applyFill="1" applyBorder="1" applyAlignment="1">
      <alignment vertical="center"/>
    </xf>
    <xf numFmtId="167" fontId="11" fillId="9" borderId="10" xfId="0" applyNumberFormat="1" applyFont="1" applyFill="1" applyBorder="1" applyAlignment="1">
      <alignment vertical="center"/>
    </xf>
    <xf numFmtId="170" fontId="18" fillId="5" borderId="13" xfId="0" applyNumberFormat="1" applyFont="1" applyFill="1" applyBorder="1" applyAlignment="1">
      <alignment horizontal="center" vertical="center"/>
    </xf>
    <xf numFmtId="0" fontId="11" fillId="0" borderId="17" xfId="0" applyFont="1" applyBorder="1" applyAlignment="1">
      <alignment horizontal="center" vertical="center"/>
    </xf>
    <xf numFmtId="0" fontId="11" fillId="0" borderId="20" xfId="0" applyFont="1" applyBorder="1" applyAlignment="1">
      <alignment horizontal="center" vertical="center"/>
    </xf>
    <xf numFmtId="169" fontId="11" fillId="0" borderId="0" xfId="0" applyNumberFormat="1" applyFont="1" applyBorder="1" applyAlignment="1">
      <alignment horizontal="center" vertical="center"/>
    </xf>
    <xf numFmtId="167" fontId="11" fillId="9" borderId="21" xfId="0" applyNumberFormat="1" applyFont="1" applyFill="1" applyBorder="1" applyAlignment="1">
      <alignment vertical="center"/>
    </xf>
    <xf numFmtId="167" fontId="11" fillId="9" borderId="17" xfId="0" applyNumberFormat="1" applyFont="1" applyFill="1" applyBorder="1" applyAlignment="1">
      <alignment vertical="center"/>
    </xf>
    <xf numFmtId="167" fontId="11" fillId="9" borderId="20" xfId="0" applyNumberFormat="1" applyFont="1" applyFill="1" applyBorder="1" applyAlignment="1">
      <alignment vertical="center"/>
    </xf>
    <xf numFmtId="170" fontId="18" fillId="5" borderId="21" xfId="0" applyNumberFormat="1" applyFont="1" applyFill="1" applyBorder="1" applyAlignment="1">
      <alignment horizontal="center" wrapText="1"/>
    </xf>
    <xf numFmtId="0" fontId="11" fillId="0" borderId="15" xfId="0" applyFont="1" applyBorder="1" applyAlignment="1">
      <alignment horizontal="center"/>
    </xf>
    <xf numFmtId="0" fontId="11" fillId="0" borderId="19" xfId="0" applyFont="1" applyBorder="1" applyAlignment="1">
      <alignment horizontal="center"/>
    </xf>
    <xf numFmtId="170" fontId="18" fillId="5" borderId="15" xfId="0" applyNumberFormat="1" applyFont="1" applyFill="1" applyBorder="1" applyAlignment="1">
      <alignment horizontal="center" wrapText="1"/>
    </xf>
    <xf numFmtId="170" fontId="19" fillId="5" borderId="8" xfId="0" quotePrefix="1" applyNumberFormat="1" applyFont="1" applyFill="1" applyBorder="1" applyAlignment="1">
      <alignment horizontal="center" vertical="center"/>
    </xf>
    <xf numFmtId="170" fontId="19" fillId="5" borderId="15" xfId="0" quotePrefix="1" applyNumberFormat="1" applyFont="1" applyFill="1" applyBorder="1" applyAlignment="1">
      <alignment horizontal="center" vertical="center"/>
    </xf>
    <xf numFmtId="170" fontId="19" fillId="5" borderId="29" xfId="0" quotePrefix="1" applyNumberFormat="1" applyFont="1" applyFill="1" applyBorder="1" applyAlignment="1">
      <alignment horizontal="right"/>
    </xf>
    <xf numFmtId="170" fontId="19" fillId="5" borderId="25" xfId="0" quotePrefix="1" applyNumberFormat="1" applyFont="1" applyFill="1" applyBorder="1" applyAlignment="1">
      <alignment horizontal="right"/>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170" fontId="11" fillId="0" borderId="10"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7" fontId="11" fillId="0" borderId="16" xfId="0" applyNumberFormat="1" applyFont="1" applyFill="1" applyBorder="1" applyAlignment="1">
      <alignment vertical="center" wrapText="1"/>
    </xf>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70" fontId="11" fillId="0" borderId="16" xfId="0" applyNumberFormat="1" applyFont="1" applyBorder="1" applyAlignment="1">
      <alignment horizontal="center" vertical="center"/>
    </xf>
    <xf numFmtId="170" fontId="11" fillId="0" borderId="17" xfId="0" applyNumberFormat="1" applyFont="1" applyBorder="1" applyAlignment="1">
      <alignment horizontal="center" vertical="center"/>
    </xf>
    <xf numFmtId="0" fontId="11" fillId="0" borderId="8" xfId="0" applyFont="1" applyBorder="1" applyAlignment="1">
      <alignment vertical="center"/>
    </xf>
    <xf numFmtId="0" fontId="11" fillId="0" borderId="9" xfId="0" applyFont="1" applyBorder="1" applyAlignment="1">
      <alignment vertical="center"/>
    </xf>
    <xf numFmtId="0" fontId="7" fillId="4" borderId="0" xfId="0" applyFont="1" applyFill="1" applyBorder="1" applyAlignment="1">
      <alignment horizontal="left" vertical="top" wrapText="1"/>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7" fillId="4" borderId="0" xfId="0" applyFont="1" applyFill="1" applyBorder="1" applyAlignment="1">
      <alignment horizontal="left" vertical="top" wrapText="1"/>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9" fillId="5" borderId="14" xfId="0" quotePrefix="1" applyNumberFormat="1" applyFont="1" applyFill="1" applyBorder="1" applyAlignment="1">
      <alignment horizontal="center" vertical="center" wrapText="1"/>
    </xf>
    <xf numFmtId="168" fontId="11" fillId="0" borderId="8" xfId="0" applyNumberFormat="1" applyFont="1" applyBorder="1" applyAlignment="1">
      <alignment horizontal="center" vertical="center"/>
    </xf>
    <xf numFmtId="168" fontId="11" fillId="0" borderId="9" xfId="0" applyNumberFormat="1" applyFont="1" applyBorder="1" applyAlignment="1">
      <alignment horizontal="center" vertical="center"/>
    </xf>
    <xf numFmtId="168" fontId="11" fillId="0" borderId="10" xfId="0" applyNumberFormat="1" applyFont="1" applyBorder="1" applyAlignment="1">
      <alignment horizontal="center" vertical="center"/>
    </xf>
    <xf numFmtId="170" fontId="11" fillId="0" borderId="8" xfId="0" applyNumberFormat="1" applyFont="1" applyBorder="1" applyAlignment="1">
      <alignment horizontal="center" vertical="center"/>
    </xf>
    <xf numFmtId="170" fontId="11" fillId="0" borderId="9" xfId="0" applyNumberFormat="1" applyFont="1" applyBorder="1" applyAlignment="1">
      <alignment horizontal="center" vertical="center"/>
    </xf>
    <xf numFmtId="170" fontId="11" fillId="0" borderId="10" xfId="0" applyNumberFormat="1" applyFont="1" applyBorder="1" applyAlignment="1">
      <alignment horizontal="center" vertical="center"/>
    </xf>
    <xf numFmtId="168" fontId="11" fillId="0" borderId="8" xfId="0" applyNumberFormat="1" applyFont="1" applyFill="1" applyBorder="1" applyAlignment="1">
      <alignment horizontal="center" vertical="center"/>
    </xf>
    <xf numFmtId="168" fontId="11" fillId="0" borderId="9" xfId="0" applyNumberFormat="1" applyFont="1" applyFill="1" applyBorder="1" applyAlignment="1">
      <alignment horizontal="center" vertical="center"/>
    </xf>
    <xf numFmtId="168" fontId="11" fillId="0" borderId="10" xfId="0" applyNumberFormat="1" applyFont="1" applyFill="1" applyBorder="1" applyAlignment="1">
      <alignment horizontal="center" vertical="center"/>
    </xf>
    <xf numFmtId="169" fontId="11" fillId="0" borderId="0" xfId="0" applyNumberFormat="1" applyFont="1" applyFill="1" applyBorder="1" applyAlignment="1">
      <alignment horizontal="center"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0" fontId="14" fillId="3" borderId="3" xfId="0" applyFont="1" applyFill="1" applyBorder="1" applyAlignment="1">
      <alignment vertical="top"/>
    </xf>
    <xf numFmtId="170" fontId="18" fillId="5" borderId="13" xfId="0" applyNumberFormat="1" applyFont="1" applyFill="1" applyBorder="1" applyAlignment="1">
      <alignment horizontal="left"/>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1" fillId="2" borderId="8" xfId="0" applyNumberFormat="1" applyFont="1" applyFill="1" applyBorder="1" applyAlignment="1">
      <alignment horizontal="center" vertical="center"/>
    </xf>
    <xf numFmtId="170" fontId="11" fillId="2" borderId="9" xfId="0" applyNumberFormat="1" applyFont="1" applyFill="1" applyBorder="1" applyAlignment="1">
      <alignment horizontal="center" vertical="center"/>
    </xf>
    <xf numFmtId="170" fontId="11" fillId="2" borderId="10" xfId="0" applyNumberFormat="1" applyFont="1" applyFill="1" applyBorder="1" applyAlignment="1">
      <alignment horizontal="center"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16" xfId="0" applyFont="1" applyBorder="1" applyAlignment="1">
      <alignment horizontal="left"/>
    </xf>
    <xf numFmtId="0" fontId="11" fillId="0" borderId="0"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21" fillId="7" borderId="30" xfId="0" applyFont="1" applyFill="1" applyBorder="1" applyAlignment="1">
      <alignment horizontal="right"/>
    </xf>
    <xf numFmtId="0" fontId="21" fillId="7" borderId="31" xfId="0" applyFont="1" applyFill="1" applyBorder="1" applyAlignment="1">
      <alignment horizontal="right"/>
    </xf>
    <xf numFmtId="0" fontId="21" fillId="7" borderId="32" xfId="0" applyFont="1" applyFill="1" applyBorder="1" applyAlignment="1">
      <alignment horizontal="right"/>
    </xf>
    <xf numFmtId="9" fontId="11" fillId="2" borderId="21" xfId="1" applyFont="1" applyFill="1" applyBorder="1" applyAlignment="1">
      <alignment horizontal="center" vertical="center"/>
    </xf>
    <xf numFmtId="9" fontId="11" fillId="2" borderId="17" xfId="1" applyFont="1" applyFill="1" applyBorder="1" applyAlignment="1">
      <alignment horizontal="center" vertical="center"/>
    </xf>
    <xf numFmtId="9" fontId="11" fillId="2" borderId="20" xfId="1" applyFont="1" applyFill="1" applyBorder="1" applyAlignment="1">
      <alignment horizontal="center" vertical="center"/>
    </xf>
    <xf numFmtId="0" fontId="21" fillId="7" borderId="26" xfId="0" applyFont="1" applyFill="1" applyBorder="1" applyAlignment="1">
      <alignment horizontal="right"/>
    </xf>
    <xf numFmtId="0" fontId="21" fillId="7" borderId="27" xfId="0" applyFont="1" applyFill="1" applyBorder="1" applyAlignment="1">
      <alignment horizontal="right"/>
    </xf>
    <xf numFmtId="0" fontId="21" fillId="7" borderId="28" xfId="0" applyFont="1" applyFill="1" applyBorder="1" applyAlignment="1">
      <alignment horizontal="right"/>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0" fontId="7" fillId="4" borderId="1" xfId="0" applyFont="1" applyFill="1" applyBorder="1" applyAlignment="1">
      <alignment horizontal="left" vertical="top" wrapText="1"/>
    </xf>
    <xf numFmtId="0" fontId="7" fillId="0" borderId="0" xfId="2" applyNumberFormat="1" applyFont="1" applyAlignment="1">
      <alignment horizontal="left"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31"/>
  <sheetViews>
    <sheetView showGridLines="0" zoomScaleNormal="100" workbookViewId="0"/>
  </sheetViews>
  <sheetFormatPr defaultColWidth="9.140625" defaultRowHeight="12.75" zeroHeight="1" x14ac:dyDescent="0.25"/>
  <cols>
    <col min="1" max="1" width="2.85546875" style="25" customWidth="1"/>
    <col min="2" max="2" width="21.140625" style="25" bestFit="1" customWidth="1"/>
    <col min="3" max="3" width="16.85546875" style="25" customWidth="1"/>
    <col min="4" max="4" width="13.42578125" style="25" bestFit="1" customWidth="1"/>
    <col min="5" max="5" width="13.42578125" style="25" customWidth="1"/>
    <col min="6" max="6" width="12.7109375" style="25" customWidth="1"/>
    <col min="7" max="10" width="12.85546875" style="27" customWidth="1"/>
    <col min="11" max="11" width="12.85546875" style="25" customWidth="1"/>
    <col min="12" max="12" width="2.85546875" style="25" customWidth="1"/>
    <col min="13" max="13" width="49.85546875" style="28" customWidth="1"/>
    <col min="14" max="14" width="2.85546875" style="25" customWidth="1"/>
    <col min="15" max="17" width="9.140625" style="25" customWidth="1"/>
    <col min="18" max="16384" width="9.140625" style="25"/>
  </cols>
  <sheetData>
    <row r="1" spans="2:13" x14ac:dyDescent="0.25">
      <c r="B1" s="26"/>
    </row>
    <row r="2" spans="2:13" ht="21" x14ac:dyDescent="0.25">
      <c r="B2" s="29" t="s">
        <v>39</v>
      </c>
    </row>
    <row r="3" spans="2:13" ht="21" x14ac:dyDescent="0.25">
      <c r="B3" s="29" t="str">
        <f>'AER Summary'!C3</f>
        <v>Access (Standby Person)</v>
      </c>
    </row>
    <row r="4" spans="2:13" ht="18.75" x14ac:dyDescent="0.25">
      <c r="B4" s="30" t="s">
        <v>40</v>
      </c>
    </row>
    <row r="5" spans="2:13" x14ac:dyDescent="0.25"/>
    <row r="6" spans="2:13" ht="15.75" x14ac:dyDescent="0.25">
      <c r="B6" s="31" t="s">
        <v>113</v>
      </c>
      <c r="C6" s="32"/>
      <c r="D6" s="32"/>
      <c r="E6" s="32"/>
      <c r="F6" s="32"/>
      <c r="G6" s="33"/>
      <c r="H6" s="33"/>
      <c r="I6" s="33"/>
      <c r="J6" s="33"/>
      <c r="K6" s="32"/>
      <c r="M6" s="34"/>
    </row>
    <row r="7" spans="2:13" x14ac:dyDescent="0.25"/>
    <row r="8" spans="2:13" ht="25.5" x14ac:dyDescent="0.25">
      <c r="B8" s="273" t="s">
        <v>8</v>
      </c>
      <c r="C8" s="274"/>
      <c r="D8" s="274"/>
      <c r="E8" s="274"/>
      <c r="F8" s="274"/>
      <c r="G8" s="275"/>
      <c r="H8" s="235" t="s">
        <v>107</v>
      </c>
      <c r="I8" s="235" t="s">
        <v>106</v>
      </c>
      <c r="J8" s="235" t="s">
        <v>57</v>
      </c>
      <c r="K8" s="184" t="s">
        <v>47</v>
      </c>
      <c r="M8" s="39" t="s">
        <v>5</v>
      </c>
    </row>
    <row r="9" spans="2:13" x14ac:dyDescent="0.2">
      <c r="B9" s="276" t="s">
        <v>82</v>
      </c>
      <c r="C9" s="277"/>
      <c r="D9" s="277"/>
      <c r="E9" s="277"/>
      <c r="F9" s="277"/>
      <c r="G9" s="277"/>
      <c r="H9" s="236">
        <v>64</v>
      </c>
      <c r="I9" s="239">
        <v>1</v>
      </c>
      <c r="J9" s="236">
        <v>70.400000000000006</v>
      </c>
      <c r="K9" s="242">
        <f>+J9/11*10</f>
        <v>64</v>
      </c>
      <c r="M9" s="263" t="s">
        <v>114</v>
      </c>
    </row>
    <row r="10" spans="2:13" x14ac:dyDescent="0.2">
      <c r="B10" s="278" t="s">
        <v>83</v>
      </c>
      <c r="C10" s="279"/>
      <c r="D10" s="279"/>
      <c r="E10" s="279"/>
      <c r="F10" s="279"/>
      <c r="G10" s="279"/>
      <c r="H10" s="237">
        <v>144</v>
      </c>
      <c r="I10" s="240">
        <v>1</v>
      </c>
      <c r="J10" s="237">
        <v>158.4</v>
      </c>
      <c r="K10" s="243">
        <f t="shared" ref="K10:K16" si="0">+J10/11*10</f>
        <v>144</v>
      </c>
      <c r="M10" s="264"/>
    </row>
    <row r="11" spans="2:13" x14ac:dyDescent="0.2">
      <c r="B11" s="278" t="s">
        <v>84</v>
      </c>
      <c r="C11" s="279"/>
      <c r="D11" s="279"/>
      <c r="E11" s="279"/>
      <c r="F11" s="279"/>
      <c r="G11" s="279"/>
      <c r="H11" s="237">
        <v>64</v>
      </c>
      <c r="I11" s="240">
        <v>2</v>
      </c>
      <c r="J11" s="237">
        <v>140.80000000000001</v>
      </c>
      <c r="K11" s="243">
        <f t="shared" si="0"/>
        <v>128</v>
      </c>
      <c r="M11" s="264"/>
    </row>
    <row r="12" spans="2:13" x14ac:dyDescent="0.2">
      <c r="B12" s="278" t="s">
        <v>85</v>
      </c>
      <c r="C12" s="279"/>
      <c r="D12" s="279"/>
      <c r="E12" s="279"/>
      <c r="F12" s="279"/>
      <c r="G12" s="279"/>
      <c r="H12" s="237">
        <v>144</v>
      </c>
      <c r="I12" s="240">
        <v>2</v>
      </c>
      <c r="J12" s="237">
        <v>316.8</v>
      </c>
      <c r="K12" s="243">
        <f t="shared" si="0"/>
        <v>288</v>
      </c>
      <c r="M12" s="264"/>
    </row>
    <row r="13" spans="2:13" x14ac:dyDescent="0.2">
      <c r="B13" s="278" t="s">
        <v>86</v>
      </c>
      <c r="C13" s="279"/>
      <c r="D13" s="279"/>
      <c r="E13" s="279"/>
      <c r="F13" s="279"/>
      <c r="G13" s="279"/>
      <c r="H13" s="237">
        <f>+H9*1.75</f>
        <v>112</v>
      </c>
      <c r="I13" s="240">
        <v>1</v>
      </c>
      <c r="J13" s="237">
        <v>123.20000000000002</v>
      </c>
      <c r="K13" s="243">
        <f t="shared" si="0"/>
        <v>112.00000000000001</v>
      </c>
      <c r="M13" s="264"/>
    </row>
    <row r="14" spans="2:13" x14ac:dyDescent="0.2">
      <c r="B14" s="278" t="s">
        <v>87</v>
      </c>
      <c r="C14" s="279"/>
      <c r="D14" s="279"/>
      <c r="E14" s="279"/>
      <c r="F14" s="279"/>
      <c r="G14" s="279"/>
      <c r="H14" s="237">
        <f>+H10*1.75</f>
        <v>252</v>
      </c>
      <c r="I14" s="240">
        <v>1</v>
      </c>
      <c r="J14" s="237">
        <v>277.20000000000005</v>
      </c>
      <c r="K14" s="243">
        <f t="shared" si="0"/>
        <v>252.00000000000003</v>
      </c>
      <c r="M14" s="264"/>
    </row>
    <row r="15" spans="2:13" x14ac:dyDescent="0.2">
      <c r="B15" s="278" t="s">
        <v>88</v>
      </c>
      <c r="C15" s="279"/>
      <c r="D15" s="279"/>
      <c r="E15" s="279"/>
      <c r="F15" s="279"/>
      <c r="G15" s="279"/>
      <c r="H15" s="237">
        <f>+H11*1.75</f>
        <v>112</v>
      </c>
      <c r="I15" s="240">
        <v>2</v>
      </c>
      <c r="J15" s="237">
        <v>246.40000000000003</v>
      </c>
      <c r="K15" s="243">
        <f t="shared" si="0"/>
        <v>224.00000000000003</v>
      </c>
      <c r="M15" s="264"/>
    </row>
    <row r="16" spans="2:13" x14ac:dyDescent="0.2">
      <c r="B16" s="280" t="s">
        <v>89</v>
      </c>
      <c r="C16" s="281"/>
      <c r="D16" s="281"/>
      <c r="E16" s="281"/>
      <c r="F16" s="281"/>
      <c r="G16" s="281"/>
      <c r="H16" s="238">
        <f>+H12*1.75</f>
        <v>252</v>
      </c>
      <c r="I16" s="241">
        <v>2</v>
      </c>
      <c r="J16" s="238">
        <v>554.40000000000009</v>
      </c>
      <c r="K16" s="244">
        <f t="shared" si="0"/>
        <v>504.00000000000006</v>
      </c>
      <c r="M16" s="265"/>
    </row>
    <row r="17" spans="2:13" x14ac:dyDescent="0.25"/>
    <row r="18" spans="2:13" ht="15.75" x14ac:dyDescent="0.25">
      <c r="B18" s="31" t="s">
        <v>2</v>
      </c>
      <c r="C18" s="32"/>
      <c r="D18" s="32"/>
      <c r="E18" s="32"/>
      <c r="F18" s="32"/>
      <c r="G18" s="33"/>
      <c r="H18" s="33"/>
      <c r="I18" s="33"/>
      <c r="J18" s="33"/>
      <c r="K18" s="32"/>
      <c r="M18" s="34"/>
    </row>
    <row r="19" spans="2:13" x14ac:dyDescent="0.25"/>
    <row r="20" spans="2:13" x14ac:dyDescent="0.25">
      <c r="B20" s="294" t="s">
        <v>26</v>
      </c>
      <c r="C20" s="295"/>
      <c r="D20" s="295"/>
      <c r="E20" s="295"/>
      <c r="F20" s="296"/>
      <c r="G20" s="35" t="s">
        <v>10</v>
      </c>
      <c r="H20" s="36" t="s">
        <v>11</v>
      </c>
      <c r="I20" s="37" t="s">
        <v>12</v>
      </c>
      <c r="J20" s="36" t="s">
        <v>13</v>
      </c>
      <c r="K20" s="38" t="s">
        <v>14</v>
      </c>
      <c r="M20" s="39" t="s">
        <v>5</v>
      </c>
    </row>
    <row r="21" spans="2:13" ht="42" customHeight="1" x14ac:dyDescent="0.25">
      <c r="B21" s="297" t="s">
        <v>2</v>
      </c>
      <c r="C21" s="298"/>
      <c r="D21" s="298"/>
      <c r="E21" s="298"/>
      <c r="F21" s="299"/>
      <c r="G21" s="19">
        <v>24963.22</v>
      </c>
      <c r="H21" s="20">
        <v>28753.46</v>
      </c>
      <c r="I21" s="21">
        <v>19730.55</v>
      </c>
      <c r="J21" s="20">
        <v>26993.09</v>
      </c>
      <c r="K21" s="78"/>
      <c r="M21" s="40" t="s">
        <v>71</v>
      </c>
    </row>
    <row r="22" spans="2:13" x14ac:dyDescent="0.25"/>
    <row r="23" spans="2:13" ht="15.75" x14ac:dyDescent="0.25">
      <c r="B23" s="31" t="s">
        <v>28</v>
      </c>
      <c r="C23" s="32"/>
      <c r="D23" s="32"/>
      <c r="E23" s="32"/>
      <c r="F23" s="32"/>
      <c r="G23" s="33"/>
      <c r="H23" s="33"/>
      <c r="I23" s="33"/>
      <c r="J23" s="33"/>
      <c r="K23" s="32"/>
      <c r="M23" s="34"/>
    </row>
    <row r="24" spans="2:13" x14ac:dyDescent="0.25"/>
    <row r="25" spans="2:13" x14ac:dyDescent="0.25">
      <c r="B25" s="48" t="s">
        <v>24</v>
      </c>
      <c r="C25" s="269" t="s">
        <v>27</v>
      </c>
      <c r="D25" s="269"/>
      <c r="E25" s="269"/>
      <c r="F25" s="269"/>
      <c r="G25" s="36" t="s">
        <v>10</v>
      </c>
      <c r="H25" s="36" t="s">
        <v>11</v>
      </c>
      <c r="I25" s="36" t="s">
        <v>12</v>
      </c>
      <c r="J25" s="36" t="s">
        <v>13</v>
      </c>
      <c r="K25" s="49" t="s">
        <v>14</v>
      </c>
      <c r="M25" s="39" t="s">
        <v>5</v>
      </c>
    </row>
    <row r="26" spans="2:13" ht="27.75" customHeight="1" x14ac:dyDescent="0.25">
      <c r="B26" s="22"/>
      <c r="C26" s="270"/>
      <c r="D26" s="271"/>
      <c r="E26" s="271"/>
      <c r="F26" s="272"/>
      <c r="G26" s="24" t="s">
        <v>9</v>
      </c>
      <c r="H26" s="24" t="s">
        <v>9</v>
      </c>
      <c r="I26" s="24" t="s">
        <v>9</v>
      </c>
      <c r="J26" s="24" t="s">
        <v>9</v>
      </c>
      <c r="K26" s="24" t="s">
        <v>9</v>
      </c>
      <c r="M26" s="157" t="s">
        <v>72</v>
      </c>
    </row>
    <row r="27" spans="2:13" ht="13.5" thickBot="1" x14ac:dyDescent="0.3">
      <c r="B27" s="50"/>
      <c r="C27" s="50"/>
      <c r="D27" s="50"/>
      <c r="E27" s="50"/>
      <c r="F27" s="50"/>
      <c r="G27" s="51">
        <f>SUM(G26:G26)</f>
        <v>0</v>
      </c>
      <c r="H27" s="51">
        <f>SUM(H26:H26)</f>
        <v>0</v>
      </c>
      <c r="I27" s="51">
        <f>SUM(I26:I26)</f>
        <v>0</v>
      </c>
      <c r="J27" s="51">
        <f>SUM(J26:J26)</f>
        <v>0</v>
      </c>
      <c r="K27" s="51">
        <f>SUM(K26:K26)</f>
        <v>0</v>
      </c>
    </row>
    <row r="28" spans="2:13" x14ac:dyDescent="0.25">
      <c r="B28" s="50"/>
      <c r="C28" s="50"/>
      <c r="D28" s="50"/>
      <c r="E28" s="50"/>
      <c r="F28" s="50"/>
      <c r="G28" s="52"/>
      <c r="H28" s="52"/>
      <c r="I28" s="52"/>
      <c r="J28" s="52"/>
      <c r="K28" s="28"/>
    </row>
    <row r="29" spans="2:13" ht="15.75" x14ac:dyDescent="0.25">
      <c r="B29" s="31" t="s">
        <v>35</v>
      </c>
      <c r="C29" s="32"/>
      <c r="D29" s="32"/>
      <c r="E29" s="32"/>
      <c r="F29" s="32"/>
      <c r="G29" s="33"/>
      <c r="H29" s="33"/>
      <c r="I29" s="33"/>
      <c r="J29" s="33"/>
      <c r="K29" s="32"/>
      <c r="M29" s="34"/>
    </row>
    <row r="30" spans="2:13" x14ac:dyDescent="0.25"/>
    <row r="31" spans="2:13" x14ac:dyDescent="0.25">
      <c r="B31" s="294" t="s">
        <v>26</v>
      </c>
      <c r="C31" s="295"/>
      <c r="D31" s="295"/>
      <c r="E31" s="295"/>
      <c r="F31" s="296"/>
      <c r="G31" s="35" t="s">
        <v>10</v>
      </c>
      <c r="H31" s="36" t="s">
        <v>11</v>
      </c>
      <c r="I31" s="36" t="s">
        <v>12</v>
      </c>
      <c r="J31" s="36" t="s">
        <v>13</v>
      </c>
      <c r="K31" s="49" t="s">
        <v>14</v>
      </c>
      <c r="M31" s="39" t="s">
        <v>5</v>
      </c>
    </row>
    <row r="32" spans="2:13" x14ac:dyDescent="0.2">
      <c r="B32" s="163" t="s">
        <v>82</v>
      </c>
      <c r="C32" s="164"/>
      <c r="D32" s="164"/>
      <c r="E32" s="164"/>
      <c r="F32" s="165"/>
      <c r="G32" s="266" t="s">
        <v>9</v>
      </c>
      <c r="H32" s="41">
        <v>29</v>
      </c>
      <c r="I32" s="42">
        <v>20</v>
      </c>
      <c r="J32" s="41">
        <v>40</v>
      </c>
      <c r="K32" s="266"/>
      <c r="M32" s="263" t="s">
        <v>115</v>
      </c>
    </row>
    <row r="33" spans="2:13" x14ac:dyDescent="0.2">
      <c r="B33" s="163" t="s">
        <v>83</v>
      </c>
      <c r="C33" s="164"/>
      <c r="D33" s="164"/>
      <c r="E33" s="164"/>
      <c r="F33" s="165"/>
      <c r="G33" s="267"/>
      <c r="H33" s="41">
        <v>42</v>
      </c>
      <c r="I33" s="42">
        <v>18</v>
      </c>
      <c r="J33" s="41">
        <v>25</v>
      </c>
      <c r="K33" s="267"/>
      <c r="M33" s="264"/>
    </row>
    <row r="34" spans="2:13" x14ac:dyDescent="0.2">
      <c r="B34" s="163" t="s">
        <v>84</v>
      </c>
      <c r="C34" s="164"/>
      <c r="D34" s="164"/>
      <c r="E34" s="164"/>
      <c r="F34" s="165"/>
      <c r="G34" s="267"/>
      <c r="H34" s="41">
        <v>20</v>
      </c>
      <c r="I34" s="42">
        <v>16</v>
      </c>
      <c r="J34" s="41">
        <v>10</v>
      </c>
      <c r="K34" s="267"/>
      <c r="M34" s="264"/>
    </row>
    <row r="35" spans="2:13" x14ac:dyDescent="0.2">
      <c r="B35" s="163" t="s">
        <v>85</v>
      </c>
      <c r="C35" s="164"/>
      <c r="D35" s="164"/>
      <c r="E35" s="164"/>
      <c r="F35" s="165"/>
      <c r="G35" s="267"/>
      <c r="H35" s="41">
        <v>19</v>
      </c>
      <c r="I35" s="42">
        <v>11</v>
      </c>
      <c r="J35" s="41">
        <v>21</v>
      </c>
      <c r="K35" s="267"/>
      <c r="M35" s="264"/>
    </row>
    <row r="36" spans="2:13" x14ac:dyDescent="0.2">
      <c r="B36" s="163" t="s">
        <v>86</v>
      </c>
      <c r="C36" s="164"/>
      <c r="D36" s="164"/>
      <c r="E36" s="164"/>
      <c r="F36" s="165"/>
      <c r="G36" s="267"/>
      <c r="H36" s="41">
        <v>7</v>
      </c>
      <c r="I36" s="42">
        <v>3</v>
      </c>
      <c r="J36" s="41">
        <v>3</v>
      </c>
      <c r="K36" s="267"/>
      <c r="M36" s="264"/>
    </row>
    <row r="37" spans="2:13" x14ac:dyDescent="0.2">
      <c r="B37" s="163" t="s">
        <v>87</v>
      </c>
      <c r="C37" s="164"/>
      <c r="D37" s="164"/>
      <c r="E37" s="164"/>
      <c r="F37" s="165"/>
      <c r="G37" s="267"/>
      <c r="H37" s="41">
        <v>13</v>
      </c>
      <c r="I37" s="42">
        <v>6</v>
      </c>
      <c r="J37" s="41">
        <v>7</v>
      </c>
      <c r="K37" s="267"/>
      <c r="M37" s="264"/>
    </row>
    <row r="38" spans="2:13" x14ac:dyDescent="0.2">
      <c r="B38" s="163" t="s">
        <v>88</v>
      </c>
      <c r="C38" s="164"/>
      <c r="D38" s="164"/>
      <c r="E38" s="164"/>
      <c r="F38" s="165"/>
      <c r="G38" s="267"/>
      <c r="H38" s="41">
        <v>4</v>
      </c>
      <c r="I38" s="42">
        <v>1</v>
      </c>
      <c r="J38" s="41">
        <v>3</v>
      </c>
      <c r="K38" s="267"/>
      <c r="M38" s="264"/>
    </row>
    <row r="39" spans="2:13" x14ac:dyDescent="0.2">
      <c r="B39" s="163" t="s">
        <v>89</v>
      </c>
      <c r="C39" s="164"/>
      <c r="D39" s="164"/>
      <c r="E39" s="164"/>
      <c r="F39" s="165"/>
      <c r="G39" s="268"/>
      <c r="H39" s="41">
        <v>15</v>
      </c>
      <c r="I39" s="42">
        <v>17</v>
      </c>
      <c r="J39" s="41">
        <v>22</v>
      </c>
      <c r="K39" s="268"/>
      <c r="M39" s="265"/>
    </row>
    <row r="40" spans="2:13" ht="13.5" thickBot="1" x14ac:dyDescent="0.3">
      <c r="G40" s="25"/>
      <c r="H40" s="46">
        <f>SUM(H32:H39)</f>
        <v>149</v>
      </c>
      <c r="I40" s="46">
        <f t="shared" ref="I40:J40" si="1">SUM(I32:I39)</f>
        <v>92</v>
      </c>
      <c r="J40" s="46">
        <f t="shared" si="1"/>
        <v>131</v>
      </c>
    </row>
    <row r="41" spans="2:13" x14ac:dyDescent="0.25"/>
    <row r="42" spans="2:13" ht="15.75" x14ac:dyDescent="0.25">
      <c r="B42" s="31" t="s">
        <v>73</v>
      </c>
      <c r="C42" s="32"/>
      <c r="D42" s="32"/>
      <c r="E42" s="32"/>
      <c r="F42" s="32"/>
      <c r="G42" s="33"/>
      <c r="H42" s="33"/>
      <c r="I42" s="33"/>
      <c r="J42" s="33"/>
      <c r="K42" s="32"/>
      <c r="M42" s="34"/>
    </row>
    <row r="43" spans="2:13" x14ac:dyDescent="0.25"/>
    <row r="44" spans="2:13" ht="25.5" x14ac:dyDescent="0.25">
      <c r="B44" s="59" t="s">
        <v>29</v>
      </c>
      <c r="C44" s="60" t="s">
        <v>30</v>
      </c>
      <c r="D44" s="61"/>
      <c r="E44" s="62" t="s">
        <v>31</v>
      </c>
      <c r="F44" s="63"/>
      <c r="G44" s="63"/>
      <c r="H44" s="64" t="s">
        <v>32</v>
      </c>
      <c r="J44" s="25"/>
      <c r="M44" s="39" t="s">
        <v>5</v>
      </c>
    </row>
    <row r="45" spans="2:13" x14ac:dyDescent="0.25">
      <c r="B45" s="351"/>
      <c r="C45" s="352"/>
      <c r="D45" s="353"/>
      <c r="E45" s="65" t="s">
        <v>90</v>
      </c>
      <c r="F45" s="66"/>
      <c r="G45" s="44"/>
      <c r="H45" s="67">
        <v>61.202539010000002</v>
      </c>
      <c r="J45" s="25"/>
      <c r="M45" s="263" t="s">
        <v>108</v>
      </c>
    </row>
    <row r="46" spans="2:13" x14ac:dyDescent="0.25">
      <c r="B46" s="351"/>
      <c r="C46" s="352"/>
      <c r="D46" s="353"/>
      <c r="E46" s="65" t="s">
        <v>90</v>
      </c>
      <c r="F46" s="66"/>
      <c r="G46" s="44"/>
      <c r="H46" s="67">
        <v>64.503409290000008</v>
      </c>
      <c r="J46" s="25"/>
      <c r="M46" s="264"/>
    </row>
    <row r="47" spans="2:13" x14ac:dyDescent="0.25">
      <c r="B47" s="351"/>
      <c r="C47" s="352"/>
      <c r="D47" s="353"/>
      <c r="E47" s="65" t="s">
        <v>90</v>
      </c>
      <c r="F47" s="66"/>
      <c r="G47" s="44"/>
      <c r="H47" s="67">
        <v>61.765291759999997</v>
      </c>
      <c r="J47" s="25"/>
      <c r="M47" s="264"/>
    </row>
    <row r="48" spans="2:13" x14ac:dyDescent="0.25">
      <c r="B48" s="351"/>
      <c r="C48" s="352"/>
      <c r="D48" s="353"/>
      <c r="E48" s="65" t="s">
        <v>90</v>
      </c>
      <c r="F48" s="66"/>
      <c r="G48" s="44"/>
      <c r="H48" s="67">
        <v>62.801981859999998</v>
      </c>
      <c r="J48" s="25"/>
      <c r="M48" s="264"/>
    </row>
    <row r="49" spans="2:13" x14ac:dyDescent="0.25">
      <c r="B49" s="351"/>
      <c r="C49" s="352"/>
      <c r="D49" s="353"/>
      <c r="E49" s="65" t="s">
        <v>90</v>
      </c>
      <c r="F49" s="66"/>
      <c r="G49" s="44"/>
      <c r="H49" s="67">
        <v>65.875147830000003</v>
      </c>
      <c r="J49" s="25"/>
      <c r="M49" s="264"/>
    </row>
    <row r="50" spans="2:13" x14ac:dyDescent="0.25">
      <c r="B50" s="351"/>
      <c r="C50" s="352"/>
      <c r="D50" s="353"/>
      <c r="E50" s="65" t="s">
        <v>90</v>
      </c>
      <c r="F50" s="66"/>
      <c r="G50" s="44"/>
      <c r="H50" s="67">
        <v>66.424731399999999</v>
      </c>
      <c r="J50" s="25"/>
      <c r="M50" s="264"/>
    </row>
    <row r="51" spans="2:13" x14ac:dyDescent="0.25">
      <c r="B51" s="351"/>
      <c r="C51" s="352"/>
      <c r="D51" s="353"/>
      <c r="E51" s="65" t="s">
        <v>90</v>
      </c>
      <c r="F51" s="66"/>
      <c r="G51" s="44"/>
      <c r="H51" s="67">
        <v>65.875147830000003</v>
      </c>
      <c r="J51" s="25"/>
      <c r="M51" s="264"/>
    </row>
    <row r="52" spans="2:13" x14ac:dyDescent="0.25">
      <c r="B52" s="351"/>
      <c r="C52" s="352"/>
      <c r="D52" s="353"/>
      <c r="E52" s="65" t="s">
        <v>90</v>
      </c>
      <c r="F52" s="66"/>
      <c r="G52" s="44"/>
      <c r="H52" s="67">
        <v>65.066162039999995</v>
      </c>
      <c r="J52" s="25"/>
      <c r="M52" s="264"/>
    </row>
    <row r="53" spans="2:13" x14ac:dyDescent="0.25">
      <c r="B53" s="351"/>
      <c r="C53" s="352"/>
      <c r="D53" s="353"/>
      <c r="E53" s="65" t="s">
        <v>90</v>
      </c>
      <c r="F53" s="66"/>
      <c r="G53" s="44"/>
      <c r="H53" s="67">
        <v>65.875147830000003</v>
      </c>
      <c r="J53" s="25"/>
      <c r="M53" s="264"/>
    </row>
    <row r="54" spans="2:13" x14ac:dyDescent="0.25">
      <c r="B54" s="351"/>
      <c r="C54" s="352"/>
      <c r="D54" s="353"/>
      <c r="E54" s="65" t="s">
        <v>90</v>
      </c>
      <c r="F54" s="66"/>
      <c r="G54" s="44"/>
      <c r="H54" s="67">
        <v>61.443412500000001</v>
      </c>
      <c r="J54" s="25"/>
      <c r="M54" s="264"/>
    </row>
    <row r="55" spans="2:13" x14ac:dyDescent="0.25">
      <c r="B55" s="351"/>
      <c r="C55" s="352"/>
      <c r="D55" s="353"/>
      <c r="E55" s="65" t="s">
        <v>90</v>
      </c>
      <c r="F55" s="66"/>
      <c r="G55" s="44"/>
      <c r="H55" s="67">
        <v>58.947699759999992</v>
      </c>
      <c r="J55" s="25"/>
      <c r="M55" s="264"/>
    </row>
    <row r="56" spans="2:13" x14ac:dyDescent="0.25">
      <c r="B56" s="351"/>
      <c r="C56" s="352"/>
      <c r="D56" s="353"/>
      <c r="E56" s="65" t="s">
        <v>90</v>
      </c>
      <c r="F56" s="66"/>
      <c r="G56" s="44"/>
      <c r="H56" s="67">
        <v>56.483684929999995</v>
      </c>
      <c r="J56" s="25"/>
      <c r="M56" s="264"/>
    </row>
    <row r="57" spans="2:13" x14ac:dyDescent="0.25">
      <c r="B57" s="351"/>
      <c r="C57" s="352"/>
      <c r="D57" s="353"/>
      <c r="E57" s="65" t="s">
        <v>90</v>
      </c>
      <c r="F57" s="66"/>
      <c r="G57" s="44"/>
      <c r="H57" s="67">
        <v>57.84225429</v>
      </c>
      <c r="J57" s="25"/>
      <c r="M57" s="264"/>
    </row>
    <row r="58" spans="2:13" x14ac:dyDescent="0.25">
      <c r="B58" s="351"/>
      <c r="C58" s="352"/>
      <c r="D58" s="353"/>
      <c r="E58" s="65" t="s">
        <v>90</v>
      </c>
      <c r="F58" s="66"/>
      <c r="G58" s="44"/>
      <c r="H58" s="67">
        <v>56.483684929999995</v>
      </c>
      <c r="J58" s="25"/>
      <c r="M58" s="264"/>
    </row>
    <row r="59" spans="2:13" x14ac:dyDescent="0.25">
      <c r="B59" s="351"/>
      <c r="C59" s="352"/>
      <c r="D59" s="353"/>
      <c r="E59" s="65" t="s">
        <v>90</v>
      </c>
      <c r="F59" s="66"/>
      <c r="G59" s="44"/>
      <c r="H59" s="67">
        <v>57.84225429</v>
      </c>
      <c r="J59" s="25"/>
      <c r="M59" s="264"/>
    </row>
    <row r="60" spans="2:13" x14ac:dyDescent="0.25">
      <c r="B60" s="351"/>
      <c r="C60" s="352"/>
      <c r="D60" s="353"/>
      <c r="E60" s="65" t="s">
        <v>90</v>
      </c>
      <c r="F60" s="66"/>
      <c r="G60" s="44"/>
      <c r="H60" s="67">
        <v>63.144839930000003</v>
      </c>
      <c r="J60" s="25"/>
      <c r="M60" s="264"/>
    </row>
    <row r="61" spans="2:13" x14ac:dyDescent="0.25">
      <c r="B61" s="351"/>
      <c r="C61" s="352"/>
      <c r="D61" s="353"/>
      <c r="E61" s="65" t="s">
        <v>90</v>
      </c>
      <c r="F61" s="66"/>
      <c r="G61" s="44"/>
      <c r="H61" s="67">
        <v>64.503409290000008</v>
      </c>
      <c r="J61" s="25"/>
      <c r="M61" s="264"/>
    </row>
    <row r="62" spans="2:13" x14ac:dyDescent="0.25">
      <c r="B62" s="351"/>
      <c r="C62" s="352"/>
      <c r="D62" s="353"/>
      <c r="E62" s="65" t="s">
        <v>90</v>
      </c>
      <c r="F62" s="66"/>
      <c r="G62" s="44"/>
      <c r="H62" s="67">
        <v>65.325564260000007</v>
      </c>
      <c r="J62" s="25"/>
      <c r="M62" s="264"/>
    </row>
    <row r="63" spans="2:13" x14ac:dyDescent="0.25">
      <c r="B63" s="351"/>
      <c r="C63" s="352"/>
      <c r="D63" s="353"/>
      <c r="E63" s="65" t="s">
        <v>90</v>
      </c>
      <c r="F63" s="66"/>
      <c r="G63" s="44"/>
      <c r="H63" s="67">
        <v>64.503409290000008</v>
      </c>
      <c r="J63" s="25"/>
      <c r="M63" s="264"/>
    </row>
    <row r="64" spans="2:13" x14ac:dyDescent="0.25">
      <c r="B64" s="351"/>
      <c r="C64" s="352"/>
      <c r="D64" s="353"/>
      <c r="E64" s="65" t="s">
        <v>90</v>
      </c>
      <c r="F64" s="66"/>
      <c r="G64" s="44"/>
      <c r="H64" s="67">
        <v>56.483684929999995</v>
      </c>
      <c r="J64" s="25"/>
      <c r="M64" s="264"/>
    </row>
    <row r="65" spans="2:13" x14ac:dyDescent="0.25">
      <c r="B65" s="351"/>
      <c r="C65" s="352"/>
      <c r="D65" s="353"/>
      <c r="E65" s="65" t="s">
        <v>90</v>
      </c>
      <c r="F65" s="66"/>
      <c r="G65" s="44"/>
      <c r="H65" s="67">
        <v>56.483684929999995</v>
      </c>
      <c r="J65" s="25"/>
      <c r="M65" s="264"/>
    </row>
    <row r="66" spans="2:13" x14ac:dyDescent="0.25">
      <c r="B66" s="351"/>
      <c r="C66" s="352"/>
      <c r="D66" s="353"/>
      <c r="E66" s="65" t="s">
        <v>90</v>
      </c>
      <c r="F66" s="66"/>
      <c r="G66" s="44"/>
      <c r="H66" s="67">
        <v>59.484114150000003</v>
      </c>
      <c r="J66" s="25"/>
      <c r="M66" s="264"/>
    </row>
    <row r="67" spans="2:13" x14ac:dyDescent="0.25">
      <c r="B67" s="351"/>
      <c r="C67" s="352"/>
      <c r="D67" s="353"/>
      <c r="E67" s="65" t="s">
        <v>90</v>
      </c>
      <c r="F67" s="66"/>
      <c r="G67" s="44"/>
      <c r="H67" s="67">
        <v>58.125544790000006</v>
      </c>
      <c r="J67" s="25"/>
      <c r="M67" s="264"/>
    </row>
    <row r="68" spans="2:13" x14ac:dyDescent="0.25">
      <c r="B68" s="351"/>
      <c r="C68" s="352"/>
      <c r="D68" s="353"/>
      <c r="E68" s="65" t="s">
        <v>90</v>
      </c>
      <c r="F68" s="66"/>
      <c r="G68" s="44"/>
      <c r="H68" s="67">
        <v>57.84225429</v>
      </c>
      <c r="J68" s="25"/>
      <c r="M68" s="264"/>
    </row>
    <row r="69" spans="2:13" x14ac:dyDescent="0.25">
      <c r="B69" s="351"/>
      <c r="C69" s="352"/>
      <c r="D69" s="353"/>
      <c r="E69" s="65" t="s">
        <v>90</v>
      </c>
      <c r="F69" s="66"/>
      <c r="G69" s="44"/>
      <c r="H69" s="67">
        <v>64.503409290000008</v>
      </c>
      <c r="J69" s="25"/>
      <c r="M69" s="264"/>
    </row>
    <row r="70" spans="2:13" x14ac:dyDescent="0.25">
      <c r="B70" s="351"/>
      <c r="C70" s="352"/>
      <c r="D70" s="353"/>
      <c r="E70" s="65" t="s">
        <v>90</v>
      </c>
      <c r="F70" s="66"/>
      <c r="G70" s="44"/>
      <c r="H70" s="67">
        <v>62.815151040000003</v>
      </c>
      <c r="J70" s="25"/>
      <c r="M70" s="264"/>
    </row>
    <row r="71" spans="2:13" x14ac:dyDescent="0.25">
      <c r="B71" s="351"/>
      <c r="C71" s="352"/>
      <c r="D71" s="353"/>
      <c r="E71" s="65" t="s">
        <v>90</v>
      </c>
      <c r="F71" s="66"/>
      <c r="G71" s="44"/>
      <c r="H71" s="67">
        <v>59.843969650000005</v>
      </c>
      <c r="J71" s="25"/>
      <c r="M71" s="264"/>
    </row>
    <row r="72" spans="2:13" x14ac:dyDescent="0.25">
      <c r="B72" s="351"/>
      <c r="C72" s="352"/>
      <c r="D72" s="353"/>
      <c r="E72" s="65" t="s">
        <v>90</v>
      </c>
      <c r="F72" s="66"/>
      <c r="G72" s="44"/>
      <c r="H72" s="67">
        <v>64.503409290000008</v>
      </c>
      <c r="J72" s="25"/>
      <c r="M72" s="264"/>
    </row>
    <row r="73" spans="2:13" x14ac:dyDescent="0.25">
      <c r="B73" s="351"/>
      <c r="C73" s="352"/>
      <c r="D73" s="353"/>
      <c r="E73" s="65" t="s">
        <v>90</v>
      </c>
      <c r="F73" s="66"/>
      <c r="G73" s="44"/>
      <c r="H73" s="67">
        <v>61.202539010000002</v>
      </c>
      <c r="J73" s="25"/>
      <c r="M73" s="264"/>
    </row>
    <row r="74" spans="2:13" x14ac:dyDescent="0.25">
      <c r="B74" s="351"/>
      <c r="C74" s="352"/>
      <c r="D74" s="353"/>
      <c r="E74" s="65" t="s">
        <v>90</v>
      </c>
      <c r="F74" s="66"/>
      <c r="G74" s="44"/>
      <c r="H74" s="67">
        <v>62.801981859999998</v>
      </c>
      <c r="J74" s="25"/>
      <c r="M74" s="264"/>
    </row>
    <row r="75" spans="2:13" x14ac:dyDescent="0.25">
      <c r="B75" s="351"/>
      <c r="C75" s="352"/>
      <c r="D75" s="353"/>
      <c r="E75" s="65" t="s">
        <v>90</v>
      </c>
      <c r="F75" s="66"/>
      <c r="G75" s="44"/>
      <c r="H75" s="67">
        <v>62.024693980000009</v>
      </c>
      <c r="J75" s="25"/>
      <c r="M75" s="264"/>
    </row>
    <row r="76" spans="2:13" x14ac:dyDescent="0.25">
      <c r="B76" s="351"/>
      <c r="C76" s="352"/>
      <c r="D76" s="353"/>
      <c r="E76" s="65" t="s">
        <v>90</v>
      </c>
      <c r="F76" s="66"/>
      <c r="G76" s="44"/>
      <c r="H76" s="67">
        <v>61.202539010000002</v>
      </c>
      <c r="J76" s="25"/>
      <c r="M76" s="264"/>
    </row>
    <row r="77" spans="2:13" x14ac:dyDescent="0.25">
      <c r="B77" s="351"/>
      <c r="C77" s="352"/>
      <c r="D77" s="353"/>
      <c r="E77" s="65" t="s">
        <v>90</v>
      </c>
      <c r="F77" s="66"/>
      <c r="G77" s="44"/>
      <c r="H77" s="67">
        <v>64.503409290000008</v>
      </c>
      <c r="J77" s="25"/>
      <c r="M77" s="264"/>
    </row>
    <row r="78" spans="2:13" x14ac:dyDescent="0.25">
      <c r="B78" s="351"/>
      <c r="C78" s="352"/>
      <c r="D78" s="353"/>
      <c r="E78" s="65" t="s">
        <v>90</v>
      </c>
      <c r="F78" s="66"/>
      <c r="G78" s="44"/>
      <c r="H78" s="67">
        <v>63.966994900000003</v>
      </c>
      <c r="J78" s="25"/>
      <c r="M78" s="264"/>
    </row>
    <row r="79" spans="2:13" x14ac:dyDescent="0.25">
      <c r="B79" s="351"/>
      <c r="C79" s="352"/>
      <c r="D79" s="353"/>
      <c r="E79" s="65" t="s">
        <v>90</v>
      </c>
      <c r="F79" s="66"/>
      <c r="G79" s="44"/>
      <c r="H79" s="67">
        <v>63.144839930000003</v>
      </c>
      <c r="J79" s="25"/>
      <c r="M79" s="264"/>
    </row>
    <row r="80" spans="2:13" x14ac:dyDescent="0.25">
      <c r="B80" s="351"/>
      <c r="C80" s="352"/>
      <c r="D80" s="353"/>
      <c r="E80" s="65" t="s">
        <v>90</v>
      </c>
      <c r="F80" s="66"/>
      <c r="G80" s="44"/>
      <c r="H80" s="67">
        <v>59.843969650000005</v>
      </c>
      <c r="J80" s="25"/>
      <c r="M80" s="264"/>
    </row>
    <row r="81" spans="2:13" x14ac:dyDescent="0.25">
      <c r="B81" s="351"/>
      <c r="C81" s="352"/>
      <c r="D81" s="353"/>
      <c r="E81" s="65" t="s">
        <v>90</v>
      </c>
      <c r="F81" s="66"/>
      <c r="G81" s="44"/>
      <c r="H81" s="67">
        <v>59.484114150000003</v>
      </c>
      <c r="J81" s="25"/>
      <c r="M81" s="264"/>
    </row>
    <row r="82" spans="2:13" x14ac:dyDescent="0.25">
      <c r="B82" s="351"/>
      <c r="C82" s="352"/>
      <c r="D82" s="353"/>
      <c r="E82" s="65" t="s">
        <v>90</v>
      </c>
      <c r="F82" s="66"/>
      <c r="G82" s="44"/>
      <c r="H82" s="67">
        <v>62.801981859999998</v>
      </c>
      <c r="J82" s="25"/>
      <c r="M82" s="264"/>
    </row>
    <row r="83" spans="2:13" x14ac:dyDescent="0.25">
      <c r="B83" s="351"/>
      <c r="C83" s="352"/>
      <c r="D83" s="353"/>
      <c r="E83" s="65" t="s">
        <v>90</v>
      </c>
      <c r="F83" s="66"/>
      <c r="G83" s="44"/>
      <c r="H83" s="67">
        <v>57.84225429</v>
      </c>
      <c r="J83" s="25"/>
      <c r="M83" s="264"/>
    </row>
    <row r="84" spans="2:13" x14ac:dyDescent="0.25">
      <c r="B84" s="351"/>
      <c r="C84" s="352"/>
      <c r="D84" s="353"/>
      <c r="E84" s="65" t="s">
        <v>90</v>
      </c>
      <c r="F84" s="66"/>
      <c r="G84" s="44"/>
      <c r="H84" s="67">
        <v>64.503409290000008</v>
      </c>
      <c r="J84" s="25"/>
      <c r="M84" s="264"/>
    </row>
    <row r="85" spans="2:13" x14ac:dyDescent="0.25">
      <c r="B85" s="351"/>
      <c r="C85" s="352"/>
      <c r="D85" s="353"/>
      <c r="E85" s="65" t="s">
        <v>90</v>
      </c>
      <c r="F85" s="66"/>
      <c r="G85" s="44"/>
      <c r="H85" s="67">
        <v>64.503409290000008</v>
      </c>
      <c r="J85" s="25"/>
      <c r="M85" s="264"/>
    </row>
    <row r="86" spans="2:13" x14ac:dyDescent="0.25">
      <c r="B86" s="351"/>
      <c r="C86" s="352"/>
      <c r="D86" s="353"/>
      <c r="E86" s="65" t="s">
        <v>90</v>
      </c>
      <c r="F86" s="66"/>
      <c r="G86" s="44"/>
      <c r="H86" s="67">
        <v>66.424731399999999</v>
      </c>
      <c r="J86" s="25"/>
      <c r="M86" s="264"/>
    </row>
    <row r="87" spans="2:13" x14ac:dyDescent="0.25">
      <c r="B87" s="351"/>
      <c r="C87" s="352"/>
      <c r="D87" s="353"/>
      <c r="E87" s="65" t="s">
        <v>90</v>
      </c>
      <c r="F87" s="66"/>
      <c r="G87" s="44"/>
      <c r="H87" s="67">
        <v>62.801981859999998</v>
      </c>
      <c r="J87" s="25"/>
      <c r="M87" s="264"/>
    </row>
    <row r="88" spans="2:13" x14ac:dyDescent="0.25">
      <c r="B88" s="351"/>
      <c r="C88" s="352"/>
      <c r="D88" s="353"/>
      <c r="E88" s="65" t="s">
        <v>90</v>
      </c>
      <c r="F88" s="66"/>
      <c r="G88" s="44"/>
      <c r="H88" s="67">
        <v>62.801981859999998</v>
      </c>
      <c r="J88" s="25"/>
      <c r="M88" s="264"/>
    </row>
    <row r="89" spans="2:13" x14ac:dyDescent="0.25">
      <c r="B89" s="351"/>
      <c r="C89" s="352"/>
      <c r="D89" s="353"/>
      <c r="E89" s="65" t="s">
        <v>90</v>
      </c>
      <c r="F89" s="66"/>
      <c r="G89" s="44"/>
      <c r="H89" s="67">
        <v>56.483684929999995</v>
      </c>
      <c r="J89" s="25"/>
      <c r="M89" s="264"/>
    </row>
    <row r="90" spans="2:13" x14ac:dyDescent="0.25">
      <c r="B90" s="351"/>
      <c r="C90" s="352"/>
      <c r="D90" s="353"/>
      <c r="E90" s="65" t="s">
        <v>90</v>
      </c>
      <c r="F90" s="66"/>
      <c r="G90" s="44"/>
      <c r="H90" s="67">
        <v>61.202539010000002</v>
      </c>
      <c r="J90" s="25"/>
      <c r="M90" s="264"/>
    </row>
    <row r="91" spans="2:13" x14ac:dyDescent="0.25">
      <c r="B91" s="351"/>
      <c r="C91" s="352"/>
      <c r="D91" s="353"/>
      <c r="E91" s="65" t="s">
        <v>90</v>
      </c>
      <c r="F91" s="66"/>
      <c r="G91" s="44"/>
      <c r="H91" s="67">
        <v>57.84225429</v>
      </c>
      <c r="J91" s="25"/>
      <c r="M91" s="264"/>
    </row>
    <row r="92" spans="2:13" x14ac:dyDescent="0.25">
      <c r="B92" s="351"/>
      <c r="C92" s="352"/>
      <c r="D92" s="353"/>
      <c r="E92" s="65" t="s">
        <v>90</v>
      </c>
      <c r="F92" s="66"/>
      <c r="G92" s="44"/>
      <c r="H92" s="67">
        <v>63.624136830000005</v>
      </c>
      <c r="J92" s="25"/>
      <c r="M92" s="264"/>
    </row>
    <row r="93" spans="2:13" x14ac:dyDescent="0.25">
      <c r="B93" s="351"/>
      <c r="C93" s="352"/>
      <c r="D93" s="353"/>
      <c r="E93" s="65" t="s">
        <v>90</v>
      </c>
      <c r="F93" s="66"/>
      <c r="G93" s="44"/>
      <c r="H93" s="67">
        <v>59.553788299999994</v>
      </c>
      <c r="J93" s="25"/>
      <c r="M93" s="264"/>
    </row>
    <row r="94" spans="2:13" x14ac:dyDescent="0.25">
      <c r="B94" s="351"/>
      <c r="C94" s="352"/>
      <c r="D94" s="353"/>
      <c r="E94" s="65" t="s">
        <v>90</v>
      </c>
      <c r="F94" s="66"/>
      <c r="G94" s="44"/>
      <c r="H94" s="67">
        <v>66.424731399999999</v>
      </c>
      <c r="J94" s="25"/>
      <c r="M94" s="264"/>
    </row>
    <row r="95" spans="2:13" x14ac:dyDescent="0.25">
      <c r="B95" s="351"/>
      <c r="C95" s="352"/>
      <c r="D95" s="353"/>
      <c r="E95" s="65" t="s">
        <v>90</v>
      </c>
      <c r="F95" s="66"/>
      <c r="G95" s="44"/>
      <c r="H95" s="67">
        <v>59.412296179999998</v>
      </c>
      <c r="J95" s="25"/>
      <c r="M95" s="264"/>
    </row>
    <row r="96" spans="2:13" x14ac:dyDescent="0.25">
      <c r="B96" s="351"/>
      <c r="C96" s="352"/>
      <c r="D96" s="353"/>
      <c r="E96" s="65" t="s">
        <v>90</v>
      </c>
      <c r="F96" s="66"/>
      <c r="G96" s="44"/>
      <c r="H96" s="67">
        <v>62.574277550000005</v>
      </c>
      <c r="J96" s="25"/>
      <c r="M96" s="264"/>
    </row>
    <row r="97" spans="2:13" x14ac:dyDescent="0.25">
      <c r="B97" s="351"/>
      <c r="C97" s="352"/>
      <c r="D97" s="353"/>
      <c r="E97" s="65" t="s">
        <v>90</v>
      </c>
      <c r="F97" s="66"/>
      <c r="G97" s="44"/>
      <c r="H97" s="67">
        <v>64.173720400000008</v>
      </c>
      <c r="J97" s="25"/>
      <c r="M97" s="264"/>
    </row>
    <row r="98" spans="2:13" x14ac:dyDescent="0.25">
      <c r="B98" s="351"/>
      <c r="C98" s="352"/>
      <c r="D98" s="353"/>
      <c r="E98" s="65" t="s">
        <v>90</v>
      </c>
      <c r="F98" s="66"/>
      <c r="G98" s="44"/>
      <c r="H98" s="67">
        <v>63.123861120000001</v>
      </c>
      <c r="J98" s="25"/>
      <c r="M98" s="264"/>
    </row>
    <row r="99" spans="2:13" x14ac:dyDescent="0.25">
      <c r="B99" s="351"/>
      <c r="C99" s="352"/>
      <c r="D99" s="353"/>
      <c r="E99" s="65" t="s">
        <v>90</v>
      </c>
      <c r="F99" s="66"/>
      <c r="G99" s="44"/>
      <c r="H99" s="67">
        <v>66.424731399999999</v>
      </c>
      <c r="J99" s="25"/>
      <c r="M99" s="264"/>
    </row>
    <row r="100" spans="2:13" x14ac:dyDescent="0.25">
      <c r="B100" s="351"/>
      <c r="C100" s="352"/>
      <c r="D100" s="353"/>
      <c r="E100" s="65" t="s">
        <v>90</v>
      </c>
      <c r="F100" s="66"/>
      <c r="G100" s="44"/>
      <c r="H100" s="67">
        <v>65.066162039999995</v>
      </c>
      <c r="J100" s="25"/>
      <c r="M100" s="264"/>
    </row>
    <row r="101" spans="2:13" x14ac:dyDescent="0.25">
      <c r="B101" s="351"/>
      <c r="C101" s="352"/>
      <c r="D101" s="353"/>
      <c r="E101" s="65" t="s">
        <v>90</v>
      </c>
      <c r="F101" s="66"/>
      <c r="G101" s="44"/>
      <c r="H101" s="67">
        <v>62.824491969999997</v>
      </c>
      <c r="J101" s="25"/>
      <c r="M101" s="264"/>
    </row>
    <row r="102" spans="2:13" x14ac:dyDescent="0.25">
      <c r="B102" s="351"/>
      <c r="C102" s="352"/>
      <c r="D102" s="353"/>
      <c r="E102" s="65" t="s">
        <v>90</v>
      </c>
      <c r="F102" s="66"/>
      <c r="G102" s="44"/>
      <c r="H102" s="67">
        <v>59.484114150000003</v>
      </c>
      <c r="J102" s="25"/>
      <c r="M102" s="264"/>
    </row>
    <row r="103" spans="2:13" x14ac:dyDescent="0.25">
      <c r="B103" s="351"/>
      <c r="C103" s="352"/>
      <c r="D103" s="353"/>
      <c r="E103" s="65" t="s">
        <v>90</v>
      </c>
      <c r="F103" s="66"/>
      <c r="G103" s="44"/>
      <c r="H103" s="67">
        <v>66.424731399999999</v>
      </c>
      <c r="J103" s="25"/>
      <c r="M103" s="264"/>
    </row>
    <row r="104" spans="2:13" x14ac:dyDescent="0.25">
      <c r="B104" s="351"/>
      <c r="C104" s="352"/>
      <c r="D104" s="353"/>
      <c r="E104" s="65" t="s">
        <v>90</v>
      </c>
      <c r="F104" s="66"/>
      <c r="G104" s="44"/>
      <c r="H104" s="67">
        <v>64.723303970000003</v>
      </c>
      <c r="J104" s="25"/>
      <c r="M104" s="264"/>
    </row>
    <row r="105" spans="2:13" x14ac:dyDescent="0.25">
      <c r="B105" s="351"/>
      <c r="C105" s="352"/>
      <c r="D105" s="353"/>
      <c r="E105" s="65" t="s">
        <v>90</v>
      </c>
      <c r="F105" s="66"/>
      <c r="G105" s="44"/>
      <c r="H105" s="67">
        <v>57.84225429</v>
      </c>
      <c r="J105" s="25"/>
      <c r="M105" s="264"/>
    </row>
    <row r="106" spans="2:13" x14ac:dyDescent="0.25">
      <c r="B106" s="351"/>
      <c r="C106" s="352"/>
      <c r="D106" s="353"/>
      <c r="E106" s="65" t="s">
        <v>90</v>
      </c>
      <c r="F106" s="66"/>
      <c r="G106" s="44"/>
      <c r="H106" s="67">
        <v>65.325564260000007</v>
      </c>
      <c r="J106" s="25"/>
      <c r="M106" s="264"/>
    </row>
    <row r="107" spans="2:13" x14ac:dyDescent="0.25">
      <c r="B107" s="351"/>
      <c r="C107" s="352"/>
      <c r="D107" s="353"/>
      <c r="E107" s="65" t="s">
        <v>90</v>
      </c>
      <c r="F107" s="66"/>
      <c r="G107" s="44"/>
      <c r="H107" s="67">
        <v>64.503409290000008</v>
      </c>
      <c r="J107" s="25"/>
      <c r="M107" s="264"/>
    </row>
    <row r="108" spans="2:13" x14ac:dyDescent="0.25">
      <c r="B108" s="351"/>
      <c r="C108" s="352"/>
      <c r="D108" s="353"/>
      <c r="E108" s="65" t="s">
        <v>90</v>
      </c>
      <c r="F108" s="66"/>
      <c r="G108" s="44"/>
      <c r="H108" s="67">
        <v>65.325564260000007</v>
      </c>
      <c r="J108" s="25"/>
      <c r="M108" s="264"/>
    </row>
    <row r="109" spans="2:13" x14ac:dyDescent="0.25">
      <c r="B109" s="351"/>
      <c r="C109" s="352"/>
      <c r="D109" s="353"/>
      <c r="E109" s="65" t="s">
        <v>90</v>
      </c>
      <c r="F109" s="66"/>
      <c r="G109" s="44"/>
      <c r="H109" s="67">
        <v>65.325564260000007</v>
      </c>
      <c r="J109" s="25"/>
      <c r="M109" s="264"/>
    </row>
    <row r="110" spans="2:13" x14ac:dyDescent="0.25">
      <c r="B110" s="351"/>
      <c r="C110" s="352"/>
      <c r="D110" s="353"/>
      <c r="E110" s="65" t="s">
        <v>90</v>
      </c>
      <c r="F110" s="66"/>
      <c r="G110" s="44"/>
      <c r="H110" s="67">
        <v>56.483684929999995</v>
      </c>
      <c r="J110" s="25"/>
      <c r="M110" s="264"/>
    </row>
    <row r="111" spans="2:13" x14ac:dyDescent="0.25">
      <c r="B111" s="351"/>
      <c r="C111" s="352"/>
      <c r="D111" s="353"/>
      <c r="E111" s="65" t="s">
        <v>90</v>
      </c>
      <c r="F111" s="66"/>
      <c r="G111" s="44"/>
      <c r="H111" s="67">
        <v>56.483684929999995</v>
      </c>
      <c r="J111" s="25"/>
      <c r="M111" s="264"/>
    </row>
    <row r="112" spans="2:13" x14ac:dyDescent="0.25">
      <c r="B112" s="351"/>
      <c r="C112" s="352"/>
      <c r="D112" s="353"/>
      <c r="E112" s="65" t="s">
        <v>90</v>
      </c>
      <c r="F112" s="66"/>
      <c r="G112" s="44"/>
      <c r="H112" s="67">
        <v>60.306269119999996</v>
      </c>
      <c r="J112" s="25"/>
      <c r="M112" s="264"/>
    </row>
    <row r="113" spans="2:13" x14ac:dyDescent="0.25">
      <c r="B113" s="351"/>
      <c r="C113" s="352"/>
      <c r="D113" s="353"/>
      <c r="E113" s="65" t="s">
        <v>90</v>
      </c>
      <c r="F113" s="66"/>
      <c r="G113" s="44"/>
      <c r="H113" s="67">
        <v>57.84225429</v>
      </c>
      <c r="J113" s="25"/>
      <c r="M113" s="264"/>
    </row>
    <row r="114" spans="2:13" x14ac:dyDescent="0.25">
      <c r="B114" s="351"/>
      <c r="C114" s="352"/>
      <c r="D114" s="353"/>
      <c r="E114" s="65" t="s">
        <v>90</v>
      </c>
      <c r="F114" s="66"/>
      <c r="G114" s="44"/>
      <c r="H114" s="67">
        <v>57.84225429</v>
      </c>
      <c r="J114" s="25"/>
      <c r="M114" s="264"/>
    </row>
    <row r="115" spans="2:13" x14ac:dyDescent="0.25">
      <c r="B115" s="351"/>
      <c r="C115" s="352"/>
      <c r="D115" s="353"/>
      <c r="E115" s="65" t="s">
        <v>90</v>
      </c>
      <c r="F115" s="66"/>
      <c r="G115" s="44"/>
      <c r="H115" s="67">
        <v>62.801981859999998</v>
      </c>
      <c r="J115" s="25"/>
      <c r="M115" s="264"/>
    </row>
    <row r="116" spans="2:13" x14ac:dyDescent="0.25">
      <c r="B116" s="351"/>
      <c r="C116" s="352"/>
      <c r="D116" s="353"/>
      <c r="E116" s="65" t="s">
        <v>90</v>
      </c>
      <c r="F116" s="66"/>
      <c r="G116" s="44"/>
      <c r="H116" s="67">
        <v>63.144839930000003</v>
      </c>
      <c r="J116" s="25"/>
      <c r="M116" s="264"/>
    </row>
    <row r="117" spans="2:13" x14ac:dyDescent="0.25">
      <c r="B117" s="351"/>
      <c r="C117" s="352"/>
      <c r="D117" s="353"/>
      <c r="E117" s="65" t="s">
        <v>90</v>
      </c>
      <c r="F117" s="66"/>
      <c r="G117" s="44"/>
      <c r="H117" s="67">
        <v>64.671852290000004</v>
      </c>
      <c r="J117" s="25"/>
      <c r="M117" s="264"/>
    </row>
    <row r="118" spans="2:13" x14ac:dyDescent="0.25">
      <c r="B118" s="351"/>
      <c r="C118" s="352"/>
      <c r="D118" s="353"/>
      <c r="E118" s="65" t="s">
        <v>90</v>
      </c>
      <c r="F118" s="66"/>
      <c r="G118" s="44"/>
      <c r="H118" s="67">
        <v>59.484114150000003</v>
      </c>
      <c r="J118" s="25"/>
      <c r="M118" s="264"/>
    </row>
    <row r="119" spans="2:13" x14ac:dyDescent="0.25">
      <c r="B119" s="351"/>
      <c r="C119" s="352"/>
      <c r="D119" s="353"/>
      <c r="E119" s="65" t="s">
        <v>90</v>
      </c>
      <c r="F119" s="66"/>
      <c r="G119" s="44"/>
      <c r="H119" s="67">
        <v>58.125544790000006</v>
      </c>
      <c r="J119" s="25"/>
      <c r="M119" s="264"/>
    </row>
    <row r="120" spans="2:13" x14ac:dyDescent="0.25">
      <c r="B120" s="351"/>
      <c r="C120" s="352"/>
      <c r="D120" s="353"/>
      <c r="E120" s="65" t="s">
        <v>90</v>
      </c>
      <c r="F120" s="66"/>
      <c r="G120" s="44"/>
      <c r="H120" s="67">
        <v>57.84225429</v>
      </c>
      <c r="J120" s="25"/>
      <c r="M120" s="264"/>
    </row>
    <row r="121" spans="2:13" x14ac:dyDescent="0.25">
      <c r="B121" s="351"/>
      <c r="C121" s="352"/>
      <c r="D121" s="353"/>
      <c r="E121" s="65" t="s">
        <v>90</v>
      </c>
      <c r="F121" s="66"/>
      <c r="G121" s="44"/>
      <c r="H121" s="67">
        <v>57.84225429</v>
      </c>
      <c r="J121" s="25"/>
      <c r="M121" s="264"/>
    </row>
    <row r="122" spans="2:13" x14ac:dyDescent="0.25">
      <c r="B122" s="351"/>
      <c r="C122" s="352"/>
      <c r="D122" s="353"/>
      <c r="E122" s="65" t="s">
        <v>90</v>
      </c>
      <c r="F122" s="66"/>
      <c r="G122" s="44"/>
      <c r="H122" s="67">
        <v>64.503409290000008</v>
      </c>
      <c r="J122" s="25"/>
      <c r="M122" s="264"/>
    </row>
    <row r="123" spans="2:13" x14ac:dyDescent="0.25">
      <c r="B123" s="351"/>
      <c r="C123" s="352"/>
      <c r="D123" s="353"/>
      <c r="E123" s="65" t="s">
        <v>90</v>
      </c>
      <c r="F123" s="66"/>
      <c r="G123" s="44"/>
      <c r="H123" s="67">
        <v>64.503409290000008</v>
      </c>
      <c r="J123" s="25"/>
      <c r="M123" s="264"/>
    </row>
    <row r="124" spans="2:13" x14ac:dyDescent="0.25">
      <c r="B124" s="351"/>
      <c r="C124" s="352"/>
      <c r="D124" s="353"/>
      <c r="E124" s="65" t="s">
        <v>90</v>
      </c>
      <c r="F124" s="66"/>
      <c r="G124" s="44"/>
      <c r="H124" s="67">
        <v>65.325564260000007</v>
      </c>
      <c r="J124" s="25"/>
      <c r="M124" s="264"/>
    </row>
    <row r="125" spans="2:13" x14ac:dyDescent="0.25">
      <c r="B125" s="351"/>
      <c r="C125" s="352"/>
      <c r="D125" s="353"/>
      <c r="E125" s="65" t="s">
        <v>90</v>
      </c>
      <c r="F125" s="66"/>
      <c r="G125" s="44"/>
      <c r="H125" s="67">
        <v>62.265567470000008</v>
      </c>
      <c r="J125" s="25"/>
      <c r="M125" s="264"/>
    </row>
    <row r="126" spans="2:13" x14ac:dyDescent="0.25">
      <c r="B126" s="351"/>
      <c r="C126" s="352"/>
      <c r="D126" s="353"/>
      <c r="E126" s="65" t="s">
        <v>90</v>
      </c>
      <c r="F126" s="66"/>
      <c r="G126" s="44"/>
      <c r="H126" s="67">
        <v>66.424731399999999</v>
      </c>
      <c r="J126" s="25"/>
      <c r="M126" s="264"/>
    </row>
    <row r="127" spans="2:13" x14ac:dyDescent="0.25">
      <c r="B127" s="351"/>
      <c r="C127" s="352"/>
      <c r="D127" s="353"/>
      <c r="E127" s="65" t="s">
        <v>90</v>
      </c>
      <c r="F127" s="66"/>
      <c r="G127" s="44"/>
      <c r="H127" s="67">
        <v>63.123861120000001</v>
      </c>
      <c r="J127" s="25"/>
      <c r="M127" s="264"/>
    </row>
    <row r="128" spans="2:13" x14ac:dyDescent="0.25">
      <c r="B128" s="351"/>
      <c r="C128" s="352"/>
      <c r="D128" s="353"/>
      <c r="E128" s="65" t="s">
        <v>90</v>
      </c>
      <c r="F128" s="66"/>
      <c r="G128" s="44"/>
      <c r="H128" s="67">
        <v>64.516578469999999</v>
      </c>
      <c r="J128" s="25"/>
      <c r="M128" s="264"/>
    </row>
    <row r="129" spans="2:13" x14ac:dyDescent="0.25">
      <c r="B129" s="351"/>
      <c r="C129" s="352"/>
      <c r="D129" s="353"/>
      <c r="E129" s="65" t="s">
        <v>90</v>
      </c>
      <c r="F129" s="66"/>
      <c r="G129" s="44"/>
      <c r="H129" s="67">
        <v>65.066162039999995</v>
      </c>
      <c r="J129" s="25"/>
      <c r="M129" s="264"/>
    </row>
    <row r="130" spans="2:13" x14ac:dyDescent="0.25">
      <c r="B130" s="351"/>
      <c r="C130" s="352"/>
      <c r="D130" s="353"/>
      <c r="E130" s="65" t="s">
        <v>90</v>
      </c>
      <c r="F130" s="66"/>
      <c r="G130" s="44"/>
      <c r="H130" s="67">
        <v>68.529350120000004</v>
      </c>
      <c r="J130" s="25"/>
      <c r="M130" s="264"/>
    </row>
    <row r="131" spans="2:13" x14ac:dyDescent="0.25">
      <c r="B131" s="351"/>
      <c r="C131" s="352"/>
      <c r="D131" s="353"/>
      <c r="E131" s="65" t="s">
        <v>90</v>
      </c>
      <c r="F131" s="66"/>
      <c r="G131" s="44"/>
      <c r="H131" s="67">
        <v>64.503409290000008</v>
      </c>
      <c r="J131" s="25"/>
      <c r="M131" s="264"/>
    </row>
    <row r="132" spans="2:13" x14ac:dyDescent="0.25">
      <c r="B132" s="351"/>
      <c r="C132" s="352"/>
      <c r="D132" s="353"/>
      <c r="E132" s="65" t="s">
        <v>90</v>
      </c>
      <c r="F132" s="66"/>
      <c r="G132" s="44"/>
      <c r="H132" s="67">
        <v>64.516578469999999</v>
      </c>
      <c r="J132" s="25"/>
      <c r="M132" s="264"/>
    </row>
    <row r="133" spans="2:13" x14ac:dyDescent="0.25">
      <c r="B133" s="351"/>
      <c r="C133" s="352"/>
      <c r="D133" s="353"/>
      <c r="E133" s="65" t="s">
        <v>90</v>
      </c>
      <c r="F133" s="66"/>
      <c r="G133" s="44"/>
      <c r="H133" s="67">
        <v>66.424731399999999</v>
      </c>
      <c r="J133" s="25"/>
      <c r="M133" s="264"/>
    </row>
    <row r="134" spans="2:13" x14ac:dyDescent="0.25">
      <c r="B134" s="351"/>
      <c r="C134" s="352"/>
      <c r="D134" s="353"/>
      <c r="E134" s="65" t="s">
        <v>90</v>
      </c>
      <c r="F134" s="66"/>
      <c r="G134" s="44"/>
      <c r="H134" s="67">
        <v>69.07893369</v>
      </c>
      <c r="J134" s="25"/>
      <c r="M134" s="264"/>
    </row>
    <row r="135" spans="2:13" x14ac:dyDescent="0.25">
      <c r="B135" s="351"/>
      <c r="C135" s="352"/>
      <c r="D135" s="353"/>
      <c r="E135" s="65" t="s">
        <v>90</v>
      </c>
      <c r="F135" s="66"/>
      <c r="G135" s="44"/>
      <c r="H135" s="67">
        <v>66.424731399999999</v>
      </c>
      <c r="J135" s="25"/>
      <c r="M135" s="264"/>
    </row>
    <row r="136" spans="2:13" x14ac:dyDescent="0.25">
      <c r="B136" s="351"/>
      <c r="C136" s="352"/>
      <c r="D136" s="353"/>
      <c r="E136" s="65" t="s">
        <v>90</v>
      </c>
      <c r="F136" s="66"/>
      <c r="G136" s="44"/>
      <c r="H136" s="67">
        <v>66.424731399999999</v>
      </c>
      <c r="J136" s="25"/>
      <c r="M136" s="264"/>
    </row>
    <row r="137" spans="2:13" x14ac:dyDescent="0.25">
      <c r="B137" s="351"/>
      <c r="C137" s="352"/>
      <c r="D137" s="353"/>
      <c r="E137" s="65" t="s">
        <v>90</v>
      </c>
      <c r="F137" s="66"/>
      <c r="G137" s="44"/>
      <c r="H137" s="67">
        <v>66.424731399999999</v>
      </c>
      <c r="J137" s="25"/>
      <c r="M137" s="264"/>
    </row>
    <row r="138" spans="2:13" x14ac:dyDescent="0.25">
      <c r="B138" s="351"/>
      <c r="C138" s="352"/>
      <c r="D138" s="353"/>
      <c r="E138" s="65" t="s">
        <v>90</v>
      </c>
      <c r="F138" s="66"/>
      <c r="G138" s="44"/>
      <c r="H138" s="67">
        <v>65.875147830000003</v>
      </c>
      <c r="J138" s="25"/>
      <c r="M138" s="264"/>
    </row>
    <row r="139" spans="2:13" x14ac:dyDescent="0.25">
      <c r="B139" s="351"/>
      <c r="C139" s="352"/>
      <c r="D139" s="353"/>
      <c r="E139" s="65" t="s">
        <v>90</v>
      </c>
      <c r="F139" s="66"/>
      <c r="G139" s="44"/>
      <c r="H139" s="67">
        <v>57.84225429</v>
      </c>
      <c r="J139" s="25"/>
      <c r="M139" s="264"/>
    </row>
    <row r="140" spans="2:13" x14ac:dyDescent="0.25">
      <c r="B140" s="351"/>
      <c r="C140" s="352"/>
      <c r="D140" s="353"/>
      <c r="E140" s="65" t="s">
        <v>90</v>
      </c>
      <c r="F140" s="66"/>
      <c r="G140" s="44"/>
      <c r="H140" s="67">
        <v>57.84225429</v>
      </c>
      <c r="J140" s="25"/>
      <c r="M140" s="264"/>
    </row>
    <row r="141" spans="2:13" x14ac:dyDescent="0.25">
      <c r="B141" s="351"/>
      <c r="C141" s="352"/>
      <c r="D141" s="353"/>
      <c r="E141" s="65" t="s">
        <v>90</v>
      </c>
      <c r="F141" s="66"/>
      <c r="G141" s="44"/>
      <c r="H141" s="67">
        <v>57.84225429</v>
      </c>
      <c r="J141" s="25"/>
      <c r="M141" s="264"/>
    </row>
    <row r="142" spans="2:13" x14ac:dyDescent="0.25">
      <c r="B142" s="351"/>
      <c r="C142" s="352"/>
      <c r="D142" s="353"/>
      <c r="E142" s="65" t="s">
        <v>90</v>
      </c>
      <c r="F142" s="66"/>
      <c r="G142" s="44"/>
      <c r="H142" s="67">
        <v>64.503409290000008</v>
      </c>
      <c r="J142" s="25"/>
      <c r="M142" s="264"/>
    </row>
    <row r="143" spans="2:13" x14ac:dyDescent="0.25">
      <c r="B143" s="351"/>
      <c r="C143" s="352"/>
      <c r="D143" s="353"/>
      <c r="E143" s="65" t="s">
        <v>90</v>
      </c>
      <c r="F143" s="66"/>
      <c r="G143" s="44"/>
      <c r="H143" s="67">
        <v>57.84225429</v>
      </c>
      <c r="J143" s="25"/>
      <c r="M143" s="264"/>
    </row>
    <row r="144" spans="2:13" x14ac:dyDescent="0.25">
      <c r="B144" s="351"/>
      <c r="C144" s="352"/>
      <c r="D144" s="353"/>
      <c r="E144" s="65" t="s">
        <v>90</v>
      </c>
      <c r="F144" s="66"/>
      <c r="G144" s="44"/>
      <c r="H144" s="67">
        <v>64.503409290000008</v>
      </c>
      <c r="J144" s="25"/>
      <c r="M144" s="264"/>
    </row>
    <row r="145" spans="2:13" x14ac:dyDescent="0.25">
      <c r="B145" s="351"/>
      <c r="C145" s="352"/>
      <c r="D145" s="353"/>
      <c r="E145" s="65" t="s">
        <v>90</v>
      </c>
      <c r="F145" s="66"/>
      <c r="G145" s="44"/>
      <c r="H145" s="67">
        <v>57.84225429</v>
      </c>
      <c r="J145" s="25"/>
      <c r="M145" s="264"/>
    </row>
    <row r="146" spans="2:13" x14ac:dyDescent="0.25">
      <c r="B146" s="351"/>
      <c r="C146" s="352"/>
      <c r="D146" s="353"/>
      <c r="E146" s="65" t="s">
        <v>90</v>
      </c>
      <c r="F146" s="66"/>
      <c r="G146" s="44"/>
      <c r="H146" s="67">
        <v>57.84225429</v>
      </c>
      <c r="J146" s="25"/>
      <c r="M146" s="264"/>
    </row>
    <row r="147" spans="2:13" x14ac:dyDescent="0.25">
      <c r="B147" s="351"/>
      <c r="C147" s="352"/>
      <c r="D147" s="353"/>
      <c r="E147" s="65" t="s">
        <v>90</v>
      </c>
      <c r="F147" s="66"/>
      <c r="G147" s="44"/>
      <c r="H147" s="67">
        <v>59.843969650000005</v>
      </c>
      <c r="J147" s="25"/>
      <c r="M147" s="264"/>
    </row>
    <row r="148" spans="2:13" x14ac:dyDescent="0.25">
      <c r="B148" s="351"/>
      <c r="C148" s="352"/>
      <c r="D148" s="353"/>
      <c r="E148" s="65" t="s">
        <v>90</v>
      </c>
      <c r="F148" s="66"/>
      <c r="G148" s="44"/>
      <c r="H148" s="67">
        <v>56.483684929999995</v>
      </c>
      <c r="J148" s="25"/>
      <c r="M148" s="264"/>
    </row>
    <row r="149" spans="2:13" x14ac:dyDescent="0.25">
      <c r="B149" s="351"/>
      <c r="C149" s="352"/>
      <c r="D149" s="353"/>
      <c r="E149" s="65" t="s">
        <v>90</v>
      </c>
      <c r="F149" s="66"/>
      <c r="G149" s="44"/>
      <c r="H149" s="67">
        <v>57.84225429</v>
      </c>
      <c r="J149" s="25"/>
      <c r="M149" s="264"/>
    </row>
    <row r="150" spans="2:13" x14ac:dyDescent="0.25">
      <c r="B150" s="351"/>
      <c r="C150" s="352"/>
      <c r="D150" s="353"/>
      <c r="E150" s="65" t="s">
        <v>90</v>
      </c>
      <c r="F150" s="66"/>
      <c r="G150" s="44"/>
      <c r="H150" s="67">
        <v>64.503409290000008</v>
      </c>
      <c r="J150" s="25"/>
      <c r="M150" s="264"/>
    </row>
    <row r="151" spans="2:13" x14ac:dyDescent="0.25">
      <c r="B151" s="351"/>
      <c r="C151" s="352"/>
      <c r="D151" s="353"/>
      <c r="E151" s="65" t="s">
        <v>90</v>
      </c>
      <c r="F151" s="66"/>
      <c r="G151" s="44"/>
      <c r="H151" s="67">
        <v>56.483684929999995</v>
      </c>
      <c r="J151" s="25"/>
      <c r="M151" s="264"/>
    </row>
    <row r="152" spans="2:13" x14ac:dyDescent="0.25">
      <c r="B152" s="351"/>
      <c r="C152" s="352"/>
      <c r="D152" s="353"/>
      <c r="E152" s="65" t="s">
        <v>90</v>
      </c>
      <c r="F152" s="66"/>
      <c r="G152" s="44"/>
      <c r="H152" s="67">
        <v>57.84225429</v>
      </c>
      <c r="J152" s="25"/>
      <c r="M152" s="264"/>
    </row>
    <row r="153" spans="2:13" x14ac:dyDescent="0.25">
      <c r="B153" s="351"/>
      <c r="C153" s="352"/>
      <c r="D153" s="353"/>
      <c r="E153" s="65" t="s">
        <v>90</v>
      </c>
      <c r="F153" s="66"/>
      <c r="G153" s="44"/>
      <c r="H153" s="67">
        <v>60.903169859999998</v>
      </c>
      <c r="J153" s="25"/>
      <c r="M153" s="264"/>
    </row>
    <row r="154" spans="2:13" x14ac:dyDescent="0.25">
      <c r="B154" s="351"/>
      <c r="C154" s="352"/>
      <c r="D154" s="353"/>
      <c r="E154" s="65" t="s">
        <v>90</v>
      </c>
      <c r="F154" s="66"/>
      <c r="G154" s="44"/>
      <c r="H154" s="67">
        <v>56.483684929999995</v>
      </c>
      <c r="J154" s="25"/>
      <c r="M154" s="264"/>
    </row>
    <row r="155" spans="2:13" x14ac:dyDescent="0.25">
      <c r="B155" s="351"/>
      <c r="C155" s="352"/>
      <c r="D155" s="353"/>
      <c r="E155" s="65" t="s">
        <v>90</v>
      </c>
      <c r="F155" s="66"/>
      <c r="G155" s="44"/>
      <c r="H155" s="67">
        <v>63.624136830000005</v>
      </c>
      <c r="J155" s="25"/>
      <c r="M155" s="264"/>
    </row>
    <row r="156" spans="2:13" x14ac:dyDescent="0.25">
      <c r="B156" s="351"/>
      <c r="C156" s="352"/>
      <c r="D156" s="353"/>
      <c r="E156" s="65" t="s">
        <v>90</v>
      </c>
      <c r="F156" s="66"/>
      <c r="G156" s="44"/>
      <c r="H156" s="67">
        <v>57.84225429</v>
      </c>
      <c r="J156" s="25"/>
      <c r="M156" s="264"/>
    </row>
    <row r="157" spans="2:13" x14ac:dyDescent="0.25">
      <c r="B157" s="351"/>
      <c r="C157" s="352"/>
      <c r="D157" s="353"/>
      <c r="E157" s="65" t="s">
        <v>90</v>
      </c>
      <c r="F157" s="66"/>
      <c r="G157" s="44"/>
      <c r="H157" s="67">
        <v>56.483684929999995</v>
      </c>
      <c r="J157" s="25"/>
      <c r="M157" s="264"/>
    </row>
    <row r="158" spans="2:13" x14ac:dyDescent="0.25">
      <c r="B158" s="351"/>
      <c r="C158" s="352"/>
      <c r="D158" s="353"/>
      <c r="E158" s="65" t="s">
        <v>90</v>
      </c>
      <c r="F158" s="66"/>
      <c r="G158" s="44"/>
      <c r="H158" s="67">
        <v>63.191544579999999</v>
      </c>
      <c r="J158" s="25"/>
      <c r="M158" s="264"/>
    </row>
    <row r="159" spans="2:13" x14ac:dyDescent="0.25">
      <c r="B159" s="351"/>
      <c r="C159" s="352"/>
      <c r="D159" s="353"/>
      <c r="E159" s="65" t="s">
        <v>90</v>
      </c>
      <c r="F159" s="66"/>
      <c r="G159" s="44"/>
      <c r="H159" s="67">
        <v>62.801981859999998</v>
      </c>
      <c r="J159" s="25"/>
      <c r="M159" s="264"/>
    </row>
    <row r="160" spans="2:13" x14ac:dyDescent="0.25">
      <c r="B160" s="351"/>
      <c r="C160" s="352"/>
      <c r="D160" s="353"/>
      <c r="E160" s="65" t="s">
        <v>90</v>
      </c>
      <c r="F160" s="66"/>
      <c r="G160" s="44"/>
      <c r="H160" s="67">
        <v>63.144839930000003</v>
      </c>
      <c r="J160" s="25"/>
      <c r="M160" s="264"/>
    </row>
    <row r="161" spans="2:13" x14ac:dyDescent="0.25">
      <c r="B161" s="351"/>
      <c r="C161" s="352"/>
      <c r="D161" s="353"/>
      <c r="E161" s="65" t="s">
        <v>90</v>
      </c>
      <c r="F161" s="66"/>
      <c r="G161" s="44"/>
      <c r="H161" s="67">
        <v>66.424731399999999</v>
      </c>
      <c r="J161" s="25"/>
      <c r="M161" s="264"/>
    </row>
    <row r="162" spans="2:13" x14ac:dyDescent="0.25">
      <c r="B162" s="351"/>
      <c r="C162" s="352"/>
      <c r="D162" s="353"/>
      <c r="E162" s="65" t="s">
        <v>90</v>
      </c>
      <c r="F162" s="66"/>
      <c r="G162" s="44"/>
      <c r="H162" s="67">
        <v>57.84225429</v>
      </c>
      <c r="J162" s="25"/>
      <c r="M162" s="264"/>
    </row>
    <row r="163" spans="2:13" x14ac:dyDescent="0.25">
      <c r="B163" s="351"/>
      <c r="C163" s="352"/>
      <c r="D163" s="353"/>
      <c r="E163" s="65" t="s">
        <v>90</v>
      </c>
      <c r="F163" s="66"/>
      <c r="G163" s="44"/>
      <c r="H163" s="67">
        <v>57.84225429</v>
      </c>
      <c r="J163" s="25"/>
      <c r="M163" s="264"/>
    </row>
    <row r="164" spans="2:13" x14ac:dyDescent="0.25">
      <c r="B164" s="351"/>
      <c r="C164" s="352"/>
      <c r="D164" s="353"/>
      <c r="E164" s="65" t="s">
        <v>90</v>
      </c>
      <c r="F164" s="66"/>
      <c r="G164" s="44"/>
      <c r="H164" s="67">
        <v>61.443412500000001</v>
      </c>
      <c r="J164" s="25"/>
      <c r="M164" s="264"/>
    </row>
    <row r="165" spans="2:13" x14ac:dyDescent="0.25">
      <c r="B165" s="351"/>
      <c r="C165" s="352"/>
      <c r="D165" s="353"/>
      <c r="E165" s="65" t="s">
        <v>90</v>
      </c>
      <c r="F165" s="66"/>
      <c r="G165" s="44"/>
      <c r="H165" s="67">
        <v>67.720364329999995</v>
      </c>
      <c r="J165" s="25"/>
      <c r="M165" s="264"/>
    </row>
    <row r="166" spans="2:13" x14ac:dyDescent="0.25">
      <c r="B166" s="351"/>
      <c r="C166" s="352"/>
      <c r="D166" s="353"/>
      <c r="E166" s="65" t="s">
        <v>90</v>
      </c>
      <c r="F166" s="66"/>
      <c r="G166" s="44"/>
      <c r="H166" s="67">
        <v>66.424731399999999</v>
      </c>
      <c r="J166" s="25"/>
      <c r="M166" s="264"/>
    </row>
    <row r="167" spans="2:13" x14ac:dyDescent="0.25">
      <c r="B167" s="351"/>
      <c r="C167" s="352"/>
      <c r="D167" s="353"/>
      <c r="E167" s="65" t="s">
        <v>90</v>
      </c>
      <c r="F167" s="66"/>
      <c r="G167" s="44"/>
      <c r="H167" s="67">
        <v>63.191544579999999</v>
      </c>
      <c r="J167" s="25"/>
      <c r="M167" s="264"/>
    </row>
    <row r="168" spans="2:13" x14ac:dyDescent="0.25">
      <c r="B168" s="351"/>
      <c r="C168" s="352"/>
      <c r="D168" s="353"/>
      <c r="E168" s="65" t="s">
        <v>90</v>
      </c>
      <c r="F168" s="66"/>
      <c r="G168" s="44"/>
      <c r="H168" s="67">
        <v>64.671852290000004</v>
      </c>
      <c r="J168" s="25"/>
      <c r="M168" s="264"/>
    </row>
    <row r="169" spans="2:13" x14ac:dyDescent="0.25">
      <c r="B169" s="351"/>
      <c r="C169" s="352"/>
      <c r="D169" s="353"/>
      <c r="E169" s="65" t="s">
        <v>90</v>
      </c>
      <c r="F169" s="66"/>
      <c r="G169" s="44"/>
      <c r="H169" s="67">
        <v>64.503409290000008</v>
      </c>
      <c r="J169" s="25"/>
      <c r="M169" s="264"/>
    </row>
    <row r="170" spans="2:13" x14ac:dyDescent="0.25">
      <c r="B170" s="351"/>
      <c r="C170" s="352"/>
      <c r="D170" s="353"/>
      <c r="E170" s="65" t="s">
        <v>90</v>
      </c>
      <c r="F170" s="66"/>
      <c r="G170" s="44"/>
      <c r="H170" s="67">
        <v>64.503409290000008</v>
      </c>
      <c r="J170" s="25"/>
      <c r="M170" s="264"/>
    </row>
    <row r="171" spans="2:13" x14ac:dyDescent="0.25">
      <c r="B171" s="351"/>
      <c r="C171" s="352"/>
      <c r="D171" s="353"/>
      <c r="E171" s="65" t="s">
        <v>90</v>
      </c>
      <c r="F171" s="66"/>
      <c r="G171" s="44"/>
      <c r="H171" s="67">
        <v>61.202539010000002</v>
      </c>
      <c r="J171" s="25"/>
      <c r="M171" s="264"/>
    </row>
    <row r="172" spans="2:13" x14ac:dyDescent="0.25">
      <c r="B172" s="351"/>
      <c r="C172" s="352"/>
      <c r="D172" s="353"/>
      <c r="E172" s="65" t="s">
        <v>90</v>
      </c>
      <c r="F172" s="66"/>
      <c r="G172" s="44"/>
      <c r="H172" s="67">
        <v>64.503409290000008</v>
      </c>
      <c r="J172" s="25"/>
      <c r="M172" s="264"/>
    </row>
    <row r="173" spans="2:13" x14ac:dyDescent="0.25">
      <c r="B173" s="351"/>
      <c r="C173" s="352"/>
      <c r="D173" s="353"/>
      <c r="E173" s="65" t="s">
        <v>90</v>
      </c>
      <c r="F173" s="66"/>
      <c r="G173" s="44"/>
      <c r="H173" s="67">
        <v>59.484114150000003</v>
      </c>
      <c r="J173" s="25"/>
      <c r="M173" s="264"/>
    </row>
    <row r="174" spans="2:13" x14ac:dyDescent="0.25">
      <c r="B174" s="351"/>
      <c r="C174" s="352"/>
      <c r="D174" s="353"/>
      <c r="E174" s="65" t="s">
        <v>90</v>
      </c>
      <c r="F174" s="66"/>
      <c r="G174" s="44"/>
      <c r="H174" s="67">
        <v>64.503409290000008</v>
      </c>
      <c r="J174" s="25"/>
      <c r="M174" s="264"/>
    </row>
    <row r="175" spans="2:13" ht="13.5" thickBot="1" x14ac:dyDescent="0.3">
      <c r="B175" s="351"/>
      <c r="C175" s="352"/>
      <c r="D175" s="353"/>
      <c r="E175" s="65"/>
      <c r="F175" s="66"/>
      <c r="G175" s="71" t="s">
        <v>33</v>
      </c>
      <c r="H175" s="166">
        <f>AVERAGE(H45:H174)</f>
        <v>62.062568918615341</v>
      </c>
      <c r="J175" s="25"/>
      <c r="M175" s="264"/>
    </row>
    <row r="176" spans="2:13" x14ac:dyDescent="0.25">
      <c r="B176" s="351"/>
      <c r="C176" s="352"/>
      <c r="D176" s="353"/>
      <c r="E176" s="65"/>
      <c r="F176" s="66"/>
      <c r="G176" s="44"/>
      <c r="H176" s="67"/>
      <c r="J176" s="25"/>
      <c r="M176" s="264"/>
    </row>
    <row r="177" spans="2:13" x14ac:dyDescent="0.25">
      <c r="B177" s="351"/>
      <c r="C177" s="352"/>
      <c r="D177" s="353"/>
      <c r="E177" s="65" t="s">
        <v>91</v>
      </c>
      <c r="F177" s="66"/>
      <c r="G177" s="44"/>
      <c r="H177" s="67">
        <v>81.560406860000001</v>
      </c>
      <c r="J177" s="25"/>
      <c r="M177" s="264"/>
    </row>
    <row r="178" spans="2:13" x14ac:dyDescent="0.25">
      <c r="B178" s="351"/>
      <c r="C178" s="352"/>
      <c r="D178" s="353"/>
      <c r="E178" s="65" t="s">
        <v>91</v>
      </c>
      <c r="F178" s="66"/>
      <c r="G178" s="44"/>
      <c r="H178" s="67">
        <v>81.560406860000001</v>
      </c>
      <c r="J178" s="25"/>
      <c r="M178" s="264"/>
    </row>
    <row r="179" spans="2:13" x14ac:dyDescent="0.25">
      <c r="B179" s="351"/>
      <c r="C179" s="352"/>
      <c r="D179" s="353"/>
      <c r="E179" s="65" t="s">
        <v>91</v>
      </c>
      <c r="F179" s="66"/>
      <c r="G179" s="44"/>
      <c r="H179" s="67">
        <v>67.842408939999999</v>
      </c>
      <c r="J179" s="25"/>
      <c r="M179" s="264"/>
    </row>
    <row r="180" spans="2:13" x14ac:dyDescent="0.25">
      <c r="B180" s="351"/>
      <c r="C180" s="352"/>
      <c r="D180" s="353"/>
      <c r="E180" s="65" t="s">
        <v>91</v>
      </c>
      <c r="F180" s="66"/>
      <c r="G180" s="44"/>
      <c r="H180" s="67">
        <v>67.842408939999999</v>
      </c>
      <c r="J180" s="25"/>
      <c r="M180" s="264"/>
    </row>
    <row r="181" spans="2:13" x14ac:dyDescent="0.25">
      <c r="B181" s="351"/>
      <c r="C181" s="352"/>
      <c r="D181" s="353"/>
      <c r="E181" s="65" t="s">
        <v>91</v>
      </c>
      <c r="F181" s="66"/>
      <c r="G181" s="44"/>
      <c r="H181" s="67">
        <v>64.503409290000008</v>
      </c>
      <c r="J181" s="25"/>
      <c r="M181" s="264"/>
    </row>
    <row r="182" spans="2:13" x14ac:dyDescent="0.25">
      <c r="B182" s="351"/>
      <c r="C182" s="352"/>
      <c r="D182" s="353"/>
      <c r="E182" s="65" t="s">
        <v>91</v>
      </c>
      <c r="F182" s="66"/>
      <c r="G182" s="44"/>
      <c r="H182" s="67">
        <v>64.503409290000008</v>
      </c>
      <c r="J182" s="25"/>
      <c r="M182" s="264"/>
    </row>
    <row r="183" spans="2:13" x14ac:dyDescent="0.25">
      <c r="B183" s="351"/>
      <c r="C183" s="352"/>
      <c r="D183" s="353"/>
      <c r="E183" s="65" t="s">
        <v>91</v>
      </c>
      <c r="F183" s="66"/>
      <c r="G183" s="44"/>
      <c r="H183" s="67">
        <v>74.818399220000003</v>
      </c>
      <c r="J183" s="25"/>
      <c r="M183" s="264"/>
    </row>
    <row r="184" spans="2:13" x14ac:dyDescent="0.25">
      <c r="B184" s="351"/>
      <c r="C184" s="352"/>
      <c r="D184" s="353"/>
      <c r="E184" s="65" t="s">
        <v>91</v>
      </c>
      <c r="F184" s="66"/>
      <c r="G184" s="44"/>
      <c r="H184" s="67">
        <v>81.560406860000001</v>
      </c>
      <c r="J184" s="25"/>
      <c r="M184" s="264"/>
    </row>
    <row r="185" spans="2:13" x14ac:dyDescent="0.25">
      <c r="B185" s="351"/>
      <c r="C185" s="352"/>
      <c r="D185" s="353"/>
      <c r="E185" s="65" t="s">
        <v>91</v>
      </c>
      <c r="F185" s="66"/>
      <c r="G185" s="44"/>
      <c r="H185" s="67">
        <v>64.503409290000008</v>
      </c>
      <c r="J185" s="25"/>
      <c r="M185" s="264"/>
    </row>
    <row r="186" spans="2:13" x14ac:dyDescent="0.25">
      <c r="B186" s="351"/>
      <c r="C186" s="352"/>
      <c r="D186" s="353"/>
      <c r="E186" s="65" t="s">
        <v>91</v>
      </c>
      <c r="F186" s="66"/>
      <c r="G186" s="44"/>
      <c r="H186" s="67">
        <v>81.560406860000001</v>
      </c>
      <c r="J186" s="25"/>
      <c r="M186" s="264"/>
    </row>
    <row r="187" spans="2:13" x14ac:dyDescent="0.25">
      <c r="B187" s="351"/>
      <c r="C187" s="352"/>
      <c r="D187" s="353"/>
      <c r="E187" s="65" t="s">
        <v>91</v>
      </c>
      <c r="F187" s="66"/>
      <c r="G187" s="44"/>
      <c r="H187" s="67">
        <v>81.560406860000001</v>
      </c>
      <c r="J187" s="25"/>
      <c r="M187" s="264"/>
    </row>
    <row r="188" spans="2:13" x14ac:dyDescent="0.25">
      <c r="B188" s="351"/>
      <c r="C188" s="352"/>
      <c r="D188" s="353"/>
      <c r="E188" s="65" t="s">
        <v>91</v>
      </c>
      <c r="F188" s="66"/>
      <c r="G188" s="44"/>
      <c r="H188" s="67">
        <v>81.560406860000001</v>
      </c>
      <c r="J188" s="25"/>
      <c r="M188" s="264"/>
    </row>
    <row r="189" spans="2:13" x14ac:dyDescent="0.25">
      <c r="B189" s="351"/>
      <c r="C189" s="352"/>
      <c r="D189" s="353"/>
      <c r="E189" s="65" t="s">
        <v>91</v>
      </c>
      <c r="F189" s="66"/>
      <c r="G189" s="44"/>
      <c r="H189" s="67">
        <v>81.560406860000001</v>
      </c>
      <c r="J189" s="25"/>
      <c r="M189" s="264"/>
    </row>
    <row r="190" spans="2:13" x14ac:dyDescent="0.25">
      <c r="B190" s="351"/>
      <c r="C190" s="352"/>
      <c r="D190" s="353"/>
      <c r="E190" s="65" t="s">
        <v>91</v>
      </c>
      <c r="F190" s="66"/>
      <c r="G190" s="44"/>
      <c r="H190" s="67">
        <v>81.560406860000001</v>
      </c>
      <c r="J190" s="25"/>
      <c r="M190" s="264"/>
    </row>
    <row r="191" spans="2:13" x14ac:dyDescent="0.25">
      <c r="B191" s="354"/>
      <c r="C191" s="355"/>
      <c r="D191" s="356"/>
      <c r="E191" s="68" t="s">
        <v>91</v>
      </c>
      <c r="F191" s="69"/>
      <c r="G191" s="45"/>
      <c r="H191" s="70">
        <v>81.560406860000001</v>
      </c>
      <c r="J191" s="25"/>
      <c r="M191" s="264"/>
    </row>
    <row r="192" spans="2:13" ht="13.5" thickBot="1" x14ac:dyDescent="0.3">
      <c r="G192" s="71" t="s">
        <v>33</v>
      </c>
      <c r="H192" s="72">
        <f>AVERAGE(H177:H191)</f>
        <v>75.8704737806667</v>
      </c>
      <c r="I192" s="77"/>
      <c r="J192" s="25"/>
      <c r="M192" s="265"/>
    </row>
    <row r="193" spans="2:15" x14ac:dyDescent="0.25"/>
    <row r="194" spans="2:15" ht="15.75" x14ac:dyDescent="0.25">
      <c r="B194" s="31" t="s">
        <v>36</v>
      </c>
      <c r="C194" s="32"/>
      <c r="D194" s="32"/>
      <c r="E194" s="32"/>
      <c r="F194" s="32"/>
      <c r="G194" s="33"/>
      <c r="H194" s="33"/>
      <c r="I194" s="33"/>
      <c r="J194" s="33"/>
      <c r="K194" s="32"/>
      <c r="M194" s="34"/>
    </row>
    <row r="195" spans="2:15" x14ac:dyDescent="0.25"/>
    <row r="196" spans="2:15" x14ac:dyDescent="0.25">
      <c r="B196" s="231" t="s">
        <v>26</v>
      </c>
      <c r="C196" s="232"/>
      <c r="D196" s="232"/>
      <c r="E196" s="232"/>
      <c r="F196" s="35" t="s">
        <v>112</v>
      </c>
      <c r="G196" s="35" t="s">
        <v>10</v>
      </c>
      <c r="H196" s="36" t="s">
        <v>11</v>
      </c>
      <c r="I196" s="37" t="s">
        <v>12</v>
      </c>
      <c r="J196" s="36" t="s">
        <v>13</v>
      </c>
      <c r="K196" s="38" t="s">
        <v>14</v>
      </c>
      <c r="M196" s="39" t="s">
        <v>5</v>
      </c>
    </row>
    <row r="197" spans="2:15" ht="54" customHeight="1" x14ac:dyDescent="0.2">
      <c r="B197" s="228" t="s">
        <v>34</v>
      </c>
      <c r="C197" s="164"/>
      <c r="D197" s="229"/>
      <c r="E197" s="164"/>
      <c r="F197" s="233">
        <v>3.5000000000000003E-2</v>
      </c>
      <c r="G197" s="233">
        <v>3.5000000000000003E-2</v>
      </c>
      <c r="H197" s="233">
        <v>0.04</v>
      </c>
      <c r="I197" s="234">
        <v>0.04</v>
      </c>
      <c r="J197" s="233">
        <v>0</v>
      </c>
      <c r="K197" s="79"/>
      <c r="M197" s="47" t="s">
        <v>38</v>
      </c>
    </row>
    <row r="198" spans="2:15" x14ac:dyDescent="0.25"/>
    <row r="199" spans="2:15" ht="15.75" x14ac:dyDescent="0.25">
      <c r="B199" s="31" t="s">
        <v>75</v>
      </c>
      <c r="C199" s="32"/>
      <c r="D199" s="32"/>
      <c r="E199" s="32"/>
      <c r="F199" s="32"/>
      <c r="G199" s="33"/>
      <c r="H199" s="33"/>
      <c r="I199" s="33"/>
      <c r="J199" s="33"/>
      <c r="K199" s="32"/>
      <c r="M199" s="34"/>
    </row>
    <row r="200" spans="2:15" x14ac:dyDescent="0.25"/>
    <row r="201" spans="2:15" ht="15" customHeight="1" x14ac:dyDescent="0.2">
      <c r="E201" s="285" t="s">
        <v>95</v>
      </c>
      <c r="F201" s="286"/>
      <c r="G201" s="287"/>
      <c r="H201" s="53">
        <f>+I201/(1+H197)</f>
        <v>57.380333689548202</v>
      </c>
      <c r="I201" s="53">
        <f>+J201/(1+I197)</f>
        <v>59.67554703713013</v>
      </c>
      <c r="J201" s="53">
        <f>+H175</f>
        <v>62.062568918615341</v>
      </c>
    </row>
    <row r="202" spans="2:15" ht="15" customHeight="1" x14ac:dyDescent="0.2">
      <c r="E202" s="291" t="s">
        <v>96</v>
      </c>
      <c r="F202" s="292"/>
      <c r="G202" s="293"/>
      <c r="H202" s="53">
        <f>+I202/(1+H197)</f>
        <v>70.146517918515798</v>
      </c>
      <c r="I202" s="53">
        <f>+J202/(1+I197)</f>
        <v>72.952378635256437</v>
      </c>
      <c r="J202" s="53">
        <f>+H192</f>
        <v>75.8704737806667</v>
      </c>
    </row>
    <row r="203" spans="2:15" ht="51" x14ac:dyDescent="0.2">
      <c r="B203" s="294" t="s">
        <v>3</v>
      </c>
      <c r="C203" s="295"/>
      <c r="D203" s="193"/>
      <c r="E203" s="179" t="s">
        <v>99</v>
      </c>
      <c r="F203" s="179" t="s">
        <v>93</v>
      </c>
      <c r="G203" s="179" t="s">
        <v>94</v>
      </c>
      <c r="H203" s="204" t="s">
        <v>11</v>
      </c>
      <c r="I203" s="205" t="s">
        <v>12</v>
      </c>
      <c r="J203" s="204" t="s">
        <v>13</v>
      </c>
      <c r="K203" s="38" t="s">
        <v>14</v>
      </c>
      <c r="M203" s="39" t="s">
        <v>5</v>
      </c>
    </row>
    <row r="204" spans="2:15" ht="15" customHeight="1" x14ac:dyDescent="0.2">
      <c r="B204" s="172" t="s">
        <v>82</v>
      </c>
      <c r="C204" s="169"/>
      <c r="D204" s="194"/>
      <c r="E204" s="181">
        <v>1</v>
      </c>
      <c r="F204" s="181">
        <v>1</v>
      </c>
      <c r="G204" s="181">
        <v>0</v>
      </c>
      <c r="H204" s="41">
        <f>(H$201*$E204*$F204*H32)+(H$202*$E204*$G204*H32)</f>
        <v>1664.0296769968979</v>
      </c>
      <c r="I204" s="208">
        <f t="shared" ref="I204:J204" si="2">(I$201*$E204*$F204*I32)+(I$202*$E204*$G204*I32)</f>
        <v>1193.5109407426025</v>
      </c>
      <c r="J204" s="208">
        <f t="shared" si="2"/>
        <v>2482.5027567446136</v>
      </c>
      <c r="K204" s="288"/>
      <c r="L204" s="27"/>
      <c r="M204" s="263" t="s">
        <v>134</v>
      </c>
      <c r="O204" s="27"/>
    </row>
    <row r="205" spans="2:15" ht="15" customHeight="1" x14ac:dyDescent="0.2">
      <c r="B205" s="172" t="s">
        <v>83</v>
      </c>
      <c r="C205" s="169"/>
      <c r="D205" s="194"/>
      <c r="E205" s="177">
        <v>1</v>
      </c>
      <c r="F205" s="177">
        <v>1</v>
      </c>
      <c r="G205" s="177">
        <v>1</v>
      </c>
      <c r="H205" s="43">
        <f t="shared" ref="H205:J205" si="3">(H$201*$E205*$F205*H33)+(H$202*$E205*$G205*H33)</f>
        <v>5356.1277675386882</v>
      </c>
      <c r="I205" s="56">
        <f t="shared" si="3"/>
        <v>2387.3026621029585</v>
      </c>
      <c r="J205" s="56">
        <f t="shared" si="3"/>
        <v>3448.3260674820513</v>
      </c>
      <c r="K205" s="289"/>
      <c r="L205" s="27"/>
      <c r="M205" s="264"/>
      <c r="O205" s="27"/>
    </row>
    <row r="206" spans="2:15" ht="15" customHeight="1" x14ac:dyDescent="0.2">
      <c r="B206" s="172" t="s">
        <v>84</v>
      </c>
      <c r="C206" s="169"/>
      <c r="D206" s="194"/>
      <c r="E206" s="177">
        <v>1</v>
      </c>
      <c r="F206" s="177">
        <v>2</v>
      </c>
      <c r="G206" s="177">
        <v>0</v>
      </c>
      <c r="H206" s="43">
        <f t="shared" ref="H206:J206" si="4">(H$201*$E206*$F206*H34)+(H$202*$E206*$G206*H34)</f>
        <v>2295.2133475819282</v>
      </c>
      <c r="I206" s="56">
        <f t="shared" si="4"/>
        <v>1909.6175051881642</v>
      </c>
      <c r="J206" s="56">
        <f t="shared" si="4"/>
        <v>1241.2513783723068</v>
      </c>
      <c r="K206" s="289"/>
      <c r="L206" s="27"/>
      <c r="M206" s="264"/>
      <c r="O206" s="27"/>
    </row>
    <row r="207" spans="2:15" ht="15" customHeight="1" x14ac:dyDescent="0.2">
      <c r="B207" s="172" t="s">
        <v>85</v>
      </c>
      <c r="C207" s="169"/>
      <c r="D207" s="194"/>
      <c r="E207" s="177">
        <v>1</v>
      </c>
      <c r="F207" s="177">
        <v>2</v>
      </c>
      <c r="G207" s="177">
        <v>2</v>
      </c>
      <c r="H207" s="43">
        <f t="shared" ref="H207:J207" si="5">(H$201*$E207*$F207*H35)+(H$202*$E207*$G207*H35)</f>
        <v>4846.0203611064317</v>
      </c>
      <c r="I207" s="56">
        <f t="shared" si="5"/>
        <v>2917.8143647925044</v>
      </c>
      <c r="J207" s="56">
        <f t="shared" si="5"/>
        <v>5793.1877933698452</v>
      </c>
      <c r="K207" s="289"/>
      <c r="L207" s="27"/>
      <c r="M207" s="264"/>
      <c r="O207" s="27"/>
    </row>
    <row r="208" spans="2:15" ht="15" customHeight="1" x14ac:dyDescent="0.2">
      <c r="B208" s="172" t="s">
        <v>86</v>
      </c>
      <c r="C208" s="169"/>
      <c r="D208" s="194"/>
      <c r="E208" s="177">
        <v>1</v>
      </c>
      <c r="F208" s="177">
        <v>1</v>
      </c>
      <c r="G208" s="177">
        <v>0</v>
      </c>
      <c r="H208" s="43">
        <f>(H$201*$E208*$F208*H36*1.75)+(H$202*$E208*$G208*H36*1.75)</f>
        <v>702.90908769696546</v>
      </c>
      <c r="I208" s="56">
        <f t="shared" ref="I208:J208" si="6">(I$201*$E208*$F208*I36*1.75)+(I$202*$E208*$G208*I36*1.75)</f>
        <v>313.29662194493324</v>
      </c>
      <c r="J208" s="56">
        <f t="shared" si="6"/>
        <v>325.82848682273055</v>
      </c>
      <c r="K208" s="289"/>
      <c r="L208" s="27"/>
      <c r="M208" s="264"/>
      <c r="O208" s="27"/>
    </row>
    <row r="209" spans="2:15" ht="15" customHeight="1" x14ac:dyDescent="0.2">
      <c r="B209" s="172" t="s">
        <v>87</v>
      </c>
      <c r="C209" s="169"/>
      <c r="D209" s="194"/>
      <c r="E209" s="177">
        <v>1</v>
      </c>
      <c r="F209" s="177">
        <v>1</v>
      </c>
      <c r="G209" s="177">
        <v>1</v>
      </c>
      <c r="H209" s="43">
        <f t="shared" ref="H209:J209" si="7">(H$201*$E209*$F209*H37*1.75)+(H$202*$E209*$G209*H37*1.75)</f>
        <v>2901.2358740834557</v>
      </c>
      <c r="I209" s="56">
        <f t="shared" si="7"/>
        <v>1392.593219560059</v>
      </c>
      <c r="J209" s="56">
        <f t="shared" si="7"/>
        <v>1689.6797730662051</v>
      </c>
      <c r="K209" s="289"/>
      <c r="L209" s="27"/>
      <c r="M209" s="264"/>
      <c r="O209" s="27"/>
    </row>
    <row r="210" spans="2:15" ht="15" customHeight="1" x14ac:dyDescent="0.2">
      <c r="B210" s="172" t="s">
        <v>88</v>
      </c>
      <c r="C210" s="169"/>
      <c r="D210" s="194"/>
      <c r="E210" s="177">
        <v>1</v>
      </c>
      <c r="F210" s="177">
        <v>2</v>
      </c>
      <c r="G210" s="177">
        <v>0</v>
      </c>
      <c r="H210" s="43">
        <f t="shared" ref="H210:J210" si="8">(H$201*$E210*$F210*H38*1.75)+(H$202*$E210*$G210*H38*1.75)</f>
        <v>803.32467165367484</v>
      </c>
      <c r="I210" s="56">
        <f t="shared" si="8"/>
        <v>208.86441462995546</v>
      </c>
      <c r="J210" s="56">
        <f t="shared" si="8"/>
        <v>651.65697364546111</v>
      </c>
      <c r="K210" s="289"/>
      <c r="L210" s="27"/>
      <c r="M210" s="264"/>
      <c r="O210" s="27"/>
    </row>
    <row r="211" spans="2:15" ht="15" customHeight="1" x14ac:dyDescent="0.2">
      <c r="B211" s="173" t="s">
        <v>89</v>
      </c>
      <c r="C211" s="174"/>
      <c r="D211" s="195"/>
      <c r="E211" s="178">
        <v>1</v>
      </c>
      <c r="F211" s="178">
        <v>2</v>
      </c>
      <c r="G211" s="178">
        <v>2</v>
      </c>
      <c r="H211" s="210">
        <f t="shared" ref="H211:J211" si="9">(H$201*$E211*$F211*H39*1.75)+(H$202*$E211*$G211*H39*1.75)</f>
        <v>6695.1597094233593</v>
      </c>
      <c r="I211" s="209">
        <f t="shared" si="9"/>
        <v>7891.3615775070011</v>
      </c>
      <c r="J211" s="209">
        <f t="shared" si="9"/>
        <v>10620.844287844717</v>
      </c>
      <c r="K211" s="290"/>
      <c r="L211" s="27"/>
      <c r="M211" s="265"/>
      <c r="O211" s="27"/>
    </row>
    <row r="212" spans="2:15" ht="13.5" thickBot="1" x14ac:dyDescent="0.25">
      <c r="B212" s="169"/>
      <c r="C212" s="169"/>
      <c r="D212" s="100"/>
      <c r="E212" s="196"/>
      <c r="F212" s="185"/>
      <c r="G212" s="66"/>
      <c r="H212" s="206">
        <f t="shared" ref="H212:J212" si="10">SUM(H204:H211)</f>
        <v>25264.020496081401</v>
      </c>
      <c r="I212" s="207">
        <f t="shared" si="10"/>
        <v>18214.361306468178</v>
      </c>
      <c r="J212" s="206">
        <f t="shared" si="10"/>
        <v>26253.277517347931</v>
      </c>
      <c r="K212" s="44"/>
      <c r="M212" s="162"/>
      <c r="O212" s="27"/>
    </row>
    <row r="213" spans="2:15" x14ac:dyDescent="0.25">
      <c r="E213" s="55"/>
    </row>
    <row r="214" spans="2:15" ht="15.75" x14ac:dyDescent="0.25">
      <c r="B214" s="31" t="s">
        <v>74</v>
      </c>
      <c r="C214" s="32"/>
      <c r="D214" s="32"/>
      <c r="E214" s="32"/>
      <c r="F214" s="32"/>
      <c r="G214" s="33"/>
      <c r="H214" s="33"/>
      <c r="I214" s="33"/>
      <c r="J214" s="33"/>
      <c r="K214" s="32"/>
      <c r="M214" s="34"/>
    </row>
    <row r="215" spans="2:15" x14ac:dyDescent="0.25">
      <c r="E215" s="55"/>
    </row>
    <row r="216" spans="2:15" ht="51" x14ac:dyDescent="0.2">
      <c r="B216" s="167" t="s">
        <v>3</v>
      </c>
      <c r="C216" s="168"/>
      <c r="D216" s="168"/>
      <c r="E216" s="176" t="s">
        <v>93</v>
      </c>
      <c r="F216" s="203" t="s">
        <v>97</v>
      </c>
      <c r="G216" s="176" t="s">
        <v>94</v>
      </c>
      <c r="H216" s="200" t="s">
        <v>98</v>
      </c>
      <c r="I216" s="186" t="s">
        <v>135</v>
      </c>
      <c r="J216" s="184" t="s">
        <v>43</v>
      </c>
      <c r="K216" s="184" t="s">
        <v>92</v>
      </c>
      <c r="M216" s="39" t="s">
        <v>5</v>
      </c>
    </row>
    <row r="217" spans="2:15" x14ac:dyDescent="0.2">
      <c r="B217" s="170" t="s">
        <v>82</v>
      </c>
      <c r="C217" s="171"/>
      <c r="D217" s="171"/>
      <c r="E217" s="181">
        <f>+F204</f>
        <v>1</v>
      </c>
      <c r="F217" s="182">
        <f>+E217*$H$175</f>
        <v>62.062568918615341</v>
      </c>
      <c r="G217" s="201">
        <f>+G204</f>
        <v>0</v>
      </c>
      <c r="H217" s="182">
        <f>+G217*$H$192</f>
        <v>0</v>
      </c>
      <c r="I217" s="197">
        <f>+F217+H217</f>
        <v>62.062568918615341</v>
      </c>
      <c r="J217" s="187">
        <f t="shared" ref="J217:J224" si="11">+$K$267-1</f>
        <v>1.2648945446885498</v>
      </c>
      <c r="K217" s="190">
        <f>+I217*(1+J217)</f>
        <v>140.56517377312903</v>
      </c>
      <c r="L217" s="82"/>
      <c r="M217" s="282" t="s">
        <v>132</v>
      </c>
    </row>
    <row r="218" spans="2:15" x14ac:dyDescent="0.2">
      <c r="B218" s="172" t="s">
        <v>83</v>
      </c>
      <c r="C218" s="169"/>
      <c r="D218" s="169"/>
      <c r="E218" s="177">
        <f t="shared" ref="E218:E224" si="12">+F205</f>
        <v>1</v>
      </c>
      <c r="F218" s="180">
        <f t="shared" ref="F218:F220" si="13">+E218*$H$175</f>
        <v>62.062568918615341</v>
      </c>
      <c r="G218" s="175">
        <f t="shared" ref="G218:G224" si="14">+G205</f>
        <v>1</v>
      </c>
      <c r="H218" s="180">
        <f t="shared" ref="H218:H220" si="15">+G218*$H$192</f>
        <v>75.8704737806667</v>
      </c>
      <c r="I218" s="198">
        <f t="shared" ref="I218:I224" si="16">+F218+H218</f>
        <v>137.93304269928205</v>
      </c>
      <c r="J218" s="188">
        <f t="shared" si="11"/>
        <v>1.2648945446885498</v>
      </c>
      <c r="K218" s="191">
        <f t="shared" ref="K218:K224" si="17">+I218*(1+J218)</f>
        <v>312.4037959418967</v>
      </c>
      <c r="L218" s="82"/>
      <c r="M218" s="283"/>
    </row>
    <row r="219" spans="2:15" x14ac:dyDescent="0.2">
      <c r="B219" s="172" t="s">
        <v>84</v>
      </c>
      <c r="C219" s="169"/>
      <c r="D219" s="169"/>
      <c r="E219" s="177">
        <f t="shared" si="12"/>
        <v>2</v>
      </c>
      <c r="F219" s="180">
        <f t="shared" si="13"/>
        <v>124.12513783723068</v>
      </c>
      <c r="G219" s="175">
        <f t="shared" si="14"/>
        <v>0</v>
      </c>
      <c r="H219" s="180">
        <f t="shared" si="15"/>
        <v>0</v>
      </c>
      <c r="I219" s="198">
        <f t="shared" si="16"/>
        <v>124.12513783723068</v>
      </c>
      <c r="J219" s="188">
        <f t="shared" si="11"/>
        <v>1.2648945446885498</v>
      </c>
      <c r="K219" s="191">
        <f t="shared" si="17"/>
        <v>281.13034754625806</v>
      </c>
      <c r="L219" s="82"/>
      <c r="M219" s="283"/>
    </row>
    <row r="220" spans="2:15" x14ac:dyDescent="0.2">
      <c r="B220" s="172" t="s">
        <v>85</v>
      </c>
      <c r="C220" s="169"/>
      <c r="D220" s="169"/>
      <c r="E220" s="177">
        <f t="shared" si="12"/>
        <v>2</v>
      </c>
      <c r="F220" s="180">
        <f t="shared" si="13"/>
        <v>124.12513783723068</v>
      </c>
      <c r="G220" s="175">
        <f t="shared" si="14"/>
        <v>2</v>
      </c>
      <c r="H220" s="180">
        <f t="shared" si="15"/>
        <v>151.7409475613334</v>
      </c>
      <c r="I220" s="198">
        <f t="shared" si="16"/>
        <v>275.86608539856411</v>
      </c>
      <c r="J220" s="188">
        <f t="shared" si="11"/>
        <v>1.2648945446885498</v>
      </c>
      <c r="K220" s="191">
        <f t="shared" si="17"/>
        <v>624.80759188379341</v>
      </c>
      <c r="L220" s="82"/>
      <c r="M220" s="283"/>
    </row>
    <row r="221" spans="2:15" x14ac:dyDescent="0.2">
      <c r="B221" s="172" t="s">
        <v>86</v>
      </c>
      <c r="C221" s="169"/>
      <c r="D221" s="169"/>
      <c r="E221" s="177">
        <f t="shared" si="12"/>
        <v>1</v>
      </c>
      <c r="F221" s="180">
        <f>+E221*$H$175*1.75</f>
        <v>108.60949560757685</v>
      </c>
      <c r="G221" s="175">
        <f t="shared" si="14"/>
        <v>0</v>
      </c>
      <c r="H221" s="180">
        <f>+G221*$H$192*1.75</f>
        <v>0</v>
      </c>
      <c r="I221" s="198">
        <f t="shared" si="16"/>
        <v>108.60949560757685</v>
      </c>
      <c r="J221" s="188">
        <f t="shared" si="11"/>
        <v>1.2648945446885498</v>
      </c>
      <c r="K221" s="191">
        <f t="shared" si="17"/>
        <v>245.98905410297581</v>
      </c>
      <c r="L221" s="82"/>
      <c r="M221" s="283"/>
    </row>
    <row r="222" spans="2:15" x14ac:dyDescent="0.2">
      <c r="B222" s="172" t="s">
        <v>87</v>
      </c>
      <c r="C222" s="169"/>
      <c r="D222" s="169"/>
      <c r="E222" s="177">
        <f t="shared" si="12"/>
        <v>1</v>
      </c>
      <c r="F222" s="180">
        <f>+E222*$H$175*1.75</f>
        <v>108.60949560757685</v>
      </c>
      <c r="G222" s="175">
        <f t="shared" si="14"/>
        <v>1</v>
      </c>
      <c r="H222" s="180">
        <f>+G222*$H$192*1.75</f>
        <v>132.77332911616674</v>
      </c>
      <c r="I222" s="198">
        <f t="shared" si="16"/>
        <v>241.38282472374357</v>
      </c>
      <c r="J222" s="188">
        <f t="shared" si="11"/>
        <v>1.2648945446885498</v>
      </c>
      <c r="K222" s="191">
        <f t="shared" si="17"/>
        <v>546.70664289831916</v>
      </c>
      <c r="L222" s="82"/>
      <c r="M222" s="283"/>
    </row>
    <row r="223" spans="2:15" x14ac:dyDescent="0.2">
      <c r="B223" s="172" t="s">
        <v>88</v>
      </c>
      <c r="C223" s="169"/>
      <c r="D223" s="169"/>
      <c r="E223" s="177">
        <f t="shared" si="12"/>
        <v>2</v>
      </c>
      <c r="F223" s="180">
        <f>+E223*$H$175*1.75</f>
        <v>217.21899121515369</v>
      </c>
      <c r="G223" s="175">
        <f t="shared" si="14"/>
        <v>0</v>
      </c>
      <c r="H223" s="180">
        <f>+G223*$H$192*1.75</f>
        <v>0</v>
      </c>
      <c r="I223" s="198">
        <f t="shared" si="16"/>
        <v>217.21899121515369</v>
      </c>
      <c r="J223" s="188">
        <f t="shared" si="11"/>
        <v>1.2648945446885498</v>
      </c>
      <c r="K223" s="191">
        <f t="shared" si="17"/>
        <v>491.97810820595163</v>
      </c>
      <c r="L223" s="82"/>
      <c r="M223" s="283"/>
    </row>
    <row r="224" spans="2:15" x14ac:dyDescent="0.2">
      <c r="B224" s="173" t="s">
        <v>89</v>
      </c>
      <c r="C224" s="174"/>
      <c r="D224" s="174"/>
      <c r="E224" s="178">
        <f t="shared" si="12"/>
        <v>2</v>
      </c>
      <c r="F224" s="183">
        <f>+E224*$H$175*1.75</f>
        <v>217.21899121515369</v>
      </c>
      <c r="G224" s="202">
        <f t="shared" si="14"/>
        <v>2</v>
      </c>
      <c r="H224" s="183">
        <f>+G224*$H$192*1.75</f>
        <v>265.54665823233347</v>
      </c>
      <c r="I224" s="199">
        <f t="shared" si="16"/>
        <v>482.76564944748714</v>
      </c>
      <c r="J224" s="189">
        <f t="shared" si="11"/>
        <v>1.2648945446885498</v>
      </c>
      <c r="K224" s="192">
        <f t="shared" si="17"/>
        <v>1093.4132857966383</v>
      </c>
      <c r="L224" s="82"/>
      <c r="M224" s="284"/>
    </row>
    <row r="225" spans="2:13" x14ac:dyDescent="0.25">
      <c r="E225" s="55"/>
      <c r="H225" s="57"/>
      <c r="I225" s="57"/>
      <c r="J225" s="57"/>
    </row>
    <row r="226" spans="2:13" ht="15.75" x14ac:dyDescent="0.25">
      <c r="B226" s="31" t="s">
        <v>76</v>
      </c>
      <c r="C226" s="32"/>
      <c r="D226" s="32"/>
      <c r="E226" s="32"/>
      <c r="F226" s="32"/>
      <c r="G226" s="33"/>
      <c r="H226" s="33"/>
      <c r="I226" s="33"/>
      <c r="J226" s="33"/>
      <c r="K226" s="32"/>
      <c r="M226" s="34"/>
    </row>
    <row r="227" spans="2:13" x14ac:dyDescent="0.25">
      <c r="E227" s="55"/>
    </row>
    <row r="228" spans="2:13" x14ac:dyDescent="0.25">
      <c r="B228" s="142"/>
      <c r="C228" s="143"/>
      <c r="D228" s="143"/>
      <c r="E228" s="143"/>
      <c r="F228" s="36" t="s">
        <v>14</v>
      </c>
      <c r="G228" s="36" t="s">
        <v>15</v>
      </c>
      <c r="H228" s="36" t="s">
        <v>16</v>
      </c>
      <c r="I228" s="36" t="s">
        <v>17</v>
      </c>
      <c r="J228" s="36" t="s">
        <v>18</v>
      </c>
      <c r="K228" s="36" t="s">
        <v>19</v>
      </c>
      <c r="M228" s="39" t="s">
        <v>5</v>
      </c>
    </row>
    <row r="229" spans="2:13" x14ac:dyDescent="0.25">
      <c r="H229" s="57"/>
      <c r="I229" s="57"/>
      <c r="J229" s="57"/>
      <c r="M229" s="263" t="s">
        <v>79</v>
      </c>
    </row>
    <row r="230" spans="2:13" x14ac:dyDescent="0.25">
      <c r="B230" s="25" t="s">
        <v>102</v>
      </c>
      <c r="E230" s="25" t="s">
        <v>77</v>
      </c>
      <c r="F230" s="58">
        <f>+G230/1.025</f>
        <v>64.74037637709776</v>
      </c>
      <c r="G230" s="58">
        <f>($J$201)*G$274</f>
        <v>66.358885786525192</v>
      </c>
      <c r="H230" s="58">
        <f>($J$201)*H$274</f>
        <v>69.254105386186353</v>
      </c>
      <c r="I230" s="58">
        <f>($J$201)*I$274</f>
        <v>71.598890065177216</v>
      </c>
      <c r="J230" s="58">
        <f>($J$201)*J$274</f>
        <v>74.121187073867787</v>
      </c>
      <c r="K230" s="58">
        <f>($J$201)*K$274</f>
        <v>76.673650118831304</v>
      </c>
      <c r="M230" s="264"/>
    </row>
    <row r="231" spans="2:13" x14ac:dyDescent="0.25">
      <c r="B231" s="25" t="s">
        <v>103</v>
      </c>
      <c r="E231" s="25" t="s">
        <v>77</v>
      </c>
      <c r="F231" s="58">
        <f t="shared" ref="F231:F233" si="18">+G231/1.025</f>
        <v>143.88442590734201</v>
      </c>
      <c r="G231" s="58">
        <f>($J$201+$J$202)*G$274</f>
        <v>147.48153655502554</v>
      </c>
      <c r="H231" s="58">
        <f>($J$201+$J$202)*H$274</f>
        <v>153.91611468516282</v>
      </c>
      <c r="I231" s="58">
        <f>($J$201+$J$202)*I$274</f>
        <v>159.12736022145356</v>
      </c>
      <c r="J231" s="58">
        <f>($J$201+$J$202)*J$274</f>
        <v>164.73312400245675</v>
      </c>
      <c r="K231" s="58">
        <f>($J$201+$J$202)*K$274</f>
        <v>170.40593130489006</v>
      </c>
      <c r="M231" s="264"/>
    </row>
    <row r="232" spans="2:13" x14ac:dyDescent="0.25">
      <c r="B232" s="25" t="s">
        <v>104</v>
      </c>
      <c r="E232" s="25" t="s">
        <v>77</v>
      </c>
      <c r="F232" s="58">
        <f t="shared" si="18"/>
        <v>113.29565865992106</v>
      </c>
      <c r="G232" s="58">
        <f>+G230*1.75</f>
        <v>116.12805012641908</v>
      </c>
      <c r="H232" s="58">
        <f t="shared" ref="H232:K232" si="19">+H230*1.75</f>
        <v>121.19468442582613</v>
      </c>
      <c r="I232" s="58">
        <f t="shared" si="19"/>
        <v>125.29805761406013</v>
      </c>
      <c r="J232" s="58">
        <f t="shared" si="19"/>
        <v>129.71207737926864</v>
      </c>
      <c r="K232" s="58">
        <f t="shared" si="19"/>
        <v>134.17888770795477</v>
      </c>
      <c r="M232" s="264"/>
    </row>
    <row r="233" spans="2:13" x14ac:dyDescent="0.25">
      <c r="B233" s="25" t="s">
        <v>105</v>
      </c>
      <c r="E233" s="25" t="s">
        <v>77</v>
      </c>
      <c r="F233" s="58">
        <f t="shared" si="18"/>
        <v>251.79774533784851</v>
      </c>
      <c r="G233" s="58">
        <f>+G231*1.75</f>
        <v>258.09268897129471</v>
      </c>
      <c r="H233" s="58">
        <f t="shared" ref="H233:K233" si="20">+H231*1.75</f>
        <v>269.35320069903491</v>
      </c>
      <c r="I233" s="58">
        <f t="shared" si="20"/>
        <v>278.47288038754374</v>
      </c>
      <c r="J233" s="58">
        <f t="shared" si="20"/>
        <v>288.28296700429928</v>
      </c>
      <c r="K233" s="58">
        <f t="shared" si="20"/>
        <v>298.21037978355758</v>
      </c>
      <c r="M233" s="264"/>
    </row>
    <row r="234" spans="2:13" x14ac:dyDescent="0.25">
      <c r="G234" s="58"/>
      <c r="H234" s="58"/>
      <c r="I234" s="58"/>
      <c r="J234" s="58"/>
      <c r="K234" s="58"/>
      <c r="M234" s="264"/>
    </row>
    <row r="235" spans="2:13" x14ac:dyDescent="0.25">
      <c r="B235" s="25" t="s">
        <v>102</v>
      </c>
      <c r="E235" s="25" t="s">
        <v>78</v>
      </c>
      <c r="F235" s="58">
        <f t="shared" ref="F235:F238" si="21">+G235/1.025</f>
        <v>146.63012527757215</v>
      </c>
      <c r="G235" s="58">
        <f>($K$217)*G274</f>
        <v>150.29587840951143</v>
      </c>
      <c r="H235" s="58">
        <f>($K$217)*H274</f>
        <v>156.85324548645937</v>
      </c>
      <c r="I235" s="58">
        <f>($K$217)*I274</f>
        <v>162.16393551437508</v>
      </c>
      <c r="J235" s="58">
        <f>($K$217)*J274</f>
        <v>167.87667224944261</v>
      </c>
      <c r="K235" s="58">
        <f>($K$217)*K274</f>
        <v>173.65773187549959</v>
      </c>
      <c r="M235" s="264"/>
    </row>
    <row r="236" spans="2:13" x14ac:dyDescent="0.25">
      <c r="B236" s="25" t="s">
        <v>103</v>
      </c>
      <c r="E236" s="25" t="s">
        <v>78</v>
      </c>
      <c r="F236" s="58">
        <f t="shared" si="21"/>
        <v>325.8830513031827</v>
      </c>
      <c r="G236" s="58">
        <f>($K$218*G274)</f>
        <v>334.03012758576222</v>
      </c>
      <c r="H236" s="58">
        <f>($K$218*H274)</f>
        <v>348.60376849008247</v>
      </c>
      <c r="I236" s="58">
        <f>($K$218*I274)</f>
        <v>360.40669007625985</v>
      </c>
      <c r="J236" s="58">
        <f>($K$218*J274)</f>
        <v>373.10315388266662</v>
      </c>
      <c r="K236" s="58">
        <f>($K$218*K274)</f>
        <v>385.95146419501719</v>
      </c>
      <c r="M236" s="264"/>
    </row>
    <row r="237" spans="2:13" x14ac:dyDescent="0.25">
      <c r="B237" s="25" t="s">
        <v>104</v>
      </c>
      <c r="E237" s="25" t="s">
        <v>78</v>
      </c>
      <c r="F237" s="58">
        <f t="shared" si="21"/>
        <v>256.60271923575124</v>
      </c>
      <c r="G237" s="58">
        <f>+G235*1.75</f>
        <v>263.01778721664499</v>
      </c>
      <c r="H237" s="58">
        <f t="shared" ref="H237:K237" si="22">+H235*1.75</f>
        <v>274.49317960130389</v>
      </c>
      <c r="I237" s="58">
        <f t="shared" si="22"/>
        <v>283.78688715015642</v>
      </c>
      <c r="J237" s="58">
        <f t="shared" si="22"/>
        <v>293.78417643652455</v>
      </c>
      <c r="K237" s="58">
        <f t="shared" si="22"/>
        <v>303.90103078212428</v>
      </c>
      <c r="M237" s="264"/>
    </row>
    <row r="238" spans="2:13" x14ac:dyDescent="0.25">
      <c r="B238" s="25" t="s">
        <v>105</v>
      </c>
      <c r="E238" s="25" t="s">
        <v>78</v>
      </c>
      <c r="F238" s="58">
        <f t="shared" si="21"/>
        <v>570.29533978056963</v>
      </c>
      <c r="G238" s="58">
        <f t="shared" ref="G238:K238" si="23">+G236*1.75</f>
        <v>584.55272327508385</v>
      </c>
      <c r="H238" s="58">
        <f t="shared" si="23"/>
        <v>610.05659485764431</v>
      </c>
      <c r="I238" s="58">
        <f t="shared" si="23"/>
        <v>630.71170763345469</v>
      </c>
      <c r="J238" s="58">
        <f t="shared" si="23"/>
        <v>652.93051929466662</v>
      </c>
      <c r="K238" s="58">
        <f t="shared" si="23"/>
        <v>675.41506234128008</v>
      </c>
      <c r="M238" s="264"/>
    </row>
    <row r="239" spans="2:13" x14ac:dyDescent="0.25">
      <c r="G239" s="58"/>
      <c r="H239" s="58"/>
      <c r="I239" s="58"/>
      <c r="J239" s="58"/>
      <c r="K239" s="58"/>
      <c r="M239" s="264"/>
    </row>
    <row r="240" spans="2:13" x14ac:dyDescent="0.25">
      <c r="B240" s="25" t="s">
        <v>82</v>
      </c>
      <c r="E240" s="25" t="s">
        <v>77</v>
      </c>
      <c r="F240" s="58">
        <f t="shared" ref="F240:F247" si="24">+G240/1.025</f>
        <v>64.74037637709776</v>
      </c>
      <c r="G240" s="58">
        <f t="shared" ref="G240:K247" si="25">+$I217*G$274</f>
        <v>66.358885786525192</v>
      </c>
      <c r="H240" s="58">
        <f t="shared" si="25"/>
        <v>69.254105386186353</v>
      </c>
      <c r="I240" s="58">
        <f t="shared" si="25"/>
        <v>71.598890065177216</v>
      </c>
      <c r="J240" s="58">
        <f t="shared" si="25"/>
        <v>74.121187073867787</v>
      </c>
      <c r="K240" s="58">
        <f t="shared" si="25"/>
        <v>76.673650118831304</v>
      </c>
      <c r="M240" s="264"/>
    </row>
    <row r="241" spans="2:13" x14ac:dyDescent="0.25">
      <c r="B241" s="25" t="s">
        <v>83</v>
      </c>
      <c r="E241" s="25" t="s">
        <v>77</v>
      </c>
      <c r="F241" s="58">
        <f t="shared" si="24"/>
        <v>143.88442590734201</v>
      </c>
      <c r="G241" s="58">
        <f t="shared" si="25"/>
        <v>147.48153655502554</v>
      </c>
      <c r="H241" s="58">
        <f t="shared" si="25"/>
        <v>153.91611468516282</v>
      </c>
      <c r="I241" s="58">
        <f t="shared" si="25"/>
        <v>159.12736022145356</v>
      </c>
      <c r="J241" s="58">
        <f t="shared" si="25"/>
        <v>164.73312400245675</v>
      </c>
      <c r="K241" s="58">
        <f t="shared" si="25"/>
        <v>170.40593130489006</v>
      </c>
      <c r="M241" s="264"/>
    </row>
    <row r="242" spans="2:13" x14ac:dyDescent="0.25">
      <c r="B242" s="25" t="s">
        <v>84</v>
      </c>
      <c r="E242" s="25" t="s">
        <v>77</v>
      </c>
      <c r="F242" s="58">
        <f t="shared" si="24"/>
        <v>129.48075275419552</v>
      </c>
      <c r="G242" s="58">
        <f t="shared" si="25"/>
        <v>132.71777157305038</v>
      </c>
      <c r="H242" s="58">
        <f t="shared" si="25"/>
        <v>138.50821077237271</v>
      </c>
      <c r="I242" s="58">
        <f t="shared" si="25"/>
        <v>143.19778013035443</v>
      </c>
      <c r="J242" s="58">
        <f t="shared" si="25"/>
        <v>148.24237414773557</v>
      </c>
      <c r="K242" s="58">
        <f t="shared" si="25"/>
        <v>153.34730023766261</v>
      </c>
      <c r="M242" s="264"/>
    </row>
    <row r="243" spans="2:13" x14ac:dyDescent="0.25">
      <c r="B243" s="25" t="s">
        <v>85</v>
      </c>
      <c r="E243" s="25" t="s">
        <v>77</v>
      </c>
      <c r="F243" s="58">
        <f t="shared" si="24"/>
        <v>287.76885181468401</v>
      </c>
      <c r="G243" s="58">
        <f t="shared" si="25"/>
        <v>294.96307311005108</v>
      </c>
      <c r="H243" s="58">
        <f t="shared" si="25"/>
        <v>307.83222937032565</v>
      </c>
      <c r="I243" s="58">
        <f t="shared" si="25"/>
        <v>318.25472044290711</v>
      </c>
      <c r="J243" s="58">
        <f t="shared" si="25"/>
        <v>329.4662480049135</v>
      </c>
      <c r="K243" s="58">
        <f t="shared" si="25"/>
        <v>340.81186260978012</v>
      </c>
      <c r="M243" s="264"/>
    </row>
    <row r="244" spans="2:13" x14ac:dyDescent="0.25">
      <c r="B244" s="25" t="s">
        <v>86</v>
      </c>
      <c r="E244" s="25" t="s">
        <v>77</v>
      </c>
      <c r="F244" s="58">
        <f t="shared" si="24"/>
        <v>113.29565865992106</v>
      </c>
      <c r="G244" s="58">
        <f t="shared" si="25"/>
        <v>116.12805012641908</v>
      </c>
      <c r="H244" s="58">
        <f t="shared" si="25"/>
        <v>121.19468442582611</v>
      </c>
      <c r="I244" s="58">
        <f t="shared" si="25"/>
        <v>125.29805761406013</v>
      </c>
      <c r="J244" s="58">
        <f t="shared" si="25"/>
        <v>129.71207737926864</v>
      </c>
      <c r="K244" s="58">
        <f t="shared" si="25"/>
        <v>134.17888770795477</v>
      </c>
      <c r="M244" s="264"/>
    </row>
    <row r="245" spans="2:13" x14ac:dyDescent="0.25">
      <c r="B245" s="25" t="s">
        <v>87</v>
      </c>
      <c r="E245" s="25" t="s">
        <v>77</v>
      </c>
      <c r="F245" s="58">
        <f t="shared" si="24"/>
        <v>251.79774533784845</v>
      </c>
      <c r="G245" s="58">
        <f t="shared" si="25"/>
        <v>258.09268897129465</v>
      </c>
      <c r="H245" s="58">
        <f t="shared" si="25"/>
        <v>269.35320069903491</v>
      </c>
      <c r="I245" s="58">
        <f t="shared" si="25"/>
        <v>278.47288038754368</v>
      </c>
      <c r="J245" s="58">
        <f t="shared" si="25"/>
        <v>288.28296700429928</v>
      </c>
      <c r="K245" s="58">
        <f t="shared" si="25"/>
        <v>298.21037978355753</v>
      </c>
      <c r="M245" s="264"/>
    </row>
    <row r="246" spans="2:13" x14ac:dyDescent="0.25">
      <c r="B246" s="25" t="s">
        <v>88</v>
      </c>
      <c r="E246" s="25" t="s">
        <v>77</v>
      </c>
      <c r="F246" s="58">
        <f t="shared" si="24"/>
        <v>226.59131731984212</v>
      </c>
      <c r="G246" s="58">
        <f t="shared" si="25"/>
        <v>232.25610025283817</v>
      </c>
      <c r="H246" s="58">
        <f t="shared" si="25"/>
        <v>242.38936885165222</v>
      </c>
      <c r="I246" s="58">
        <f t="shared" si="25"/>
        <v>250.59611522812025</v>
      </c>
      <c r="J246" s="58">
        <f t="shared" si="25"/>
        <v>259.42415475853727</v>
      </c>
      <c r="K246" s="58">
        <f t="shared" si="25"/>
        <v>268.35777541590954</v>
      </c>
      <c r="M246" s="264"/>
    </row>
    <row r="247" spans="2:13" x14ac:dyDescent="0.25">
      <c r="B247" s="25" t="s">
        <v>89</v>
      </c>
      <c r="E247" s="25" t="s">
        <v>77</v>
      </c>
      <c r="F247" s="58">
        <f t="shared" si="24"/>
        <v>503.59549067569691</v>
      </c>
      <c r="G247" s="58">
        <f t="shared" si="25"/>
        <v>516.1853779425893</v>
      </c>
      <c r="H247" s="58">
        <f t="shared" si="25"/>
        <v>538.70640139806983</v>
      </c>
      <c r="I247" s="58">
        <f t="shared" si="25"/>
        <v>556.94576077508736</v>
      </c>
      <c r="J247" s="58">
        <f t="shared" si="25"/>
        <v>576.56593400859856</v>
      </c>
      <c r="K247" s="58">
        <f t="shared" si="25"/>
        <v>596.42075956711506</v>
      </c>
      <c r="M247" s="264"/>
    </row>
    <row r="248" spans="2:13" x14ac:dyDescent="0.25">
      <c r="G248" s="58"/>
      <c r="H248" s="58"/>
      <c r="I248" s="58"/>
      <c r="J248" s="58"/>
      <c r="K248" s="58"/>
      <c r="M248" s="264"/>
    </row>
    <row r="249" spans="2:13" x14ac:dyDescent="0.25">
      <c r="B249" s="25" t="s">
        <v>82</v>
      </c>
      <c r="E249" s="25" t="s">
        <v>78</v>
      </c>
      <c r="F249" s="58">
        <f t="shared" ref="F249:F256" si="26">+G249/1.025</f>
        <v>146.63012527757215</v>
      </c>
      <c r="G249" s="58">
        <f t="shared" ref="G249:K256" si="27">+$K217*G$274</f>
        <v>150.29587840951143</v>
      </c>
      <c r="H249" s="58">
        <f t="shared" si="27"/>
        <v>156.85324548645937</v>
      </c>
      <c r="I249" s="58">
        <f t="shared" si="27"/>
        <v>162.16393551437508</v>
      </c>
      <c r="J249" s="58">
        <f t="shared" si="27"/>
        <v>167.87667224944261</v>
      </c>
      <c r="K249" s="58">
        <f t="shared" si="27"/>
        <v>173.65773187549959</v>
      </c>
      <c r="M249" s="264"/>
    </row>
    <row r="250" spans="2:13" x14ac:dyDescent="0.25">
      <c r="B250" s="25" t="s">
        <v>83</v>
      </c>
      <c r="E250" s="25" t="s">
        <v>78</v>
      </c>
      <c r="F250" s="58">
        <f t="shared" si="26"/>
        <v>325.8830513031827</v>
      </c>
      <c r="G250" s="58">
        <f t="shared" si="27"/>
        <v>334.03012758576222</v>
      </c>
      <c r="H250" s="58">
        <f t="shared" si="27"/>
        <v>348.60376849008247</v>
      </c>
      <c r="I250" s="58">
        <f t="shared" si="27"/>
        <v>360.40669007625985</v>
      </c>
      <c r="J250" s="58">
        <f t="shared" si="27"/>
        <v>373.10315388266662</v>
      </c>
      <c r="K250" s="58">
        <f t="shared" si="27"/>
        <v>385.95146419501719</v>
      </c>
      <c r="M250" s="264"/>
    </row>
    <row r="251" spans="2:13" x14ac:dyDescent="0.25">
      <c r="B251" s="25" t="s">
        <v>84</v>
      </c>
      <c r="E251" s="25" t="s">
        <v>78</v>
      </c>
      <c r="F251" s="58">
        <f t="shared" si="26"/>
        <v>293.2602505551443</v>
      </c>
      <c r="G251" s="58">
        <f t="shared" si="27"/>
        <v>300.59175681902286</v>
      </c>
      <c r="H251" s="58">
        <f t="shared" si="27"/>
        <v>313.70649097291874</v>
      </c>
      <c r="I251" s="58">
        <f t="shared" si="27"/>
        <v>324.32787102875017</v>
      </c>
      <c r="J251" s="58">
        <f t="shared" si="27"/>
        <v>335.75334449888521</v>
      </c>
      <c r="K251" s="58">
        <f t="shared" si="27"/>
        <v>347.31546375099919</v>
      </c>
      <c r="M251" s="264"/>
    </row>
    <row r="252" spans="2:13" x14ac:dyDescent="0.25">
      <c r="B252" s="25" t="s">
        <v>85</v>
      </c>
      <c r="E252" s="25" t="s">
        <v>78</v>
      </c>
      <c r="F252" s="58">
        <f t="shared" si="26"/>
        <v>651.76610260636539</v>
      </c>
      <c r="G252" s="58">
        <f t="shared" si="27"/>
        <v>668.06025517152443</v>
      </c>
      <c r="H252" s="58">
        <f t="shared" si="27"/>
        <v>697.20753698016495</v>
      </c>
      <c r="I252" s="58">
        <f t="shared" si="27"/>
        <v>720.8133801525197</v>
      </c>
      <c r="J252" s="58">
        <f t="shared" si="27"/>
        <v>746.20630776533324</v>
      </c>
      <c r="K252" s="58">
        <f t="shared" si="27"/>
        <v>771.90292839003439</v>
      </c>
      <c r="M252" s="264"/>
    </row>
    <row r="253" spans="2:13" x14ac:dyDescent="0.25">
      <c r="B253" s="25" t="s">
        <v>86</v>
      </c>
      <c r="E253" s="25" t="s">
        <v>78</v>
      </c>
      <c r="F253" s="58">
        <f t="shared" si="26"/>
        <v>256.60271923575129</v>
      </c>
      <c r="G253" s="58">
        <f t="shared" si="27"/>
        <v>263.01778721664505</v>
      </c>
      <c r="H253" s="58">
        <f t="shared" si="27"/>
        <v>274.49317960130389</v>
      </c>
      <c r="I253" s="58">
        <f t="shared" si="27"/>
        <v>283.78688715015636</v>
      </c>
      <c r="J253" s="58">
        <f t="shared" si="27"/>
        <v>293.78417643652455</v>
      </c>
      <c r="K253" s="58">
        <f t="shared" si="27"/>
        <v>303.90103078212428</v>
      </c>
      <c r="M253" s="264"/>
    </row>
    <row r="254" spans="2:13" x14ac:dyDescent="0.25">
      <c r="B254" s="25" t="s">
        <v>87</v>
      </c>
      <c r="E254" s="25" t="s">
        <v>78</v>
      </c>
      <c r="F254" s="58">
        <f t="shared" si="26"/>
        <v>570.29533978056963</v>
      </c>
      <c r="G254" s="58">
        <f t="shared" si="27"/>
        <v>584.55272327508385</v>
      </c>
      <c r="H254" s="58">
        <f t="shared" si="27"/>
        <v>610.0565948576442</v>
      </c>
      <c r="I254" s="58">
        <f t="shared" si="27"/>
        <v>630.71170763345469</v>
      </c>
      <c r="J254" s="58">
        <f t="shared" si="27"/>
        <v>652.93051929466651</v>
      </c>
      <c r="K254" s="58">
        <f t="shared" si="27"/>
        <v>675.41506234128008</v>
      </c>
      <c r="M254" s="264"/>
    </row>
    <row r="255" spans="2:13" x14ac:dyDescent="0.25">
      <c r="B255" s="25" t="s">
        <v>88</v>
      </c>
      <c r="E255" s="25" t="s">
        <v>78</v>
      </c>
      <c r="F255" s="58">
        <f t="shared" si="26"/>
        <v>513.20543847150259</v>
      </c>
      <c r="G255" s="58">
        <f t="shared" si="27"/>
        <v>526.03557443329009</v>
      </c>
      <c r="H255" s="58">
        <f t="shared" si="27"/>
        <v>548.98635920260779</v>
      </c>
      <c r="I255" s="58">
        <f t="shared" si="27"/>
        <v>567.57377430031272</v>
      </c>
      <c r="J255" s="58">
        <f t="shared" si="27"/>
        <v>587.56835287304909</v>
      </c>
      <c r="K255" s="58">
        <f t="shared" si="27"/>
        <v>607.80206156424856</v>
      </c>
      <c r="M255" s="264"/>
    </row>
    <row r="256" spans="2:13" x14ac:dyDescent="0.25">
      <c r="B256" s="25" t="s">
        <v>89</v>
      </c>
      <c r="E256" s="25" t="s">
        <v>78</v>
      </c>
      <c r="F256" s="58">
        <f t="shared" si="26"/>
        <v>1140.5906795611393</v>
      </c>
      <c r="G256" s="58">
        <f t="shared" si="27"/>
        <v>1169.1054465501677</v>
      </c>
      <c r="H256" s="58">
        <f t="shared" si="27"/>
        <v>1220.1131897152884</v>
      </c>
      <c r="I256" s="58">
        <f t="shared" si="27"/>
        <v>1261.4234152669094</v>
      </c>
      <c r="J256" s="58">
        <f t="shared" si="27"/>
        <v>1305.861038589333</v>
      </c>
      <c r="K256" s="58">
        <f t="shared" si="27"/>
        <v>1350.8301246825602</v>
      </c>
      <c r="M256" s="264"/>
    </row>
    <row r="257" spans="2:13" x14ac:dyDescent="0.25">
      <c r="G257" s="58"/>
      <c r="H257" s="58"/>
      <c r="I257" s="58"/>
      <c r="J257" s="58"/>
      <c r="K257" s="58"/>
      <c r="M257" s="264"/>
    </row>
    <row r="258" spans="2:13" x14ac:dyDescent="0.25">
      <c r="B258" s="144" t="s">
        <v>58</v>
      </c>
      <c r="C258" s="144"/>
      <c r="D258" s="144"/>
      <c r="E258" s="144"/>
      <c r="F258" s="144"/>
      <c r="G258" s="145"/>
      <c r="H258" s="145">
        <f>(H256-G256)/G256</f>
        <v>4.3629719898778951E-2</v>
      </c>
      <c r="I258" s="145">
        <f>(I256-H256)/H256</f>
        <v>3.3857699351041902E-2</v>
      </c>
      <c r="J258" s="145">
        <f>(J256-I256)/I256</f>
        <v>3.5228157956003148E-2</v>
      </c>
      <c r="K258" s="145">
        <f>(K256-J256)/J256</f>
        <v>3.4436348711196219E-2</v>
      </c>
      <c r="M258" s="265"/>
    </row>
    <row r="259" spans="2:13" x14ac:dyDescent="0.25">
      <c r="E259" s="55"/>
      <c r="H259" s="57"/>
      <c r="I259" s="57"/>
      <c r="J259" s="57"/>
    </row>
    <row r="260" spans="2:13" ht="15.75" x14ac:dyDescent="0.25">
      <c r="B260" s="31" t="s">
        <v>42</v>
      </c>
      <c r="C260" s="32"/>
      <c r="D260" s="32"/>
      <c r="E260" s="32"/>
      <c r="F260" s="32"/>
      <c r="G260" s="33"/>
      <c r="H260" s="33"/>
      <c r="I260" s="33"/>
      <c r="J260" s="33"/>
      <c r="K260" s="32"/>
      <c r="M260" s="34"/>
    </row>
    <row r="261" spans="2:13" x14ac:dyDescent="0.25"/>
    <row r="262" spans="2:13" x14ac:dyDescent="0.25">
      <c r="B262" s="300" t="s">
        <v>20</v>
      </c>
      <c r="C262" s="301"/>
      <c r="D262" s="301"/>
      <c r="E262" s="302"/>
      <c r="F262" s="141" t="s">
        <v>14</v>
      </c>
      <c r="G262" s="141" t="s">
        <v>15</v>
      </c>
      <c r="H262" s="141" t="s">
        <v>16</v>
      </c>
      <c r="I262" s="141" t="s">
        <v>17</v>
      </c>
      <c r="J262" s="141" t="s">
        <v>18</v>
      </c>
      <c r="K262" s="54" t="s">
        <v>19</v>
      </c>
      <c r="M262" s="39" t="s">
        <v>5</v>
      </c>
    </row>
    <row r="263" spans="2:13" ht="12.75" customHeight="1" x14ac:dyDescent="0.25">
      <c r="B263" s="303" t="s">
        <v>117</v>
      </c>
      <c r="C263" s="304"/>
      <c r="D263" s="304"/>
      <c r="E263" s="305"/>
      <c r="F263" s="43"/>
      <c r="G263" s="56">
        <v>18449161.14072692</v>
      </c>
      <c r="H263" s="56">
        <v>19652616.51053571</v>
      </c>
      <c r="I263" s="56">
        <v>20750302.453561164</v>
      </c>
      <c r="J263" s="56">
        <v>21950966.582370307</v>
      </c>
      <c r="K263" s="43">
        <v>23217206.584968176</v>
      </c>
      <c r="M263" s="263" t="s">
        <v>116</v>
      </c>
    </row>
    <row r="264" spans="2:13" x14ac:dyDescent="0.25">
      <c r="B264" s="312" t="s">
        <v>118</v>
      </c>
      <c r="C264" s="313"/>
      <c r="D264" s="313"/>
      <c r="E264" s="314"/>
      <c r="F264" s="43"/>
      <c r="G264" s="56">
        <v>40098372.700329572</v>
      </c>
      <c r="H264" s="56">
        <v>44414981.708611391</v>
      </c>
      <c r="I264" s="56">
        <v>47124811.758132517</v>
      </c>
      <c r="J264" s="56">
        <v>50429626.415997855</v>
      </c>
      <c r="K264" s="43">
        <v>53924251.70079805</v>
      </c>
      <c r="M264" s="264"/>
    </row>
    <row r="265" spans="2:13" x14ac:dyDescent="0.25">
      <c r="B265" s="315" t="s">
        <v>20</v>
      </c>
      <c r="C265" s="316"/>
      <c r="D265" s="316"/>
      <c r="E265" s="317"/>
      <c r="F265" s="73"/>
      <c r="G265" s="73">
        <f t="shared" ref="G265:K265" si="28">+G264/G263</f>
        <v>2.1734523534412387</v>
      </c>
      <c r="H265" s="73">
        <f t="shared" si="28"/>
        <v>2.2600034801880273</v>
      </c>
      <c r="I265" s="73">
        <f t="shared" si="28"/>
        <v>2.2710421625707418</v>
      </c>
      <c r="J265" s="73">
        <f t="shared" si="28"/>
        <v>2.2973761190315822</v>
      </c>
      <c r="K265" s="225">
        <f t="shared" si="28"/>
        <v>2.3225986082111594</v>
      </c>
      <c r="M265" s="264"/>
    </row>
    <row r="266" spans="2:13" x14ac:dyDescent="0.25">
      <c r="F266" s="27"/>
      <c r="K266" s="27"/>
      <c r="M266" s="264"/>
    </row>
    <row r="267" spans="2:13" x14ac:dyDescent="0.25">
      <c r="F267" s="306" t="s">
        <v>21</v>
      </c>
      <c r="G267" s="307"/>
      <c r="H267" s="307"/>
      <c r="I267" s="307"/>
      <c r="J267" s="308"/>
      <c r="K267" s="211">
        <f>AVERAGE(G265:K265)</f>
        <v>2.2648945446885498</v>
      </c>
      <c r="M267" s="265"/>
    </row>
    <row r="268" spans="2:13" x14ac:dyDescent="0.25">
      <c r="G268" s="25"/>
      <c r="H268" s="25"/>
      <c r="I268" s="25"/>
      <c r="J268" s="25"/>
      <c r="K268" s="226"/>
    </row>
    <row r="269" spans="2:13" ht="15.75" x14ac:dyDescent="0.25">
      <c r="B269" s="31" t="s">
        <v>139</v>
      </c>
      <c r="C269" s="32"/>
      <c r="D269" s="32"/>
      <c r="E269" s="32"/>
      <c r="F269" s="32"/>
      <c r="G269" s="33"/>
      <c r="H269" s="33"/>
      <c r="I269" s="33"/>
      <c r="J269" s="33"/>
      <c r="K269" s="32"/>
      <c r="M269" s="34"/>
    </row>
    <row r="270" spans="2:13" x14ac:dyDescent="0.25"/>
    <row r="271" spans="2:13" x14ac:dyDescent="0.2">
      <c r="B271" s="318" t="s">
        <v>140</v>
      </c>
      <c r="C271" s="319"/>
      <c r="D271" s="319"/>
      <c r="E271" s="320"/>
      <c r="F271" s="260"/>
      <c r="G271" s="141" t="s">
        <v>15</v>
      </c>
      <c r="H271" s="141" t="s">
        <v>16</v>
      </c>
      <c r="I271" s="141" t="s">
        <v>17</v>
      </c>
      <c r="J271" s="141" t="s">
        <v>18</v>
      </c>
      <c r="K271" s="54" t="s">
        <v>19</v>
      </c>
      <c r="M271" s="261" t="s">
        <v>5</v>
      </c>
    </row>
    <row r="272" spans="2:13" ht="12.75" customHeight="1" x14ac:dyDescent="0.2">
      <c r="B272" s="309" t="s">
        <v>119</v>
      </c>
      <c r="C272" s="310"/>
      <c r="D272" s="310"/>
      <c r="E272" s="311"/>
      <c r="F272" s="23"/>
      <c r="G272" s="23">
        <v>17254695.000010207</v>
      </c>
      <c r="H272" s="23">
        <v>17611834.848126188</v>
      </c>
      <c r="I272" s="23">
        <v>17986550.838063825</v>
      </c>
      <c r="J272" s="23">
        <v>18379810.552560411</v>
      </c>
      <c r="K272" s="227">
        <v>18792890.146016706</v>
      </c>
      <c r="M272" s="282" t="s">
        <v>138</v>
      </c>
    </row>
    <row r="273" spans="2:13" x14ac:dyDescent="0.2">
      <c r="B273" s="321" t="s">
        <v>141</v>
      </c>
      <c r="C273" s="322"/>
      <c r="D273" s="322"/>
      <c r="E273" s="323"/>
      <c r="F273" s="23"/>
      <c r="G273" s="23">
        <v>18449161.14072692</v>
      </c>
      <c r="H273" s="23">
        <v>19652616.51053571</v>
      </c>
      <c r="I273" s="23">
        <v>20750302.453561164</v>
      </c>
      <c r="J273" s="23">
        <v>21950966.582370307</v>
      </c>
      <c r="K273" s="227">
        <v>23217206.584968176</v>
      </c>
      <c r="M273" s="283"/>
    </row>
    <row r="274" spans="2:13" x14ac:dyDescent="0.2">
      <c r="B274" s="324" t="s">
        <v>142</v>
      </c>
      <c r="C274" s="325"/>
      <c r="D274" s="325"/>
      <c r="E274" s="326"/>
      <c r="F274" s="73"/>
      <c r="G274" s="73">
        <f t="shared" ref="G274:K274" si="29">+G273/G272</f>
        <v>1.0692255725595849</v>
      </c>
      <c r="H274" s="73">
        <f t="shared" si="29"/>
        <v>1.1158755847989712</v>
      </c>
      <c r="I274" s="73">
        <f t="shared" si="29"/>
        <v>1.1536565648622628</v>
      </c>
      <c r="J274" s="73">
        <f t="shared" si="29"/>
        <v>1.1942977605562106</v>
      </c>
      <c r="K274" s="225">
        <f t="shared" si="29"/>
        <v>1.2354250147037249</v>
      </c>
      <c r="M274" s="283"/>
    </row>
    <row r="275" spans="2:13" x14ac:dyDescent="0.25">
      <c r="F275" s="27"/>
      <c r="K275" s="27"/>
      <c r="M275" s="283"/>
    </row>
    <row r="276" spans="2:13" x14ac:dyDescent="0.25">
      <c r="F276" s="306" t="s">
        <v>22</v>
      </c>
      <c r="G276" s="307"/>
      <c r="H276" s="307"/>
      <c r="I276" s="307"/>
      <c r="J276" s="308"/>
      <c r="K276" s="211">
        <f>AVERAGE(G274:K274)</f>
        <v>1.1536960994961507</v>
      </c>
      <c r="M276" s="284"/>
    </row>
    <row r="277" spans="2:13" x14ac:dyDescent="0.25">
      <c r="K277" s="146"/>
      <c r="M277" s="262"/>
    </row>
    <row r="278" spans="2:13" x14ac:dyDescent="0.25">
      <c r="M278" s="75"/>
    </row>
    <row r="279" spans="2:13" x14ac:dyDescent="0.25">
      <c r="M279" s="76"/>
    </row>
    <row r="280" spans="2:13" x14ac:dyDescent="0.25">
      <c r="M280" s="76"/>
    </row>
    <row r="281" spans="2:13" x14ac:dyDescent="0.25">
      <c r="M281" s="76"/>
    </row>
    <row r="282" spans="2:13" x14ac:dyDescent="0.25"/>
    <row r="283" spans="2:13" x14ac:dyDescent="0.25"/>
    <row r="284" spans="2:13" x14ac:dyDescent="0.25"/>
    <row r="285" spans="2:13" x14ac:dyDescent="0.25"/>
    <row r="286" spans="2:13" x14ac:dyDescent="0.25"/>
    <row r="287" spans="2:13" x14ac:dyDescent="0.25"/>
    <row r="288" spans="2:13"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row r="423" x14ac:dyDescent="0.25"/>
    <row r="424" x14ac:dyDescent="0.25"/>
    <row r="425" x14ac:dyDescent="0.25"/>
    <row r="426" x14ac:dyDescent="0.25"/>
    <row r="427" x14ac:dyDescent="0.25"/>
    <row r="428" x14ac:dyDescent="0.25"/>
    <row r="429" x14ac:dyDescent="0.25"/>
    <row r="430" x14ac:dyDescent="0.25"/>
    <row r="431" x14ac:dyDescent="0.25"/>
  </sheetData>
  <mergeCells count="38">
    <mergeCell ref="F267:J267"/>
    <mergeCell ref="F276:J276"/>
    <mergeCell ref="M263:M267"/>
    <mergeCell ref="B272:E272"/>
    <mergeCell ref="B264:E264"/>
    <mergeCell ref="B265:E265"/>
    <mergeCell ref="B271:E271"/>
    <mergeCell ref="B273:E273"/>
    <mergeCell ref="B274:E274"/>
    <mergeCell ref="M272:M276"/>
    <mergeCell ref="B20:F20"/>
    <mergeCell ref="B21:F21"/>
    <mergeCell ref="B31:F31"/>
    <mergeCell ref="B262:E262"/>
    <mergeCell ref="B263:E263"/>
    <mergeCell ref="B203:C203"/>
    <mergeCell ref="M217:M224"/>
    <mergeCell ref="M229:M258"/>
    <mergeCell ref="M45:M192"/>
    <mergeCell ref="E201:G201"/>
    <mergeCell ref="M204:M211"/>
    <mergeCell ref="K204:K211"/>
    <mergeCell ref="E202:G202"/>
    <mergeCell ref="M9:M16"/>
    <mergeCell ref="B8:G8"/>
    <mergeCell ref="B9:G9"/>
    <mergeCell ref="B10:G10"/>
    <mergeCell ref="B11:G11"/>
    <mergeCell ref="B12:G12"/>
    <mergeCell ref="B13:G13"/>
    <mergeCell ref="B14:G14"/>
    <mergeCell ref="B15:G15"/>
    <mergeCell ref="B16:G16"/>
    <mergeCell ref="M32:M39"/>
    <mergeCell ref="G32:G39"/>
    <mergeCell ref="K32:K39"/>
    <mergeCell ref="C25:F25"/>
    <mergeCell ref="C26:F26"/>
  </mergeCells>
  <pageMargins left="0.39370078740157483" right="0.39370078740157483" top="0.39370078740157483" bottom="0.39370078740157483" header="0.19685039370078741" footer="0.19685039370078741"/>
  <pageSetup paperSize="8" scale="70" fitToHeight="0" orientation="portrait" r:id="rId1"/>
  <headerFooter>
    <oddFooter>&amp;C&amp;F&amp;R&amp;A</oddFooter>
  </headerFooter>
  <rowBreaks count="1" manualBreakCount="1">
    <brk id="21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5"/>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27" t="s">
        <v>45</v>
      </c>
      <c r="C2" s="128"/>
      <c r="D2" s="128"/>
      <c r="E2" s="128"/>
      <c r="F2" s="128"/>
      <c r="G2" s="128"/>
      <c r="H2" s="128"/>
    </row>
    <row r="3" spans="2:8" x14ac:dyDescent="0.25">
      <c r="B3" s="11" t="s">
        <v>0</v>
      </c>
      <c r="C3" s="16" t="s">
        <v>81</v>
      </c>
      <c r="D3" s="17"/>
      <c r="E3" s="17"/>
      <c r="F3" s="17"/>
      <c r="G3" s="17"/>
      <c r="H3" s="17"/>
    </row>
    <row r="4" spans="2:8" x14ac:dyDescent="0.25">
      <c r="B4" s="11" t="s">
        <v>122</v>
      </c>
      <c r="C4" s="16" t="s">
        <v>121</v>
      </c>
      <c r="D4" s="17"/>
      <c r="E4" s="17"/>
      <c r="F4" s="17"/>
      <c r="G4" s="17"/>
      <c r="H4" s="17"/>
    </row>
    <row r="5" spans="2:8" ht="31.5" customHeight="1" x14ac:dyDescent="0.25">
      <c r="B5" s="259" t="s">
        <v>123</v>
      </c>
      <c r="C5" s="327" t="s">
        <v>130</v>
      </c>
      <c r="D5" s="327"/>
      <c r="E5" s="327"/>
      <c r="F5" s="327"/>
      <c r="G5" s="327"/>
      <c r="H5" s="327"/>
    </row>
    <row r="6" spans="2:8" ht="31.5" customHeight="1" x14ac:dyDescent="0.25">
      <c r="B6" s="131" t="s">
        <v>125</v>
      </c>
      <c r="C6" s="327" t="s">
        <v>124</v>
      </c>
      <c r="D6" s="327"/>
      <c r="E6" s="327"/>
      <c r="F6" s="327"/>
      <c r="G6" s="327"/>
      <c r="H6" s="327"/>
    </row>
    <row r="7" spans="2:8" x14ac:dyDescent="0.25">
      <c r="B7" s="131"/>
      <c r="C7" s="222"/>
      <c r="D7" s="223" t="s">
        <v>15</v>
      </c>
      <c r="E7" s="223" t="s">
        <v>16</v>
      </c>
      <c r="F7" s="223" t="s">
        <v>17</v>
      </c>
      <c r="G7" s="223" t="s">
        <v>18</v>
      </c>
      <c r="H7" s="223" t="s">
        <v>19</v>
      </c>
    </row>
    <row r="8" spans="2:8" x14ac:dyDescent="0.25">
      <c r="B8" s="131"/>
      <c r="C8" s="230" t="s">
        <v>109</v>
      </c>
      <c r="D8" s="224">
        <f>+'Input Sheet'!G235</f>
        <v>150.29587840951143</v>
      </c>
      <c r="E8" s="224">
        <f>+'Input Sheet'!H235</f>
        <v>156.85324548645937</v>
      </c>
      <c r="F8" s="224">
        <f>+'Input Sheet'!I235</f>
        <v>162.16393551437508</v>
      </c>
      <c r="G8" s="224">
        <f>+'Input Sheet'!J235</f>
        <v>167.87667224944261</v>
      </c>
      <c r="H8" s="224">
        <f>+'Input Sheet'!K235</f>
        <v>173.65773187549959</v>
      </c>
    </row>
    <row r="9" spans="2:8" ht="30" x14ac:dyDescent="0.25">
      <c r="B9" s="131"/>
      <c r="C9" s="230" t="s">
        <v>110</v>
      </c>
      <c r="D9" s="224">
        <f>+'Input Sheet'!G236</f>
        <v>334.03012758576222</v>
      </c>
      <c r="E9" s="224">
        <f>+'Input Sheet'!H236</f>
        <v>348.60376849008247</v>
      </c>
      <c r="F9" s="224">
        <f>+'Input Sheet'!I236</f>
        <v>360.40669007625985</v>
      </c>
      <c r="G9" s="224">
        <f>+'Input Sheet'!J236</f>
        <v>373.10315388266662</v>
      </c>
      <c r="H9" s="224">
        <f>+'Input Sheet'!K236</f>
        <v>385.95146419501719</v>
      </c>
    </row>
    <row r="11" spans="2:8" x14ac:dyDescent="0.25">
      <c r="B11" s="125" t="s">
        <v>51</v>
      </c>
      <c r="C11" s="122"/>
      <c r="D11" s="122"/>
      <c r="E11" s="122"/>
      <c r="F11" s="122"/>
      <c r="G11" s="122"/>
      <c r="H11" s="122"/>
    </row>
    <row r="12" spans="2:8" ht="17.25" customHeight="1" x14ac:dyDescent="0.25">
      <c r="B12" s="329" t="s">
        <v>120</v>
      </c>
      <c r="C12" s="329"/>
      <c r="D12" s="329"/>
      <c r="E12" s="329"/>
      <c r="F12" s="329"/>
      <c r="G12" s="329"/>
      <c r="H12" s="329"/>
    </row>
    <row r="14" spans="2:8" x14ac:dyDescent="0.25">
      <c r="B14" s="125" t="s">
        <v>136</v>
      </c>
      <c r="C14" s="122"/>
      <c r="D14" s="122"/>
      <c r="E14" s="122"/>
      <c r="F14" s="122"/>
      <c r="G14" s="122"/>
      <c r="H14" s="122"/>
    </row>
    <row r="15" spans="2:8" ht="15" customHeight="1" x14ac:dyDescent="0.25">
      <c r="B15" s="329" t="s">
        <v>62</v>
      </c>
      <c r="C15" s="329"/>
      <c r="D15" s="329"/>
      <c r="E15" s="329"/>
      <c r="F15" s="329"/>
      <c r="G15" s="329"/>
      <c r="H15" s="329"/>
    </row>
    <row r="16" spans="2:8" ht="45" customHeight="1" x14ac:dyDescent="0.25">
      <c r="B16" s="330" t="s">
        <v>63</v>
      </c>
      <c r="C16" s="330"/>
      <c r="D16" s="330"/>
      <c r="E16" s="330"/>
      <c r="F16" s="330"/>
      <c r="G16" s="330"/>
      <c r="H16" s="330"/>
    </row>
    <row r="17" spans="2:8" ht="32.25" customHeight="1" x14ac:dyDescent="0.25">
      <c r="B17" s="330" t="s">
        <v>131</v>
      </c>
      <c r="C17" s="330"/>
      <c r="D17" s="330"/>
      <c r="E17" s="330"/>
      <c r="F17" s="330"/>
      <c r="G17" s="330"/>
      <c r="H17" s="330"/>
    </row>
    <row r="18" spans="2:8" ht="46.5" customHeight="1" x14ac:dyDescent="0.25">
      <c r="B18" s="330" t="s">
        <v>126</v>
      </c>
      <c r="C18" s="330"/>
      <c r="D18" s="330"/>
      <c r="E18" s="330"/>
      <c r="F18" s="330"/>
      <c r="G18" s="330"/>
      <c r="H18" s="330"/>
    </row>
    <row r="19" spans="2:8" ht="34.5" customHeight="1" x14ac:dyDescent="0.25">
      <c r="B19" s="330" t="s">
        <v>127</v>
      </c>
      <c r="C19" s="330"/>
      <c r="D19" s="330"/>
      <c r="E19" s="330"/>
      <c r="F19" s="330"/>
      <c r="G19" s="330"/>
      <c r="H19" s="330"/>
    </row>
    <row r="21" spans="2:8" x14ac:dyDescent="0.25">
      <c r="B21" s="125" t="s">
        <v>64</v>
      </c>
      <c r="C21" s="122"/>
      <c r="D21" s="122"/>
      <c r="E21" s="122"/>
      <c r="F21" s="122"/>
      <c r="G21" s="122"/>
      <c r="H21" s="122"/>
    </row>
    <row r="22" spans="2:8" ht="61.5" customHeight="1" x14ac:dyDescent="0.25">
      <c r="B22" s="329" t="s">
        <v>133</v>
      </c>
      <c r="C22" s="329"/>
      <c r="D22" s="329"/>
      <c r="E22" s="329"/>
      <c r="F22" s="329"/>
      <c r="G22" s="329"/>
      <c r="H22" s="329"/>
    </row>
    <row r="24" spans="2:8" x14ac:dyDescent="0.25">
      <c r="B24" s="14" t="s">
        <v>67</v>
      </c>
      <c r="C24" s="331" t="s">
        <v>5</v>
      </c>
      <c r="D24" s="332"/>
      <c r="E24" s="13" t="s">
        <v>11</v>
      </c>
      <c r="F24" s="13" t="s">
        <v>12</v>
      </c>
      <c r="G24" s="13" t="s">
        <v>13</v>
      </c>
      <c r="H24" s="155" t="s">
        <v>1</v>
      </c>
    </row>
    <row r="25" spans="2:8" x14ac:dyDescent="0.25">
      <c r="B25" s="15" t="s">
        <v>65</v>
      </c>
      <c r="C25" s="328" t="s">
        <v>68</v>
      </c>
      <c r="D25" s="328"/>
      <c r="E25" s="9">
        <f>'Input Sheet'!H21</f>
        <v>28753.46</v>
      </c>
      <c r="F25" s="9">
        <f>'Input Sheet'!I21</f>
        <v>19730.55</v>
      </c>
      <c r="G25" s="9">
        <f>'Input Sheet'!J21</f>
        <v>26993.09</v>
      </c>
      <c r="H25" s="18">
        <f>SUM(D25:G25)</f>
        <v>75477.099999999991</v>
      </c>
    </row>
    <row r="26" spans="2:8" x14ac:dyDescent="0.25">
      <c r="B26" s="15" t="s">
        <v>23</v>
      </c>
      <c r="C26" s="328" t="s">
        <v>80</v>
      </c>
      <c r="D26" s="328"/>
      <c r="E26" s="9">
        <f>+'Input Sheet'!H212</f>
        <v>25264.020496081401</v>
      </c>
      <c r="F26" s="9">
        <f>+'Input Sheet'!I212</f>
        <v>18214.361306468178</v>
      </c>
      <c r="G26" s="9">
        <f>+'Input Sheet'!J212</f>
        <v>26253.277517347931</v>
      </c>
      <c r="H26" s="18">
        <f>SUM(D26:G26)</f>
        <v>69731.659319897502</v>
      </c>
    </row>
    <row r="27" spans="2:8" x14ac:dyDescent="0.25">
      <c r="B27" t="s">
        <v>4</v>
      </c>
      <c r="C27" s="328" t="s">
        <v>128</v>
      </c>
      <c r="D27" s="328"/>
      <c r="E27" s="119">
        <f>'Input Sheet'!H40</f>
        <v>149</v>
      </c>
      <c r="F27" s="119">
        <f>'Input Sheet'!I40</f>
        <v>92</v>
      </c>
      <c r="G27" s="119">
        <f>'Input Sheet'!J40</f>
        <v>131</v>
      </c>
      <c r="H27" s="121">
        <f>SUM(D27:G27)</f>
        <v>372</v>
      </c>
    </row>
    <row r="29" spans="2:8" x14ac:dyDescent="0.25">
      <c r="B29" s="125" t="s">
        <v>66</v>
      </c>
      <c r="C29" s="122"/>
      <c r="D29" s="122"/>
      <c r="E29" s="122"/>
      <c r="F29" s="122"/>
      <c r="G29" s="122"/>
      <c r="H29" s="122"/>
    </row>
    <row r="30" spans="2:8" ht="77.25" customHeight="1" x14ac:dyDescent="0.25">
      <c r="B30" s="329" t="s">
        <v>137</v>
      </c>
      <c r="C30" s="329"/>
      <c r="D30" s="329"/>
      <c r="E30" s="329"/>
      <c r="F30" s="329"/>
      <c r="G30" s="329"/>
      <c r="H30" s="329"/>
    </row>
    <row r="32" spans="2:8" x14ac:dyDescent="0.25">
      <c r="B32" s="12" t="s">
        <v>67</v>
      </c>
      <c r="C32" s="13" t="s">
        <v>15</v>
      </c>
      <c r="D32" s="13" t="s">
        <v>16</v>
      </c>
      <c r="E32" s="13" t="s">
        <v>17</v>
      </c>
      <c r="F32" s="13" t="s">
        <v>18</v>
      </c>
      <c r="G32" s="13" t="s">
        <v>19</v>
      </c>
      <c r="H32" s="155" t="s">
        <v>1</v>
      </c>
    </row>
    <row r="33" spans="2:8" x14ac:dyDescent="0.25">
      <c r="B33" s="15" t="s">
        <v>65</v>
      </c>
      <c r="C33" s="9">
        <f>'Fee Breakdown'!Z18</f>
        <v>58541.589532934348</v>
      </c>
      <c r="D33" s="9">
        <f>'Fee Breakdown'!AA18</f>
        <v>61095.742686685568</v>
      </c>
      <c r="E33" s="9">
        <f>'Fee Breakdown'!AB18</f>
        <v>63164.303974199982</v>
      </c>
      <c r="F33" s="9">
        <f>'Fee Breakdown'!AC18</f>
        <v>65389.466051784097</v>
      </c>
      <c r="G33" s="9">
        <f>'Fee Breakdown'!AD18</f>
        <v>67641.240506782255</v>
      </c>
      <c r="H33" s="18">
        <f>SUM(C33:G33)</f>
        <v>315832.34275238623</v>
      </c>
    </row>
    <row r="34" spans="2:8" x14ac:dyDescent="0.25">
      <c r="B34" s="15"/>
      <c r="C34" s="9"/>
      <c r="D34" s="9"/>
      <c r="E34" s="9"/>
      <c r="F34" s="9"/>
      <c r="G34" s="9"/>
      <c r="H34" s="18"/>
    </row>
    <row r="35" spans="2:8" x14ac:dyDescent="0.25">
      <c r="B35" s="15" t="s">
        <v>23</v>
      </c>
      <c r="C35" s="9">
        <f>'Fee Breakdown'!N33</f>
        <v>25847.379812990155</v>
      </c>
      <c r="D35" s="9">
        <f>'Fee Breakdown'!O33</f>
        <v>26975.093754348272</v>
      </c>
      <c r="E35" s="9">
        <f>'Fee Breakdown'!P33</f>
        <v>27888.408368649165</v>
      </c>
      <c r="F35" s="9">
        <f>'Fee Breakdown'!Q33</f>
        <v>28870.865623801459</v>
      </c>
      <c r="G35" s="9">
        <f>'Fee Breakdown'!R33</f>
        <v>29865.072820016765</v>
      </c>
      <c r="H35" s="18">
        <f>SUM(C35:G35)</f>
        <v>139446.82037980581</v>
      </c>
    </row>
    <row r="36" spans="2:8" x14ac:dyDescent="0.25">
      <c r="B36" s="15" t="s">
        <v>25</v>
      </c>
      <c r="C36" s="9">
        <f>'Fee Breakdown'!T33</f>
        <v>30330.668671842865</v>
      </c>
      <c r="D36" s="9">
        <f>'Fee Breakdown'!U33</f>
        <v>33988.712008877133</v>
      </c>
      <c r="E36" s="9">
        <f>'Fee Breakdown'!V33</f>
        <v>35447.342883543803</v>
      </c>
      <c r="F36" s="9">
        <f>'Fee Breakdown'!W33</f>
        <v>37456.371596089855</v>
      </c>
      <c r="G36" s="9">
        <f>'Fee Breakdown'!X33</f>
        <v>39499.503745879105</v>
      </c>
      <c r="H36" s="18">
        <f>SUM(C36:G36)</f>
        <v>176722.59890623277</v>
      </c>
    </row>
    <row r="37" spans="2:8" ht="15.75" thickBot="1" x14ac:dyDescent="0.3">
      <c r="B37" s="123" t="s">
        <v>55</v>
      </c>
      <c r="C37" s="124">
        <f>SUM(C35:C36)</f>
        <v>56178.048484833023</v>
      </c>
      <c r="D37" s="124">
        <f t="shared" ref="D37:H37" si="0">SUM(D35:D36)</f>
        <v>60963.805763225406</v>
      </c>
      <c r="E37" s="124">
        <f t="shared" si="0"/>
        <v>63335.751252192968</v>
      </c>
      <c r="F37" s="124">
        <f t="shared" si="0"/>
        <v>66327.237219891307</v>
      </c>
      <c r="G37" s="124">
        <f t="shared" si="0"/>
        <v>69364.57656589587</v>
      </c>
      <c r="H37" s="124">
        <f t="shared" si="0"/>
        <v>316169.41928603861</v>
      </c>
    </row>
    <row r="38" spans="2:8" x14ac:dyDescent="0.25">
      <c r="B38" s="15"/>
      <c r="C38" s="9"/>
      <c r="D38" s="9"/>
      <c r="E38" s="9"/>
      <c r="F38" s="9"/>
      <c r="G38" s="9"/>
      <c r="H38" s="9"/>
    </row>
    <row r="39" spans="2:8" x14ac:dyDescent="0.25">
      <c r="B39" t="s">
        <v>4</v>
      </c>
      <c r="C39" s="153">
        <f>'Fee Breakdown'!H33</f>
        <v>124</v>
      </c>
      <c r="D39" s="153">
        <f>'Fee Breakdown'!I33</f>
        <v>124</v>
      </c>
      <c r="E39" s="153">
        <f>'Fee Breakdown'!J33</f>
        <v>124</v>
      </c>
      <c r="F39" s="153">
        <f>'Fee Breakdown'!K33</f>
        <v>124</v>
      </c>
      <c r="G39" s="153">
        <f>'Fee Breakdown'!L33</f>
        <v>124</v>
      </c>
      <c r="H39" s="154">
        <f>SUM(C39:G39)</f>
        <v>620</v>
      </c>
    </row>
    <row r="40" spans="2:8" x14ac:dyDescent="0.25">
      <c r="C40" s="3"/>
      <c r="D40" s="4"/>
      <c r="E40" s="3"/>
      <c r="F40" s="3"/>
      <c r="G40" s="3"/>
    </row>
    <row r="41" spans="2:8" x14ac:dyDescent="0.25">
      <c r="B41" s="125" t="s">
        <v>52</v>
      </c>
      <c r="C41" s="122"/>
      <c r="D41" s="122"/>
      <c r="E41" s="122"/>
      <c r="F41" s="122"/>
      <c r="G41" s="122"/>
      <c r="H41" s="122"/>
    </row>
    <row r="42" spans="2:8" ht="61.5" customHeight="1" x14ac:dyDescent="0.25">
      <c r="B42" s="329" t="s">
        <v>129</v>
      </c>
      <c r="C42" s="329"/>
      <c r="D42" s="329"/>
      <c r="E42" s="329"/>
      <c r="F42" s="329"/>
      <c r="G42" s="329"/>
      <c r="H42" s="329"/>
    </row>
    <row r="44" spans="2:8" x14ac:dyDescent="0.25">
      <c r="B44" s="12" t="s">
        <v>67</v>
      </c>
      <c r="C44" s="13" t="s">
        <v>15</v>
      </c>
      <c r="D44" s="13" t="s">
        <v>16</v>
      </c>
      <c r="E44" s="13" t="s">
        <v>17</v>
      </c>
      <c r="F44" s="13" t="s">
        <v>18</v>
      </c>
      <c r="G44" s="13" t="s">
        <v>19</v>
      </c>
      <c r="H44" s="155" t="s">
        <v>54</v>
      </c>
    </row>
    <row r="45" spans="2:8" x14ac:dyDescent="0.25">
      <c r="B45" t="s">
        <v>53</v>
      </c>
      <c r="C45" s="8">
        <f>+'Input Sheet'!G265</f>
        <v>2.1734523534412387</v>
      </c>
      <c r="D45" s="8">
        <f>+'Input Sheet'!H265</f>
        <v>2.2600034801880273</v>
      </c>
      <c r="E45" s="8">
        <f>+'Input Sheet'!I265</f>
        <v>2.2710421625707418</v>
      </c>
      <c r="F45" s="8">
        <f>+'Input Sheet'!J265</f>
        <v>2.2973761190315822</v>
      </c>
      <c r="G45" s="8">
        <f>+'Input Sheet'!K265</f>
        <v>2.3225986082111594</v>
      </c>
      <c r="H45" s="120">
        <f>AVERAGE(C45:G45)</f>
        <v>2.2648945446885498</v>
      </c>
    </row>
  </sheetData>
  <mergeCells count="15">
    <mergeCell ref="B42:H42"/>
    <mergeCell ref="B15:H15"/>
    <mergeCell ref="B12:H12"/>
    <mergeCell ref="B16:H16"/>
    <mergeCell ref="B17:H17"/>
    <mergeCell ref="B18:H18"/>
    <mergeCell ref="B22:H22"/>
    <mergeCell ref="B19:H19"/>
    <mergeCell ref="B30:H30"/>
    <mergeCell ref="C24:D24"/>
    <mergeCell ref="C5:H5"/>
    <mergeCell ref="C25:D25"/>
    <mergeCell ref="C26:D26"/>
    <mergeCell ref="C27:D27"/>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27" t="s">
        <v>44</v>
      </c>
      <c r="C2" s="127"/>
      <c r="D2" s="126"/>
      <c r="E2" s="126"/>
      <c r="F2" s="126"/>
      <c r="G2" s="126"/>
      <c r="H2" s="126"/>
      <c r="I2" s="126"/>
      <c r="J2" s="126"/>
      <c r="K2" s="126"/>
    </row>
    <row r="3" spans="2:13" x14ac:dyDescent="0.25">
      <c r="B3" s="14" t="s">
        <v>0</v>
      </c>
      <c r="C3" s="12"/>
      <c r="D3" s="333" t="str">
        <f>'AER Summary'!C3</f>
        <v>Access (Standby Person)</v>
      </c>
      <c r="E3" s="334"/>
      <c r="F3" s="334"/>
      <c r="G3" s="334"/>
      <c r="H3" s="334"/>
      <c r="I3" s="334"/>
      <c r="J3" s="334"/>
      <c r="K3" s="334"/>
      <c r="M3" s="6"/>
    </row>
    <row r="4" spans="2:13" x14ac:dyDescent="0.25">
      <c r="M4" s="6"/>
    </row>
    <row r="5" spans="2:13" x14ac:dyDescent="0.25">
      <c r="B5" s="125" t="s">
        <v>69</v>
      </c>
      <c r="C5" s="125"/>
      <c r="D5" s="125"/>
      <c r="E5" s="125"/>
      <c r="F5" s="125"/>
      <c r="G5" s="125"/>
      <c r="H5" s="125"/>
      <c r="I5" s="125"/>
      <c r="J5" s="125"/>
      <c r="K5" s="125"/>
      <c r="M5" s="7"/>
    </row>
    <row r="6" spans="2:13" ht="48" customHeight="1" x14ac:dyDescent="0.25">
      <c r="B6" s="329" t="s">
        <v>100</v>
      </c>
      <c r="C6" s="329"/>
      <c r="D6" s="329"/>
      <c r="E6" s="329"/>
      <c r="F6" s="329"/>
      <c r="G6" s="329"/>
      <c r="H6" s="329"/>
      <c r="I6" s="329"/>
      <c r="J6" s="329"/>
      <c r="K6" s="329"/>
      <c r="M6" s="7"/>
    </row>
    <row r="8" spans="2:13" x14ac:dyDescent="0.25">
      <c r="B8" s="125" t="s">
        <v>7</v>
      </c>
      <c r="C8" s="125"/>
      <c r="D8" s="125"/>
      <c r="E8" s="125"/>
      <c r="F8" s="125"/>
      <c r="G8" s="125"/>
      <c r="H8" s="125"/>
      <c r="I8" s="125"/>
      <c r="J8" s="125"/>
      <c r="K8" s="125"/>
    </row>
    <row r="9" spans="2:13" ht="16.5" customHeight="1" x14ac:dyDescent="0.25">
      <c r="B9" s="329" t="s">
        <v>120</v>
      </c>
      <c r="C9" s="329"/>
      <c r="D9" s="329"/>
      <c r="E9" s="329"/>
      <c r="F9" s="329"/>
      <c r="G9" s="329"/>
      <c r="H9" s="329"/>
      <c r="I9" s="329"/>
      <c r="J9" s="329"/>
      <c r="K9" s="329"/>
    </row>
    <row r="11" spans="2:13" x14ac:dyDescent="0.25">
      <c r="B11" s="125" t="s">
        <v>70</v>
      </c>
      <c r="C11" s="125"/>
      <c r="D11" s="125"/>
      <c r="E11" s="125"/>
      <c r="F11" s="125"/>
      <c r="G11" s="125"/>
      <c r="H11" s="125"/>
      <c r="I11" s="125"/>
      <c r="J11" s="125"/>
      <c r="K11" s="125"/>
    </row>
    <row r="12" spans="2:13" ht="48" customHeight="1" x14ac:dyDescent="0.25">
      <c r="B12" s="329" t="s">
        <v>101</v>
      </c>
      <c r="C12" s="329"/>
      <c r="D12" s="329"/>
      <c r="E12" s="329"/>
      <c r="F12" s="329"/>
      <c r="G12" s="329"/>
      <c r="H12" s="329"/>
      <c r="I12" s="329"/>
      <c r="J12" s="329"/>
      <c r="K12" s="329"/>
    </row>
    <row r="13" spans="2:13" x14ac:dyDescent="0.25">
      <c r="B13" s="10"/>
    </row>
  </sheetData>
  <mergeCells count="4">
    <mergeCell ref="D3:K3"/>
    <mergeCell ref="B9:K9"/>
    <mergeCell ref="B6:K6"/>
    <mergeCell ref="B12:K12"/>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78"/>
  <sheetViews>
    <sheetView showGridLines="0" zoomScaleNormal="100" workbookViewId="0"/>
  </sheetViews>
  <sheetFormatPr defaultColWidth="9.140625" defaultRowHeight="12.75" x14ac:dyDescent="0.25"/>
  <cols>
    <col min="1" max="1" width="2.5703125" style="25" customWidth="1"/>
    <col min="2" max="2" width="57.28515625" style="25" bestFit="1" customWidth="1"/>
    <col min="3" max="6" width="10" style="25" customWidth="1"/>
    <col min="7" max="7" width="2.85546875" style="25" customWidth="1"/>
    <col min="8" max="9" width="10" style="25" customWidth="1"/>
    <col min="10" max="12" width="10" style="57" customWidth="1"/>
    <col min="13" max="13" width="2.85546875" style="57" customWidth="1"/>
    <col min="14" max="18" width="10" style="57" customWidth="1"/>
    <col min="19" max="19" width="3.7109375" style="82" customWidth="1"/>
    <col min="20" max="24" width="10" style="83" customWidth="1"/>
    <col min="25" max="25" width="3.7109375" style="25" customWidth="1"/>
    <col min="26" max="30" width="10" style="25" customWidth="1"/>
    <col min="31" max="31" width="2.85546875" style="25" customWidth="1"/>
    <col min="32" max="63" width="9.140625" style="25" customWidth="1"/>
    <col min="64" max="16384" width="9.140625" style="25"/>
  </cols>
  <sheetData>
    <row r="2" spans="2:31" ht="21" x14ac:dyDescent="0.25">
      <c r="B2" s="138" t="s">
        <v>46</v>
      </c>
      <c r="C2" s="139"/>
      <c r="D2" s="139"/>
      <c r="E2" s="139"/>
      <c r="F2" s="139"/>
      <c r="G2" s="139"/>
      <c r="H2" s="139"/>
      <c r="I2" s="139"/>
      <c r="J2" s="140"/>
      <c r="K2" s="140"/>
      <c r="L2" s="140"/>
      <c r="M2" s="140"/>
      <c r="N2" s="140"/>
      <c r="O2" s="140"/>
      <c r="P2" s="140"/>
      <c r="Q2" s="140"/>
      <c r="R2" s="140"/>
      <c r="S2" s="140"/>
      <c r="T2" s="140"/>
      <c r="U2" s="140"/>
      <c r="V2" s="140"/>
      <c r="W2" s="140"/>
      <c r="X2" s="140"/>
      <c r="Y2" s="140"/>
      <c r="Z2" s="140"/>
      <c r="AA2" s="140"/>
      <c r="AB2" s="140"/>
      <c r="AC2" s="140"/>
      <c r="AD2" s="140"/>
    </row>
    <row r="3" spans="2:31" ht="15" x14ac:dyDescent="0.25">
      <c r="B3" s="80" t="s">
        <v>0</v>
      </c>
      <c r="C3" s="81" t="str">
        <f>+'AER Summary'!C3</f>
        <v>Access (Standby Person)</v>
      </c>
      <c r="D3" s="81"/>
      <c r="E3" s="81"/>
      <c r="F3" s="81"/>
      <c r="G3" s="81"/>
      <c r="H3" s="81"/>
      <c r="I3" s="81"/>
      <c r="J3" s="81"/>
      <c r="K3" s="81"/>
      <c r="L3" s="81"/>
      <c r="M3" s="81"/>
      <c r="N3" s="81"/>
      <c r="O3" s="81"/>
      <c r="P3" s="81"/>
      <c r="Q3" s="81"/>
      <c r="R3" s="81"/>
      <c r="S3" s="81"/>
      <c r="T3" s="81"/>
      <c r="U3" s="81"/>
      <c r="V3" s="81"/>
      <c r="W3" s="81"/>
      <c r="X3" s="81"/>
      <c r="Y3" s="81"/>
      <c r="Z3" s="81"/>
      <c r="AA3" s="81"/>
      <c r="AB3" s="81"/>
      <c r="AC3" s="81"/>
      <c r="AD3" s="81"/>
    </row>
    <row r="5" spans="2:31" ht="15" x14ac:dyDescent="0.25">
      <c r="B5" s="125" t="str">
        <f>"Proposed "&amp;'AER Summary'!C3&amp;" Fees &amp; Revenue"</f>
        <v>Proposed Access (Standby Person) Fees &amp; Revenue</v>
      </c>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row>
    <row r="6" spans="2:31" x14ac:dyDescent="0.25">
      <c r="M6" s="111"/>
      <c r="T6" s="74"/>
      <c r="U6" s="74"/>
      <c r="V6" s="74"/>
      <c r="W6" s="74"/>
      <c r="X6" s="74"/>
    </row>
    <row r="7" spans="2:31" x14ac:dyDescent="0.25">
      <c r="C7" s="341" t="s">
        <v>6</v>
      </c>
      <c r="D7" s="342"/>
      <c r="E7" s="342"/>
      <c r="F7" s="343"/>
      <c r="H7" s="344" t="s">
        <v>56</v>
      </c>
      <c r="I7" s="345"/>
      <c r="J7" s="345"/>
      <c r="K7" s="345"/>
      <c r="L7" s="346"/>
      <c r="M7" s="84"/>
      <c r="N7" s="344" t="s">
        <v>59</v>
      </c>
      <c r="O7" s="345"/>
      <c r="P7" s="345"/>
      <c r="Q7" s="345"/>
      <c r="R7" s="346"/>
      <c r="T7" s="347"/>
      <c r="U7" s="347"/>
      <c r="V7" s="347"/>
      <c r="W7" s="347"/>
      <c r="X7" s="347"/>
      <c r="Y7" s="133"/>
      <c r="Z7" s="344" t="s">
        <v>111</v>
      </c>
      <c r="AA7" s="345"/>
      <c r="AB7" s="345"/>
      <c r="AC7" s="345"/>
      <c r="AD7" s="346"/>
      <c r="AE7" s="133"/>
    </row>
    <row r="8" spans="2:31" ht="51" x14ac:dyDescent="0.25">
      <c r="B8" s="85" t="s">
        <v>8</v>
      </c>
      <c r="C8" s="112" t="s">
        <v>107</v>
      </c>
      <c r="D8" s="113" t="s">
        <v>106</v>
      </c>
      <c r="E8" s="113" t="s">
        <v>57</v>
      </c>
      <c r="F8" s="114" t="s">
        <v>47</v>
      </c>
      <c r="H8" s="87" t="s">
        <v>15</v>
      </c>
      <c r="I8" s="88" t="s">
        <v>16</v>
      </c>
      <c r="J8" s="88" t="s">
        <v>17</v>
      </c>
      <c r="K8" s="88" t="s">
        <v>18</v>
      </c>
      <c r="L8" s="89" t="s">
        <v>19</v>
      </c>
      <c r="M8" s="86"/>
      <c r="N8" s="87" t="s">
        <v>15</v>
      </c>
      <c r="O8" s="88" t="s">
        <v>16</v>
      </c>
      <c r="P8" s="88" t="s">
        <v>17</v>
      </c>
      <c r="Q8" s="88" t="s">
        <v>18</v>
      </c>
      <c r="R8" s="89" t="s">
        <v>19</v>
      </c>
      <c r="T8" s="134"/>
      <c r="U8" s="134"/>
      <c r="V8" s="134"/>
      <c r="W8" s="134"/>
      <c r="X8" s="134"/>
      <c r="Y8" s="133"/>
      <c r="Z8" s="87" t="s">
        <v>15</v>
      </c>
      <c r="AA8" s="88" t="s">
        <v>16</v>
      </c>
      <c r="AB8" s="88" t="s">
        <v>17</v>
      </c>
      <c r="AC8" s="88" t="s">
        <v>18</v>
      </c>
      <c r="AD8" s="89" t="s">
        <v>19</v>
      </c>
      <c r="AE8" s="133"/>
    </row>
    <row r="9" spans="2:31" x14ac:dyDescent="0.25">
      <c r="B9" s="220" t="s">
        <v>82</v>
      </c>
      <c r="C9" s="116">
        <f>'Input Sheet'!H9</f>
        <v>64</v>
      </c>
      <c r="D9" s="98">
        <f>'Input Sheet'!I9</f>
        <v>1</v>
      </c>
      <c r="E9" s="116">
        <f>'Input Sheet'!J9</f>
        <v>70.400000000000006</v>
      </c>
      <c r="F9" s="115">
        <f>'Input Sheet'!K9</f>
        <v>64</v>
      </c>
      <c r="G9" s="99"/>
      <c r="H9" s="158">
        <f>+'Input Sheet'!G235</f>
        <v>150.29587840951143</v>
      </c>
      <c r="I9" s="159">
        <f>+'Input Sheet'!H235</f>
        <v>156.85324548645937</v>
      </c>
      <c r="J9" s="159">
        <f>+'Input Sheet'!I235</f>
        <v>162.16393551437508</v>
      </c>
      <c r="K9" s="159">
        <f>+'Input Sheet'!J235</f>
        <v>167.87667224944261</v>
      </c>
      <c r="L9" s="160">
        <f>+'Input Sheet'!K235</f>
        <v>173.65773187549959</v>
      </c>
      <c r="M9" s="94"/>
      <c r="N9" s="147">
        <f>+'Input Sheet'!G249</f>
        <v>150.29587840951143</v>
      </c>
      <c r="O9" s="148">
        <f>+'Input Sheet'!H249</f>
        <v>156.85324548645937</v>
      </c>
      <c r="P9" s="148">
        <f>+'Input Sheet'!I249</f>
        <v>162.16393551437508</v>
      </c>
      <c r="Q9" s="148">
        <f>+'Input Sheet'!J249</f>
        <v>167.87667224944261</v>
      </c>
      <c r="R9" s="149">
        <f>+'Input Sheet'!K249</f>
        <v>173.65773187549959</v>
      </c>
      <c r="S9" s="95"/>
      <c r="T9" s="245"/>
      <c r="U9" s="245"/>
      <c r="V9" s="245"/>
      <c r="W9" s="245"/>
      <c r="X9" s="245"/>
      <c r="Y9" s="133"/>
      <c r="Z9" s="246">
        <f>+N9*H24</f>
        <v>4458.7777261488391</v>
      </c>
      <c r="AA9" s="247">
        <f t="shared" ref="AA9:AD9" si="0">+O9*I24</f>
        <v>4653.3129494316281</v>
      </c>
      <c r="AB9" s="247">
        <f t="shared" si="0"/>
        <v>4810.8634202597941</v>
      </c>
      <c r="AC9" s="247">
        <f t="shared" si="0"/>
        <v>4980.3412767334639</v>
      </c>
      <c r="AD9" s="248">
        <f t="shared" si="0"/>
        <v>5151.8460456398216</v>
      </c>
      <c r="AE9" s="133"/>
    </row>
    <row r="10" spans="2:31" x14ac:dyDescent="0.25">
      <c r="B10" s="221" t="s">
        <v>83</v>
      </c>
      <c r="C10" s="116">
        <f>'Input Sheet'!H10</f>
        <v>144</v>
      </c>
      <c r="D10" s="98">
        <f>'Input Sheet'!I10</f>
        <v>1</v>
      </c>
      <c r="E10" s="116">
        <f>'Input Sheet'!J10</f>
        <v>158.4</v>
      </c>
      <c r="F10" s="115">
        <f>'Input Sheet'!K10</f>
        <v>144</v>
      </c>
      <c r="G10" s="99"/>
      <c r="H10" s="212">
        <f>+'Input Sheet'!G236</f>
        <v>334.03012758576222</v>
      </c>
      <c r="I10" s="213">
        <f>+'Input Sheet'!H236</f>
        <v>348.60376849008247</v>
      </c>
      <c r="J10" s="213">
        <f>+'Input Sheet'!I236</f>
        <v>360.40669007625985</v>
      </c>
      <c r="K10" s="213">
        <f>+'Input Sheet'!J236</f>
        <v>373.10315388266662</v>
      </c>
      <c r="L10" s="214">
        <f>+'Input Sheet'!K236</f>
        <v>385.95146419501719</v>
      </c>
      <c r="M10" s="94"/>
      <c r="N10" s="215">
        <f>+'Input Sheet'!G250</f>
        <v>334.03012758576222</v>
      </c>
      <c r="O10" s="216">
        <f>+'Input Sheet'!H250</f>
        <v>348.60376849008247</v>
      </c>
      <c r="P10" s="216">
        <f>+'Input Sheet'!I250</f>
        <v>360.40669007625985</v>
      </c>
      <c r="Q10" s="216">
        <f>+'Input Sheet'!J250</f>
        <v>373.10315388266662</v>
      </c>
      <c r="R10" s="217">
        <f>+'Input Sheet'!K250</f>
        <v>385.95146419501719</v>
      </c>
      <c r="S10" s="95"/>
      <c r="T10" s="245"/>
      <c r="U10" s="245"/>
      <c r="V10" s="245"/>
      <c r="W10" s="245"/>
      <c r="X10" s="245"/>
      <c r="Y10" s="133"/>
      <c r="Z10" s="250">
        <f t="shared" ref="Z10:AD10" si="1">+N10*H25</f>
        <v>9464.1869482632628</v>
      </c>
      <c r="AA10" s="251">
        <f t="shared" si="1"/>
        <v>9877.1067738856691</v>
      </c>
      <c r="AB10" s="251">
        <f t="shared" si="1"/>
        <v>10211.522885494029</v>
      </c>
      <c r="AC10" s="251">
        <f t="shared" si="1"/>
        <v>10571.256026675554</v>
      </c>
      <c r="AD10" s="252">
        <f t="shared" si="1"/>
        <v>10935.291485525488</v>
      </c>
      <c r="AE10" s="133"/>
    </row>
    <row r="11" spans="2:31" x14ac:dyDescent="0.25">
      <c r="B11" s="221" t="s">
        <v>84</v>
      </c>
      <c r="C11" s="116">
        <f>'Input Sheet'!H11</f>
        <v>64</v>
      </c>
      <c r="D11" s="98">
        <f>'Input Sheet'!I11</f>
        <v>2</v>
      </c>
      <c r="E11" s="116">
        <f>'Input Sheet'!J11</f>
        <v>140.80000000000001</v>
      </c>
      <c r="F11" s="115">
        <f>'Input Sheet'!K11</f>
        <v>128</v>
      </c>
      <c r="G11" s="99"/>
      <c r="H11" s="212">
        <f>+'Input Sheet'!G235</f>
        <v>150.29587840951143</v>
      </c>
      <c r="I11" s="213">
        <f>+'Input Sheet'!H235</f>
        <v>156.85324548645937</v>
      </c>
      <c r="J11" s="213">
        <f>+'Input Sheet'!I235</f>
        <v>162.16393551437508</v>
      </c>
      <c r="K11" s="213">
        <f>+'Input Sheet'!J235</f>
        <v>167.87667224944261</v>
      </c>
      <c r="L11" s="214">
        <f>+'Input Sheet'!K235</f>
        <v>173.65773187549959</v>
      </c>
      <c r="M11" s="94"/>
      <c r="N11" s="215">
        <f>+'Input Sheet'!G251</f>
        <v>300.59175681902286</v>
      </c>
      <c r="O11" s="216">
        <f>+'Input Sheet'!H251</f>
        <v>313.70649097291874</v>
      </c>
      <c r="P11" s="216">
        <f>+'Input Sheet'!I251</f>
        <v>324.32787102875017</v>
      </c>
      <c r="Q11" s="216">
        <f>+'Input Sheet'!J251</f>
        <v>335.75334449888521</v>
      </c>
      <c r="R11" s="217">
        <f>+'Input Sheet'!K251</f>
        <v>347.31546375099919</v>
      </c>
      <c r="S11" s="95"/>
      <c r="T11" s="245"/>
      <c r="U11" s="245"/>
      <c r="V11" s="245"/>
      <c r="W11" s="245"/>
      <c r="X11" s="245"/>
      <c r="Y11" s="133"/>
      <c r="Z11" s="250">
        <f t="shared" ref="Z11:AD11" si="2">+N11*H26</f>
        <v>4609.0736045583508</v>
      </c>
      <c r="AA11" s="251">
        <f t="shared" si="2"/>
        <v>4810.166194918088</v>
      </c>
      <c r="AB11" s="251">
        <f t="shared" si="2"/>
        <v>4973.0273557741693</v>
      </c>
      <c r="AC11" s="251">
        <f t="shared" si="2"/>
        <v>5148.2179489829068</v>
      </c>
      <c r="AD11" s="252">
        <f t="shared" si="2"/>
        <v>5325.5037775153214</v>
      </c>
      <c r="AE11" s="133"/>
    </row>
    <row r="12" spans="2:31" x14ac:dyDescent="0.25">
      <c r="B12" s="221" t="s">
        <v>85</v>
      </c>
      <c r="C12" s="116">
        <f>'Input Sheet'!H12</f>
        <v>144</v>
      </c>
      <c r="D12" s="98">
        <f>'Input Sheet'!I12</f>
        <v>2</v>
      </c>
      <c r="E12" s="116">
        <f>'Input Sheet'!J12</f>
        <v>316.8</v>
      </c>
      <c r="F12" s="115">
        <f>'Input Sheet'!K12</f>
        <v>288</v>
      </c>
      <c r="G12" s="99"/>
      <c r="H12" s="212">
        <f>+'Input Sheet'!G236</f>
        <v>334.03012758576222</v>
      </c>
      <c r="I12" s="213">
        <f>+'Input Sheet'!H236</f>
        <v>348.60376849008247</v>
      </c>
      <c r="J12" s="213">
        <f>+'Input Sheet'!I236</f>
        <v>360.40669007625985</v>
      </c>
      <c r="K12" s="213">
        <f>+'Input Sheet'!J236</f>
        <v>373.10315388266662</v>
      </c>
      <c r="L12" s="214">
        <f>+'Input Sheet'!K236</f>
        <v>385.95146419501719</v>
      </c>
      <c r="M12" s="94"/>
      <c r="N12" s="215">
        <f>+'Input Sheet'!G252</f>
        <v>668.06025517152443</v>
      </c>
      <c r="O12" s="216">
        <f>+'Input Sheet'!H252</f>
        <v>697.20753698016495</v>
      </c>
      <c r="P12" s="216">
        <f>+'Input Sheet'!I252</f>
        <v>720.8133801525197</v>
      </c>
      <c r="Q12" s="216">
        <f>+'Input Sheet'!J252</f>
        <v>746.20630776533324</v>
      </c>
      <c r="R12" s="217">
        <f>+'Input Sheet'!K252</f>
        <v>771.90292839003439</v>
      </c>
      <c r="S12" s="95"/>
      <c r="T12" s="245"/>
      <c r="U12" s="245"/>
      <c r="V12" s="245"/>
      <c r="W12" s="245"/>
      <c r="X12" s="245"/>
      <c r="Y12" s="133"/>
      <c r="Z12" s="250">
        <f t="shared" ref="Z12:AD12" si="3">+N12*H27</f>
        <v>11357.024337915915</v>
      </c>
      <c r="AA12" s="251">
        <f t="shared" si="3"/>
        <v>11852.528128662803</v>
      </c>
      <c r="AB12" s="251">
        <f t="shared" si="3"/>
        <v>12253.827462592835</v>
      </c>
      <c r="AC12" s="251">
        <f t="shared" si="3"/>
        <v>12685.507232010665</v>
      </c>
      <c r="AD12" s="252">
        <f t="shared" si="3"/>
        <v>13122.349782630585</v>
      </c>
      <c r="AE12" s="133"/>
    </row>
    <row r="13" spans="2:31" x14ac:dyDescent="0.25">
      <c r="B13" s="221" t="s">
        <v>86</v>
      </c>
      <c r="C13" s="116">
        <f>'Input Sheet'!H13</f>
        <v>112</v>
      </c>
      <c r="D13" s="98">
        <f>'Input Sheet'!I13</f>
        <v>1</v>
      </c>
      <c r="E13" s="116">
        <f>'Input Sheet'!J13</f>
        <v>123.20000000000002</v>
      </c>
      <c r="F13" s="115">
        <f>'Input Sheet'!K13</f>
        <v>112.00000000000001</v>
      </c>
      <c r="G13" s="99"/>
      <c r="H13" s="212">
        <f>+'Input Sheet'!G237</f>
        <v>263.01778721664499</v>
      </c>
      <c r="I13" s="213">
        <f>+'Input Sheet'!H237</f>
        <v>274.49317960130389</v>
      </c>
      <c r="J13" s="213">
        <f>+'Input Sheet'!I237</f>
        <v>283.78688715015642</v>
      </c>
      <c r="K13" s="213">
        <f>+'Input Sheet'!J237</f>
        <v>293.78417643652455</v>
      </c>
      <c r="L13" s="214">
        <f>+'Input Sheet'!K237</f>
        <v>303.90103078212428</v>
      </c>
      <c r="M13" s="94"/>
      <c r="N13" s="215">
        <f>+'Input Sheet'!G253</f>
        <v>263.01778721664505</v>
      </c>
      <c r="O13" s="216">
        <f>+'Input Sheet'!H253</f>
        <v>274.49317960130389</v>
      </c>
      <c r="P13" s="216">
        <f>+'Input Sheet'!I253</f>
        <v>283.78688715015636</v>
      </c>
      <c r="Q13" s="216">
        <f>+'Input Sheet'!J253</f>
        <v>293.78417643652455</v>
      </c>
      <c r="R13" s="217">
        <f>+'Input Sheet'!K253</f>
        <v>303.90103078212428</v>
      </c>
      <c r="S13" s="95"/>
      <c r="T13" s="245"/>
      <c r="U13" s="245"/>
      <c r="V13" s="245"/>
      <c r="W13" s="245"/>
      <c r="X13" s="245"/>
      <c r="Y13" s="133"/>
      <c r="Z13" s="250">
        <f t="shared" ref="Z13:AD13" si="4">+N13*H28</f>
        <v>1139.7437446054619</v>
      </c>
      <c r="AA13" s="251">
        <f t="shared" si="4"/>
        <v>1189.4704449389835</v>
      </c>
      <c r="AB13" s="251">
        <f t="shared" si="4"/>
        <v>1229.7431776506776</v>
      </c>
      <c r="AC13" s="251">
        <f t="shared" si="4"/>
        <v>1273.0647645582731</v>
      </c>
      <c r="AD13" s="252">
        <f t="shared" si="4"/>
        <v>1316.9044667225385</v>
      </c>
      <c r="AE13" s="133"/>
    </row>
    <row r="14" spans="2:31" x14ac:dyDescent="0.25">
      <c r="B14" s="221" t="s">
        <v>87</v>
      </c>
      <c r="C14" s="116">
        <f>'Input Sheet'!H14</f>
        <v>252</v>
      </c>
      <c r="D14" s="98">
        <f>'Input Sheet'!I14</f>
        <v>1</v>
      </c>
      <c r="E14" s="116">
        <f>'Input Sheet'!J14</f>
        <v>277.20000000000005</v>
      </c>
      <c r="F14" s="115">
        <f>'Input Sheet'!K14</f>
        <v>252.00000000000003</v>
      </c>
      <c r="G14" s="99"/>
      <c r="H14" s="212">
        <f>+'Input Sheet'!G238</f>
        <v>584.55272327508385</v>
      </c>
      <c r="I14" s="213">
        <f>+'Input Sheet'!H238</f>
        <v>610.05659485764431</v>
      </c>
      <c r="J14" s="213">
        <f>+'Input Sheet'!I238</f>
        <v>630.71170763345469</v>
      </c>
      <c r="K14" s="213">
        <f>+'Input Sheet'!J238</f>
        <v>652.93051929466662</v>
      </c>
      <c r="L14" s="214">
        <f>+'Input Sheet'!K238</f>
        <v>675.41506234128008</v>
      </c>
      <c r="M14" s="94"/>
      <c r="N14" s="215">
        <f>+'Input Sheet'!G254</f>
        <v>584.55272327508385</v>
      </c>
      <c r="O14" s="216">
        <f>+'Input Sheet'!H254</f>
        <v>610.0565948576442</v>
      </c>
      <c r="P14" s="216">
        <f>+'Input Sheet'!I254</f>
        <v>630.71170763345469</v>
      </c>
      <c r="Q14" s="216">
        <f>+'Input Sheet'!J254</f>
        <v>652.93051929466651</v>
      </c>
      <c r="R14" s="217">
        <f>+'Input Sheet'!K254</f>
        <v>675.41506234128008</v>
      </c>
      <c r="S14" s="95"/>
      <c r="T14" s="245"/>
      <c r="U14" s="245"/>
      <c r="V14" s="245"/>
      <c r="W14" s="245"/>
      <c r="X14" s="245"/>
      <c r="Y14" s="133"/>
      <c r="Z14" s="250">
        <f t="shared" ref="Z14:AD14" si="5">+N14*H29</f>
        <v>5066.1236017173933</v>
      </c>
      <c r="AA14" s="251">
        <f t="shared" si="5"/>
        <v>5287.1571554329157</v>
      </c>
      <c r="AB14" s="251">
        <f t="shared" si="5"/>
        <v>5466.1681328232735</v>
      </c>
      <c r="AC14" s="251">
        <f t="shared" si="5"/>
        <v>5658.7311672204423</v>
      </c>
      <c r="AD14" s="252">
        <f t="shared" si="5"/>
        <v>5853.5972069577601</v>
      </c>
      <c r="AE14" s="133"/>
    </row>
    <row r="15" spans="2:31" x14ac:dyDescent="0.25">
      <c r="B15" s="221" t="s">
        <v>88</v>
      </c>
      <c r="C15" s="116">
        <f>'Input Sheet'!H15</f>
        <v>112</v>
      </c>
      <c r="D15" s="98">
        <f>'Input Sheet'!I15</f>
        <v>2</v>
      </c>
      <c r="E15" s="116">
        <f>'Input Sheet'!J15</f>
        <v>246.40000000000003</v>
      </c>
      <c r="F15" s="115">
        <f>'Input Sheet'!K15</f>
        <v>224.00000000000003</v>
      </c>
      <c r="G15" s="99"/>
      <c r="H15" s="212">
        <f>+'Input Sheet'!G237</f>
        <v>263.01778721664499</v>
      </c>
      <c r="I15" s="213">
        <f>+'Input Sheet'!H237</f>
        <v>274.49317960130389</v>
      </c>
      <c r="J15" s="213">
        <f>+'Input Sheet'!I237</f>
        <v>283.78688715015642</v>
      </c>
      <c r="K15" s="213">
        <f>+'Input Sheet'!J237</f>
        <v>293.78417643652455</v>
      </c>
      <c r="L15" s="214">
        <f>+'Input Sheet'!K237</f>
        <v>303.90103078212428</v>
      </c>
      <c r="M15" s="94"/>
      <c r="N15" s="215">
        <f>+'Input Sheet'!G255</f>
        <v>526.03557443329009</v>
      </c>
      <c r="O15" s="216">
        <f>+'Input Sheet'!H255</f>
        <v>548.98635920260779</v>
      </c>
      <c r="P15" s="216">
        <f>+'Input Sheet'!I255</f>
        <v>567.57377430031272</v>
      </c>
      <c r="Q15" s="216">
        <f>+'Input Sheet'!J255</f>
        <v>587.56835287304909</v>
      </c>
      <c r="R15" s="217">
        <f>+'Input Sheet'!K255</f>
        <v>607.80206156424856</v>
      </c>
      <c r="S15" s="95"/>
      <c r="T15" s="245"/>
      <c r="U15" s="245"/>
      <c r="V15" s="245"/>
      <c r="W15" s="245"/>
      <c r="X15" s="245"/>
      <c r="Y15" s="133"/>
      <c r="Z15" s="250">
        <f t="shared" ref="Z15:AD15" si="6">+N15*H30</f>
        <v>1402.7615318221069</v>
      </c>
      <c r="AA15" s="251">
        <f t="shared" si="6"/>
        <v>1463.9636245402874</v>
      </c>
      <c r="AB15" s="251">
        <f t="shared" si="6"/>
        <v>1513.5300648008338</v>
      </c>
      <c r="AC15" s="251">
        <f t="shared" si="6"/>
        <v>1566.8489409947974</v>
      </c>
      <c r="AD15" s="252">
        <f t="shared" si="6"/>
        <v>1620.8054975046628</v>
      </c>
      <c r="AE15" s="133"/>
    </row>
    <row r="16" spans="2:31" x14ac:dyDescent="0.25">
      <c r="B16" s="221" t="s">
        <v>89</v>
      </c>
      <c r="C16" s="116">
        <f>'Input Sheet'!H16</f>
        <v>252</v>
      </c>
      <c r="D16" s="98">
        <f>'Input Sheet'!I16</f>
        <v>2</v>
      </c>
      <c r="E16" s="116">
        <f>'Input Sheet'!J16</f>
        <v>554.40000000000009</v>
      </c>
      <c r="F16" s="115">
        <f>'Input Sheet'!K16</f>
        <v>504.00000000000006</v>
      </c>
      <c r="G16" s="99"/>
      <c r="H16" s="212">
        <f>+'Input Sheet'!G238</f>
        <v>584.55272327508385</v>
      </c>
      <c r="I16" s="213">
        <f>+'Input Sheet'!H238</f>
        <v>610.05659485764431</v>
      </c>
      <c r="J16" s="213">
        <f>+'Input Sheet'!I238</f>
        <v>630.71170763345469</v>
      </c>
      <c r="K16" s="213">
        <f>+'Input Sheet'!J238</f>
        <v>652.93051929466662</v>
      </c>
      <c r="L16" s="214">
        <f>+'Input Sheet'!K238</f>
        <v>675.41506234128008</v>
      </c>
      <c r="M16" s="94"/>
      <c r="N16" s="215">
        <f>+'Input Sheet'!G256</f>
        <v>1169.1054465501677</v>
      </c>
      <c r="O16" s="216">
        <f>+'Input Sheet'!H256</f>
        <v>1220.1131897152884</v>
      </c>
      <c r="P16" s="216">
        <f>+'Input Sheet'!I256</f>
        <v>1261.4234152669094</v>
      </c>
      <c r="Q16" s="216">
        <f>+'Input Sheet'!J256</f>
        <v>1305.861038589333</v>
      </c>
      <c r="R16" s="217">
        <f>+'Input Sheet'!K256</f>
        <v>1350.8301246825602</v>
      </c>
      <c r="S16" s="95"/>
      <c r="T16" s="245"/>
      <c r="U16" s="245"/>
      <c r="V16" s="245"/>
      <c r="W16" s="245"/>
      <c r="X16" s="245"/>
      <c r="Y16" s="133"/>
      <c r="Z16" s="250">
        <f t="shared" ref="Z16:AD16" si="7">+N16*H31</f>
        <v>21043.898037903018</v>
      </c>
      <c r="AA16" s="251">
        <f t="shared" si="7"/>
        <v>21962.037414875191</v>
      </c>
      <c r="AB16" s="251">
        <f t="shared" si="7"/>
        <v>22705.621474804368</v>
      </c>
      <c r="AC16" s="251">
        <f t="shared" si="7"/>
        <v>23505.498694607995</v>
      </c>
      <c r="AD16" s="252">
        <f t="shared" si="7"/>
        <v>24314.942244286081</v>
      </c>
      <c r="AE16" s="133"/>
    </row>
    <row r="17" spans="2:31" x14ac:dyDescent="0.25">
      <c r="B17" s="117"/>
      <c r="C17" s="118"/>
      <c r="D17" s="69"/>
      <c r="E17" s="69"/>
      <c r="F17" s="103"/>
      <c r="G17" s="100"/>
      <c r="H17" s="132"/>
      <c r="I17" s="129"/>
      <c r="J17" s="129"/>
      <c r="K17" s="129"/>
      <c r="L17" s="130"/>
      <c r="M17" s="101"/>
      <c r="N17" s="150"/>
      <c r="O17" s="151"/>
      <c r="P17" s="151"/>
      <c r="Q17" s="151"/>
      <c r="R17" s="152"/>
      <c r="S17" s="95"/>
      <c r="T17" s="135"/>
      <c r="U17" s="135"/>
      <c r="V17" s="135"/>
      <c r="W17" s="135"/>
      <c r="X17" s="135"/>
      <c r="Y17" s="133"/>
      <c r="Z17" s="253"/>
      <c r="AA17" s="254"/>
      <c r="AB17" s="254"/>
      <c r="AC17" s="254"/>
      <c r="AD17" s="255"/>
      <c r="AE17" s="133"/>
    </row>
    <row r="18" spans="2:31" x14ac:dyDescent="0.25">
      <c r="B18" s="66"/>
      <c r="C18" s="116"/>
      <c r="D18" s="66"/>
      <c r="E18" s="66"/>
      <c r="F18" s="116"/>
      <c r="G18" s="100"/>
      <c r="H18" s="213"/>
      <c r="I18" s="213"/>
      <c r="J18" s="213"/>
      <c r="K18" s="213"/>
      <c r="L18" s="213"/>
      <c r="M18" s="101"/>
      <c r="N18" s="216"/>
      <c r="O18" s="216"/>
      <c r="P18" s="216"/>
      <c r="Q18" s="216"/>
      <c r="R18" s="216"/>
      <c r="S18" s="95"/>
      <c r="T18" s="135"/>
      <c r="U18" s="135"/>
      <c r="V18" s="135"/>
      <c r="W18" s="135"/>
      <c r="X18" s="135"/>
      <c r="Y18" s="133"/>
      <c r="Z18" s="256">
        <f>SUM(Z9:Z17)</f>
        <v>58541.589532934348</v>
      </c>
      <c r="AA18" s="257">
        <f>SUM(AA9:AA17)</f>
        <v>61095.742686685568</v>
      </c>
      <c r="AB18" s="257">
        <f>SUM(AB9:AB17)</f>
        <v>63164.303974199982</v>
      </c>
      <c r="AC18" s="257">
        <f>SUM(AC9:AC17)</f>
        <v>65389.466051784097</v>
      </c>
      <c r="AD18" s="258">
        <f>SUM(AD9:AD17)</f>
        <v>67641.240506782255</v>
      </c>
      <c r="AE18" s="133"/>
    </row>
    <row r="19" spans="2:31" x14ac:dyDescent="0.25">
      <c r="C19" s="101"/>
      <c r="D19" s="66"/>
      <c r="E19" s="66"/>
      <c r="F19" s="66"/>
      <c r="G19" s="100"/>
      <c r="H19" s="100"/>
      <c r="I19" s="100"/>
      <c r="J19" s="107"/>
      <c r="K19" s="107"/>
      <c r="L19" s="107"/>
      <c r="M19" s="107"/>
      <c r="N19" s="107"/>
      <c r="O19" s="107"/>
      <c r="P19" s="107"/>
      <c r="Q19" s="107"/>
      <c r="R19" s="107"/>
      <c r="T19" s="136"/>
      <c r="U19" s="136"/>
      <c r="V19" s="136"/>
      <c r="W19" s="136"/>
      <c r="X19" s="136"/>
      <c r="Y19" s="133"/>
      <c r="Z19" s="136"/>
      <c r="AA19" s="136"/>
      <c r="AB19" s="136"/>
      <c r="AC19" s="136"/>
      <c r="AD19" s="136"/>
      <c r="AE19" s="133"/>
    </row>
    <row r="20" spans="2:31" ht="15" x14ac:dyDescent="0.25">
      <c r="B20" s="125" t="s">
        <v>61</v>
      </c>
      <c r="C20" s="125"/>
      <c r="D20" s="125"/>
      <c r="E20" s="125"/>
      <c r="F20" s="125"/>
      <c r="G20" s="125"/>
      <c r="H20" s="125"/>
      <c r="I20" s="125"/>
      <c r="J20" s="125"/>
      <c r="K20" s="125"/>
      <c r="L20" s="125"/>
      <c r="M20" s="125"/>
      <c r="N20" s="125"/>
      <c r="O20" s="125"/>
      <c r="P20" s="125"/>
      <c r="Q20" s="125"/>
      <c r="R20" s="125"/>
      <c r="S20" s="125"/>
      <c r="T20" s="125"/>
      <c r="U20" s="125"/>
      <c r="V20" s="125"/>
      <c r="W20" s="125"/>
      <c r="X20" s="125"/>
      <c r="Y20" s="125"/>
      <c r="Z20" s="125"/>
      <c r="AA20" s="125"/>
      <c r="AB20" s="125"/>
      <c r="AC20" s="125"/>
      <c r="AD20" s="125"/>
    </row>
    <row r="21" spans="2:31" x14ac:dyDescent="0.25">
      <c r="M21" s="111"/>
      <c r="T21" s="156"/>
      <c r="U21" s="156"/>
      <c r="V21" s="156"/>
      <c r="W21" s="156"/>
      <c r="X21" s="156"/>
    </row>
    <row r="22" spans="2:31" s="82" customFormat="1" x14ac:dyDescent="0.2">
      <c r="C22" s="335" t="s">
        <v>48</v>
      </c>
      <c r="D22" s="336"/>
      <c r="E22" s="336"/>
      <c r="F22" s="337"/>
      <c r="G22" s="25"/>
      <c r="H22" s="338" t="s">
        <v>60</v>
      </c>
      <c r="I22" s="339"/>
      <c r="J22" s="339"/>
      <c r="K22" s="339"/>
      <c r="L22" s="340"/>
      <c r="N22" s="348" t="s">
        <v>50</v>
      </c>
      <c r="O22" s="349"/>
      <c r="P22" s="349"/>
      <c r="Q22" s="349"/>
      <c r="R22" s="350"/>
      <c r="T22" s="335" t="s">
        <v>49</v>
      </c>
      <c r="U22" s="336"/>
      <c r="V22" s="336"/>
      <c r="W22" s="336"/>
      <c r="X22" s="337"/>
      <c r="Z22" s="335" t="s">
        <v>37</v>
      </c>
      <c r="AA22" s="336"/>
      <c r="AB22" s="336"/>
      <c r="AC22" s="336"/>
      <c r="AD22" s="337"/>
    </row>
    <row r="23" spans="2:31" s="82" customFormat="1" x14ac:dyDescent="0.25">
      <c r="B23" s="85" t="s">
        <v>8</v>
      </c>
      <c r="C23" s="87" t="s">
        <v>10</v>
      </c>
      <c r="D23" s="88" t="s">
        <v>11</v>
      </c>
      <c r="E23" s="88" t="s">
        <v>12</v>
      </c>
      <c r="F23" s="89" t="s">
        <v>13</v>
      </c>
      <c r="G23" s="25"/>
      <c r="H23" s="87" t="s">
        <v>15</v>
      </c>
      <c r="I23" s="88" t="s">
        <v>16</v>
      </c>
      <c r="J23" s="88" t="s">
        <v>17</v>
      </c>
      <c r="K23" s="88" t="s">
        <v>18</v>
      </c>
      <c r="L23" s="89" t="s">
        <v>19</v>
      </c>
      <c r="N23" s="137" t="s">
        <v>15</v>
      </c>
      <c r="O23" s="90" t="s">
        <v>16</v>
      </c>
      <c r="P23" s="90" t="s">
        <v>17</v>
      </c>
      <c r="Q23" s="90" t="s">
        <v>18</v>
      </c>
      <c r="R23" s="91" t="s">
        <v>19</v>
      </c>
      <c r="T23" s="137" t="s">
        <v>15</v>
      </c>
      <c r="U23" s="90" t="s">
        <v>16</v>
      </c>
      <c r="V23" s="90" t="s">
        <v>17</v>
      </c>
      <c r="W23" s="90" t="s">
        <v>18</v>
      </c>
      <c r="X23" s="91" t="s">
        <v>19</v>
      </c>
      <c r="Z23" s="137" t="s">
        <v>15</v>
      </c>
      <c r="AA23" s="90" t="s">
        <v>16</v>
      </c>
      <c r="AB23" s="90" t="s">
        <v>17</v>
      </c>
      <c r="AC23" s="90" t="s">
        <v>18</v>
      </c>
      <c r="AD23" s="91" t="s">
        <v>19</v>
      </c>
    </row>
    <row r="24" spans="2:31" s="82" customFormat="1" x14ac:dyDescent="0.25">
      <c r="B24" s="92" t="s">
        <v>82</v>
      </c>
      <c r="C24" s="96">
        <v>0</v>
      </c>
      <c r="D24" s="93">
        <f>+'Input Sheet'!H32</f>
        <v>29</v>
      </c>
      <c r="E24" s="93">
        <f>+'Input Sheet'!I32</f>
        <v>20</v>
      </c>
      <c r="F24" s="97">
        <f>+'Input Sheet'!J32</f>
        <v>40</v>
      </c>
      <c r="G24" s="95"/>
      <c r="H24" s="96">
        <f>AVERAGE($D24:$F24)</f>
        <v>29.666666666666668</v>
      </c>
      <c r="I24" s="93">
        <f t="shared" ref="I24:L31" si="8">AVERAGE($D24:$F24)</f>
        <v>29.666666666666668</v>
      </c>
      <c r="J24" s="93">
        <f t="shared" si="8"/>
        <v>29.666666666666668</v>
      </c>
      <c r="K24" s="93">
        <f t="shared" si="8"/>
        <v>29.666666666666668</v>
      </c>
      <c r="L24" s="97">
        <f t="shared" si="8"/>
        <v>29.666666666666668</v>
      </c>
      <c r="N24" s="246">
        <f>+H24*'Input Sheet'!G240</f>
        <v>1968.6469450002473</v>
      </c>
      <c r="O24" s="247">
        <f>+I24*'Input Sheet'!H240</f>
        <v>2054.5384597901952</v>
      </c>
      <c r="P24" s="247">
        <f>+J24*'Input Sheet'!I240</f>
        <v>2124.1004052669241</v>
      </c>
      <c r="Q24" s="247">
        <f>+K24*'Input Sheet'!J240</f>
        <v>2198.928549858078</v>
      </c>
      <c r="R24" s="248">
        <f>+L24*'Input Sheet'!K240</f>
        <v>2274.6516201919953</v>
      </c>
      <c r="S24" s="249"/>
      <c r="T24" s="246">
        <f>+N24*('Input Sheet'!G$265-1)</f>
        <v>2310.113390705445</v>
      </c>
      <c r="U24" s="247">
        <f>+O24*('Input Sheet'!H$265-1)</f>
        <v>2588.7256095157954</v>
      </c>
      <c r="V24" s="247">
        <f>+P24*('Input Sheet'!I$265-1)</f>
        <v>2699.8211726278601</v>
      </c>
      <c r="W24" s="247">
        <f>+Q24*('Input Sheet'!J$265-1)</f>
        <v>2852.8373880426184</v>
      </c>
      <c r="X24" s="248">
        <f>+R24*('Input Sheet'!K$265-1)</f>
        <v>3008.4510670311915</v>
      </c>
      <c r="Y24" s="249"/>
      <c r="Z24" s="246">
        <f>+N24+T24</f>
        <v>4278.7603357056923</v>
      </c>
      <c r="AA24" s="247">
        <f t="shared" ref="AA24" si="9">+O24+U24</f>
        <v>4643.2640693059911</v>
      </c>
      <c r="AB24" s="247">
        <f t="shared" ref="AB24" si="10">+P24+V24</f>
        <v>4823.9215778947837</v>
      </c>
      <c r="AC24" s="247">
        <f t="shared" ref="AC24" si="11">+Q24+W24</f>
        <v>5051.7659379006964</v>
      </c>
      <c r="AD24" s="248">
        <f t="shared" ref="AD24" si="12">+R24+X24</f>
        <v>5283.1026872231869</v>
      </c>
    </row>
    <row r="25" spans="2:31" s="82" customFormat="1" x14ac:dyDescent="0.25">
      <c r="B25" s="77" t="s">
        <v>83</v>
      </c>
      <c r="C25" s="218">
        <v>0</v>
      </c>
      <c r="D25" s="98">
        <f>+'Input Sheet'!H33</f>
        <v>42</v>
      </c>
      <c r="E25" s="98">
        <f>+'Input Sheet'!I33</f>
        <v>18</v>
      </c>
      <c r="F25" s="219">
        <f>+'Input Sheet'!J33</f>
        <v>25</v>
      </c>
      <c r="G25" s="95"/>
      <c r="H25" s="218">
        <f t="shared" ref="H25:H31" si="13">AVERAGE($D25:$F25)</f>
        <v>28.333333333333332</v>
      </c>
      <c r="I25" s="98">
        <f t="shared" si="8"/>
        <v>28.333333333333332</v>
      </c>
      <c r="J25" s="98">
        <f t="shared" si="8"/>
        <v>28.333333333333332</v>
      </c>
      <c r="K25" s="98">
        <f t="shared" si="8"/>
        <v>28.333333333333332</v>
      </c>
      <c r="L25" s="219">
        <f t="shared" si="8"/>
        <v>28.333333333333332</v>
      </c>
      <c r="N25" s="250">
        <f>+H25*'Input Sheet'!G241</f>
        <v>4178.6435357257233</v>
      </c>
      <c r="O25" s="251">
        <f>+I25*'Input Sheet'!H241</f>
        <v>4360.9565827462802</v>
      </c>
      <c r="P25" s="251">
        <f>+J25*'Input Sheet'!I241</f>
        <v>4508.6085396078506</v>
      </c>
      <c r="Q25" s="251">
        <f>+K25*'Input Sheet'!J241</f>
        <v>4667.4385134029408</v>
      </c>
      <c r="R25" s="252">
        <f>+L25*'Input Sheet'!K241</f>
        <v>4828.1680536385511</v>
      </c>
      <c r="S25" s="249"/>
      <c r="T25" s="250">
        <f>+N25*('Input Sheet'!G$265-1)</f>
        <v>4903.4390911893688</v>
      </c>
      <c r="U25" s="251">
        <f>+O25*('Input Sheet'!H$265-1)</f>
        <v>5494.8204712092002</v>
      </c>
      <c r="V25" s="251">
        <f>+P25*('Input Sheet'!I$265-1)</f>
        <v>5730.6315483680764</v>
      </c>
      <c r="W25" s="251">
        <f>+Q25*('Input Sheet'!J$265-1)</f>
        <v>6055.4232643372452</v>
      </c>
      <c r="X25" s="252">
        <f>+R25*('Input Sheet'!K$265-1)</f>
        <v>6385.7283479519301</v>
      </c>
      <c r="Y25" s="249"/>
      <c r="Z25" s="250">
        <f t="shared" ref="Z25:Z31" si="14">+N25+T25</f>
        <v>9082.082626915093</v>
      </c>
      <c r="AA25" s="251">
        <f t="shared" ref="AA25:AA31" si="15">+O25+U25</f>
        <v>9855.7770539554804</v>
      </c>
      <c r="AB25" s="251">
        <f t="shared" ref="AB25:AB31" si="16">+P25+V25</f>
        <v>10239.240087975926</v>
      </c>
      <c r="AC25" s="251">
        <f t="shared" ref="AC25:AC31" si="17">+Q25+W25</f>
        <v>10722.861777740185</v>
      </c>
      <c r="AD25" s="252">
        <f t="shared" ref="AD25:AD31" si="18">+R25+X25</f>
        <v>11213.896401590482</v>
      </c>
    </row>
    <row r="26" spans="2:31" s="82" customFormat="1" x14ac:dyDescent="0.25">
      <c r="B26" s="77" t="s">
        <v>84</v>
      </c>
      <c r="C26" s="218">
        <v>0</v>
      </c>
      <c r="D26" s="98">
        <f>+'Input Sheet'!H34</f>
        <v>20</v>
      </c>
      <c r="E26" s="98">
        <f>+'Input Sheet'!I34</f>
        <v>16</v>
      </c>
      <c r="F26" s="219">
        <f>+'Input Sheet'!J34</f>
        <v>10</v>
      </c>
      <c r="G26" s="95"/>
      <c r="H26" s="218">
        <f t="shared" si="13"/>
        <v>15.333333333333334</v>
      </c>
      <c r="I26" s="98">
        <f t="shared" si="8"/>
        <v>15.333333333333334</v>
      </c>
      <c r="J26" s="98">
        <f t="shared" si="8"/>
        <v>15.333333333333334</v>
      </c>
      <c r="K26" s="98">
        <f t="shared" si="8"/>
        <v>15.333333333333334</v>
      </c>
      <c r="L26" s="219">
        <f t="shared" si="8"/>
        <v>15.333333333333334</v>
      </c>
      <c r="N26" s="250">
        <f>+H26*'Input Sheet'!G242</f>
        <v>2035.0058307867725</v>
      </c>
      <c r="O26" s="251">
        <f>+I26*'Input Sheet'!H242</f>
        <v>2123.7925651763817</v>
      </c>
      <c r="P26" s="251">
        <f>+J26*'Input Sheet'!I242</f>
        <v>2195.6992953321014</v>
      </c>
      <c r="Q26" s="251">
        <f>+K26*'Input Sheet'!J242</f>
        <v>2273.0497369319455</v>
      </c>
      <c r="R26" s="252">
        <f>+L26*'Input Sheet'!K242</f>
        <v>2351.3252703108269</v>
      </c>
      <c r="S26" s="249"/>
      <c r="T26" s="250">
        <f>+N26*('Input Sheet'!G$265-1)</f>
        <v>2387.9823814033812</v>
      </c>
      <c r="U26" s="251">
        <f>+O26*('Input Sheet'!H$265-1)</f>
        <v>2675.9860233196987</v>
      </c>
      <c r="V26" s="251">
        <f>+P26*('Input Sheet'!I$265-1)</f>
        <v>2790.8263806939681</v>
      </c>
      <c r="W26" s="251">
        <f>+Q26*('Input Sheet'!J$265-1)</f>
        <v>2949.0004460665264</v>
      </c>
      <c r="X26" s="252">
        <f>+R26*('Input Sheet'!K$265-1)</f>
        <v>3109.8595299648277</v>
      </c>
      <c r="Y26" s="249"/>
      <c r="Z26" s="250">
        <f t="shared" si="14"/>
        <v>4422.9882121901537</v>
      </c>
      <c r="AA26" s="251">
        <f t="shared" si="15"/>
        <v>4799.7785884960804</v>
      </c>
      <c r="AB26" s="251">
        <f t="shared" si="16"/>
        <v>4986.525676026069</v>
      </c>
      <c r="AC26" s="251">
        <f t="shared" si="17"/>
        <v>5222.0501829984714</v>
      </c>
      <c r="AD26" s="252">
        <f t="shared" si="18"/>
        <v>5461.1848002756542</v>
      </c>
    </row>
    <row r="27" spans="2:31" s="82" customFormat="1" x14ac:dyDescent="0.25">
      <c r="B27" s="77" t="s">
        <v>85</v>
      </c>
      <c r="C27" s="218">
        <v>0</v>
      </c>
      <c r="D27" s="98">
        <f>+'Input Sheet'!H35</f>
        <v>19</v>
      </c>
      <c r="E27" s="98">
        <f>+'Input Sheet'!I35</f>
        <v>11</v>
      </c>
      <c r="F27" s="219">
        <f>+'Input Sheet'!J35</f>
        <v>21</v>
      </c>
      <c r="G27" s="95"/>
      <c r="H27" s="218">
        <f t="shared" si="13"/>
        <v>17</v>
      </c>
      <c r="I27" s="98">
        <f t="shared" si="8"/>
        <v>17</v>
      </c>
      <c r="J27" s="98">
        <f t="shared" si="8"/>
        <v>17</v>
      </c>
      <c r="K27" s="98">
        <f t="shared" si="8"/>
        <v>17</v>
      </c>
      <c r="L27" s="219">
        <f t="shared" si="8"/>
        <v>17</v>
      </c>
      <c r="N27" s="250">
        <f>+H27*'Input Sheet'!G243</f>
        <v>5014.3722428708688</v>
      </c>
      <c r="O27" s="251">
        <f>+I27*'Input Sheet'!H243</f>
        <v>5233.1478992955363</v>
      </c>
      <c r="P27" s="251">
        <f>+J27*'Input Sheet'!I243</f>
        <v>5410.3302475294213</v>
      </c>
      <c r="Q27" s="251">
        <f>+K27*'Input Sheet'!J243</f>
        <v>5600.9262160835297</v>
      </c>
      <c r="R27" s="252">
        <f>+L27*'Input Sheet'!K243</f>
        <v>5793.8016643662622</v>
      </c>
      <c r="S27" s="249"/>
      <c r="T27" s="250">
        <f>+N27*('Input Sheet'!G$265-1)</f>
        <v>5884.1269094272438</v>
      </c>
      <c r="U27" s="251">
        <f>+O27*('Input Sheet'!H$265-1)</f>
        <v>6593.7845654510402</v>
      </c>
      <c r="V27" s="251">
        <f>+P27*('Input Sheet'!I$265-1)</f>
        <v>6876.7578580416921</v>
      </c>
      <c r="W27" s="251">
        <f>+Q27*('Input Sheet'!J$265-1)</f>
        <v>7266.5079172046944</v>
      </c>
      <c r="X27" s="252">
        <f>+R27*('Input Sheet'!K$265-1)</f>
        <v>7662.8740175423172</v>
      </c>
      <c r="Y27" s="249"/>
      <c r="Z27" s="250">
        <f t="shared" si="14"/>
        <v>10898.499152298113</v>
      </c>
      <c r="AA27" s="251">
        <f t="shared" si="15"/>
        <v>11826.932464746576</v>
      </c>
      <c r="AB27" s="251">
        <f t="shared" si="16"/>
        <v>12287.088105571114</v>
      </c>
      <c r="AC27" s="251">
        <f t="shared" si="17"/>
        <v>12867.434133288225</v>
      </c>
      <c r="AD27" s="252">
        <f t="shared" si="18"/>
        <v>13456.675681908579</v>
      </c>
    </row>
    <row r="28" spans="2:31" s="82" customFormat="1" x14ac:dyDescent="0.25">
      <c r="B28" s="77" t="s">
        <v>86</v>
      </c>
      <c r="C28" s="218">
        <v>0</v>
      </c>
      <c r="D28" s="98">
        <f>+'Input Sheet'!H36</f>
        <v>7</v>
      </c>
      <c r="E28" s="98">
        <f>+'Input Sheet'!I36</f>
        <v>3</v>
      </c>
      <c r="F28" s="219">
        <f>+'Input Sheet'!J36</f>
        <v>3</v>
      </c>
      <c r="G28" s="95"/>
      <c r="H28" s="218">
        <f t="shared" si="13"/>
        <v>4.333333333333333</v>
      </c>
      <c r="I28" s="98">
        <f t="shared" si="8"/>
        <v>4.333333333333333</v>
      </c>
      <c r="J28" s="98">
        <f t="shared" si="8"/>
        <v>4.333333333333333</v>
      </c>
      <c r="K28" s="98">
        <f t="shared" si="8"/>
        <v>4.333333333333333</v>
      </c>
      <c r="L28" s="219">
        <f t="shared" si="8"/>
        <v>4.333333333333333</v>
      </c>
      <c r="N28" s="250">
        <f>+H28*'Input Sheet'!G244</f>
        <v>503.22155054781598</v>
      </c>
      <c r="O28" s="251">
        <f>+I28*'Input Sheet'!H244</f>
        <v>525.1769658452464</v>
      </c>
      <c r="P28" s="251">
        <f>+J28*'Input Sheet'!I244</f>
        <v>542.95824966092721</v>
      </c>
      <c r="Q28" s="251">
        <f>+K28*'Input Sheet'!J244</f>
        <v>562.08566864349734</v>
      </c>
      <c r="R28" s="252">
        <f>+L28*'Input Sheet'!K244</f>
        <v>581.44184673447069</v>
      </c>
      <c r="S28" s="249"/>
      <c r="T28" s="250">
        <f>+N28*('Input Sheet'!G$265-1)</f>
        <v>590.50651279268391</v>
      </c>
      <c r="U28" s="251">
        <f>+O28*('Input Sheet'!H$265-1)</f>
        <v>661.72480467959917</v>
      </c>
      <c r="V28" s="251">
        <f>+P28*('Input Sheet'!I$265-1)</f>
        <v>690.12282783464968</v>
      </c>
      <c r="W28" s="251">
        <f>+Q28*('Input Sheet'!J$265-1)</f>
        <v>729.23652334797248</v>
      </c>
      <c r="X28" s="252">
        <f>+R28*('Input Sheet'!K$265-1)</f>
        <v>769.01417724673718</v>
      </c>
      <c r="Y28" s="249"/>
      <c r="Z28" s="250">
        <f t="shared" si="14"/>
        <v>1093.7280633404998</v>
      </c>
      <c r="AA28" s="251">
        <f t="shared" si="15"/>
        <v>1186.9017705248457</v>
      </c>
      <c r="AB28" s="251">
        <f t="shared" si="16"/>
        <v>1233.0810774955769</v>
      </c>
      <c r="AC28" s="251">
        <f t="shared" si="17"/>
        <v>1291.3221919914699</v>
      </c>
      <c r="AD28" s="252">
        <f t="shared" si="18"/>
        <v>1350.4560239812079</v>
      </c>
    </row>
    <row r="29" spans="2:31" s="82" customFormat="1" x14ac:dyDescent="0.25">
      <c r="B29" s="77" t="s">
        <v>87</v>
      </c>
      <c r="C29" s="218">
        <v>0</v>
      </c>
      <c r="D29" s="98">
        <f>+'Input Sheet'!H37</f>
        <v>13</v>
      </c>
      <c r="E29" s="98">
        <f>+'Input Sheet'!I37</f>
        <v>6</v>
      </c>
      <c r="F29" s="219">
        <f>+'Input Sheet'!J37</f>
        <v>7</v>
      </c>
      <c r="G29" s="95"/>
      <c r="H29" s="218">
        <f t="shared" si="13"/>
        <v>8.6666666666666661</v>
      </c>
      <c r="I29" s="98">
        <f t="shared" si="8"/>
        <v>8.6666666666666661</v>
      </c>
      <c r="J29" s="98">
        <f t="shared" si="8"/>
        <v>8.6666666666666661</v>
      </c>
      <c r="K29" s="98">
        <f t="shared" si="8"/>
        <v>8.6666666666666661</v>
      </c>
      <c r="L29" s="219">
        <f t="shared" si="8"/>
        <v>8.6666666666666661</v>
      </c>
      <c r="N29" s="250">
        <f>+H29*'Input Sheet'!G245</f>
        <v>2236.8033044178869</v>
      </c>
      <c r="O29" s="251">
        <f>+I29*'Input Sheet'!H245</f>
        <v>2334.3944060583026</v>
      </c>
      <c r="P29" s="251">
        <f>+J29*'Input Sheet'!I245</f>
        <v>2413.4316300253786</v>
      </c>
      <c r="Q29" s="251">
        <f>+K29*'Input Sheet'!J245</f>
        <v>2498.4523807039268</v>
      </c>
      <c r="R29" s="252">
        <f>+L29*'Input Sheet'!K245</f>
        <v>2584.4899581241652</v>
      </c>
      <c r="S29" s="249"/>
      <c r="T29" s="250">
        <f>+N29*('Input Sheet'!G$265-1)</f>
        <v>2624.7821017543088</v>
      </c>
      <c r="U29" s="251">
        <f>+O29*('Input Sheet'!H$265-1)</f>
        <v>2941.3450757649243</v>
      </c>
      <c r="V29" s="251">
        <f>+P29*('Input Sheet'!I$265-1)</f>
        <v>3067.5733582440876</v>
      </c>
      <c r="W29" s="251">
        <f>+Q29*('Input Sheet'!J$265-1)</f>
        <v>3241.4324532628775</v>
      </c>
      <c r="X29" s="252">
        <f>+R29*('Input Sheet'!K$265-1)</f>
        <v>3418.2428215507384</v>
      </c>
      <c r="Y29" s="249"/>
      <c r="Z29" s="250">
        <f t="shared" si="14"/>
        <v>4861.5854061721957</v>
      </c>
      <c r="AA29" s="251">
        <f t="shared" si="15"/>
        <v>5275.7394818232269</v>
      </c>
      <c r="AB29" s="251">
        <f t="shared" si="16"/>
        <v>5481.0049882694657</v>
      </c>
      <c r="AC29" s="251">
        <f t="shared" si="17"/>
        <v>5739.8848339668039</v>
      </c>
      <c r="AD29" s="252">
        <f t="shared" si="18"/>
        <v>6002.7327796749032</v>
      </c>
    </row>
    <row r="30" spans="2:31" s="82" customFormat="1" x14ac:dyDescent="0.25">
      <c r="B30" s="77" t="s">
        <v>88</v>
      </c>
      <c r="C30" s="218">
        <v>0</v>
      </c>
      <c r="D30" s="98">
        <f>+'Input Sheet'!H38</f>
        <v>4</v>
      </c>
      <c r="E30" s="98">
        <f>+'Input Sheet'!I38</f>
        <v>1</v>
      </c>
      <c r="F30" s="219">
        <f>+'Input Sheet'!J38</f>
        <v>3</v>
      </c>
      <c r="G30" s="95"/>
      <c r="H30" s="218">
        <f t="shared" si="13"/>
        <v>2.6666666666666665</v>
      </c>
      <c r="I30" s="98">
        <f t="shared" si="8"/>
        <v>2.6666666666666665</v>
      </c>
      <c r="J30" s="98">
        <f t="shared" si="8"/>
        <v>2.6666666666666665</v>
      </c>
      <c r="K30" s="98">
        <f t="shared" si="8"/>
        <v>2.6666666666666665</v>
      </c>
      <c r="L30" s="219">
        <f t="shared" si="8"/>
        <v>2.6666666666666665</v>
      </c>
      <c r="N30" s="250">
        <f>+H30*'Input Sheet'!G246</f>
        <v>619.34960067423503</v>
      </c>
      <c r="O30" s="251">
        <f>+I30*'Input Sheet'!H246</f>
        <v>646.37165027107255</v>
      </c>
      <c r="P30" s="251">
        <f>+J30*'Input Sheet'!I246</f>
        <v>668.25630727498731</v>
      </c>
      <c r="Q30" s="251">
        <f>+K30*'Input Sheet'!J246</f>
        <v>691.79774602276598</v>
      </c>
      <c r="R30" s="252">
        <f>+L30*'Input Sheet'!K246</f>
        <v>715.62073444242537</v>
      </c>
      <c r="S30" s="249"/>
      <c r="T30" s="250">
        <f>+N30*('Input Sheet'!G$265-1)</f>
        <v>726.77724651407243</v>
      </c>
      <c r="U30" s="251">
        <f>+O30*('Input Sheet'!H$265-1)</f>
        <v>814.43052883642986</v>
      </c>
      <c r="V30" s="251">
        <f>+P30*('Input Sheet'!I$265-1)</f>
        <v>849.38194195033793</v>
      </c>
      <c r="W30" s="251">
        <f>+Q30*('Input Sheet'!J$265-1)</f>
        <v>897.52187488981235</v>
      </c>
      <c r="X30" s="252">
        <f>+R30*('Input Sheet'!K$265-1)</f>
        <v>946.47898738059951</v>
      </c>
      <c r="Y30" s="249"/>
      <c r="Z30" s="250">
        <f t="shared" si="14"/>
        <v>1346.1268471883075</v>
      </c>
      <c r="AA30" s="251">
        <f t="shared" si="15"/>
        <v>1460.8021791075025</v>
      </c>
      <c r="AB30" s="251">
        <f t="shared" si="16"/>
        <v>1517.6382492253251</v>
      </c>
      <c r="AC30" s="251">
        <f t="shared" si="17"/>
        <v>1589.3196209125783</v>
      </c>
      <c r="AD30" s="252">
        <f t="shared" si="18"/>
        <v>1662.099721823025</v>
      </c>
    </row>
    <row r="31" spans="2:31" s="82" customFormat="1" x14ac:dyDescent="0.25">
      <c r="B31" s="77" t="s">
        <v>89</v>
      </c>
      <c r="C31" s="218">
        <v>0</v>
      </c>
      <c r="D31" s="98">
        <f>+'Input Sheet'!H39</f>
        <v>15</v>
      </c>
      <c r="E31" s="98">
        <f>+'Input Sheet'!I39</f>
        <v>17</v>
      </c>
      <c r="F31" s="219">
        <f>+'Input Sheet'!J39</f>
        <v>22</v>
      </c>
      <c r="G31" s="95"/>
      <c r="H31" s="218">
        <f t="shared" si="13"/>
        <v>18</v>
      </c>
      <c r="I31" s="98">
        <f t="shared" si="8"/>
        <v>18</v>
      </c>
      <c r="J31" s="98">
        <f t="shared" si="8"/>
        <v>18</v>
      </c>
      <c r="K31" s="98">
        <f t="shared" si="8"/>
        <v>18</v>
      </c>
      <c r="L31" s="219">
        <f t="shared" si="8"/>
        <v>18</v>
      </c>
      <c r="N31" s="250">
        <f>+H31*'Input Sheet'!G247</f>
        <v>9291.3368029666071</v>
      </c>
      <c r="O31" s="251">
        <f>+I31*'Input Sheet'!H247</f>
        <v>9696.7152251652569</v>
      </c>
      <c r="P31" s="251">
        <f>+J31*'Input Sheet'!I247</f>
        <v>10025.023693951573</v>
      </c>
      <c r="Q31" s="251">
        <f>+K31*'Input Sheet'!J247</f>
        <v>10378.186812154774</v>
      </c>
      <c r="R31" s="252">
        <f>+L31*'Input Sheet'!K247</f>
        <v>10735.573672208071</v>
      </c>
      <c r="S31" s="249"/>
      <c r="T31" s="250">
        <f>+N31*('Input Sheet'!G$265-1)</f>
        <v>10902.94103805636</v>
      </c>
      <c r="U31" s="251">
        <f>+O31*('Input Sheet'!H$265-1)</f>
        <v>12217.894930100454</v>
      </c>
      <c r="V31" s="251">
        <f>+P31*('Input Sheet'!I$265-1)</f>
        <v>12742.227795783132</v>
      </c>
      <c r="W31" s="251">
        <f>+Q31*('Input Sheet'!J$265-1)</f>
        <v>13464.411728938108</v>
      </c>
      <c r="X31" s="252">
        <f>+R31*('Input Sheet'!K$265-1)</f>
        <v>14198.854797210761</v>
      </c>
      <c r="Y31" s="249"/>
      <c r="Z31" s="250">
        <f t="shared" si="14"/>
        <v>20194.277841022966</v>
      </c>
      <c r="AA31" s="251">
        <f t="shared" si="15"/>
        <v>21914.610155265713</v>
      </c>
      <c r="AB31" s="251">
        <f t="shared" si="16"/>
        <v>22767.251489734706</v>
      </c>
      <c r="AC31" s="251">
        <f t="shared" si="17"/>
        <v>23842.598541092884</v>
      </c>
      <c r="AD31" s="252">
        <f t="shared" si="18"/>
        <v>24934.428469418832</v>
      </c>
    </row>
    <row r="32" spans="2:31" s="82" customFormat="1" x14ac:dyDescent="0.25">
      <c r="B32" s="102"/>
      <c r="C32" s="104"/>
      <c r="D32" s="105"/>
      <c r="E32" s="105"/>
      <c r="F32" s="106"/>
      <c r="G32" s="66"/>
      <c r="H32" s="104"/>
      <c r="I32" s="105"/>
      <c r="J32" s="105"/>
      <c r="K32" s="105"/>
      <c r="L32" s="106"/>
      <c r="N32" s="253"/>
      <c r="O32" s="254"/>
      <c r="P32" s="254"/>
      <c r="Q32" s="254"/>
      <c r="R32" s="255"/>
      <c r="S32" s="249"/>
      <c r="T32" s="253"/>
      <c r="U32" s="254"/>
      <c r="V32" s="254"/>
      <c r="W32" s="254"/>
      <c r="X32" s="255"/>
      <c r="Y32" s="249"/>
      <c r="Z32" s="253"/>
      <c r="AA32" s="254"/>
      <c r="AB32" s="254"/>
      <c r="AC32" s="254"/>
      <c r="AD32" s="255"/>
    </row>
    <row r="33" spans="3:30" s="82" customFormat="1" x14ac:dyDescent="0.25">
      <c r="C33" s="108">
        <f>SUM(C24:C32)</f>
        <v>0</v>
      </c>
      <c r="D33" s="109">
        <f>SUM(D24:D32)</f>
        <v>149</v>
      </c>
      <c r="E33" s="109">
        <f>SUM(E24:E32)</f>
        <v>92</v>
      </c>
      <c r="F33" s="110">
        <f>SUM(F24:F32)</f>
        <v>131</v>
      </c>
      <c r="G33" s="25"/>
      <c r="H33" s="108">
        <f>SUM(H24:H32)</f>
        <v>124</v>
      </c>
      <c r="I33" s="109">
        <f>SUM(I24:I32)</f>
        <v>124</v>
      </c>
      <c r="J33" s="109">
        <f>SUM(J24:J32)</f>
        <v>124</v>
      </c>
      <c r="K33" s="109">
        <f>SUM(K24:K32)</f>
        <v>124</v>
      </c>
      <c r="L33" s="110">
        <f>SUM(L24:L32)</f>
        <v>124</v>
      </c>
      <c r="N33" s="256">
        <f>SUM(N24:N32)</f>
        <v>25847.379812990155</v>
      </c>
      <c r="O33" s="257">
        <f>SUM(O24:O32)</f>
        <v>26975.093754348272</v>
      </c>
      <c r="P33" s="257">
        <f>SUM(P24:P32)</f>
        <v>27888.408368649165</v>
      </c>
      <c r="Q33" s="257">
        <f>SUM(Q24:Q32)</f>
        <v>28870.865623801459</v>
      </c>
      <c r="R33" s="258">
        <f>SUM(R24:R32)</f>
        <v>29865.072820016765</v>
      </c>
      <c r="S33" s="249"/>
      <c r="T33" s="256">
        <f>SUM(T24:T32)</f>
        <v>30330.668671842865</v>
      </c>
      <c r="U33" s="257">
        <f>SUM(U24:U32)</f>
        <v>33988.712008877133</v>
      </c>
      <c r="V33" s="257">
        <f>SUM(V24:V32)</f>
        <v>35447.342883543803</v>
      </c>
      <c r="W33" s="257">
        <f>SUM(W24:W32)</f>
        <v>37456.371596089855</v>
      </c>
      <c r="X33" s="258">
        <f>SUM(X24:X32)</f>
        <v>39499.503745879105</v>
      </c>
      <c r="Y33" s="249"/>
      <c r="Z33" s="256">
        <f>SUM(Z24:Z32)</f>
        <v>56178.048484833023</v>
      </c>
      <c r="AA33" s="257">
        <f>SUM(AA24:AA32)</f>
        <v>60963.805763225413</v>
      </c>
      <c r="AB33" s="257">
        <f>SUM(AB24:AB32)</f>
        <v>63335.751252192968</v>
      </c>
      <c r="AC33" s="257">
        <f>SUM(AC24:AC32)</f>
        <v>66327.237219891322</v>
      </c>
      <c r="AD33" s="258">
        <f>SUM(AD24:AD32)</f>
        <v>69364.57656589587</v>
      </c>
    </row>
    <row r="34" spans="3:30" s="82" customFormat="1" x14ac:dyDescent="0.25">
      <c r="C34" s="161"/>
      <c r="D34" s="161"/>
      <c r="E34" s="161"/>
      <c r="F34" s="161"/>
      <c r="I34" s="161"/>
      <c r="N34" s="249"/>
      <c r="O34" s="249"/>
      <c r="P34" s="249"/>
      <c r="Q34" s="249"/>
      <c r="R34" s="249"/>
      <c r="S34" s="249"/>
      <c r="T34" s="249"/>
      <c r="U34" s="249"/>
      <c r="V34" s="249"/>
      <c r="W34" s="249"/>
      <c r="X34" s="249"/>
      <c r="Y34" s="249"/>
      <c r="Z34" s="249"/>
      <c r="AA34" s="249"/>
      <c r="AB34" s="249"/>
      <c r="AC34" s="249"/>
      <c r="AD34" s="249"/>
    </row>
    <row r="35" spans="3:30" s="82" customFormat="1" hidden="1" x14ac:dyDescent="0.25">
      <c r="T35" s="74"/>
      <c r="U35" s="74"/>
      <c r="V35" s="74"/>
      <c r="W35" s="74"/>
      <c r="X35" s="74"/>
    </row>
    <row r="36" spans="3:30" hidden="1" x14ac:dyDescent="0.25"/>
    <row r="37" spans="3:30" hidden="1" x14ac:dyDescent="0.25"/>
    <row r="38" spans="3:30" hidden="1" x14ac:dyDescent="0.25"/>
    <row r="39" spans="3:30" hidden="1" x14ac:dyDescent="0.25"/>
    <row r="40" spans="3:30" hidden="1" x14ac:dyDescent="0.25"/>
    <row r="41" spans="3:30" hidden="1" x14ac:dyDescent="0.25"/>
    <row r="42" spans="3:30" hidden="1" x14ac:dyDescent="0.25"/>
    <row r="43" spans="3:30" hidden="1" x14ac:dyDescent="0.25"/>
    <row r="44" spans="3:30" hidden="1" x14ac:dyDescent="0.25"/>
    <row r="45" spans="3:30" hidden="1" x14ac:dyDescent="0.25"/>
    <row r="46" spans="3:30" hidden="1" x14ac:dyDescent="0.25"/>
    <row r="47" spans="3:30" hidden="1" x14ac:dyDescent="0.25"/>
    <row r="48" spans="3:30" hidden="1" x14ac:dyDescent="0.25"/>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sheetData>
  <mergeCells count="10">
    <mergeCell ref="Z22:AD22"/>
    <mergeCell ref="C22:F22"/>
    <mergeCell ref="H22:L22"/>
    <mergeCell ref="C7:F7"/>
    <mergeCell ref="N7:R7"/>
    <mergeCell ref="H7:L7"/>
    <mergeCell ref="T7:X7"/>
    <mergeCell ref="N22:R22"/>
    <mergeCell ref="T22:X22"/>
    <mergeCell ref="Z7:AD7"/>
  </mergeCells>
  <pageMargins left="0.39370078740157483" right="0.39370078740157483" top="0.39370078740157483" bottom="0.39370078740157483" header="0.19685039370078741" footer="0.19685039370078741"/>
  <pageSetup paperSize="8" scale="63"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2014-04-28T05:36:57Z</cp:lastPrinted>
  <dcterms:created xsi:type="dcterms:W3CDTF">2013-06-17T01:25:32Z</dcterms:created>
  <dcterms:modified xsi:type="dcterms:W3CDTF">2015-01-04T23:43:46Z</dcterms:modified>
</cp:coreProperties>
</file>