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2.xml" ContentType="application/vnd.openxmlformats-officedocument.spreadsheetml.externalLink+xml"/>
  <Override PartName="/xl/comments2.xml" ContentType="application/vnd.openxmlformats-officedocument.spreadsheetml.comments+xml"/>
  <Override PartName="/xl/externalLinks/externalLink1.xml" ContentType="application/vnd.openxmlformats-officedocument.spreadsheetml.externalLink+xml"/>
  <Override PartName="/docProps/app.xml" ContentType="application/vnd.openxmlformats-officedocument.extended-propertie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285" yWindow="345" windowWidth="12285" windowHeight="5910" tabRatio="836" activeTab="1"/>
  </bookViews>
  <sheets>
    <sheet name="Inputs" sheetId="23" r:id="rId1"/>
    <sheet name="Pricing Summary" sheetId="1" r:id="rId2"/>
    <sheet name="Price Build Up" sheetId="4" r:id="rId3"/>
    <sheet name="Recoverable Costs Summary" sheetId="20" r:id="rId4"/>
    <sheet name="RFM" sheetId="17" r:id="rId5"/>
    <sheet name="Metering AMP" sheetId="9" r:id="rId6"/>
    <sheet name="Check Reads" sheetId="11" r:id="rId7"/>
    <sheet name="New Meter Pricing" sheetId="22" r:id="rId8"/>
  </sheets>
  <externalReferences>
    <externalReference r:id="rId9"/>
    <externalReference r:id="rId10"/>
  </externalReferences>
  <definedNames>
    <definedName name="___INDEX_SHEET___ASAP_Utilities">#REF!</definedName>
    <definedName name="Advertising_costs">OFFSET('[1]Advertising costs'!$A$12,0,0,COUNTA('[1]Advertising costs'!$A:$A),COUNTA('[1]Advertising costs'!$12:$12))</definedName>
    <definedName name="Allocation_rates_linked">OFFSET('[1]Corp allocation rates'!$A$10,0,0,COUNTA('[1]Corp allocation rates'!$A:$A),COUNTA('[1]Corp allocation rates'!$11:$11))</definedName>
    <definedName name="Corp_allocation_rates">OFFSET('[1]Corp allocation rates'!$A$11,0,0,COUNTA('[1]Corp allocation rates'!$A:$A),COUNTA('[1]Corp allocation rates'!$11:$11))</definedName>
    <definedName name="Corp_allocation_rates_dollars">OFFSET('[1]Weighted avg div alloc rates'!$A$28,0,0,COUNTA('[1]Weighted avg div alloc rates'!$A:$A),COUNTA('[1]Weighted avg div alloc rates'!$28:$28))</definedName>
    <definedName name="Current_Dept_tree">OFFSET('[1]Current Dept tree'!$A$4,1,0,COUNTA('[1]Current Dept tree'!$A:$A),COUNTA('[1]Current Dept tree'!$4:$4))</definedName>
    <definedName name="Dept_names_2015">OFFSET('[2]Dept names'!$A$5,0,0,COUNTA('[2]Dept names'!$A:$A),2)</definedName>
    <definedName name="Dept_names_2016">OFFSET('[2]Dept names'!$C$5,0,0,COUNTA('[2]Dept names'!$C:$C),2)</definedName>
    <definedName name="Dept_names_2017">OFFSET('[2]Dept names'!$E$5,0,0,COUNTA('[2]Dept names'!$E:$E),2)</definedName>
    <definedName name="Dept_names_2018">OFFSET('[2]Dept names'!$G$5,0,0,COUNTA('[2]Dept names'!$G:$G),2)</definedName>
    <definedName name="Dept_names_2019">OFFSET('[2]Dept names'!$I$5,0,0,COUNTA('[2]Dept names'!$I:$I),2)</definedName>
    <definedName name="Dept_names_current">('[1]General data inputs'!$E$20:$F$39)</definedName>
    <definedName name="MeterAC">'[1]Moved to AC'!$A$7:$L$18</definedName>
    <definedName name="OH_inputs">OFFSET('[1]OH inputs'!$A$14,0,0,COUNTA('[1]OH inputs'!$A:$A),COUNTA('[1]OH inputs'!$17:$17))</definedName>
    <definedName name="OHWorkings_2015">OFFSET('[1]OH workings 2015'!$A$12,0,0,COUNTA('[1]OH workings 2015'!$A:$A),COUNTA('[1]OH workings 2015'!$12:$12))</definedName>
    <definedName name="OHworkings_2016">OFFSET('[1]OH workings 2016'!$A$12,0,0,COUNTA('[1]OH workings 2016'!$A:$A),COUNTA('[1]OH workings 2016'!$10:$12))</definedName>
    <definedName name="OHWorkings_2017">OFFSET('[1]OH workings 2017'!$A$12,0,0,COUNTA('[1]OH workings 2017'!$A:$A),COUNTA('[1]OH workings 2017'!$10:$12))</definedName>
    <definedName name="OHWorkings_2018">OFFSET('[1]OH workings 2018'!$A$12,0,0,COUNTA('[1]OH workings 2018'!$A:$A),COUNTA('[1]OH workings 2018'!$10:$12))</definedName>
    <definedName name="OHWorkings_2019">OFFSET('[1]OH workings 2019'!$A$12,0,0,COUNTA('[1]OH workings 2019'!$A:$A),COUNTA('[1]OH workings 2019'!$10:$12))</definedName>
    <definedName name="Reg_reporting">OFFSET('[1]Reg reporting depts'!$A$5,1,0,COUNTA('[1]Reg reporting depts'!$A:$A),COUNTA('[1]Reg reporting depts'!$5:$5))</definedName>
    <definedName name="solver_adj" localSheetId="2" hidden="1">'Price Build Up'!$J$91</definedName>
    <definedName name="solver_cvg" localSheetId="2" hidden="1">0.0001</definedName>
    <definedName name="solver_drv" localSheetId="2" hidden="1">1</definedName>
    <definedName name="solver_eng" localSheetId="2" hidden="1">1</definedName>
    <definedName name="solver_est" localSheetId="2" hidden="1">1</definedName>
    <definedName name="solver_itr" localSheetId="2" hidden="1">2147483647</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0</definedName>
    <definedName name="solver_nwt" localSheetId="2" hidden="1">1</definedName>
    <definedName name="solver_opt" localSheetId="2" hidden="1">'Price Build Up'!$L$91</definedName>
    <definedName name="solver_pre" localSheetId="2" hidden="1">0.000001</definedName>
    <definedName name="solver_rbv"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3</definedName>
    <definedName name="solver_val" localSheetId="2" hidden="1">3430887</definedName>
    <definedName name="solver_ver" localSheetId="2" hidden="1">3</definedName>
    <definedName name="Weighted_avg_div_rate_Corp_allocations">'[1]Weighted avg div alloc rates'!$C$8:$AL$22</definedName>
  </definedNames>
  <calcPr calcId="145621"/>
  <customWorkbookViews>
    <customWorkbookView name="Gerard Fogarty - Personal View" guid="{935FDB08-2C7A-4709-9BC5-9809E261DD86}" mergeInterval="0" personalView="1" maximized="1" windowWidth="1280" windowHeight="824" tabRatio="925" activeSheetId="1"/>
  </customWorkbookViews>
</workbook>
</file>

<file path=xl/calcChain.xml><?xml version="1.0" encoding="utf-8"?>
<calcChain xmlns="http://schemas.openxmlformats.org/spreadsheetml/2006/main">
  <c r="H47" i="20" l="1"/>
  <c r="G47" i="20"/>
  <c r="F47" i="20"/>
  <c r="E47" i="20"/>
  <c r="D47" i="20"/>
  <c r="C52" i="17" l="1"/>
  <c r="C44" i="17"/>
  <c r="E37" i="17"/>
  <c r="F37" i="17" l="1"/>
  <c r="E52" i="17" s="1"/>
  <c r="E54" i="17" l="1"/>
  <c r="D19" i="17" l="1"/>
  <c r="D20" i="17"/>
  <c r="D21" i="17"/>
  <c r="D22" i="17"/>
  <c r="D23" i="17"/>
  <c r="D24" i="17"/>
  <c r="D18" i="17"/>
  <c r="R93" i="4" l="1"/>
  <c r="D8" i="4" l="1"/>
  <c r="D9" i="4"/>
  <c r="D34" i="23"/>
  <c r="D35" i="23"/>
  <c r="E34" i="23"/>
  <c r="E35" i="23"/>
  <c r="J34" i="23"/>
  <c r="J35" i="23"/>
  <c r="I34" i="23"/>
  <c r="I35" i="23"/>
  <c r="H34" i="23"/>
  <c r="H35" i="23"/>
  <c r="G34" i="23"/>
  <c r="E8" i="4" s="1"/>
  <c r="G35" i="23"/>
  <c r="E9" i="4" s="1"/>
  <c r="F34" i="23"/>
  <c r="F35" i="23"/>
  <c r="F8" i="4" l="1"/>
  <c r="H8" i="4"/>
  <c r="G9" i="4"/>
  <c r="G8" i="4"/>
  <c r="F9" i="4"/>
  <c r="H9" i="4"/>
  <c r="D6" i="4"/>
  <c r="D4" i="20" l="1"/>
  <c r="C48" i="23"/>
  <c r="E59" i="23" s="1"/>
  <c r="E57" i="23"/>
  <c r="I10" i="4"/>
  <c r="F56" i="9"/>
  <c r="E36" i="20" s="1"/>
  <c r="F63" i="9"/>
  <c r="H56" i="9"/>
  <c r="F36" i="20" s="1"/>
  <c r="H63" i="9"/>
  <c r="J56" i="9"/>
  <c r="J63" i="9"/>
  <c r="G41" i="20" s="1"/>
  <c r="L56" i="9"/>
  <c r="H36" i="20" s="1"/>
  <c r="L63" i="9"/>
  <c r="Q7" i="4"/>
  <c r="R7" i="4" s="1"/>
  <c r="Q6" i="4"/>
  <c r="R6" i="4" s="1"/>
  <c r="Q8" i="4"/>
  <c r="R8" i="4" s="1"/>
  <c r="Q9" i="4"/>
  <c r="R9" i="4" s="1"/>
  <c r="Q10" i="4"/>
  <c r="R10" i="4" s="1"/>
  <c r="Q11" i="4"/>
  <c r="R11" i="4" s="1"/>
  <c r="F77" i="23"/>
  <c r="G77" i="23" s="1"/>
  <c r="H77" i="23" s="1"/>
  <c r="I77" i="23" s="1"/>
  <c r="J77" i="23" s="1"/>
  <c r="F76" i="23"/>
  <c r="B15" i="1"/>
  <c r="B19" i="4"/>
  <c r="B16" i="1" s="1"/>
  <c r="B20" i="4"/>
  <c r="B90" i="4" s="1"/>
  <c r="B14" i="1"/>
  <c r="B87" i="4"/>
  <c r="C7" i="4"/>
  <c r="C10" i="4"/>
  <c r="C19" i="20"/>
  <c r="E38" i="9"/>
  <c r="G38" i="9"/>
  <c r="I38" i="9"/>
  <c r="K38" i="9"/>
  <c r="C38" i="9"/>
  <c r="E51" i="9"/>
  <c r="E56" i="9"/>
  <c r="G51" i="9"/>
  <c r="G56" i="9"/>
  <c r="F22" i="9"/>
  <c r="E14" i="20" s="1"/>
  <c r="H22" i="9"/>
  <c r="F14" i="20" s="1"/>
  <c r="J22" i="9"/>
  <c r="G14" i="20" s="1"/>
  <c r="L22" i="9"/>
  <c r="H14" i="20" s="1"/>
  <c r="D13" i="9"/>
  <c r="D22" i="9"/>
  <c r="G4" i="11"/>
  <c r="L13" i="9"/>
  <c r="L24" i="9" s="1"/>
  <c r="K13" i="9"/>
  <c r="K22" i="9"/>
  <c r="J13" i="9"/>
  <c r="J24" i="9" s="1"/>
  <c r="I13" i="9"/>
  <c r="I22" i="9"/>
  <c r="H13" i="9"/>
  <c r="H24" i="9" s="1"/>
  <c r="G13" i="9"/>
  <c r="G22" i="9"/>
  <c r="F13" i="9"/>
  <c r="F24" i="9" s="1"/>
  <c r="E13" i="9"/>
  <c r="E22" i="9"/>
  <c r="C13" i="9"/>
  <c r="C22" i="9"/>
  <c r="E10" i="17"/>
  <c r="C25" i="17"/>
  <c r="C17" i="17"/>
  <c r="F10" i="17"/>
  <c r="E25" i="17"/>
  <c r="E27" i="17"/>
  <c r="G8" i="22"/>
  <c r="H8" i="22" s="1"/>
  <c r="G9" i="22"/>
  <c r="H9" i="22" s="1"/>
  <c r="G10" i="22"/>
  <c r="H10" i="22" s="1"/>
  <c r="G11" i="22"/>
  <c r="H11" i="22" s="1"/>
  <c r="C39" i="23"/>
  <c r="C46" i="23"/>
  <c r="C47" i="23"/>
  <c r="F47" i="23" s="1"/>
  <c r="G47" i="23" s="1"/>
  <c r="H47" i="23" s="1"/>
  <c r="I47" i="23" s="1"/>
  <c r="J47" i="23" s="1"/>
  <c r="F48" i="23"/>
  <c r="G48" i="23" s="1"/>
  <c r="H48" i="23" s="1"/>
  <c r="I48" i="23" s="1"/>
  <c r="J48" i="23" s="1"/>
  <c r="C49" i="23"/>
  <c r="F49" i="23"/>
  <c r="G49" i="23" s="1"/>
  <c r="H49" i="23" s="1"/>
  <c r="I49" i="23" s="1"/>
  <c r="J49" i="23" s="1"/>
  <c r="K50" i="23"/>
  <c r="G7" i="22"/>
  <c r="H7" i="22" s="1"/>
  <c r="G6" i="22"/>
  <c r="H6" i="22" s="1"/>
  <c r="B21" i="1"/>
  <c r="B22" i="1"/>
  <c r="B23" i="1"/>
  <c r="B24" i="1"/>
  <c r="B25" i="1"/>
  <c r="B20" i="1"/>
  <c r="C8" i="4"/>
  <c r="C9" i="4"/>
  <c r="C11" i="4"/>
  <c r="C6" i="4"/>
  <c r="C2" i="4"/>
  <c r="C3" i="4"/>
  <c r="D10" i="23"/>
  <c r="E10" i="23" s="1"/>
  <c r="F10" i="23" s="1"/>
  <c r="G10" i="23" s="1"/>
  <c r="H10" i="23" s="1"/>
  <c r="I10" i="23" s="1"/>
  <c r="J10" i="23" s="1"/>
  <c r="I56" i="9"/>
  <c r="K56" i="9"/>
  <c r="B11" i="4"/>
  <c r="B10" i="4"/>
  <c r="B9" i="4"/>
  <c r="B8" i="4"/>
  <c r="B7" i="4"/>
  <c r="B6" i="4"/>
  <c r="H3" i="4"/>
  <c r="G3" i="4"/>
  <c r="F3" i="4"/>
  <c r="E3" i="4"/>
  <c r="D3" i="4"/>
  <c r="H2" i="4"/>
  <c r="G2" i="4"/>
  <c r="F2" i="4"/>
  <c r="E2" i="4"/>
  <c r="D2" i="4"/>
  <c r="B2" i="4"/>
  <c r="C51" i="9"/>
  <c r="I51" i="9"/>
  <c r="K51" i="9"/>
  <c r="C4" i="17"/>
  <c r="G76" i="23" l="1"/>
  <c r="D54" i="20"/>
  <c r="D37" i="20"/>
  <c r="D30" i="20"/>
  <c r="D42" i="20"/>
  <c r="E63" i="23"/>
  <c r="D63" i="23" s="1"/>
  <c r="B17" i="1"/>
  <c r="D24" i="9"/>
  <c r="I24" i="9"/>
  <c r="G24" i="9"/>
  <c r="G36" i="20"/>
  <c r="C24" i="9"/>
  <c r="E24" i="9"/>
  <c r="K24" i="9"/>
  <c r="D36" i="23"/>
  <c r="E37" i="23"/>
  <c r="E33" i="23"/>
  <c r="D32" i="23"/>
  <c r="D37" i="23"/>
  <c r="D33" i="23"/>
  <c r="I33" i="23"/>
  <c r="F10" i="4"/>
  <c r="H36" i="23"/>
  <c r="H32" i="23"/>
  <c r="G33" i="23"/>
  <c r="I37" i="23"/>
  <c r="G37" i="23"/>
  <c r="E20" i="4" s="1"/>
  <c r="H10" i="4"/>
  <c r="J36" i="23"/>
  <c r="J32" i="23"/>
  <c r="F37" i="23"/>
  <c r="D11" i="4"/>
  <c r="D10" i="4"/>
  <c r="F36" i="23"/>
  <c r="F33" i="23"/>
  <c r="D7" i="4"/>
  <c r="G10" i="4"/>
  <c r="I36" i="23"/>
  <c r="I32" i="23"/>
  <c r="H33" i="23"/>
  <c r="E10" i="4"/>
  <c r="G36" i="23"/>
  <c r="G32" i="23"/>
  <c r="H37" i="23"/>
  <c r="J37" i="23"/>
  <c r="J29" i="23"/>
  <c r="J33" i="23"/>
  <c r="E36" i="23"/>
  <c r="F32" i="23"/>
  <c r="E32" i="23"/>
  <c r="R13" i="4"/>
  <c r="L6" i="4" s="1"/>
  <c r="B88" i="4"/>
  <c r="D29" i="23"/>
  <c r="C29" i="23"/>
  <c r="C57" i="23"/>
  <c r="I11" i="4" s="1"/>
  <c r="C59" i="23"/>
  <c r="F29" i="23"/>
  <c r="I29" i="23"/>
  <c r="E29" i="23"/>
  <c r="M6" i="11"/>
  <c r="B89" i="4"/>
  <c r="H29" i="23"/>
  <c r="G29" i="23"/>
  <c r="E50" i="23"/>
  <c r="F46" i="23"/>
  <c r="D50" i="23"/>
  <c r="D56" i="9"/>
  <c r="H76" i="23" l="1"/>
  <c r="E37" i="20"/>
  <c r="E30" i="20"/>
  <c r="E42" i="20"/>
  <c r="E54" i="20"/>
  <c r="G40" i="23"/>
  <c r="D52" i="23"/>
  <c r="D53" i="23" s="1"/>
  <c r="D31" i="1"/>
  <c r="D36" i="20"/>
  <c r="D14" i="20"/>
  <c r="F11" i="4"/>
  <c r="E17" i="4"/>
  <c r="F17" i="4" s="1"/>
  <c r="G17" i="4" s="1"/>
  <c r="E39" i="23"/>
  <c r="E41" i="23" s="1"/>
  <c r="H53" i="20"/>
  <c r="G53" i="20"/>
  <c r="F53" i="20"/>
  <c r="E53" i="20"/>
  <c r="D53" i="20"/>
  <c r="E18" i="4"/>
  <c r="F18" i="4" s="1"/>
  <c r="G18" i="4" s="1"/>
  <c r="H18" i="4" s="1"/>
  <c r="J40" i="23"/>
  <c r="D39" i="23"/>
  <c r="D41" i="23" s="1"/>
  <c r="H11" i="4"/>
  <c r="F7" i="4"/>
  <c r="G11" i="4"/>
  <c r="G6" i="4"/>
  <c r="G50" i="4" s="1"/>
  <c r="F20" i="4"/>
  <c r="G20" i="4" s="1"/>
  <c r="H20" i="4" s="1"/>
  <c r="E11" i="4"/>
  <c r="E7" i="4"/>
  <c r="G7" i="4"/>
  <c r="H40" i="23"/>
  <c r="D40" i="23"/>
  <c r="C13" i="4"/>
  <c r="E40" i="23"/>
  <c r="I40" i="23"/>
  <c r="D13" i="4"/>
  <c r="D23" i="4" s="1"/>
  <c r="F40" i="23"/>
  <c r="H7" i="4"/>
  <c r="E6" i="4"/>
  <c r="H6" i="4"/>
  <c r="H50" i="4" s="1"/>
  <c r="F6" i="4"/>
  <c r="L10" i="4"/>
  <c r="G54" i="4" s="1"/>
  <c r="L8" i="4"/>
  <c r="E52" i="4" s="1"/>
  <c r="L7" i="4"/>
  <c r="D51" i="4" s="1"/>
  <c r="L9" i="4"/>
  <c r="D50" i="4"/>
  <c r="M17" i="4"/>
  <c r="L11" i="4"/>
  <c r="E52" i="23"/>
  <c r="E53" i="23" s="1"/>
  <c r="E54" i="4"/>
  <c r="F39" i="23"/>
  <c r="F41" i="23" s="1"/>
  <c r="J39" i="23"/>
  <c r="I6" i="4"/>
  <c r="I7" i="4"/>
  <c r="C58" i="23"/>
  <c r="D63" i="9"/>
  <c r="H39" i="23"/>
  <c r="F54" i="4"/>
  <c r="I39" i="23"/>
  <c r="G39" i="23"/>
  <c r="I9" i="4"/>
  <c r="C60" i="23"/>
  <c r="I8" i="4"/>
  <c r="G46" i="23"/>
  <c r="F50" i="23"/>
  <c r="F52" i="23" s="1"/>
  <c r="F53" i="23" s="1"/>
  <c r="I76" i="23" l="1"/>
  <c r="F30" i="20"/>
  <c r="F42" i="20"/>
  <c r="F37" i="20"/>
  <c r="F54" i="20"/>
  <c r="F52" i="4"/>
  <c r="F55" i="4"/>
  <c r="E22" i="4"/>
  <c r="G22" i="4"/>
  <c r="D14" i="4"/>
  <c r="F22" i="4"/>
  <c r="G13" i="4"/>
  <c r="E13" i="4"/>
  <c r="E14" i="4" s="1"/>
  <c r="E50" i="4"/>
  <c r="H13" i="4"/>
  <c r="H17" i="4"/>
  <c r="H22" i="4" s="1"/>
  <c r="F13" i="4"/>
  <c r="F50" i="4"/>
  <c r="D52" i="4"/>
  <c r="G52" i="4"/>
  <c r="H52" i="4"/>
  <c r="M19" i="4"/>
  <c r="D54" i="4"/>
  <c r="H54" i="4"/>
  <c r="F51" i="4"/>
  <c r="G51" i="4"/>
  <c r="E51" i="4"/>
  <c r="H51" i="4"/>
  <c r="M18" i="4"/>
  <c r="M20" i="4"/>
  <c r="D55" i="4"/>
  <c r="E55" i="4"/>
  <c r="G55" i="4"/>
  <c r="D53" i="4"/>
  <c r="G53" i="4"/>
  <c r="E53" i="4"/>
  <c r="H53" i="4"/>
  <c r="F53" i="4"/>
  <c r="H55" i="4"/>
  <c r="L13" i="4"/>
  <c r="F38" i="9"/>
  <c r="E46" i="20" s="1"/>
  <c r="L38" i="9"/>
  <c r="H46" i="20" s="1"/>
  <c r="F51" i="9"/>
  <c r="G41" i="23"/>
  <c r="I41" i="23"/>
  <c r="L51" i="9"/>
  <c r="K40" i="23"/>
  <c r="J38" i="9"/>
  <c r="G46" i="20" s="1"/>
  <c r="H51" i="9"/>
  <c r="I13" i="4"/>
  <c r="J8" i="4" s="1"/>
  <c r="D24" i="4"/>
  <c r="H41" i="23"/>
  <c r="D51" i="9"/>
  <c r="H38" i="9"/>
  <c r="F46" i="20" s="1"/>
  <c r="D38" i="9"/>
  <c r="J41" i="23"/>
  <c r="K39" i="23"/>
  <c r="H46" i="23"/>
  <c r="G50" i="23"/>
  <c r="G52" i="23" s="1"/>
  <c r="G53" i="23" s="1"/>
  <c r="J76" i="23" l="1"/>
  <c r="G42" i="20"/>
  <c r="G30" i="20"/>
  <c r="G54" i="20"/>
  <c r="G37" i="20"/>
  <c r="G23" i="4"/>
  <c r="G24" i="4" s="1"/>
  <c r="D46" i="20"/>
  <c r="D48" i="20" s="1"/>
  <c r="E41" i="20"/>
  <c r="D41" i="20"/>
  <c r="H41" i="20"/>
  <c r="F41" i="20"/>
  <c r="F23" i="4"/>
  <c r="F24" i="4" s="1"/>
  <c r="E23" i="4"/>
  <c r="E24" i="4" s="1"/>
  <c r="H48" i="20"/>
  <c r="F48" i="20"/>
  <c r="G48" i="20"/>
  <c r="E48" i="20"/>
  <c r="H23" i="4"/>
  <c r="H24" i="4" s="1"/>
  <c r="F14" i="4"/>
  <c r="G14" i="4"/>
  <c r="H14" i="4"/>
  <c r="F56" i="4"/>
  <c r="H56" i="4"/>
  <c r="D56" i="4"/>
  <c r="M22" i="4"/>
  <c r="L19" i="4" s="1"/>
  <c r="E56" i="4"/>
  <c r="G56" i="4"/>
  <c r="I17" i="4"/>
  <c r="J10" i="4"/>
  <c r="J11" i="4"/>
  <c r="J7" i="4"/>
  <c r="J6" i="4"/>
  <c r="J9" i="4"/>
  <c r="D43" i="4"/>
  <c r="H43" i="4"/>
  <c r="F43" i="4"/>
  <c r="G43" i="4"/>
  <c r="K17" i="4"/>
  <c r="E43" i="4"/>
  <c r="I18" i="4"/>
  <c r="I20" i="4"/>
  <c r="I19" i="4"/>
  <c r="I46" i="23"/>
  <c r="H50" i="23"/>
  <c r="H52" i="23" s="1"/>
  <c r="H53" i="23" s="1"/>
  <c r="H54" i="20" l="1"/>
  <c r="H37" i="20"/>
  <c r="H42" i="20"/>
  <c r="H30" i="20"/>
  <c r="L20" i="4"/>
  <c r="E71" i="4" s="1"/>
  <c r="L18" i="4"/>
  <c r="G69" i="4" s="1"/>
  <c r="L17" i="4"/>
  <c r="G68" i="4" s="1"/>
  <c r="E68" i="4"/>
  <c r="F68" i="4"/>
  <c r="H68" i="4"/>
  <c r="H71" i="4"/>
  <c r="E69" i="4"/>
  <c r="F69" i="4"/>
  <c r="H69" i="4"/>
  <c r="E70" i="4"/>
  <c r="F70" i="4"/>
  <c r="G70" i="4"/>
  <c r="H70" i="4"/>
  <c r="G45" i="4"/>
  <c r="K19" i="4"/>
  <c r="E45" i="4"/>
  <c r="D45" i="4"/>
  <c r="H45" i="4"/>
  <c r="F45" i="4"/>
  <c r="K18" i="4"/>
  <c r="E44" i="4"/>
  <c r="G44" i="4"/>
  <c r="D44" i="4"/>
  <c r="H44" i="4"/>
  <c r="F44" i="4"/>
  <c r="G41" i="4"/>
  <c r="J13" i="4"/>
  <c r="D41" i="4"/>
  <c r="E41" i="4"/>
  <c r="F41" i="4"/>
  <c r="H41" i="4"/>
  <c r="D42" i="4"/>
  <c r="H42" i="4"/>
  <c r="F42" i="4"/>
  <c r="G42" i="4"/>
  <c r="E42" i="4"/>
  <c r="K20" i="4"/>
  <c r="D46" i="4"/>
  <c r="E46" i="4"/>
  <c r="G46" i="4"/>
  <c r="H46" i="4"/>
  <c r="F46" i="4"/>
  <c r="I50" i="23"/>
  <c r="I52" i="23" s="1"/>
  <c r="I53" i="23" s="1"/>
  <c r="J46" i="23"/>
  <c r="J50" i="23" s="1"/>
  <c r="G71" i="4" l="1"/>
  <c r="G72" i="4" s="1"/>
  <c r="F71" i="4"/>
  <c r="F72" i="4" s="1"/>
  <c r="E72" i="4"/>
  <c r="H72" i="4"/>
  <c r="K22" i="4"/>
  <c r="J17" i="4" s="1"/>
  <c r="E47" i="4"/>
  <c r="F47" i="4"/>
  <c r="G47" i="4"/>
  <c r="D47" i="4"/>
  <c r="H47" i="4"/>
  <c r="J52" i="23"/>
  <c r="J53" i="23" s="1"/>
  <c r="E60" i="4" l="1"/>
  <c r="F60" i="4"/>
  <c r="G60" i="4"/>
  <c r="H60" i="4"/>
  <c r="J19" i="4"/>
  <c r="J20" i="4"/>
  <c r="J18" i="4"/>
  <c r="E63" i="4" l="1"/>
  <c r="F63" i="4"/>
  <c r="G63" i="4"/>
  <c r="H63" i="4"/>
  <c r="E61" i="4"/>
  <c r="F61" i="4"/>
  <c r="G61" i="4"/>
  <c r="H61" i="4"/>
  <c r="E62" i="4"/>
  <c r="F62" i="4"/>
  <c r="G62" i="4"/>
  <c r="H62" i="4"/>
  <c r="H64" i="4" s="1"/>
  <c r="F64" i="4" l="1"/>
  <c r="G64" i="4"/>
  <c r="E64" i="4"/>
  <c r="G8" i="20" l="1"/>
  <c r="H8" i="20" l="1"/>
  <c r="H43" i="20" s="1"/>
  <c r="H44" i="20" s="1"/>
  <c r="G38" i="20"/>
  <c r="G39" i="20" s="1"/>
  <c r="G55" i="20"/>
  <c r="G56" i="20" s="1"/>
  <c r="G43" i="20"/>
  <c r="G44" i="20" s="1"/>
  <c r="G49" i="20"/>
  <c r="G50" i="20" s="1"/>
  <c r="G15" i="20"/>
  <c r="G16" i="20" s="1"/>
  <c r="G17" i="20" s="1"/>
  <c r="G31" i="20"/>
  <c r="G32" i="20" s="1"/>
  <c r="H55" i="20"/>
  <c r="H56" i="20" s="1"/>
  <c r="H49" i="20"/>
  <c r="H50" i="20" s="1"/>
  <c r="H15" i="20"/>
  <c r="H16" i="20" s="1"/>
  <c r="H17" i="20" s="1"/>
  <c r="H31" i="20"/>
  <c r="H32" i="20" s="1"/>
  <c r="H38" i="20"/>
  <c r="H39" i="20" s="1"/>
  <c r="G36" i="4" l="1"/>
  <c r="G29" i="4"/>
  <c r="E8" i="20"/>
  <c r="E43" i="20" s="1"/>
  <c r="E44" i="20" s="1"/>
  <c r="G58" i="20"/>
  <c r="G35" i="4"/>
  <c r="G88" i="4" s="1"/>
  <c r="G31" i="4"/>
  <c r="H35" i="4"/>
  <c r="H29" i="4"/>
  <c r="E55" i="20"/>
  <c r="E56" i="20" s="1"/>
  <c r="H36" i="4"/>
  <c r="H31" i="4"/>
  <c r="H58" i="20"/>
  <c r="D8" i="20"/>
  <c r="E38" i="20" l="1"/>
  <c r="E39" i="20" s="1"/>
  <c r="E31" i="20"/>
  <c r="E32" i="20" s="1"/>
  <c r="E31" i="4" s="1"/>
  <c r="E49" i="20"/>
  <c r="E50" i="20" s="1"/>
  <c r="G87" i="4"/>
  <c r="E15" i="20"/>
  <c r="E16" i="20" s="1"/>
  <c r="E17" i="20" s="1"/>
  <c r="G89" i="4"/>
  <c r="G90" i="4"/>
  <c r="F17" i="1" s="1"/>
  <c r="F15" i="1"/>
  <c r="H89" i="4"/>
  <c r="H87" i="4"/>
  <c r="H90" i="4"/>
  <c r="H88" i="4"/>
  <c r="D49" i="20"/>
  <c r="D50" i="20" s="1"/>
  <c r="D38" i="20"/>
  <c r="D39" i="20" s="1"/>
  <c r="D31" i="20"/>
  <c r="D32" i="20" s="1"/>
  <c r="D55" i="20"/>
  <c r="D56" i="20" s="1"/>
  <c r="D43" i="20"/>
  <c r="D44" i="20" s="1"/>
  <c r="D15" i="20"/>
  <c r="D16" i="20" s="1"/>
  <c r="D17" i="20" s="1"/>
  <c r="E36" i="4" l="1"/>
  <c r="E58" i="20"/>
  <c r="E35" i="4"/>
  <c r="E29" i="4"/>
  <c r="F14" i="1"/>
  <c r="F16" i="1"/>
  <c r="D58" i="20"/>
  <c r="G15" i="1"/>
  <c r="D31" i="4"/>
  <c r="D36" i="4"/>
  <c r="G17" i="1"/>
  <c r="G16" i="1"/>
  <c r="D35" i="4"/>
  <c r="D29" i="4"/>
  <c r="G14" i="1"/>
  <c r="E90" i="4" l="1"/>
  <c r="D17" i="1" s="1"/>
  <c r="E88" i="4"/>
  <c r="D15" i="1" s="1"/>
  <c r="E87" i="4"/>
  <c r="D14" i="1" s="1"/>
  <c r="E89" i="4"/>
  <c r="F8" i="20"/>
  <c r="D16" i="1" l="1"/>
  <c r="F43" i="20"/>
  <c r="F44" i="20" s="1"/>
  <c r="F31" i="20"/>
  <c r="F32" i="20" s="1"/>
  <c r="F55" i="20"/>
  <c r="F56" i="20" s="1"/>
  <c r="F49" i="20"/>
  <c r="F50" i="20" s="1"/>
  <c r="F15" i="20"/>
  <c r="F16" i="20" s="1"/>
  <c r="F17" i="20" s="1"/>
  <c r="F38" i="20"/>
  <c r="F39" i="20" s="1"/>
  <c r="I4" i="22"/>
  <c r="F31" i="4" l="1"/>
  <c r="F36" i="4"/>
  <c r="F29" i="4"/>
  <c r="F35" i="4"/>
  <c r="I9" i="22"/>
  <c r="J9" i="22" s="1"/>
  <c r="K9" i="22" s="1"/>
  <c r="L9" i="22" s="1"/>
  <c r="C23" i="1" s="1"/>
  <c r="I8" i="22"/>
  <c r="J8" i="22" s="1"/>
  <c r="K8" i="22" s="1"/>
  <c r="L8" i="22" s="1"/>
  <c r="C22" i="1" s="1"/>
  <c r="I7" i="22"/>
  <c r="J7" i="22" s="1"/>
  <c r="K7" i="22" s="1"/>
  <c r="L7" i="22" s="1"/>
  <c r="C21" i="1" s="1"/>
  <c r="I11" i="22"/>
  <c r="J11" i="22" s="1"/>
  <c r="K11" i="22" s="1"/>
  <c r="L11" i="22" s="1"/>
  <c r="C25" i="1" s="1"/>
  <c r="I10" i="22"/>
  <c r="J10" i="22" s="1"/>
  <c r="K10" i="22" s="1"/>
  <c r="L10" i="22" s="1"/>
  <c r="C24" i="1" s="1"/>
  <c r="I6" i="22"/>
  <c r="J6" i="22" s="1"/>
  <c r="K6" i="22" s="1"/>
  <c r="L6" i="22" s="1"/>
  <c r="C20" i="1" s="1"/>
  <c r="F58" i="20"/>
  <c r="F88" i="4" l="1"/>
  <c r="F87" i="4"/>
  <c r="F89" i="4"/>
  <c r="F90" i="4"/>
  <c r="I37" i="4"/>
  <c r="E14" i="1" l="1"/>
  <c r="E17" i="1"/>
  <c r="E15" i="1"/>
  <c r="E16" i="1"/>
  <c r="D30" i="4" l="1"/>
  <c r="D33" i="1" l="1"/>
  <c r="E31" i="1" l="1"/>
  <c r="E33" i="1" s="1"/>
  <c r="E30" i="4" l="1"/>
  <c r="D60" i="20"/>
  <c r="D28" i="4"/>
  <c r="D77" i="4" s="1"/>
  <c r="D80" i="4" l="1"/>
  <c r="D79" i="4"/>
  <c r="D82" i="4"/>
  <c r="D78" i="4"/>
  <c r="D81" i="4"/>
  <c r="F30" i="4"/>
  <c r="F31" i="1" l="1"/>
  <c r="F33" i="1" s="1"/>
  <c r="C11" i="1"/>
  <c r="C6" i="1"/>
  <c r="C10" i="1"/>
  <c r="C9" i="1"/>
  <c r="C8" i="1"/>
  <c r="C7" i="1"/>
  <c r="G31" i="1" l="1"/>
  <c r="G33" i="1" s="1"/>
  <c r="H31" i="1"/>
  <c r="H33" i="1" s="1"/>
  <c r="E60" i="20"/>
  <c r="E28" i="4"/>
  <c r="G30" i="4" l="1"/>
  <c r="E77" i="4"/>
  <c r="E82" i="4"/>
  <c r="E81" i="4"/>
  <c r="E78" i="4"/>
  <c r="E80" i="4"/>
  <c r="E79" i="4"/>
  <c r="H30" i="4" l="1"/>
  <c r="D10" i="1"/>
  <c r="D8" i="1"/>
  <c r="D11" i="1"/>
  <c r="D7" i="1"/>
  <c r="D9" i="1"/>
  <c r="D6" i="1"/>
  <c r="F28" i="4" l="1"/>
  <c r="F60" i="20"/>
  <c r="F82" i="4" l="1"/>
  <c r="F77" i="4"/>
  <c r="F80" i="4"/>
  <c r="F78" i="4"/>
  <c r="F81" i="4"/>
  <c r="F79" i="4"/>
  <c r="E10" i="1" l="1"/>
  <c r="E11" i="1"/>
  <c r="E7" i="1"/>
  <c r="E9" i="1"/>
  <c r="E8" i="1"/>
  <c r="E6" i="1"/>
  <c r="G28" i="4" l="1"/>
  <c r="G60" i="20"/>
  <c r="G77" i="4" l="1"/>
  <c r="G79" i="4"/>
  <c r="G80" i="4"/>
  <c r="G81" i="4"/>
  <c r="G78" i="4"/>
  <c r="G82" i="4"/>
  <c r="F10" i="1" l="1"/>
  <c r="F9" i="1"/>
  <c r="F11" i="1"/>
  <c r="F8" i="1"/>
  <c r="F7" i="1"/>
  <c r="F6" i="1"/>
  <c r="H60" i="20" l="1"/>
  <c r="H28" i="4"/>
  <c r="H79" i="4" l="1"/>
  <c r="H78" i="4"/>
  <c r="H80" i="4"/>
  <c r="H82" i="4"/>
  <c r="H81" i="4"/>
  <c r="H77" i="4"/>
  <c r="I32" i="4"/>
  <c r="J30" i="4"/>
  <c r="G11" i="1" l="1"/>
  <c r="G6" i="1"/>
  <c r="G7" i="1"/>
  <c r="G9" i="1"/>
  <c r="G10" i="1"/>
  <c r="G8" i="1"/>
</calcChain>
</file>

<file path=xl/comments1.xml><?xml version="1.0" encoding="utf-8"?>
<comments xmlns="http://schemas.openxmlformats.org/spreadsheetml/2006/main">
  <authors>
    <author>Catherine Waddell</author>
  </authors>
  <commentList>
    <comment ref="C50" authorId="0">
      <text>
        <r>
          <rPr>
            <b/>
            <sz val="8"/>
            <color indexed="81"/>
            <rFont val="Tahoma"/>
            <family val="2"/>
          </rPr>
          <t>Catherine Waddell:</t>
        </r>
        <r>
          <rPr>
            <sz val="8"/>
            <color indexed="81"/>
            <rFont val="Tahoma"/>
            <family val="2"/>
          </rPr>
          <t xml:space="preserve">
from Debbie</t>
        </r>
      </text>
    </comment>
  </commentList>
</comments>
</file>

<file path=xl/comments2.xml><?xml version="1.0" encoding="utf-8"?>
<comments xmlns="http://schemas.openxmlformats.org/spreadsheetml/2006/main">
  <authors>
    <author>Gerard Fogarty</author>
  </authors>
  <commentList>
    <comment ref="I11" authorId="0">
      <text>
        <r>
          <rPr>
            <b/>
            <sz val="8"/>
            <color indexed="81"/>
            <rFont val="Tahoma"/>
            <family val="2"/>
          </rPr>
          <t>Gerard Fogarty:</t>
        </r>
        <r>
          <rPr>
            <sz val="8"/>
            <color indexed="81"/>
            <rFont val="Tahoma"/>
            <family val="2"/>
          </rPr>
          <t xml:space="preserve">
This reflect the incremental cost of the solar meter installation only (over a standard residential meter)</t>
        </r>
      </text>
    </comment>
  </commentList>
</comments>
</file>

<file path=xl/comments3.xml><?xml version="1.0" encoding="utf-8"?>
<comments xmlns="http://schemas.openxmlformats.org/spreadsheetml/2006/main">
  <authors>
    <author>Catherine Waddell</author>
  </authors>
  <commentList>
    <comment ref="A14" authorId="0">
      <text>
        <r>
          <rPr>
            <b/>
            <sz val="8"/>
            <color indexed="81"/>
            <rFont val="Tahoma"/>
            <family val="2"/>
          </rPr>
          <t>Catherine Waddell:</t>
        </r>
        <r>
          <rPr>
            <sz val="8"/>
            <color indexed="81"/>
            <rFont val="Tahoma"/>
            <family val="2"/>
          </rPr>
          <t xml:space="preserve">
as agreed with JC from current determintion, this applies to system assets only</t>
        </r>
      </text>
    </comment>
    <comment ref="A15" authorId="0">
      <text>
        <r>
          <rPr>
            <b/>
            <sz val="8"/>
            <color indexed="81"/>
            <rFont val="Tahoma"/>
            <family val="2"/>
          </rPr>
          <t>Catherine Waddell:</t>
        </r>
        <r>
          <rPr>
            <sz val="8"/>
            <color indexed="81"/>
            <rFont val="Tahoma"/>
            <family val="2"/>
          </rPr>
          <t xml:space="preserve">
as agreed with JC from current determintion, this applies to system assets only</t>
        </r>
      </text>
    </comment>
  </commentList>
</comments>
</file>

<file path=xl/comments4.xml><?xml version="1.0" encoding="utf-8"?>
<comments xmlns="http://schemas.openxmlformats.org/spreadsheetml/2006/main">
  <authors>
    <author>Catherine Waddell</author>
  </authors>
  <commentList>
    <comment ref="K2" authorId="0">
      <text>
        <r>
          <rPr>
            <b/>
            <sz val="8"/>
            <color indexed="81"/>
            <rFont val="Tahoma"/>
            <family val="2"/>
          </rPr>
          <t>Catherine Waddell:</t>
        </r>
        <r>
          <rPr>
            <sz val="8"/>
            <color indexed="81"/>
            <rFont val="Tahoma"/>
            <family val="2"/>
          </rPr>
          <t xml:space="preserve">
applicable to profit (WACC retrun) only
</t>
        </r>
      </text>
    </comment>
  </commentList>
</comments>
</file>

<file path=xl/sharedStrings.xml><?xml version="1.0" encoding="utf-8"?>
<sst xmlns="http://schemas.openxmlformats.org/spreadsheetml/2006/main" count="391" uniqueCount="228">
  <si>
    <t>2014/15</t>
  </si>
  <si>
    <t>2015/16</t>
  </si>
  <si>
    <t>2017/18</t>
  </si>
  <si>
    <t>2018/19</t>
  </si>
  <si>
    <t>Weighted Average Cost of Capital</t>
  </si>
  <si>
    <t>RAB * WACC</t>
  </si>
  <si>
    <t>2011/12</t>
  </si>
  <si>
    <t>2012/13</t>
  </si>
  <si>
    <t>2013/14</t>
  </si>
  <si>
    <t>Actual</t>
  </si>
  <si>
    <t>Forecast</t>
  </si>
  <si>
    <t>Projected</t>
  </si>
  <si>
    <t>2016/17</t>
  </si>
  <si>
    <t>Residential Anytime</t>
  </si>
  <si>
    <t>Residential TOU</t>
  </si>
  <si>
    <t>Small Business anytime</t>
  </si>
  <si>
    <t>Small Business  TOU</t>
  </si>
  <si>
    <t>Controlled Load</t>
  </si>
  <si>
    <t>Customer Numbers</t>
  </si>
  <si>
    <t>Single Phase</t>
  </si>
  <si>
    <t>Three Phase</t>
  </si>
  <si>
    <t>Weighting</t>
  </si>
  <si>
    <t>Meter Numbers by Meter Type</t>
  </si>
  <si>
    <t>Single Phase + Load Control</t>
  </si>
  <si>
    <t>Three Phase + Load Control</t>
  </si>
  <si>
    <t>Basic Single Phase Meter</t>
  </si>
  <si>
    <t>Basic Three Phase Meter</t>
  </si>
  <si>
    <t>%</t>
  </si>
  <si>
    <t>Single phase accumulation meters</t>
  </si>
  <si>
    <t>Single phase one element meters (TOU)</t>
  </si>
  <si>
    <t>Single-phase two element meter (TOU)</t>
  </si>
  <si>
    <t>Three phase whole-current meters</t>
  </si>
  <si>
    <t>Three phase CT meters</t>
  </si>
  <si>
    <t>TOTAL</t>
  </si>
  <si>
    <t>Solar</t>
  </si>
  <si>
    <t>Forecast Meter Increment**</t>
  </si>
  <si>
    <t>**Based on forecast new meters below</t>
  </si>
  <si>
    <t>New Customers</t>
  </si>
  <si>
    <t>% Growth</t>
  </si>
  <si>
    <t>Meter Reading</t>
  </si>
  <si>
    <t>General</t>
  </si>
  <si>
    <t>General Weighted Existing Customer Numbers</t>
  </si>
  <si>
    <t>New Customers (No RAB)</t>
  </si>
  <si>
    <t>Solar Additions (assume single phase 2 element)</t>
  </si>
  <si>
    <t>Accellerated Depreciation (5 Years)</t>
  </si>
  <si>
    <t>2013-14</t>
  </si>
  <si>
    <t>Sub-transmission lines and cables</t>
  </si>
  <si>
    <t>Distribution lines and cables</t>
  </si>
  <si>
    <t>Substations</t>
  </si>
  <si>
    <t>Transformers</t>
  </si>
  <si>
    <t>Low voltage lines and cables</t>
  </si>
  <si>
    <t>Percentage of Metering to total System</t>
  </si>
  <si>
    <t>Customer metering and load control</t>
  </si>
  <si>
    <t>Communications</t>
  </si>
  <si>
    <t>Land</t>
  </si>
  <si>
    <t>Easements</t>
  </si>
  <si>
    <t>RAB adjustment</t>
  </si>
  <si>
    <t>Deferred depreciation</t>
  </si>
  <si>
    <t>Emergency spares (major plant, excludes inventory)</t>
  </si>
  <si>
    <t>Total System</t>
  </si>
  <si>
    <t>IT systems</t>
  </si>
  <si>
    <t>Furniture, fittings, plant and equipment</t>
  </si>
  <si>
    <t>Motor vehicles</t>
  </si>
  <si>
    <t>Buildings</t>
  </si>
  <si>
    <t>Other non-system assets</t>
  </si>
  <si>
    <t>Equity raising costs</t>
  </si>
  <si>
    <t>Total non system</t>
  </si>
  <si>
    <t>Portion of non system to add to Metering RAB</t>
  </si>
  <si>
    <t>Closing Balance Year</t>
  </si>
  <si>
    <t>Price by tariff class</t>
  </si>
  <si>
    <t>Accelerated Depreciation</t>
  </si>
  <si>
    <t xml:space="preserve">Recoverable Cost Base 5 Year Accelerated Depreciation </t>
  </si>
  <si>
    <t>Depreciation (Accelerated)</t>
  </si>
  <si>
    <t>Small Business TOU</t>
  </si>
  <si>
    <t>Capex</t>
  </si>
  <si>
    <t>RAB additions</t>
  </si>
  <si>
    <t>Add OHDs</t>
  </si>
  <si>
    <t>WACC rate</t>
  </si>
  <si>
    <t>Add OHDS</t>
  </si>
  <si>
    <t>RAB</t>
  </si>
  <si>
    <t>Small Business Anytime</t>
  </si>
  <si>
    <t>Total</t>
  </si>
  <si>
    <t>Closing RAB (NBV)</t>
  </si>
  <si>
    <t>Metering RAB value (Book)</t>
  </si>
  <si>
    <t>Single Phase TOU</t>
  </si>
  <si>
    <t>Single Phase 2 element (TOU)</t>
  </si>
  <si>
    <t>Three Phase TOU</t>
  </si>
  <si>
    <t>Three Phase CT</t>
  </si>
  <si>
    <t>Meter Replacement Program</t>
  </si>
  <si>
    <t>Metering Equipment Type</t>
  </si>
  <si>
    <t>14/15</t>
  </si>
  <si>
    <t>15/16</t>
  </si>
  <si>
    <t>16/17</t>
  </si>
  <si>
    <t>17/18</t>
  </si>
  <si>
    <t>18/19</t>
  </si>
  <si>
    <t>Total Capex</t>
  </si>
  <si>
    <t>Labour for Unplanned Failures</t>
  </si>
  <si>
    <t>Type 5 &amp; 6 Sample Testing - Meters</t>
  </si>
  <si>
    <t>Meter Provisioning Projects</t>
  </si>
  <si>
    <t>Upfront Metering Purchase Prices</t>
  </si>
  <si>
    <t>WACC return</t>
  </si>
  <si>
    <t>Tax Impact</t>
  </si>
  <si>
    <t>Total excl GST</t>
  </si>
  <si>
    <t>Ave Purchase Price</t>
  </si>
  <si>
    <t>Supplier 2</t>
  </si>
  <si>
    <t>Single Phase Accumulation</t>
  </si>
  <si>
    <t>Three Phase Accumulation</t>
  </si>
  <si>
    <t>Note, we have not included acceptance testing as this is part of ongoing maintenance and operating costs.</t>
  </si>
  <si>
    <t>This testing is only done on random sample of a new type of meter, not to every meter provided to cusoterms.</t>
  </si>
  <si>
    <t>CPI Factors</t>
  </si>
  <si>
    <t>This sheet is where the CPI factors for each year are entered. Relevant cumulative CPI factors are calculated from this data.</t>
  </si>
  <si>
    <t>2013 SCI</t>
  </si>
  <si>
    <t>2014 SCI</t>
  </si>
  <si>
    <t>Annual expected rise</t>
  </si>
  <si>
    <t>Input</t>
  </si>
  <si>
    <t>CPI rate for $2014 only</t>
  </si>
  <si>
    <t>Cumulative impact</t>
  </si>
  <si>
    <t>CPI (linked to workings sheets)</t>
  </si>
  <si>
    <t>New Meter Purchases</t>
  </si>
  <si>
    <t>Metering Equipment type</t>
  </si>
  <si>
    <t>Three phase accumulation meters</t>
  </si>
  <si>
    <t>Three phase electronic  meters (TOU)</t>
  </si>
  <si>
    <t>Single phase one element meters</t>
  </si>
  <si>
    <t>Single-phase two element meter</t>
  </si>
  <si>
    <t>Unplanned Failure Meters/Relays</t>
  </si>
  <si>
    <t>Meter Provision Labour</t>
  </si>
  <si>
    <t>new meters are cap cons from 2015-16 so not part of RAB</t>
  </si>
  <si>
    <t>cap cons from here out, exclude from RAB</t>
  </si>
  <si>
    <t>excluding removals/reductions</t>
  </si>
  <si>
    <t>Assumption</t>
  </si>
  <si>
    <t>25% reading the registers</t>
  </si>
  <si>
    <t>to premise</t>
  </si>
  <si>
    <t>weight time to read</t>
  </si>
  <si>
    <t># of registers</t>
  </si>
  <si>
    <t>Price per meter</t>
  </si>
  <si>
    <t>Load Control Meter</t>
  </si>
  <si>
    <t>Two element meter (Gross Solar)</t>
  </si>
  <si>
    <t>Solar (Gross meter only)</t>
  </si>
  <si>
    <t>Note, applicable to customer with gross solar meters only, and also covers their imports - that is only this meter required</t>
  </si>
  <si>
    <t>Add
Overheads</t>
  </si>
  <si>
    <t>Add
Stores Oncost</t>
  </si>
  <si>
    <t>75% time in getting to premise</t>
  </si>
  <si>
    <t>Interim NNSW contract _L&amp;G</t>
  </si>
  <si>
    <t>Opening bal for year</t>
  </si>
  <si>
    <t>Customer Growth</t>
  </si>
  <si>
    <t>NIEIR forecast</t>
  </si>
  <si>
    <t>Totals</t>
  </si>
  <si>
    <t>Per Meter</t>
  </si>
  <si>
    <t>PTRM</t>
  </si>
  <si>
    <t>Three phase meters are used by both residential and business customers, so cost is spread across them uniformly</t>
  </si>
  <si>
    <t>Historical Purchase Price (Indicative)</t>
  </si>
  <si>
    <t>Meters purchased prior to 2014 were all TOU capable meters, only programming determined if continuous or TOU readings</t>
  </si>
  <si>
    <t>Therefore same cost for all customer and tariff types</t>
  </si>
  <si>
    <t>These splits used to apportion WACC and Depreciation costs to tariff charges</t>
  </si>
  <si>
    <t>CPI conversion rate (if required)</t>
  </si>
  <si>
    <t>$2013/14</t>
  </si>
  <si>
    <t>Fully loaded meter replacement $2013/14</t>
  </si>
  <si>
    <t>Check reads - Network requested</t>
  </si>
  <si>
    <t>Check Reads - Network requested</t>
  </si>
  <si>
    <t>From total check reads requested over past 6 months of around 700 per month, 400 per month are network requested</t>
  </si>
  <si>
    <t>per annum</t>
  </si>
  <si>
    <t>Direct meter replacement costs $2013/14</t>
  </si>
  <si>
    <t>LABOUR RATE</t>
  </si>
  <si>
    <t>PLANT</t>
  </si>
  <si>
    <t>OPEX $2013/14</t>
  </si>
  <si>
    <t>Time required</t>
  </si>
  <si>
    <t>Labour required</t>
  </si>
  <si>
    <t>Meter Replacement _Emergency Opex $2013/14</t>
  </si>
  <si>
    <t>Meter Provisioning costs</t>
  </si>
  <si>
    <t>2012/13 to 2013/14</t>
  </si>
  <si>
    <t>Divisional Overheads</t>
  </si>
  <si>
    <t>Corporate Overehads</t>
  </si>
  <si>
    <t>Allocation rate ()</t>
  </si>
  <si>
    <t>Tax Building Block</t>
  </si>
  <si>
    <t>includes check reads</t>
  </si>
  <si>
    <t>Metering Costs</t>
  </si>
  <si>
    <t>Total Opex costs $2013/14</t>
  </si>
  <si>
    <t>Total Recoverable Costs $2013/14</t>
  </si>
  <si>
    <t>Still need a fee for this for any customers who do put on CL</t>
  </si>
  <si>
    <t>Scheduled Meter Reading Costs $2013/14</t>
  </si>
  <si>
    <t>Wage and Cost Escalators</t>
  </si>
  <si>
    <t>Capex escalator</t>
  </si>
  <si>
    <t>Maintenance escalator</t>
  </si>
  <si>
    <t>Total meter replacement incl escalators $2013/14</t>
  </si>
  <si>
    <t>Total emergency meter opex incl escalators $2013/14</t>
  </si>
  <si>
    <t>Total check reads incl escalators $2013/14</t>
  </si>
  <si>
    <t>Total meter provision incl escalators $2013/14</t>
  </si>
  <si>
    <t>Total meter testing incl escaltors $2013/14</t>
  </si>
  <si>
    <t>Cumulative Escalators</t>
  </si>
  <si>
    <t>check</t>
  </si>
  <si>
    <t>Total customer numbers to recover costs</t>
  </si>
  <si>
    <t>Recoverable Costs - Existing customers</t>
  </si>
  <si>
    <t>Recoverable Costs - New customers</t>
  </si>
  <si>
    <t>Annual cost per existing customer</t>
  </si>
  <si>
    <t>Annual Cost per New Customer</t>
  </si>
  <si>
    <t>Pricing Scenarios in $2013/14 excl GST</t>
  </si>
  <si>
    <t>Meter Data Agency (265)</t>
  </si>
  <si>
    <t>Meter Provision (266)</t>
  </si>
  <si>
    <t>Laboratory Services (267)</t>
  </si>
  <si>
    <t>Support Services (268)</t>
  </si>
  <si>
    <t>Compliance (269)</t>
  </si>
  <si>
    <t>Total Customer Numbers</t>
  </si>
  <si>
    <t>Residental Anytime</t>
  </si>
  <si>
    <t>Anytime Customers</t>
  </si>
  <si>
    <t>TOU Customers</t>
  </si>
  <si>
    <t>Cumulative Customer Growth</t>
  </si>
  <si>
    <t>Meter Reading Weighted Existing Customer Numbers</t>
  </si>
  <si>
    <t>General Weighted New Customers</t>
  </si>
  <si>
    <t>Meter reading weighted New Customers</t>
  </si>
  <si>
    <t>Total Weighted</t>
  </si>
  <si>
    <t>Controlled Load Customers</t>
  </si>
  <si>
    <t>Solar Customers</t>
  </si>
  <si>
    <t>Incremental % increase</t>
  </si>
  <si>
    <t>Task</t>
  </si>
  <si>
    <t>R1 Administrative Officer Grade 16</t>
  </si>
  <si>
    <t>Metering Exit Fee</t>
  </si>
  <si>
    <t>Hours</t>
  </si>
  <si>
    <t>Stranded Asset Amount</t>
  </si>
  <si>
    <t>Total Exit Charge $2013/14</t>
  </si>
  <si>
    <t>Price for New Meters $2013/14</t>
  </si>
  <si>
    <t>Tax RAB</t>
  </si>
  <si>
    <t>Debt rasing costs from Metering PRTM</t>
  </si>
  <si>
    <t>Meter Data Costs $2013/14</t>
  </si>
  <si>
    <t>WACC + Deprec + CoT + Equ</t>
  </si>
  <si>
    <t xml:space="preserve"> as calculated in Metering PTRM and converted to $1314</t>
  </si>
  <si>
    <t>$2013-14</t>
  </si>
  <si>
    <t>Network Operations</t>
  </si>
  <si>
    <t>Cost Escalation - maintenance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</si>
</sst>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0_-;\-* #,##0_-;_-* &quot;-&quot;_-;_-@_-"/>
    <numFmt numFmtId="44" formatCode="_-&quot;$&quot;* #,##0.00_-;\-&quot;$&quot;* #,##0.00_-;_-&quot;$&quot;* &quot;-&quot;??_-;_-@_-"/>
    <numFmt numFmtId="43" formatCode="_-* #,##0.00_-;\-* #,##0.00_-;_-* &quot;-&quot;??_-;_-@_-"/>
    <numFmt numFmtId="164" formatCode="_-* #,##0_-;\-* #,##0_-;_-* &quot;-&quot;??_-;_-@_-"/>
    <numFmt numFmtId="165" formatCode="#,##0.0,,_ ;\(#,##0.0,,\)"/>
    <numFmt numFmtId="166" formatCode="_(* #,##0.00_);_(* \(#,##0.00\);_(* &quot;-&quot;??_);_(@_)"/>
    <numFmt numFmtId="167" formatCode="_-[$$-C09]* #,##0_-;\-[$$-C09]* #,##0_-;_-[$$-C09]* &quot;-&quot;??_-;_-@_-"/>
    <numFmt numFmtId="168" formatCode="_-&quot;$&quot;* #,##0_-;\-&quot;$&quot;* #,##0_-;_-&quot;$&quot;* &quot;-&quot;??_-;_-@_-"/>
    <numFmt numFmtId="169" formatCode="0.0%"/>
    <numFmt numFmtId="170" formatCode="_(* #,##0_);_(* \(#,##0\);_(* &quot;-&quot;_);_(@_)"/>
    <numFmt numFmtId="171" formatCode="&quot;$&quot;#,##0.00"/>
    <numFmt numFmtId="172" formatCode="_(#,##0.00_);_(\(#,##0.00\);_(&quot;-&quot;??_);_(@_)"/>
    <numFmt numFmtId="173" formatCode="_(&quot;$&quot;* #,##0.00_);_(&quot;$&quot;* \(#,##0.00\);_(&quot;$&quot;* &quot;-&quot;??_);_(@_)"/>
    <numFmt numFmtId="174" formatCode="_(* #,##0_);_(* \(#,##0\);_(* &quot;-&quot;?_);_(@_)"/>
    <numFmt numFmtId="175" formatCode="#,##0,;\-#,##0,"/>
    <numFmt numFmtId="176" formatCode="#,##0;[Red]\(#,##0\)"/>
    <numFmt numFmtId="177" formatCode="_-* #,##0.0_-;\-* #,##0.0_-;_-* &quot;-&quot;??_-;_-@_-"/>
    <numFmt numFmtId="178" formatCode="0.0000"/>
    <numFmt numFmtId="179" formatCode="0.000"/>
    <numFmt numFmtId="180" formatCode="_-[$$-C09]* #,##0.000_-;\-[$$-C09]* #,##0.000_-;_-[$$-C09]* &quot;-&quot;??_-;_-@_-"/>
  </numFmts>
  <fonts count="90" x14ac:knownFonts="1">
    <font>
      <sz val="10"/>
      <color theme="1"/>
      <name val="Arial"/>
      <family val="2"/>
    </font>
    <font>
      <sz val="11"/>
      <color theme="1"/>
      <name val="Calibri"/>
      <family val="2"/>
      <scheme val="minor"/>
    </font>
    <font>
      <sz val="10"/>
      <color theme="1"/>
      <name val="Arial"/>
      <family val="2"/>
    </font>
    <font>
      <b/>
      <sz val="10"/>
      <color theme="1"/>
      <name val="Arial"/>
      <family val="2"/>
    </font>
    <font>
      <b/>
      <i/>
      <sz val="10"/>
      <color theme="1"/>
      <name val="Arial"/>
      <family val="2"/>
    </font>
    <font>
      <sz val="9"/>
      <color theme="1"/>
      <name val="Arial"/>
      <family val="2"/>
    </font>
    <font>
      <sz val="10"/>
      <name val="Arial"/>
      <family val="2"/>
    </font>
    <font>
      <b/>
      <sz val="10"/>
      <name val="Arial"/>
      <family val="2"/>
    </font>
    <font>
      <b/>
      <sz val="12"/>
      <name val="Arial"/>
      <family val="2"/>
    </font>
    <font>
      <b/>
      <sz val="8"/>
      <color indexed="81"/>
      <name val="Tahoma"/>
      <family val="2"/>
    </font>
    <font>
      <sz val="8"/>
      <color indexed="81"/>
      <name val="Tahoma"/>
      <family val="2"/>
    </font>
    <font>
      <sz val="10"/>
      <color indexed="64"/>
      <name val="Arial"/>
      <family val="2"/>
    </font>
    <font>
      <sz val="8"/>
      <color theme="1"/>
      <name val="Arial"/>
      <family val="2"/>
    </font>
    <font>
      <sz val="11"/>
      <color theme="1"/>
      <name val="Calibri"/>
      <family val="2"/>
      <scheme val="minor"/>
    </font>
    <font>
      <b/>
      <sz val="9"/>
      <color rgb="FF000000"/>
      <name val="Arial"/>
      <family val="2"/>
    </font>
    <font>
      <sz val="9"/>
      <color rgb="FF000000"/>
      <name val="Arial"/>
      <family val="2"/>
    </font>
    <font>
      <sz val="9"/>
      <name val="Arial"/>
      <family val="2"/>
    </font>
    <font>
      <sz val="10"/>
      <name val="MS Sans Serif"/>
      <family val="2"/>
    </font>
    <font>
      <sz val="8"/>
      <name val="Arial"/>
      <family val="2"/>
    </font>
    <font>
      <b/>
      <sz val="10"/>
      <color rgb="FFFF0000"/>
      <name val="Arial"/>
      <family val="2"/>
    </font>
    <font>
      <sz val="10"/>
      <color theme="9"/>
      <name val="Arial"/>
      <family val="2"/>
    </font>
    <font>
      <b/>
      <sz val="10"/>
      <color theme="0"/>
      <name val="Arial"/>
      <family val="2"/>
    </font>
    <font>
      <sz val="10"/>
      <color rgb="FFFF0000"/>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Calibri"/>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b/>
      <sz val="10"/>
      <color indexed="8"/>
      <name val="Arial"/>
      <family val="2"/>
    </font>
    <font>
      <sz val="10"/>
      <color indexed="10"/>
      <name val="Arial"/>
      <family val="2"/>
    </font>
    <font>
      <sz val="10"/>
      <color indexed="58"/>
      <name val="Arial"/>
      <family val="2"/>
    </font>
    <font>
      <b/>
      <sz val="10"/>
      <color rgb="FF0070C0"/>
      <name val="Arial"/>
      <family val="2"/>
    </font>
    <font>
      <i/>
      <sz val="10"/>
      <color rgb="FF7030A0"/>
      <name val="Arial"/>
      <family val="2"/>
    </font>
    <font>
      <sz val="10"/>
      <color rgb="FF000000"/>
      <name val="Arial"/>
      <family val="2"/>
    </font>
    <font>
      <b/>
      <sz val="12"/>
      <color theme="1"/>
      <name val="Arial"/>
      <family val="2"/>
    </font>
    <font>
      <sz val="11"/>
      <color theme="1"/>
      <name val="Arial"/>
      <family val="2"/>
    </font>
    <font>
      <sz val="12"/>
      <color theme="1"/>
      <name val="Arial"/>
      <family val="2"/>
    </font>
    <font>
      <b/>
      <sz val="11"/>
      <color theme="1"/>
      <name val="Arial"/>
      <family val="2"/>
    </font>
    <font>
      <i/>
      <sz val="10"/>
      <color theme="1"/>
      <name val="Arial"/>
      <family val="2"/>
    </font>
    <font>
      <sz val="9"/>
      <color theme="0"/>
      <name val="Verdana"/>
      <family val="2"/>
    </font>
    <font>
      <sz val="10"/>
      <color theme="0" tint="-0.499984740745262"/>
      <name val="Arial"/>
      <family val="2"/>
    </font>
    <font>
      <i/>
      <sz val="8"/>
      <name val="Arial"/>
      <family val="2"/>
    </font>
  </fonts>
  <fills count="5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rgb="FFD9D9D9"/>
        <bgColor indexed="64"/>
      </patternFill>
    </fill>
    <fill>
      <patternFill patternType="solid">
        <fgColor rgb="FFE0E0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bgColor indexed="64"/>
      </patternFill>
    </fill>
    <fill>
      <patternFill patternType="solid">
        <fgColor rgb="FFFFFFCC"/>
      </patternFill>
    </fill>
    <fill>
      <patternFill patternType="solid">
        <fgColor theme="5" tint="0.59999389629810485"/>
        <bgColor indexed="65"/>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249977111117893"/>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s>
  <borders count="46">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33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165" fontId="6" fillId="2" borderId="0" applyNumberFormat="0" applyFont="0" applyBorder="0" applyAlignment="0">
      <alignment vertical="center"/>
    </xf>
    <xf numFmtId="44" fontId="6" fillId="0" borderId="0" applyFont="0" applyFill="0" applyBorder="0" applyAlignment="0" applyProtection="0"/>
    <xf numFmtId="0" fontId="11" fillId="0" borderId="0"/>
    <xf numFmtId="0" fontId="13" fillId="0" borderId="0"/>
    <xf numFmtId="0" fontId="17" fillId="0" borderId="0"/>
    <xf numFmtId="9" fontId="17" fillId="0" borderId="0" applyFont="0" applyFill="0" applyBorder="0" applyAlignment="0" applyProtection="0"/>
    <xf numFmtId="166" fontId="13" fillId="0" borderId="0" applyFont="0" applyFill="0" applyBorder="0" applyAlignment="0" applyProtection="0"/>
    <xf numFmtId="0" fontId="6" fillId="0" borderId="0"/>
    <xf numFmtId="9" fontId="6" fillId="0" borderId="0" applyFont="0" applyFill="0" applyBorder="0" applyAlignment="0" applyProtection="0"/>
    <xf numFmtId="9"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2" fillId="0" borderId="0"/>
    <xf numFmtId="9"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23" fillId="0" borderId="0" applyNumberFormat="0" applyFont="0" applyFill="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1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4" borderId="0" applyNumberFormat="0" applyBorder="0" applyAlignment="0" applyProtection="0"/>
    <xf numFmtId="0" fontId="25" fillId="25"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2" borderId="0" applyNumberFormat="0" applyBorder="0" applyAlignment="0" applyProtection="0"/>
    <xf numFmtId="0" fontId="26" fillId="16" borderId="0" applyNumberFormat="0" applyBorder="0" applyAlignment="0" applyProtection="0"/>
    <xf numFmtId="170" fontId="6" fillId="3" borderId="0" applyNumberFormat="0" applyFont="0" applyBorder="0" applyAlignment="0">
      <alignment horizontal="right"/>
    </xf>
    <xf numFmtId="0" fontId="27" fillId="0" borderId="0" applyNumberFormat="0" applyFill="0" applyBorder="0" applyAlignment="0" applyProtection="0"/>
    <xf numFmtId="0" fontId="28" fillId="0" borderId="0"/>
    <xf numFmtId="171" fontId="18" fillId="0" borderId="0" applyFill="0"/>
    <xf numFmtId="171" fontId="18" fillId="0" borderId="0">
      <alignment horizontal="center"/>
    </xf>
    <xf numFmtId="0" fontId="18" fillId="0" borderId="0" applyFill="0">
      <alignment horizontal="center"/>
    </xf>
    <xf numFmtId="171" fontId="29" fillId="0" borderId="29" applyFill="0"/>
    <xf numFmtId="0" fontId="6" fillId="0" borderId="0" applyFont="0" applyAlignment="0"/>
    <xf numFmtId="0" fontId="30" fillId="0" borderId="0" applyFill="0">
      <alignment vertical="top"/>
    </xf>
    <xf numFmtId="0" fontId="29" fillId="0" borderId="0" applyFill="0">
      <alignment horizontal="left" vertical="top"/>
    </xf>
    <xf numFmtId="171" fontId="8" fillId="0" borderId="19" applyFill="0"/>
    <xf numFmtId="0" fontId="6" fillId="0" borderId="0" applyNumberFormat="0" applyFont="0" applyAlignment="0"/>
    <xf numFmtId="0" fontId="30" fillId="0" borderId="0" applyFill="0">
      <alignment wrapText="1"/>
    </xf>
    <xf numFmtId="0" fontId="29" fillId="0" borderId="0" applyFill="0">
      <alignment horizontal="left" vertical="top" wrapText="1"/>
    </xf>
    <xf numFmtId="171" fontId="31" fillId="0" borderId="0" applyFill="0"/>
    <xf numFmtId="0" fontId="32" fillId="0" borderId="0" applyNumberFormat="0" applyFont="0" applyAlignment="0">
      <alignment horizontal="center"/>
    </xf>
    <xf numFmtId="0" fontId="33" fillId="0" borderId="0" applyFill="0">
      <alignment vertical="top" wrapText="1"/>
    </xf>
    <xf numFmtId="0" fontId="8" fillId="0" borderId="0" applyFill="0">
      <alignment horizontal="left" vertical="top" wrapText="1"/>
    </xf>
    <xf numFmtId="171" fontId="6" fillId="0" borderId="0" applyFill="0"/>
    <xf numFmtId="0" fontId="32" fillId="0" borderId="0" applyNumberFormat="0" applyFont="0" applyAlignment="0">
      <alignment horizontal="center"/>
    </xf>
    <xf numFmtId="0" fontId="34" fillId="0" borderId="0" applyFill="0">
      <alignment vertical="center" wrapText="1"/>
    </xf>
    <xf numFmtId="0" fontId="35" fillId="0" borderId="0">
      <alignment horizontal="left" vertical="center" wrapText="1"/>
    </xf>
    <xf numFmtId="171" fontId="16" fillId="0" borderId="0" applyFill="0"/>
    <xf numFmtId="0" fontId="32" fillId="0" borderId="0" applyNumberFormat="0" applyFont="0" applyAlignment="0">
      <alignment horizontal="center"/>
    </xf>
    <xf numFmtId="0" fontId="36" fillId="0" borderId="0" applyFill="0">
      <alignment horizontal="center" vertical="center" wrapText="1"/>
    </xf>
    <xf numFmtId="0" fontId="6" fillId="0" borderId="0" applyFill="0">
      <alignment horizontal="center" vertical="center" wrapText="1"/>
    </xf>
    <xf numFmtId="171" fontId="37" fillId="0" borderId="0" applyFill="0"/>
    <xf numFmtId="0" fontId="32" fillId="0" borderId="0" applyNumberFormat="0" applyFont="0" applyAlignment="0">
      <alignment horizontal="center"/>
    </xf>
    <xf numFmtId="0" fontId="38" fillId="0" borderId="0" applyFill="0">
      <alignment horizontal="center" vertical="center" wrapText="1"/>
    </xf>
    <xf numFmtId="0" fontId="39" fillId="0" borderId="0" applyFill="0">
      <alignment horizontal="center" vertical="center" wrapText="1"/>
    </xf>
    <xf numFmtId="171" fontId="40" fillId="0" borderId="0" applyFill="0"/>
    <xf numFmtId="0" fontId="32" fillId="0" borderId="0" applyNumberFormat="0" applyFont="0" applyAlignment="0">
      <alignment horizontal="center"/>
    </xf>
    <xf numFmtId="0" fontId="41" fillId="0" borderId="0">
      <alignment horizontal="center" wrapText="1"/>
    </xf>
    <xf numFmtId="0" fontId="37" fillId="0" borderId="0" applyFill="0">
      <alignment horizontal="center" wrapText="1"/>
    </xf>
    <xf numFmtId="0" fontId="42" fillId="33" borderId="30" applyNumberFormat="0" applyAlignment="0" applyProtection="0"/>
    <xf numFmtId="0" fontId="43" fillId="34" borderId="31" applyNumberFormat="0" applyAlignment="0" applyProtection="0"/>
    <xf numFmtId="172"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173"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0" fontId="16" fillId="0" borderId="0" applyFont="0" applyFill="0" applyBorder="0" applyAlignment="0" applyProtection="0"/>
    <xf numFmtId="0" fontId="47" fillId="0" borderId="0" applyNumberFormat="0" applyFill="0" applyBorder="0" applyAlignment="0" applyProtection="0"/>
    <xf numFmtId="0" fontId="48" fillId="17" borderId="0" applyNumberFormat="0" applyBorder="0" applyAlignment="0" applyProtection="0"/>
    <xf numFmtId="0" fontId="49" fillId="35" borderId="0"/>
    <xf numFmtId="38" fontId="18" fillId="3" borderId="0" applyNumberFormat="0" applyBorder="0" applyAlignment="0" applyProtection="0"/>
    <xf numFmtId="169" fontId="6" fillId="36" borderId="17" applyNumberFormat="0" applyFont="0" applyBorder="0" applyAlignment="0" applyProtection="0"/>
    <xf numFmtId="169" fontId="6" fillId="36" borderId="17" applyNumberFormat="0" applyFont="0" applyBorder="0" applyAlignment="0" applyProtection="0"/>
    <xf numFmtId="37" fontId="50" fillId="0" borderId="16">
      <alignment vertical="center"/>
    </xf>
    <xf numFmtId="0" fontId="8" fillId="0" borderId="16" applyNumberFormat="0" applyAlignment="0" applyProtection="0">
      <alignment horizontal="left" vertical="center"/>
    </xf>
    <xf numFmtId="0" fontId="8" fillId="0" borderId="21">
      <alignment horizontal="left" vertical="center"/>
    </xf>
    <xf numFmtId="0" fontId="51" fillId="0" borderId="32" applyNumberFormat="0" applyFill="0" applyAlignment="0" applyProtection="0"/>
    <xf numFmtId="0" fontId="52" fillId="0" borderId="33" applyNumberFormat="0" applyFill="0" applyAlignment="0" applyProtection="0"/>
    <xf numFmtId="0" fontId="53" fillId="0" borderId="34"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xf>
    <xf numFmtId="41" fontId="16" fillId="3" borderId="0" applyFont="0" applyBorder="0" applyAlignment="0"/>
    <xf numFmtId="41" fontId="16" fillId="3" borderId="0" applyFont="0" applyBorder="0" applyAlignment="0"/>
    <xf numFmtId="41" fontId="16" fillId="3" borderId="0" applyFont="0" applyBorder="0" applyAlignment="0"/>
    <xf numFmtId="169" fontId="16" fillId="3" borderId="0" applyFont="0" applyBorder="0" applyAlignment="0"/>
    <xf numFmtId="169" fontId="16" fillId="3" borderId="0" applyFont="0" applyBorder="0" applyAlignment="0"/>
    <xf numFmtId="169" fontId="16" fillId="3" borderId="0" applyFont="0" applyBorder="0" applyAlignment="0"/>
    <xf numFmtId="172" fontId="56" fillId="3" borderId="0">
      <protection locked="0"/>
    </xf>
    <xf numFmtId="10" fontId="18" fillId="37" borderId="17" applyNumberFormat="0" applyBorder="0" applyAlignment="0" applyProtection="0"/>
    <xf numFmtId="0" fontId="57" fillId="20" borderId="30" applyNumberFormat="0" applyAlignment="0" applyProtection="0"/>
    <xf numFmtId="0" fontId="57" fillId="20" borderId="30" applyNumberFormat="0" applyAlignment="0" applyProtection="0"/>
    <xf numFmtId="0" fontId="57" fillId="20" borderId="30" applyNumberFormat="0" applyAlignment="0" applyProtection="0"/>
    <xf numFmtId="170" fontId="6" fillId="38" borderId="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3" fontId="6" fillId="4" borderId="0" applyNumberFormat="0" applyFont="0" applyBorder="0" applyAlignment="0">
      <alignment horizontal="right"/>
      <protection locked="0"/>
    </xf>
    <xf numFmtId="170" fontId="6" fillId="38" borderId="0" applyFont="0" applyBorder="0" applyAlignment="0">
      <alignment horizontal="right"/>
      <protection locked="0"/>
    </xf>
    <xf numFmtId="170" fontId="6" fillId="38" borderId="0" applyFont="0" applyBorder="0" applyAlignment="0">
      <alignment horizontal="right"/>
      <protection locked="0"/>
    </xf>
    <xf numFmtId="10" fontId="6" fillId="38"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4" borderId="0" applyFont="0" applyBorder="0">
      <alignment horizontal="right"/>
      <protection locked="0"/>
    </xf>
    <xf numFmtId="10" fontId="6" fillId="38" borderId="0" applyFont="0" applyBorder="0">
      <alignment horizontal="right"/>
      <protection locked="0"/>
    </xf>
    <xf numFmtId="10" fontId="6" fillId="38" borderId="0" applyFont="0" applyBorder="0">
      <alignment horizontal="right"/>
      <protection locked="0"/>
    </xf>
    <xf numFmtId="3" fontId="6" fillId="4" borderId="0" applyNumberFormat="0" applyFont="0" applyBorder="0" applyAlignment="0">
      <alignment horizontal="right"/>
      <protection locked="0"/>
    </xf>
    <xf numFmtId="10" fontId="16" fillId="39" borderId="0" applyBorder="0" applyAlignment="0">
      <protection locked="0"/>
    </xf>
    <xf numFmtId="174" fontId="6" fillId="36" borderId="0" applyFont="0" applyBorder="0">
      <alignment horizontal="right"/>
      <protection locked="0"/>
    </xf>
    <xf numFmtId="174" fontId="6" fillId="36" borderId="0" applyFont="0" applyBorder="0">
      <alignment horizontal="right"/>
      <protection locked="0"/>
    </xf>
    <xf numFmtId="174" fontId="6" fillId="36" borderId="0" applyFont="0" applyBorder="0">
      <alignment horizontal="right"/>
      <protection locked="0"/>
    </xf>
    <xf numFmtId="10" fontId="7" fillId="36" borderId="0" applyFont="0" applyBorder="0" applyAlignment="0">
      <alignment horizontal="left"/>
      <protection locked="0"/>
    </xf>
    <xf numFmtId="170" fontId="6" fillId="36" borderId="0" applyFont="0" applyBorder="0">
      <alignment horizontal="right"/>
      <protection locked="0"/>
    </xf>
    <xf numFmtId="170" fontId="6" fillId="37" borderId="0" applyFont="0" applyBorder="0">
      <alignment horizontal="right"/>
      <protection locked="0"/>
    </xf>
    <xf numFmtId="170" fontId="6" fillId="37" borderId="0" applyFont="0" applyBorder="0">
      <alignment horizontal="right"/>
      <protection locked="0"/>
    </xf>
    <xf numFmtId="170" fontId="6" fillId="37" borderId="0" applyFont="0" applyBorder="0">
      <alignment horizontal="right"/>
      <protection locked="0"/>
    </xf>
    <xf numFmtId="9" fontId="7" fillId="37" borderId="0" applyFont="0" applyBorder="0">
      <alignment horizontal="right"/>
      <protection locked="0"/>
    </xf>
    <xf numFmtId="41" fontId="6" fillId="37" borderId="0" applyFont="0" applyBorder="0">
      <alignment horizontal="right"/>
      <protection locked="0"/>
    </xf>
    <xf numFmtId="0" fontId="58" fillId="0" borderId="35" applyNumberFormat="0" applyFill="0" applyAlignment="0" applyProtection="0"/>
    <xf numFmtId="0" fontId="59" fillId="40" borderId="0" applyNumberFormat="0" applyBorder="0" applyAlignment="0" applyProtection="0"/>
    <xf numFmtId="37" fontId="60" fillId="0" borderId="0"/>
    <xf numFmtId="164" fontId="16" fillId="3" borderId="6" applyNumberFormat="0" applyFont="0" applyBorder="0" applyAlignment="0">
      <alignment horizontal="right"/>
    </xf>
    <xf numFmtId="175" fontId="61" fillId="0" borderId="0"/>
    <xf numFmtId="0" fontId="62" fillId="0" borderId="0"/>
    <xf numFmtId="0" fontId="6" fillId="0" borderId="0"/>
    <xf numFmtId="0" fontId="5" fillId="0" borderId="0"/>
    <xf numFmtId="0" fontId="63" fillId="0" borderId="0"/>
    <xf numFmtId="0" fontId="46" fillId="0" borderId="0"/>
    <xf numFmtId="0" fontId="35" fillId="0" borderId="0"/>
    <xf numFmtId="0" fontId="46" fillId="0" borderId="0"/>
    <xf numFmtId="0" fontId="35" fillId="0" borderId="0"/>
    <xf numFmtId="0" fontId="46" fillId="0" borderId="0"/>
    <xf numFmtId="0" fontId="35" fillId="0" borderId="0"/>
    <xf numFmtId="0" fontId="5" fillId="0" borderId="0"/>
    <xf numFmtId="0" fontId="35" fillId="0" borderId="0"/>
    <xf numFmtId="0" fontId="35" fillId="0" borderId="0"/>
    <xf numFmtId="0" fontId="35" fillId="0" borderId="0"/>
    <xf numFmtId="0" fontId="35" fillId="0" borderId="0"/>
    <xf numFmtId="0" fontId="35" fillId="0" borderId="0"/>
    <xf numFmtId="0" fontId="6" fillId="0" borderId="0">
      <alignment vertical="top"/>
    </xf>
    <xf numFmtId="0" fontId="46" fillId="0" borderId="0"/>
    <xf numFmtId="0" fontId="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 fillId="0" borderId="0"/>
    <xf numFmtId="0" fontId="6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44" fillId="0" borderId="0"/>
    <xf numFmtId="0" fontId="1" fillId="0" borderId="0"/>
    <xf numFmtId="0" fontId="24" fillId="0" borderId="0"/>
    <xf numFmtId="0" fontId="6" fillId="0" borderId="0"/>
    <xf numFmtId="0" fontId="6" fillId="0" borderId="0"/>
    <xf numFmtId="0" fontId="6" fillId="0" borderId="0"/>
    <xf numFmtId="0" fontId="1" fillId="0" borderId="0"/>
    <xf numFmtId="0" fontId="6" fillId="0" borderId="0"/>
    <xf numFmtId="0" fontId="46" fillId="0" borderId="0"/>
    <xf numFmtId="0" fontId="6" fillId="0" borderId="0"/>
    <xf numFmtId="0" fontId="1" fillId="0" borderId="0"/>
    <xf numFmtId="0" fontId="6" fillId="0" borderId="0"/>
    <xf numFmtId="0" fontId="6" fillId="0" borderId="0">
      <alignment vertical="top"/>
    </xf>
    <xf numFmtId="0" fontId="16" fillId="0" borderId="0"/>
    <xf numFmtId="0" fontId="45" fillId="10" borderId="22" applyNumberFormat="0" applyFont="0" applyAlignment="0" applyProtection="0"/>
    <xf numFmtId="0" fontId="6" fillId="41" borderId="36" applyNumberFormat="0" applyFont="0" applyAlignment="0" applyProtection="0"/>
    <xf numFmtId="0" fontId="65" fillId="33" borderId="37" applyNumberForma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2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7" fillId="0" borderId="0" applyNumberFormat="0" applyFont="0" applyFill="0" applyBorder="0" applyAlignment="0" applyProtection="0">
      <alignment horizontal="left"/>
    </xf>
    <xf numFmtId="15" fontId="17" fillId="0" borderId="0" applyFont="0" applyFill="0" applyBorder="0" applyAlignment="0" applyProtection="0"/>
    <xf numFmtId="4" fontId="17" fillId="0" borderId="0" applyFont="0" applyFill="0" applyBorder="0" applyAlignment="0" applyProtection="0"/>
    <xf numFmtId="0" fontId="66" fillId="0" borderId="38">
      <alignment horizontal="center"/>
    </xf>
    <xf numFmtId="3" fontId="17" fillId="0" borderId="0" applyFont="0" applyFill="0" applyBorder="0" applyAlignment="0" applyProtection="0"/>
    <xf numFmtId="0" fontId="17" fillId="42" borderId="0" applyNumberFormat="0" applyFont="0" applyBorder="0" applyAlignment="0" applyProtection="0"/>
    <xf numFmtId="4" fontId="18" fillId="3" borderId="0" applyFill="0"/>
    <xf numFmtId="0" fontId="67" fillId="0" borderId="0">
      <alignment horizontal="left" indent="7"/>
    </xf>
    <xf numFmtId="0" fontId="18" fillId="0" borderId="0" applyFill="0">
      <alignment horizontal="left" indent="7"/>
    </xf>
    <xf numFmtId="176" fontId="68" fillId="0" borderId="1" applyFill="0">
      <alignment horizontal="right"/>
    </xf>
    <xf numFmtId="0" fontId="7" fillId="0" borderId="39" applyNumberFormat="0" applyFont="0" applyBorder="0">
      <alignment horizontal="right"/>
    </xf>
    <xf numFmtId="0" fontId="69" fillId="0" borderId="0" applyFill="0"/>
    <xf numFmtId="0" fontId="8" fillId="0" borderId="0" applyFill="0"/>
    <xf numFmtId="176" fontId="68" fillId="0" borderId="1" applyFill="0"/>
    <xf numFmtId="0" fontId="6" fillId="0" borderId="0" applyNumberFormat="0" applyFont="0" applyBorder="0" applyAlignment="0"/>
    <xf numFmtId="0" fontId="33" fillId="0" borderId="0" applyFill="0">
      <alignment horizontal="left" indent="1"/>
    </xf>
    <xf numFmtId="0" fontId="70" fillId="0" borderId="0" applyFill="0">
      <alignment horizontal="left" indent="1"/>
    </xf>
    <xf numFmtId="176" fontId="16" fillId="0" borderId="0" applyFill="0"/>
    <xf numFmtId="0" fontId="6" fillId="0" borderId="0" applyNumberFormat="0" applyFont="0" applyFill="0" applyBorder="0" applyAlignment="0"/>
    <xf numFmtId="0" fontId="33" fillId="0" borderId="0" applyFill="0">
      <alignment horizontal="left" indent="2"/>
    </xf>
    <xf numFmtId="0" fontId="8" fillId="0" borderId="0" applyFill="0">
      <alignment horizontal="left" indent="2"/>
    </xf>
    <xf numFmtId="176" fontId="16" fillId="0" borderId="0" applyFill="0"/>
    <xf numFmtId="0" fontId="6" fillId="0" borderId="0" applyNumberFormat="0" applyFont="0" applyBorder="0" applyAlignment="0"/>
    <xf numFmtId="0" fontId="71" fillId="0" borderId="0">
      <alignment horizontal="left" indent="3"/>
    </xf>
    <xf numFmtId="0" fontId="72" fillId="0" borderId="0" applyFill="0">
      <alignment horizontal="left" indent="3"/>
    </xf>
    <xf numFmtId="176" fontId="16" fillId="0" borderId="0" applyFill="0"/>
    <xf numFmtId="0" fontId="6" fillId="0" borderId="0" applyNumberFormat="0" applyFont="0" applyBorder="0" applyAlignment="0"/>
    <xf numFmtId="0" fontId="36" fillId="0" borderId="0">
      <alignment horizontal="left" indent="4"/>
    </xf>
    <xf numFmtId="0" fontId="6" fillId="0" borderId="0" applyFill="0">
      <alignment horizontal="left" indent="4"/>
    </xf>
    <xf numFmtId="4" fontId="37" fillId="0" borderId="0" applyFill="0"/>
    <xf numFmtId="0" fontId="6" fillId="0" borderId="0" applyNumberFormat="0" applyFont="0" applyBorder="0" applyAlignment="0"/>
    <xf numFmtId="0" fontId="38" fillId="0" borderId="0">
      <alignment horizontal="left" indent="5"/>
    </xf>
    <xf numFmtId="0" fontId="39" fillId="0" borderId="0" applyFill="0">
      <alignment horizontal="left" indent="5"/>
    </xf>
    <xf numFmtId="4" fontId="40" fillId="0" borderId="0" applyFill="0"/>
    <xf numFmtId="0" fontId="6" fillId="0" borderId="0" applyNumberFormat="0" applyFont="0" applyFill="0" applyBorder="0" applyAlignment="0"/>
    <xf numFmtId="0" fontId="41" fillId="0" borderId="0" applyFill="0">
      <alignment horizontal="left" indent="6"/>
    </xf>
    <xf numFmtId="0" fontId="37" fillId="0" borderId="0" applyFill="0">
      <alignment horizontal="left" indent="6"/>
    </xf>
    <xf numFmtId="0" fontId="73" fillId="0" borderId="0"/>
    <xf numFmtId="0" fontId="6" fillId="0" borderId="0"/>
    <xf numFmtId="40" fontId="74" fillId="0" borderId="0"/>
    <xf numFmtId="0" fontId="75" fillId="0" borderId="0" applyNumberFormat="0" applyFill="0" applyBorder="0" applyAlignment="0" applyProtection="0"/>
    <xf numFmtId="0" fontId="76" fillId="0" borderId="40" applyNumberFormat="0" applyFill="0" applyAlignment="0" applyProtection="0"/>
    <xf numFmtId="0" fontId="16" fillId="0" borderId="0" applyFont="0" applyFill="0" applyBorder="0" applyAlignment="0" applyProtection="0"/>
    <xf numFmtId="0" fontId="77" fillId="0" borderId="0" applyNumberFormat="0" applyFill="0" applyBorder="0" applyAlignment="0" applyProtection="0"/>
    <xf numFmtId="165" fontId="6" fillId="2" borderId="0" applyNumberFormat="0" applyFont="0" applyBorder="0" applyAlignment="0">
      <alignment vertical="center"/>
    </xf>
    <xf numFmtId="0" fontId="6" fillId="43" borderId="0"/>
    <xf numFmtId="0" fontId="78" fillId="43" borderId="0"/>
  </cellStyleXfs>
  <cellXfs count="291">
    <xf numFmtId="0" fontId="0" fillId="0" borderId="0" xfId="0"/>
    <xf numFmtId="0" fontId="4" fillId="0" borderId="0" xfId="0" applyFont="1" applyAlignment="1">
      <alignment horizontal="center" vertical="top"/>
    </xf>
    <xf numFmtId="0" fontId="3" fillId="0" borderId="0" xfId="0" applyFont="1" applyAlignment="1">
      <alignment horizontal="center" vertical="top"/>
    </xf>
    <xf numFmtId="43" fontId="0" fillId="0" borderId="0" xfId="0" applyNumberFormat="1"/>
    <xf numFmtId="0" fontId="0" fillId="0" borderId="0" xfId="0"/>
    <xf numFmtId="0" fontId="3" fillId="0" borderId="0" xfId="0" applyFont="1"/>
    <xf numFmtId="164" fontId="0" fillId="0" borderId="0" xfId="1" applyNumberFormat="1" applyFont="1"/>
    <xf numFmtId="164" fontId="0" fillId="0" borderId="0" xfId="0" applyNumberFormat="1"/>
    <xf numFmtId="9" fontId="0" fillId="0" borderId="0" xfId="3" applyFont="1"/>
    <xf numFmtId="9" fontId="0" fillId="0" borderId="0" xfId="0" applyNumberFormat="1"/>
    <xf numFmtId="164" fontId="6" fillId="0" borderId="0" xfId="5" applyNumberFormat="1" applyFont="1"/>
    <xf numFmtId="0" fontId="12" fillId="0" borderId="0" xfId="0" applyFont="1"/>
    <xf numFmtId="164" fontId="0" fillId="0" borderId="14" xfId="1" applyNumberFormat="1" applyFont="1" applyBorder="1"/>
    <xf numFmtId="0" fontId="3" fillId="0" borderId="0" xfId="0" applyFont="1" applyAlignment="1">
      <alignment horizontal="center"/>
    </xf>
    <xf numFmtId="0" fontId="3" fillId="0" borderId="17" xfId="0" applyFont="1" applyBorder="1"/>
    <xf numFmtId="0" fontId="0" fillId="0" borderId="17" xfId="0" applyBorder="1"/>
    <xf numFmtId="43" fontId="0" fillId="0" borderId="17" xfId="1" applyFont="1" applyBorder="1"/>
    <xf numFmtId="0" fontId="3" fillId="7" borderId="17" xfId="0" applyFont="1" applyFill="1" applyBorder="1"/>
    <xf numFmtId="164" fontId="0" fillId="0" borderId="17" xfId="1" applyNumberFormat="1" applyFont="1" applyBorder="1"/>
    <xf numFmtId="164" fontId="0" fillId="0" borderId="17" xfId="0" applyNumberFormat="1" applyBorder="1"/>
    <xf numFmtId="0" fontId="3" fillId="8" borderId="17" xfId="0" applyFont="1" applyFill="1" applyBorder="1"/>
    <xf numFmtId="0" fontId="0" fillId="8" borderId="17" xfId="0" applyFill="1" applyBorder="1"/>
    <xf numFmtId="0" fontId="3" fillId="8" borderId="17" xfId="0" applyFont="1" applyFill="1" applyBorder="1" applyAlignment="1">
      <alignment horizontal="center"/>
    </xf>
    <xf numFmtId="0" fontId="0" fillId="0" borderId="17" xfId="0" applyFont="1" applyBorder="1"/>
    <xf numFmtId="164" fontId="0" fillId="8" borderId="17" xfId="0" applyNumberFormat="1" applyFill="1" applyBorder="1"/>
    <xf numFmtId="0" fontId="0" fillId="0" borderId="1" xfId="0" applyBorder="1"/>
    <xf numFmtId="14" fontId="0" fillId="0" borderId="0" xfId="0" applyNumberFormat="1"/>
    <xf numFmtId="0" fontId="8" fillId="3" borderId="21" xfId="0" applyFont="1" applyFill="1" applyBorder="1" applyAlignment="1">
      <alignment horizontal="left"/>
    </xf>
    <xf numFmtId="0" fontId="7" fillId="3" borderId="21" xfId="0" applyFont="1" applyFill="1" applyBorder="1" applyAlignment="1">
      <alignment horizontal="center"/>
    </xf>
    <xf numFmtId="0" fontId="7" fillId="3" borderId="21" xfId="0" applyFont="1" applyFill="1" applyBorder="1" applyAlignment="1">
      <alignment horizontal="right"/>
    </xf>
    <xf numFmtId="164" fontId="0" fillId="0" borderId="0" xfId="5" applyNumberFormat="1" applyFont="1"/>
    <xf numFmtId="0" fontId="20" fillId="0" borderId="0" xfId="0" applyFont="1"/>
    <xf numFmtId="169" fontId="0" fillId="0" borderId="0" xfId="6" applyNumberFormat="1" applyFont="1"/>
    <xf numFmtId="0" fontId="7" fillId="0" borderId="0" xfId="0" applyFont="1"/>
    <xf numFmtId="164" fontId="7" fillId="0" borderId="0" xfId="0" applyNumberFormat="1" applyFont="1"/>
    <xf numFmtId="44" fontId="7" fillId="9" borderId="0" xfId="8" applyFont="1" applyFill="1"/>
    <xf numFmtId="164" fontId="3" fillId="0" borderId="0" xfId="5" applyNumberFormat="1" applyFont="1"/>
    <xf numFmtId="0" fontId="0" fillId="0" borderId="0" xfId="0" applyFill="1"/>
    <xf numFmtId="0" fontId="21" fillId="9" borderId="17" xfId="0" applyFont="1" applyFill="1" applyBorder="1"/>
    <xf numFmtId="0" fontId="22" fillId="0" borderId="0" xfId="0" applyFont="1"/>
    <xf numFmtId="0" fontId="0" fillId="0" borderId="0" xfId="0" applyFont="1" applyFill="1"/>
    <xf numFmtId="0" fontId="3" fillId="12" borderId="0" xfId="0" applyFont="1" applyFill="1"/>
    <xf numFmtId="10" fontId="3" fillId="12" borderId="0" xfId="3" applyNumberFormat="1" applyFont="1" applyFill="1"/>
    <xf numFmtId="0" fontId="3" fillId="9" borderId="0" xfId="19" applyFont="1" applyFill="1"/>
    <xf numFmtId="0" fontId="22" fillId="0" borderId="0" xfId="19" applyFont="1"/>
    <xf numFmtId="0" fontId="3" fillId="0" borderId="0" xfId="19" applyFont="1"/>
    <xf numFmtId="164" fontId="3" fillId="0" borderId="0" xfId="19" applyNumberFormat="1" applyFont="1"/>
    <xf numFmtId="0" fontId="22" fillId="0" borderId="0" xfId="19" applyFont="1" applyFill="1"/>
    <xf numFmtId="43" fontId="80" fillId="0" borderId="0" xfId="0" applyNumberFormat="1" applyFont="1"/>
    <xf numFmtId="0" fontId="80" fillId="0" borderId="0" xfId="0" applyFont="1"/>
    <xf numFmtId="43" fontId="0" fillId="0" borderId="0" xfId="1" applyFont="1"/>
    <xf numFmtId="0" fontId="82" fillId="9" borderId="0" xfId="0" applyFont="1" applyFill="1"/>
    <xf numFmtId="0" fontId="83" fillId="0" borderId="0" xfId="0" applyFont="1"/>
    <xf numFmtId="0" fontId="84" fillId="9" borderId="0" xfId="0" applyFont="1" applyFill="1"/>
    <xf numFmtId="0" fontId="85" fillId="0" borderId="1" xfId="0" applyFont="1" applyBorder="1"/>
    <xf numFmtId="44" fontId="83" fillId="0" borderId="0" xfId="121" applyFont="1"/>
    <xf numFmtId="9" fontId="83" fillId="0" borderId="0" xfId="276" applyFont="1"/>
    <xf numFmtId="0" fontId="84" fillId="0" borderId="0" xfId="0" applyFont="1"/>
    <xf numFmtId="44" fontId="85" fillId="0" borderId="0" xfId="121" applyFont="1"/>
    <xf numFmtId="0" fontId="85" fillId="0" borderId="0" xfId="0" applyFont="1"/>
    <xf numFmtId="10" fontId="83" fillId="0" borderId="0" xfId="276" applyNumberFormat="1" applyFont="1"/>
    <xf numFmtId="44" fontId="85" fillId="0" borderId="0" xfId="0" applyNumberFormat="1" applyFont="1"/>
    <xf numFmtId="0" fontId="83" fillId="0" borderId="0" xfId="0" applyFont="1" applyAlignment="1">
      <alignment wrapText="1"/>
    </xf>
    <xf numFmtId="0" fontId="0" fillId="0" borderId="42" xfId="0" applyBorder="1"/>
    <xf numFmtId="164" fontId="19" fillId="0" borderId="0" xfId="1" applyNumberFormat="1" applyFont="1"/>
    <xf numFmtId="0" fontId="0" fillId="0" borderId="0" xfId="0" applyFill="1" applyBorder="1"/>
    <xf numFmtId="0" fontId="15" fillId="0" borderId="0" xfId="10" applyFont="1" applyFill="1" applyBorder="1" applyAlignment="1">
      <alignment horizontal="left" vertical="top" wrapText="1" readingOrder="1"/>
    </xf>
    <xf numFmtId="44" fontId="16" fillId="0" borderId="0" xfId="17" applyFont="1" applyFill="1" applyBorder="1" applyAlignment="1">
      <alignment horizontal="center" vertical="center" wrapText="1" readingOrder="1"/>
    </xf>
    <xf numFmtId="44" fontId="0" fillId="0" borderId="0" xfId="2" applyFont="1"/>
    <xf numFmtId="43" fontId="3" fillId="0" borderId="0" xfId="5" applyNumberFormat="1" applyFont="1"/>
    <xf numFmtId="10" fontId="83" fillId="0" borderId="0" xfId="0" applyNumberFormat="1" applyFont="1"/>
    <xf numFmtId="44" fontId="83" fillId="0" borderId="0" xfId="0" applyNumberFormat="1" applyFont="1"/>
    <xf numFmtId="9" fontId="83" fillId="0" borderId="0" xfId="0" applyNumberFormat="1" applyFont="1"/>
    <xf numFmtId="43" fontId="83" fillId="0" borderId="0" xfId="1" applyFont="1"/>
    <xf numFmtId="44" fontId="0" fillId="0" borderId="0" xfId="0" applyNumberFormat="1"/>
    <xf numFmtId="9" fontId="6" fillId="0" borderId="0" xfId="3" applyFont="1" applyFill="1"/>
    <xf numFmtId="164" fontId="6" fillId="0" borderId="0" xfId="5" applyNumberFormat="1" applyFont="1" applyFill="1"/>
    <xf numFmtId="164" fontId="0" fillId="0" borderId="0" xfId="18" applyNumberFormat="1" applyFont="1" applyFill="1" applyBorder="1"/>
    <xf numFmtId="44" fontId="83" fillId="0" borderId="0" xfId="2" applyFont="1"/>
    <xf numFmtId="164" fontId="6" fillId="0" borderId="42" xfId="5" applyNumberFormat="1" applyFont="1" applyBorder="1"/>
    <xf numFmtId="9" fontId="81" fillId="0" borderId="0" xfId="16" applyFont="1" applyBorder="1" applyAlignment="1">
      <alignment horizontal="right" wrapText="1" readingOrder="1"/>
    </xf>
    <xf numFmtId="9" fontId="81" fillId="0" borderId="1" xfId="16" applyFont="1" applyBorder="1" applyAlignment="1">
      <alignment horizontal="right" wrapText="1" readingOrder="1"/>
    </xf>
    <xf numFmtId="0" fontId="6" fillId="0" borderId="0" xfId="0" applyFont="1"/>
    <xf numFmtId="0" fontId="21" fillId="9" borderId="42" xfId="0" applyFont="1" applyFill="1" applyBorder="1"/>
    <xf numFmtId="0" fontId="21" fillId="9" borderId="42" xfId="0" applyFont="1" applyFill="1" applyBorder="1" applyAlignment="1">
      <alignment horizontal="center"/>
    </xf>
    <xf numFmtId="44" fontId="0" fillId="0" borderId="42" xfId="0" applyNumberFormat="1" applyBorder="1"/>
    <xf numFmtId="0" fontId="21" fillId="9" borderId="0" xfId="0" applyFont="1" applyFill="1"/>
    <xf numFmtId="0" fontId="0" fillId="0" borderId="0" xfId="0" applyFont="1"/>
    <xf numFmtId="0" fontId="6" fillId="0" borderId="0" xfId="197" applyFont="1" applyFill="1" applyBorder="1"/>
    <xf numFmtId="0" fontId="0" fillId="47" borderId="0" xfId="0" applyFont="1" applyFill="1"/>
    <xf numFmtId="10" fontId="0" fillId="0" borderId="0" xfId="0" applyNumberFormat="1" applyFont="1"/>
    <xf numFmtId="0" fontId="6" fillId="0" borderId="0" xfId="4" applyFont="1"/>
    <xf numFmtId="0" fontId="6" fillId="0" borderId="0" xfId="4" applyFont="1" applyFill="1"/>
    <xf numFmtId="164" fontId="0" fillId="0" borderId="3" xfId="0" applyNumberFormat="1" applyFont="1" applyBorder="1"/>
    <xf numFmtId="164" fontId="0" fillId="0" borderId="0" xfId="0" applyNumberFormat="1" applyFont="1" applyBorder="1"/>
    <xf numFmtId="164" fontId="0" fillId="0" borderId="0" xfId="0" applyNumberFormat="1" applyFont="1"/>
    <xf numFmtId="3" fontId="0" fillId="0" borderId="0" xfId="0" applyNumberFormat="1" applyFont="1"/>
    <xf numFmtId="164" fontId="0" fillId="0" borderId="2" xfId="0" applyNumberFormat="1" applyFont="1" applyBorder="1"/>
    <xf numFmtId="3" fontId="0" fillId="0" borderId="2" xfId="0" applyNumberFormat="1" applyFont="1" applyBorder="1"/>
    <xf numFmtId="9" fontId="0" fillId="0" borderId="0" xfId="0" applyNumberFormat="1" applyFont="1" applyBorder="1" applyAlignment="1">
      <alignment horizontal="right" readingOrder="1"/>
    </xf>
    <xf numFmtId="164" fontId="0" fillId="0" borderId="0" xfId="0" applyNumberFormat="1" applyFont="1" applyFill="1"/>
    <xf numFmtId="10" fontId="0" fillId="7" borderId="0" xfId="276" applyNumberFormat="1" applyFont="1" applyFill="1"/>
    <xf numFmtId="10" fontId="0" fillId="44" borderId="0" xfId="276" applyNumberFormat="1" applyFont="1" applyFill="1"/>
    <xf numFmtId="0" fontId="0" fillId="9" borderId="15" xfId="0" applyFont="1" applyFill="1" applyBorder="1"/>
    <xf numFmtId="10" fontId="0" fillId="9" borderId="16" xfId="276" applyNumberFormat="1" applyFont="1" applyFill="1" applyBorder="1"/>
    <xf numFmtId="10" fontId="0" fillId="9" borderId="12" xfId="276" applyNumberFormat="1" applyFont="1" applyFill="1" applyBorder="1"/>
    <xf numFmtId="14" fontId="86" fillId="0" borderId="0" xfId="0" applyNumberFormat="1" applyFont="1" applyAlignment="1">
      <alignment horizontal="center" vertical="top"/>
    </xf>
    <xf numFmtId="0" fontId="86" fillId="0" borderId="0" xfId="0" applyFont="1" applyAlignment="1">
      <alignment horizontal="center" vertical="top"/>
    </xf>
    <xf numFmtId="0" fontId="86" fillId="0" borderId="0" xfId="0" applyFont="1" applyFill="1" applyAlignment="1">
      <alignment horizontal="left" vertical="top"/>
    </xf>
    <xf numFmtId="0" fontId="86" fillId="0" borderId="0" xfId="0" applyFont="1" applyFill="1" applyAlignment="1">
      <alignment horizontal="center" vertical="top"/>
    </xf>
    <xf numFmtId="44" fontId="16" fillId="44" borderId="7" xfId="17" applyFont="1" applyFill="1" applyBorder="1" applyAlignment="1">
      <alignment horizontal="center" vertical="center" wrapText="1" readingOrder="1"/>
    </xf>
    <xf numFmtId="43" fontId="0" fillId="44" borderId="0" xfId="1" applyFont="1" applyFill="1"/>
    <xf numFmtId="164" fontId="0" fillId="44" borderId="0" xfId="1" applyNumberFormat="1" applyFont="1" applyFill="1"/>
    <xf numFmtId="9" fontId="0" fillId="44" borderId="0" xfId="3" applyFont="1" applyFill="1"/>
    <xf numFmtId="0" fontId="0" fillId="44" borderId="0" xfId="0" applyFill="1"/>
    <xf numFmtId="44" fontId="16" fillId="44" borderId="5" xfId="17" applyFont="1" applyFill="1" applyBorder="1" applyAlignment="1">
      <alignment horizontal="center" vertical="center" wrapText="1" readingOrder="1"/>
    </xf>
    <xf numFmtId="0" fontId="15" fillId="0" borderId="0" xfId="10" applyFont="1" applyFill="1" applyBorder="1" applyAlignment="1">
      <alignment horizontal="left" vertical="top" readingOrder="1"/>
    </xf>
    <xf numFmtId="0" fontId="14" fillId="0" borderId="0" xfId="10" applyFont="1" applyFill="1" applyBorder="1" applyAlignment="1">
      <alignment horizontal="left" vertical="top" readingOrder="1"/>
    </xf>
    <xf numFmtId="167" fontId="0" fillId="0" borderId="0" xfId="0" applyNumberFormat="1" applyFont="1"/>
    <xf numFmtId="0" fontId="0" fillId="0" borderId="14" xfId="0" applyFont="1" applyBorder="1"/>
    <xf numFmtId="167" fontId="0" fillId="0" borderId="14" xfId="0" applyNumberFormat="1" applyFont="1" applyBorder="1"/>
    <xf numFmtId="0" fontId="7" fillId="0" borderId="0" xfId="0" applyFont="1" applyAlignment="1">
      <alignment horizontal="left" vertical="center" indent="4"/>
    </xf>
    <xf numFmtId="0" fontId="7" fillId="6" borderId="14" xfId="0" applyFont="1" applyFill="1" applyBorder="1" applyAlignment="1">
      <alignment horizontal="left" vertical="center"/>
    </xf>
    <xf numFmtId="164" fontId="7" fillId="6" borderId="14" xfId="1" quotePrefix="1" applyNumberFormat="1" applyFont="1" applyFill="1" applyBorder="1" applyAlignment="1">
      <alignment horizontal="center" vertical="center" wrapText="1"/>
    </xf>
    <xf numFmtId="164" fontId="7" fillId="6" borderId="14" xfId="1" applyNumberFormat="1" applyFont="1" applyFill="1" applyBorder="1" applyAlignment="1">
      <alignment horizontal="center" vertical="center" wrapText="1"/>
    </xf>
    <xf numFmtId="167" fontId="7" fillId="6" borderId="14" xfId="0" applyNumberFormat="1" applyFont="1" applyFill="1" applyBorder="1" applyAlignment="1">
      <alignment horizontal="center" vertical="center" wrapText="1"/>
    </xf>
    <xf numFmtId="164" fontId="7" fillId="45" borderId="14" xfId="1" applyNumberFormat="1" applyFont="1" applyFill="1" applyBorder="1" applyAlignment="1">
      <alignment horizontal="center" vertical="center" wrapText="1"/>
    </xf>
    <xf numFmtId="167" fontId="7" fillId="45" borderId="14" xfId="0" applyNumberFormat="1" applyFont="1" applyFill="1" applyBorder="1" applyAlignment="1">
      <alignment horizontal="center" vertical="center" wrapText="1"/>
    </xf>
    <xf numFmtId="164" fontId="7" fillId="45" borderId="14" xfId="1" quotePrefix="1" applyNumberFormat="1" applyFont="1" applyFill="1" applyBorder="1" applyAlignment="1">
      <alignment horizontal="center" vertical="center" wrapText="1"/>
    </xf>
    <xf numFmtId="0" fontId="6" fillId="0" borderId="14" xfId="0" applyFont="1" applyBorder="1" applyAlignment="1">
      <alignment horizontal="justify" vertical="center"/>
    </xf>
    <xf numFmtId="164" fontId="6" fillId="0" borderId="14" xfId="1" applyNumberFormat="1" applyFont="1" applyBorder="1" applyAlignment="1">
      <alignment horizontal="center" vertical="center"/>
    </xf>
    <xf numFmtId="167" fontId="6" fillId="0" borderId="14" xfId="0" applyNumberFormat="1" applyFont="1" applyBorder="1" applyAlignment="1">
      <alignment horizontal="center" vertical="center"/>
    </xf>
    <xf numFmtId="164" fontId="6" fillId="0" borderId="14" xfId="1" applyNumberFormat="1" applyFont="1" applyBorder="1" applyAlignment="1">
      <alignment horizontal="center" vertical="center" wrapText="1"/>
    </xf>
    <xf numFmtId="167" fontId="6" fillId="0" borderId="14" xfId="2" applyNumberFormat="1" applyFont="1" applyBorder="1" applyAlignment="1">
      <alignment horizontal="center" vertical="center" wrapText="1"/>
    </xf>
    <xf numFmtId="0" fontId="6" fillId="0" borderId="14" xfId="0" applyFont="1" applyBorder="1" applyAlignment="1">
      <alignment horizontal="justify" vertical="center" wrapText="1"/>
    </xf>
    <xf numFmtId="167" fontId="6" fillId="0" borderId="14" xfId="2" applyNumberFormat="1" applyFont="1" applyBorder="1" applyAlignment="1">
      <alignment horizontal="center" vertical="center"/>
    </xf>
    <xf numFmtId="167" fontId="7" fillId="6" borderId="14" xfId="0" quotePrefix="1" applyNumberFormat="1" applyFont="1" applyFill="1" applyBorder="1" applyAlignment="1">
      <alignment horizontal="center" vertical="center" wrapText="1"/>
    </xf>
    <xf numFmtId="167" fontId="6" fillId="0" borderId="14" xfId="0" applyNumberFormat="1" applyFont="1" applyBorder="1" applyAlignment="1">
      <alignment horizontal="center" vertical="center" wrapText="1"/>
    </xf>
    <xf numFmtId="0" fontId="7" fillId="0" borderId="14" xfId="0" applyFont="1" applyBorder="1" applyAlignment="1">
      <alignment horizontal="justify" vertical="center" wrapText="1"/>
    </xf>
    <xf numFmtId="164" fontId="7" fillId="0" borderId="14" xfId="1" applyNumberFormat="1" applyFont="1" applyBorder="1" applyAlignment="1">
      <alignment horizontal="center" vertical="center"/>
    </xf>
    <xf numFmtId="167" fontId="7" fillId="0" borderId="14" xfId="0" applyNumberFormat="1" applyFont="1" applyBorder="1" applyAlignment="1">
      <alignment horizontal="center" vertical="center" wrapText="1"/>
    </xf>
    <xf numFmtId="0" fontId="7" fillId="0" borderId="15" xfId="0" applyFont="1" applyBorder="1" applyAlignment="1">
      <alignment horizontal="justify" vertical="center" wrapText="1"/>
    </xf>
    <xf numFmtId="164" fontId="7" fillId="0" borderId="16" xfId="1" applyNumberFormat="1" applyFont="1" applyBorder="1" applyAlignment="1">
      <alignment horizontal="center" vertical="center"/>
    </xf>
    <xf numFmtId="167" fontId="7" fillId="0" borderId="16" xfId="2" applyNumberFormat="1" applyFont="1" applyBorder="1" applyAlignment="1">
      <alignment horizontal="center" vertical="center"/>
    </xf>
    <xf numFmtId="0" fontId="7" fillId="6" borderId="9" xfId="0" applyFont="1" applyFill="1" applyBorder="1" applyAlignment="1">
      <alignment horizontal="left" vertical="center"/>
    </xf>
    <xf numFmtId="164" fontId="7" fillId="6" borderId="12" xfId="1" applyNumberFormat="1" applyFont="1" applyFill="1" applyBorder="1" applyAlignment="1">
      <alignment horizontal="center" vertical="center" wrapText="1"/>
    </xf>
    <xf numFmtId="167" fontId="7" fillId="6" borderId="12" xfId="0" applyNumberFormat="1" applyFont="1" applyFill="1" applyBorder="1" applyAlignment="1">
      <alignment horizontal="center" vertical="center" wrapText="1"/>
    </xf>
    <xf numFmtId="0" fontId="6" fillId="0" borderId="10" xfId="0" applyFont="1" applyBorder="1" applyAlignment="1">
      <alignment horizontal="justify" vertical="center"/>
    </xf>
    <xf numFmtId="164" fontId="6" fillId="0" borderId="13" xfId="1" applyNumberFormat="1" applyFont="1" applyBorder="1" applyAlignment="1">
      <alignment horizontal="center" vertical="center"/>
    </xf>
    <xf numFmtId="167" fontId="6" fillId="0" borderId="13" xfId="0" applyNumberFormat="1" applyFont="1" applyBorder="1" applyAlignment="1">
      <alignment horizontal="center" vertical="center"/>
    </xf>
    <xf numFmtId="164" fontId="6" fillId="0" borderId="13" xfId="1" applyNumberFormat="1" applyFont="1" applyBorder="1" applyAlignment="1">
      <alignment horizontal="center" vertical="center" wrapText="1"/>
    </xf>
    <xf numFmtId="167" fontId="6" fillId="0" borderId="13" xfId="0" applyNumberFormat="1" applyFont="1" applyBorder="1" applyAlignment="1">
      <alignment horizontal="center" vertical="center" wrapText="1"/>
    </xf>
    <xf numFmtId="167" fontId="6" fillId="0" borderId="13" xfId="2" applyNumberFormat="1" applyFont="1" applyBorder="1" applyAlignment="1">
      <alignment horizontal="center" vertical="center" wrapText="1"/>
    </xf>
    <xf numFmtId="0" fontId="6" fillId="0" borderId="10" xfId="0" applyFont="1" applyBorder="1" applyAlignment="1">
      <alignment horizontal="justify" vertical="center" wrapText="1"/>
    </xf>
    <xf numFmtId="167" fontId="6" fillId="0" borderId="13" xfId="2" applyNumberFormat="1" applyFont="1" applyBorder="1" applyAlignment="1">
      <alignment horizontal="center" vertical="center"/>
    </xf>
    <xf numFmtId="0" fontId="6" fillId="0" borderId="11" xfId="0" applyFont="1" applyBorder="1" applyAlignment="1">
      <alignment horizontal="justify" vertical="center" wrapText="1"/>
    </xf>
    <xf numFmtId="0" fontId="7" fillId="0" borderId="11" xfId="0" applyFont="1" applyBorder="1" applyAlignment="1">
      <alignment horizontal="justify" vertical="center" wrapText="1"/>
    </xf>
    <xf numFmtId="164" fontId="7" fillId="0" borderId="13" xfId="1" applyNumberFormat="1" applyFont="1" applyBorder="1" applyAlignment="1">
      <alignment horizontal="center" vertical="center"/>
    </xf>
    <xf numFmtId="167" fontId="7" fillId="0" borderId="13" xfId="2" applyNumberFormat="1" applyFont="1" applyBorder="1" applyAlignment="1">
      <alignment horizontal="center" vertical="center"/>
    </xf>
    <xf numFmtId="0" fontId="7" fillId="0" borderId="0" xfId="0" applyFont="1" applyBorder="1" applyAlignment="1">
      <alignment horizontal="justify" vertical="center" wrapText="1"/>
    </xf>
    <xf numFmtId="167" fontId="7" fillId="0" borderId="0" xfId="2" applyNumberFormat="1" applyFont="1" applyBorder="1" applyAlignment="1">
      <alignment horizontal="center" vertical="center"/>
    </xf>
    <xf numFmtId="164" fontId="7" fillId="0" borderId="0" xfId="1" applyNumberFormat="1" applyFont="1" applyBorder="1" applyAlignment="1">
      <alignment horizontal="center" vertical="center" wrapText="1"/>
    </xf>
    <xf numFmtId="164" fontId="7" fillId="0" borderId="13" xfId="1" applyNumberFormat="1" applyFont="1" applyBorder="1" applyAlignment="1">
      <alignment horizontal="center" vertical="center" wrapText="1"/>
    </xf>
    <xf numFmtId="167" fontId="7" fillId="0" borderId="13" xfId="0" applyNumberFormat="1" applyFont="1" applyBorder="1" applyAlignment="1">
      <alignment horizontal="center" vertical="center"/>
    </xf>
    <xf numFmtId="0" fontId="6" fillId="48" borderId="10" xfId="0" applyFont="1" applyFill="1" applyBorder="1" applyAlignment="1">
      <alignment horizontal="justify" vertical="center" wrapText="1"/>
    </xf>
    <xf numFmtId="0" fontId="7" fillId="9" borderId="0" xfId="0" applyFont="1" applyFill="1" applyAlignment="1">
      <alignment vertical="top"/>
    </xf>
    <xf numFmtId="0" fontId="6" fillId="9" borderId="0" xfId="0" applyFont="1" applyFill="1"/>
    <xf numFmtId="0" fontId="3" fillId="9" borderId="0" xfId="0" applyFont="1" applyFill="1"/>
    <xf numFmtId="0" fontId="0" fillId="9" borderId="0" xfId="0" applyFont="1" applyFill="1"/>
    <xf numFmtId="0" fontId="0" fillId="0" borderId="0" xfId="0" applyBorder="1"/>
    <xf numFmtId="41" fontId="0" fillId="0" borderId="0" xfId="0" applyNumberFormat="1" applyBorder="1"/>
    <xf numFmtId="3" fontId="0" fillId="0" borderId="0" xfId="0" applyNumberFormat="1" applyBorder="1"/>
    <xf numFmtId="0" fontId="3" fillId="0" borderId="0" xfId="0" applyFont="1" applyBorder="1"/>
    <xf numFmtId="164" fontId="0" fillId="0" borderId="0" xfId="1" applyNumberFormat="1" applyFont="1" applyBorder="1" applyAlignment="1">
      <alignment horizontal="left" indent="2"/>
    </xf>
    <xf numFmtId="168" fontId="0" fillId="0" borderId="0" xfId="2" applyNumberFormat="1" applyFont="1" applyBorder="1"/>
    <xf numFmtId="0" fontId="83" fillId="0" borderId="0" xfId="0" applyFont="1" applyAlignment="1"/>
    <xf numFmtId="2" fontId="0" fillId="0" borderId="0" xfId="0" applyNumberFormat="1" applyFont="1"/>
    <xf numFmtId="10" fontId="0" fillId="0" borderId="0" xfId="3" applyNumberFormat="1" applyFont="1"/>
    <xf numFmtId="0" fontId="0" fillId="0" borderId="0" xfId="0" applyFont="1" applyAlignment="1">
      <alignment horizontal="right"/>
    </xf>
    <xf numFmtId="164" fontId="6" fillId="0" borderId="13" xfId="1" applyNumberFormat="1" applyFont="1" applyFill="1" applyBorder="1" applyAlignment="1">
      <alignment horizontal="center" vertical="center" wrapText="1"/>
    </xf>
    <xf numFmtId="0" fontId="3" fillId="44" borderId="0" xfId="19" applyFont="1" applyFill="1" applyAlignment="1">
      <alignment horizontal="center" vertical="top"/>
    </xf>
    <xf numFmtId="0" fontId="3" fillId="44" borderId="24" xfId="19" applyFont="1" applyFill="1" applyBorder="1"/>
    <xf numFmtId="0" fontId="3" fillId="44" borderId="8" xfId="19" applyFont="1" applyFill="1" applyBorder="1"/>
    <xf numFmtId="164" fontId="3" fillId="44" borderId="23" xfId="19" applyNumberFormat="1" applyFont="1" applyFill="1" applyBorder="1"/>
    <xf numFmtId="10" fontId="2" fillId="44" borderId="0" xfId="20" applyNumberFormat="1" applyFont="1" applyFill="1"/>
    <xf numFmtId="164" fontId="2" fillId="44" borderId="0" xfId="21" applyNumberFormat="1" applyFont="1" applyFill="1"/>
    <xf numFmtId="0" fontId="3" fillId="44" borderId="0" xfId="19" applyFont="1" applyFill="1"/>
    <xf numFmtId="164" fontId="3" fillId="44" borderId="0" xfId="19" applyNumberFormat="1" applyFont="1" applyFill="1"/>
    <xf numFmtId="0" fontId="3" fillId="44" borderId="0" xfId="19" applyFont="1" applyFill="1" applyBorder="1"/>
    <xf numFmtId="164" fontId="3" fillId="44" borderId="0" xfId="19" applyNumberFormat="1" applyFont="1" applyFill="1" applyBorder="1"/>
    <xf numFmtId="0" fontId="3" fillId="44" borderId="23" xfId="19" applyFont="1" applyFill="1" applyBorder="1"/>
    <xf numFmtId="0" fontId="79" fillId="44" borderId="0" xfId="19" applyFont="1" applyFill="1"/>
    <xf numFmtId="164" fontId="79" fillId="44" borderId="2" xfId="19" applyNumberFormat="1" applyFont="1" applyFill="1" applyBorder="1"/>
    <xf numFmtId="0" fontId="2" fillId="0" borderId="0" xfId="19" applyFont="1"/>
    <xf numFmtId="0" fontId="2" fillId="9" borderId="0" xfId="19" applyFont="1" applyFill="1"/>
    <xf numFmtId="10" fontId="2" fillId="0" borderId="0" xfId="19" applyNumberFormat="1" applyFont="1"/>
    <xf numFmtId="0" fontId="2" fillId="0" borderId="0" xfId="19" applyFont="1" applyAlignment="1">
      <alignment wrapText="1"/>
    </xf>
    <xf numFmtId="0" fontId="2" fillId="0" borderId="0" xfId="19" applyFont="1" applyFill="1"/>
    <xf numFmtId="0" fontId="2" fillId="44" borderId="0" xfId="19" applyFont="1" applyFill="1"/>
    <xf numFmtId="0" fontId="2" fillId="0" borderId="0" xfId="19" applyFont="1" applyAlignment="1">
      <alignment horizontal="center" vertical="top"/>
    </xf>
    <xf numFmtId="0" fontId="2" fillId="0" borderId="0" xfId="0" applyFont="1"/>
    <xf numFmtId="0" fontId="2" fillId="44" borderId="27" xfId="19" applyFont="1" applyFill="1" applyBorder="1"/>
    <xf numFmtId="164" fontId="2" fillId="44" borderId="0" xfId="19" applyNumberFormat="1" applyFont="1" applyFill="1" applyBorder="1"/>
    <xf numFmtId="164" fontId="2" fillId="44" borderId="28" xfId="19" applyNumberFormat="1" applyFont="1" applyFill="1" applyBorder="1"/>
    <xf numFmtId="164" fontId="2" fillId="0" borderId="0" xfId="19" applyNumberFormat="1" applyFont="1" applyFill="1" applyBorder="1"/>
    <xf numFmtId="164" fontId="2" fillId="44" borderId="1" xfId="19" applyNumberFormat="1" applyFont="1" applyFill="1" applyBorder="1"/>
    <xf numFmtId="164" fontId="2" fillId="44" borderId="41" xfId="19" applyNumberFormat="1" applyFont="1" applyFill="1" applyBorder="1"/>
    <xf numFmtId="164" fontId="2" fillId="44" borderId="0" xfId="19" applyNumberFormat="1" applyFont="1" applyFill="1"/>
    <xf numFmtId="0" fontId="2" fillId="44" borderId="0" xfId="19" applyFont="1" applyFill="1" applyAlignment="1">
      <alignment wrapText="1"/>
    </xf>
    <xf numFmtId="164" fontId="2" fillId="0" borderId="0" xfId="19" applyNumberFormat="1" applyFont="1"/>
    <xf numFmtId="44" fontId="2" fillId="0" borderId="0" xfId="22" applyFont="1"/>
    <xf numFmtId="164" fontId="2" fillId="0" borderId="0" xfId="19" applyNumberFormat="1" applyFont="1" applyFill="1"/>
    <xf numFmtId="44" fontId="2" fillId="0" borderId="0" xfId="22" applyFont="1" applyFill="1"/>
    <xf numFmtId="43" fontId="2" fillId="0" borderId="0" xfId="19" applyNumberFormat="1" applyFont="1"/>
    <xf numFmtId="10" fontId="2" fillId="13" borderId="15" xfId="20" applyNumberFormat="1" applyFont="1" applyFill="1" applyBorder="1"/>
    <xf numFmtId="10" fontId="2" fillId="13" borderId="16" xfId="20" applyNumberFormat="1" applyFont="1" applyFill="1" applyBorder="1"/>
    <xf numFmtId="10" fontId="2" fillId="13" borderId="12" xfId="20" applyNumberFormat="1" applyFont="1" applyFill="1" applyBorder="1"/>
    <xf numFmtId="10" fontId="2" fillId="0" borderId="15" xfId="20" applyNumberFormat="1" applyFont="1" applyFill="1" applyBorder="1"/>
    <xf numFmtId="10" fontId="2" fillId="0" borderId="16" xfId="20" applyNumberFormat="1" applyFont="1" applyFill="1" applyBorder="1"/>
    <xf numFmtId="10" fontId="2" fillId="0" borderId="12" xfId="20" applyNumberFormat="1" applyFont="1" applyFill="1" applyBorder="1"/>
    <xf numFmtId="0" fontId="2" fillId="44" borderId="0" xfId="19" applyFont="1" applyFill="1" applyAlignment="1">
      <alignment horizontal="center" vertical="top"/>
    </xf>
    <xf numFmtId="0" fontId="2" fillId="44" borderId="25" xfId="19" applyFont="1" applyFill="1" applyBorder="1" applyAlignment="1">
      <alignment horizontal="center" vertical="top"/>
    </xf>
    <xf numFmtId="0" fontId="2" fillId="44" borderId="26" xfId="19" applyFont="1" applyFill="1" applyBorder="1" applyAlignment="1">
      <alignment horizontal="center" vertical="top"/>
    </xf>
    <xf numFmtId="0" fontId="2" fillId="44" borderId="0" xfId="19" applyFont="1" applyFill="1" applyBorder="1" applyAlignment="1">
      <alignment horizontal="center" vertical="top"/>
    </xf>
    <xf numFmtId="0" fontId="3" fillId="44" borderId="23" xfId="19" applyFont="1" applyFill="1" applyBorder="1" applyAlignment="1">
      <alignment horizontal="center" vertical="top"/>
    </xf>
    <xf numFmtId="0" fontId="2" fillId="0" borderId="0" xfId="23" applyFont="1"/>
    <xf numFmtId="0" fontId="2" fillId="0" borderId="0" xfId="19" applyFont="1" applyFill="1" applyBorder="1"/>
    <xf numFmtId="164" fontId="22" fillId="0" borderId="0" xfId="19" applyNumberFormat="1" applyFont="1" applyFill="1" applyBorder="1"/>
    <xf numFmtId="0" fontId="22" fillId="0" borderId="0" xfId="19" applyFont="1" applyFill="1" applyBorder="1"/>
    <xf numFmtId="38" fontId="0" fillId="0" borderId="0" xfId="1" applyNumberFormat="1" applyFont="1"/>
    <xf numFmtId="164" fontId="3" fillId="0" borderId="17" xfId="1" applyNumberFormat="1" applyFont="1" applyBorder="1"/>
    <xf numFmtId="0" fontId="0" fillId="0" borderId="0" xfId="0" applyFont="1" applyAlignment="1">
      <alignment horizontal="left" indent="1"/>
    </xf>
    <xf numFmtId="0" fontId="3" fillId="46" borderId="0" xfId="0" applyFont="1" applyFill="1"/>
    <xf numFmtId="164" fontId="3" fillId="46" borderId="0" xfId="0" applyNumberFormat="1" applyFont="1" applyFill="1"/>
    <xf numFmtId="164" fontId="3" fillId="0" borderId="0" xfId="0" applyNumberFormat="1" applyFont="1" applyAlignment="1">
      <alignment horizontal="center"/>
    </xf>
    <xf numFmtId="169" fontId="3" fillId="46" borderId="0" xfId="3" applyNumberFormat="1" applyFont="1" applyFill="1"/>
    <xf numFmtId="164" fontId="3" fillId="0" borderId="17" xfId="0" applyNumberFormat="1" applyFont="1" applyBorder="1"/>
    <xf numFmtId="44" fontId="0" fillId="0" borderId="17" xfId="2" applyFont="1" applyBorder="1"/>
    <xf numFmtId="43" fontId="0" fillId="0" borderId="42" xfId="0" applyNumberFormat="1" applyBorder="1"/>
    <xf numFmtId="177" fontId="0" fillId="0" borderId="0" xfId="0" applyNumberFormat="1"/>
    <xf numFmtId="43" fontId="0" fillId="0" borderId="17" xfId="1" applyNumberFormat="1" applyFont="1" applyBorder="1"/>
    <xf numFmtId="164" fontId="3" fillId="0" borderId="0" xfId="0" applyNumberFormat="1" applyFont="1" applyBorder="1"/>
    <xf numFmtId="0" fontId="3" fillId="0" borderId="42" xfId="0" applyFont="1" applyBorder="1"/>
    <xf numFmtId="164" fontId="3" fillId="0" borderId="42" xfId="0" applyNumberFormat="1" applyFont="1" applyBorder="1"/>
    <xf numFmtId="0" fontId="0" fillId="0" borderId="42" xfId="0" applyFont="1" applyBorder="1"/>
    <xf numFmtId="164" fontId="0" fillId="0" borderId="42" xfId="0" applyNumberFormat="1" applyFont="1" applyBorder="1"/>
    <xf numFmtId="2" fontId="0" fillId="0" borderId="0" xfId="0" applyNumberFormat="1"/>
    <xf numFmtId="0" fontId="2" fillId="0" borderId="42" xfId="0" applyFont="1" applyBorder="1" applyAlignment="1">
      <alignment horizontal="left" vertical="top"/>
    </xf>
    <xf numFmtId="171" fontId="2" fillId="0" borderId="42" xfId="0" applyNumberFormat="1" applyFont="1" applyFill="1" applyBorder="1" applyAlignment="1">
      <alignment horizontal="right" vertical="top"/>
    </xf>
    <xf numFmtId="0" fontId="7" fillId="14" borderId="42" xfId="0" applyFont="1" applyFill="1" applyBorder="1" applyAlignment="1">
      <alignment horizontal="left" vertical="top" wrapText="1"/>
    </xf>
    <xf numFmtId="0" fontId="7" fillId="14" borderId="42" xfId="0" applyFont="1" applyFill="1" applyBorder="1" applyAlignment="1">
      <alignment horizontal="right" vertical="top" wrapText="1"/>
    </xf>
    <xf numFmtId="180" fontId="22" fillId="0" borderId="0" xfId="0" applyNumberFormat="1" applyFont="1"/>
    <xf numFmtId="180" fontId="22" fillId="9" borderId="0" xfId="0" applyNumberFormat="1" applyFont="1" applyFill="1"/>
    <xf numFmtId="44" fontId="0" fillId="0" borderId="42" xfId="2" applyFont="1" applyBorder="1"/>
    <xf numFmtId="44" fontId="0" fillId="0" borderId="42" xfId="2" applyFont="1" applyBorder="1" applyAlignment="1">
      <alignment horizontal="right" vertical="top"/>
    </xf>
    <xf numFmtId="43" fontId="2" fillId="0" borderId="42" xfId="1" applyFont="1" applyFill="1" applyBorder="1" applyAlignment="1">
      <alignment horizontal="right" vertical="top"/>
    </xf>
    <xf numFmtId="0" fontId="21" fillId="9" borderId="17" xfId="0" applyFont="1" applyFill="1" applyBorder="1" applyAlignment="1">
      <alignment horizontal="center"/>
    </xf>
    <xf numFmtId="43" fontId="0" fillId="0" borderId="0" xfId="0" applyNumberFormat="1" applyFill="1" applyBorder="1"/>
    <xf numFmtId="179" fontId="0" fillId="0" borderId="0" xfId="0" applyNumberFormat="1" applyFill="1" applyBorder="1"/>
    <xf numFmtId="44" fontId="7" fillId="14" borderId="42" xfId="2" applyFont="1" applyFill="1" applyBorder="1" applyAlignment="1">
      <alignment horizontal="right" vertical="top" wrapText="1"/>
    </xf>
    <xf numFmtId="0" fontId="0" fillId="0" borderId="43" xfId="0" applyBorder="1" applyAlignment="1"/>
    <xf numFmtId="0" fontId="8" fillId="3" borderId="45" xfId="0" applyFont="1" applyFill="1" applyBorder="1" applyAlignment="1">
      <alignment horizontal="left"/>
    </xf>
    <xf numFmtId="0" fontId="7" fillId="3" borderId="45" xfId="0" applyFont="1" applyFill="1" applyBorder="1" applyAlignment="1">
      <alignment horizontal="center"/>
    </xf>
    <xf numFmtId="0" fontId="7" fillId="3" borderId="45" xfId="0" applyFont="1" applyFill="1" applyBorder="1" applyAlignment="1">
      <alignment horizontal="right"/>
    </xf>
    <xf numFmtId="0" fontId="89" fillId="2" borderId="0" xfId="0" quotePrefix="1" applyFont="1" applyFill="1" applyBorder="1" applyAlignment="1">
      <alignment horizontal="right"/>
    </xf>
    <xf numFmtId="164" fontId="3" fillId="0" borderId="0" xfId="0" applyNumberFormat="1" applyFont="1"/>
    <xf numFmtId="41" fontId="0" fillId="0" borderId="0" xfId="0" applyNumberFormat="1" applyFill="1" applyBorder="1"/>
    <xf numFmtId="10" fontId="0" fillId="0" borderId="0" xfId="0" applyNumberFormat="1" applyFill="1"/>
    <xf numFmtId="2" fontId="83" fillId="0" borderId="0" xfId="0" applyNumberFormat="1" applyFont="1"/>
    <xf numFmtId="167" fontId="0" fillId="0" borderId="0" xfId="0" applyNumberFormat="1" applyFont="1" applyFill="1"/>
    <xf numFmtId="43" fontId="0" fillId="0" borderId="0" xfId="1" applyFont="1" applyFill="1"/>
    <xf numFmtId="0" fontId="87" fillId="0" borderId="0" xfId="0" applyFont="1" applyFill="1" applyAlignment="1">
      <alignment horizontal="center" vertical="center" wrapText="1"/>
    </xf>
    <xf numFmtId="0" fontId="0" fillId="0" borderId="43" xfId="0" applyBorder="1"/>
    <xf numFmtId="164" fontId="0" fillId="8" borderId="43" xfId="0" applyNumberFormat="1" applyFill="1" applyBorder="1"/>
    <xf numFmtId="164" fontId="0" fillId="0" borderId="43" xfId="0" applyNumberFormat="1" applyBorder="1"/>
    <xf numFmtId="44" fontId="0" fillId="0" borderId="43" xfId="2" applyFont="1" applyBorder="1"/>
    <xf numFmtId="164" fontId="0" fillId="0" borderId="0" xfId="1" applyNumberFormat="1" applyFont="1" applyFill="1" applyBorder="1"/>
    <xf numFmtId="44" fontId="0" fillId="0" borderId="0" xfId="2" applyFont="1" applyFill="1" applyBorder="1"/>
    <xf numFmtId="164" fontId="88" fillId="0" borderId="0" xfId="1" applyNumberFormat="1" applyFont="1" applyFill="1" applyBorder="1"/>
    <xf numFmtId="178" fontId="0" fillId="0" borderId="0" xfId="0" applyNumberFormat="1" applyFill="1" applyBorder="1"/>
    <xf numFmtId="164" fontId="88" fillId="0" borderId="0" xfId="0" applyNumberFormat="1" applyFont="1" applyFill="1" applyBorder="1"/>
    <xf numFmtId="0" fontId="15" fillId="5" borderId="18" xfId="10" applyFont="1" applyFill="1" applyBorder="1" applyAlignment="1">
      <alignment horizontal="center" vertical="top" wrapText="1" readingOrder="1"/>
    </xf>
    <xf numFmtId="0" fontId="15" fillId="5" borderId="20" xfId="10" applyFont="1" applyFill="1" applyBorder="1" applyAlignment="1">
      <alignment horizontal="center" vertical="top" wrapText="1" readingOrder="1"/>
    </xf>
    <xf numFmtId="0" fontId="15" fillId="5" borderId="43" xfId="10" applyFont="1" applyFill="1" applyBorder="1" applyAlignment="1">
      <alignment horizontal="center" vertical="top" wrapText="1" readingOrder="1"/>
    </xf>
    <xf numFmtId="0" fontId="15" fillId="5" borderId="44" xfId="10" applyFont="1" applyFill="1" applyBorder="1" applyAlignment="1">
      <alignment horizontal="center" vertical="top" wrapText="1" readingOrder="1"/>
    </xf>
    <xf numFmtId="0" fontId="0" fillId="46" borderId="4" xfId="0" applyFill="1" applyBorder="1" applyAlignment="1">
      <alignment horizontal="center" wrapText="1"/>
    </xf>
    <xf numFmtId="0" fontId="87" fillId="49" borderId="0" xfId="0" applyFont="1" applyFill="1" applyAlignment="1">
      <alignment horizontal="center" vertical="center" wrapText="1"/>
    </xf>
    <xf numFmtId="0" fontId="85" fillId="0" borderId="0" xfId="0" applyFont="1" applyBorder="1" applyAlignment="1">
      <alignment horizontal="center" wrapText="1"/>
    </xf>
    <xf numFmtId="0" fontId="85" fillId="0" borderId="1" xfId="0" applyFont="1" applyBorder="1" applyAlignment="1">
      <alignment horizontal="center" wrapText="1"/>
    </xf>
    <xf numFmtId="0" fontId="85" fillId="0" borderId="0" xfId="0" applyFont="1" applyFill="1" applyBorder="1" applyAlignment="1">
      <alignment horizontal="center" wrapText="1"/>
    </xf>
    <xf numFmtId="0" fontId="85" fillId="0" borderId="1" xfId="0" applyFont="1" applyFill="1" applyBorder="1" applyAlignment="1">
      <alignment horizontal="center" wrapText="1"/>
    </xf>
  </cellXfs>
  <cellStyles count="330">
    <cellStyle name="******************************************" xfId="24"/>
    <cellStyle name="20% - Accent1 2" xfId="25"/>
    <cellStyle name="20% - Accent2 2" xfId="26"/>
    <cellStyle name="20% - Accent3 2" xfId="27"/>
    <cellStyle name="20% - Accent4 2" xfId="28"/>
    <cellStyle name="20% - Accent5 2" xfId="29"/>
    <cellStyle name="20% - Accent6 2" xfId="30"/>
    <cellStyle name="40% - Accent1 2" xfId="31"/>
    <cellStyle name="40% - Accent2 2" xfId="32"/>
    <cellStyle name="40% - Accent2 3" xfId="33"/>
    <cellStyle name="40% - Accent3 2" xfId="34"/>
    <cellStyle name="40% - Accent4 2" xfId="35"/>
    <cellStyle name="40% - Accent5 2" xfId="36"/>
    <cellStyle name="40% - Accent6 2" xfId="37"/>
    <cellStyle name="60% - Accent1 2" xfId="38"/>
    <cellStyle name="60% - Accent2 2" xfId="39"/>
    <cellStyle name="60% - Accent3 2" xfId="40"/>
    <cellStyle name="60% - Accent4 2" xfId="41"/>
    <cellStyle name="60% - Accent5 2" xfId="42"/>
    <cellStyle name="60% - Accent6 2" xfId="43"/>
    <cellStyle name="Accent1 2" xfId="44"/>
    <cellStyle name="Accent2 2" xfId="45"/>
    <cellStyle name="Accent3 2" xfId="46"/>
    <cellStyle name="Accent4 2" xfId="47"/>
    <cellStyle name="Accent5 2" xfId="48"/>
    <cellStyle name="Accent6 2" xfId="49"/>
    <cellStyle name="Bad 2" xfId="50"/>
    <cellStyle name="Blockout" xfId="51"/>
    <cellStyle name="Body" xfId="52"/>
    <cellStyle name="Brand style" xfId="53"/>
    <cellStyle name="C00A" xfId="54"/>
    <cellStyle name="C00B" xfId="55"/>
    <cellStyle name="C00L" xfId="56"/>
    <cellStyle name="C01A" xfId="57"/>
    <cellStyle name="C01B" xfId="58"/>
    <cellStyle name="C01H" xfId="59"/>
    <cellStyle name="C01L" xfId="60"/>
    <cellStyle name="C02A" xfId="61"/>
    <cellStyle name="C02B" xfId="62"/>
    <cellStyle name="C02H" xfId="63"/>
    <cellStyle name="C02L" xfId="64"/>
    <cellStyle name="C03A" xfId="65"/>
    <cellStyle name="C03B" xfId="66"/>
    <cellStyle name="C03H" xfId="67"/>
    <cellStyle name="C03L" xfId="68"/>
    <cellStyle name="C04A" xfId="69"/>
    <cellStyle name="C04B" xfId="70"/>
    <cellStyle name="C04H" xfId="71"/>
    <cellStyle name="C04L" xfId="72"/>
    <cellStyle name="C05A" xfId="73"/>
    <cellStyle name="C05B" xfId="74"/>
    <cellStyle name="C05H" xfId="75"/>
    <cellStyle name="C05L" xfId="76"/>
    <cellStyle name="C06A" xfId="77"/>
    <cellStyle name="C06B" xfId="78"/>
    <cellStyle name="C06H" xfId="79"/>
    <cellStyle name="C06L" xfId="80"/>
    <cellStyle name="C07A" xfId="81"/>
    <cellStyle name="C07B" xfId="82"/>
    <cellStyle name="C07H" xfId="83"/>
    <cellStyle name="C07L" xfId="84"/>
    <cellStyle name="Calculation 2" xfId="85"/>
    <cellStyle name="Check Cell 2" xfId="86"/>
    <cellStyle name="Comma" xfId="1" builtinId="3"/>
    <cellStyle name="Comma (2)" xfId="87"/>
    <cellStyle name="Comma 10" xfId="88"/>
    <cellStyle name="Comma 11" xfId="89"/>
    <cellStyle name="Comma 12" xfId="90"/>
    <cellStyle name="Comma 13" xfId="91"/>
    <cellStyle name="Comma 14" xfId="92"/>
    <cellStyle name="Comma 15" xfId="93"/>
    <cellStyle name="Comma 16" xfId="94"/>
    <cellStyle name="Comma 17" xfId="95"/>
    <cellStyle name="Comma 18" xfId="96"/>
    <cellStyle name="Comma 19" xfId="97"/>
    <cellStyle name="Comma 2" xfId="5"/>
    <cellStyle name="Comma 2 2" xfId="13"/>
    <cellStyle name="Comma 2 2 2" xfId="98"/>
    <cellStyle name="Comma 2 3" xfId="99"/>
    <cellStyle name="Comma 2_Book3" xfId="100"/>
    <cellStyle name="Comma 20" xfId="101"/>
    <cellStyle name="Comma 21" xfId="102"/>
    <cellStyle name="Comma 22" xfId="103"/>
    <cellStyle name="Comma 23" xfId="104"/>
    <cellStyle name="Comma 3" xfId="18"/>
    <cellStyle name="Comma 3 2" xfId="105"/>
    <cellStyle name="Comma 3 3" xfId="106"/>
    <cellStyle name="Comma 4" xfId="21"/>
    <cellStyle name="Comma 4 2" xfId="107"/>
    <cellStyle name="Comma 4 3" xfId="108"/>
    <cellStyle name="Comma 5" xfId="109"/>
    <cellStyle name="Comma 5 2" xfId="110"/>
    <cellStyle name="Comma 5 3" xfId="111"/>
    <cellStyle name="Comma 6" xfId="112"/>
    <cellStyle name="Comma 6 2" xfId="113"/>
    <cellStyle name="Comma 6 3" xfId="114"/>
    <cellStyle name="Comma 7" xfId="115"/>
    <cellStyle name="Comma 8" xfId="116"/>
    <cellStyle name="Comma 9" xfId="117"/>
    <cellStyle name="Currency" xfId="2" builtinId="4"/>
    <cellStyle name="Currency 2" xfId="8"/>
    <cellStyle name="Currency 2 2" xfId="118"/>
    <cellStyle name="Currency 2 3" xfId="119"/>
    <cellStyle name="Currency 3" xfId="17"/>
    <cellStyle name="Currency 4" xfId="120"/>
    <cellStyle name="Currency 5" xfId="121"/>
    <cellStyle name="Currency 6" xfId="22"/>
    <cellStyle name="CurreŮcy_graph template1.xls Chart 2" xfId="122"/>
    <cellStyle name="Explanatory Text 2" xfId="123"/>
    <cellStyle name="Good 2" xfId="124"/>
    <cellStyle name="GreenBackYellowTxt" xfId="125"/>
    <cellStyle name="Grey" xfId="126"/>
    <cellStyle name="hard no" xfId="127"/>
    <cellStyle name="hard no 2" xfId="128"/>
    <cellStyle name="Header Total_Cash Flow Forecast, 12 Months" xfId="129"/>
    <cellStyle name="Header1" xfId="130"/>
    <cellStyle name="Header2" xfId="131"/>
    <cellStyle name="Heading 1 2" xfId="132"/>
    <cellStyle name="Heading 2 2" xfId="133"/>
    <cellStyle name="Heading 3 2" xfId="134"/>
    <cellStyle name="Heading 4 2" xfId="135"/>
    <cellStyle name="Hyperlink 2" xfId="136"/>
    <cellStyle name="Hyperlink 3" xfId="137"/>
    <cellStyle name="Import" xfId="138"/>
    <cellStyle name="Import 2" xfId="139"/>
    <cellStyle name="Import 3" xfId="140"/>
    <cellStyle name="Import%" xfId="141"/>
    <cellStyle name="Import% 2" xfId="142"/>
    <cellStyle name="Import% 3" xfId="143"/>
    <cellStyle name="Input (2)" xfId="144"/>
    <cellStyle name="Input [yellow]" xfId="145"/>
    <cellStyle name="Input 2" xfId="146"/>
    <cellStyle name="Input 3" xfId="147"/>
    <cellStyle name="Input 4" xfId="148"/>
    <cellStyle name="Input1" xfId="149"/>
    <cellStyle name="Input1 2" xfId="150"/>
    <cellStyle name="Input1 2 2" xfId="151"/>
    <cellStyle name="Input1 2 3" xfId="152"/>
    <cellStyle name="Input1 3" xfId="153"/>
    <cellStyle name="Input1 4" xfId="154"/>
    <cellStyle name="Input1 5" xfId="155"/>
    <cellStyle name="Input1%" xfId="156"/>
    <cellStyle name="Input1% 2" xfId="157"/>
    <cellStyle name="Input1% 2 2" xfId="158"/>
    <cellStyle name="Input1% 2 3" xfId="159"/>
    <cellStyle name="Input1% 3" xfId="160"/>
    <cellStyle name="Input1% 4" xfId="161"/>
    <cellStyle name="Input1% 5" xfId="162"/>
    <cellStyle name="Input1_18-Specific Analysis" xfId="163"/>
    <cellStyle name="Input1default%" xfId="164"/>
    <cellStyle name="Input2" xfId="165"/>
    <cellStyle name="Input2 2" xfId="166"/>
    <cellStyle name="Input2 3" xfId="167"/>
    <cellStyle name="Input2%" xfId="168"/>
    <cellStyle name="Input2_Country Energy 2002 Retail Review info request v3.0" xfId="169"/>
    <cellStyle name="Input3" xfId="170"/>
    <cellStyle name="Input3 2" xfId="171"/>
    <cellStyle name="Input3 3" xfId="172"/>
    <cellStyle name="Input3%" xfId="173"/>
    <cellStyle name="Input3_Country Energy 2002 Retail Review info request v3.0" xfId="174"/>
    <cellStyle name="Linked Cell 2" xfId="175"/>
    <cellStyle name="Neutral 2" xfId="176"/>
    <cellStyle name="no dec" xfId="177"/>
    <cellStyle name="No input" xfId="178"/>
    <cellStyle name="Normal" xfId="0" builtinId="0"/>
    <cellStyle name="Normal - Style1" xfId="179"/>
    <cellStyle name="Normal - Style1 2" xfId="180"/>
    <cellStyle name="Normal 10" xfId="181"/>
    <cellStyle name="Normal 10 2" xfId="182"/>
    <cellStyle name="Normal 11" xfId="183"/>
    <cellStyle name="Normal 11 2" xfId="184"/>
    <cellStyle name="Normal 12" xfId="185"/>
    <cellStyle name="Normal 12 2" xfId="186"/>
    <cellStyle name="Normal 13" xfId="187"/>
    <cellStyle name="Normal 13 2" xfId="188"/>
    <cellStyle name="Normal 14" xfId="189"/>
    <cellStyle name="Normal 14 2" xfId="190"/>
    <cellStyle name="Normal 15" xfId="191"/>
    <cellStyle name="Normal 16" xfId="192"/>
    <cellStyle name="Normal 17" xfId="193"/>
    <cellStyle name="Normal 18" xfId="194"/>
    <cellStyle name="Normal 19" xfId="195"/>
    <cellStyle name="Normal 2" xfId="4"/>
    <cellStyle name="Normal 2 2" xfId="11"/>
    <cellStyle name="Normal 2 2 2" xfId="196"/>
    <cellStyle name="Normal 2 3" xfId="19"/>
    <cellStyle name="Normal 2 4" xfId="197"/>
    <cellStyle name="Normal 2 5" xfId="198"/>
    <cellStyle name="Normal 20" xfId="199"/>
    <cellStyle name="Normal 21" xfId="200"/>
    <cellStyle name="Normal 22" xfId="201"/>
    <cellStyle name="Normal 23" xfId="202"/>
    <cellStyle name="Normal 24" xfId="203"/>
    <cellStyle name="Normal 25" xfId="204"/>
    <cellStyle name="Normal 26" xfId="205"/>
    <cellStyle name="Normal 27" xfId="206"/>
    <cellStyle name="Normal 28" xfId="207"/>
    <cellStyle name="Normal 29" xfId="208"/>
    <cellStyle name="Normal 29 2" xfId="209"/>
    <cellStyle name="Normal 3" xfId="9"/>
    <cellStyle name="Normal 3 2" xfId="14"/>
    <cellStyle name="Normal 3 3" xfId="210"/>
    <cellStyle name="Normal 3 4" xfId="211"/>
    <cellStyle name="Normal 30" xfId="212"/>
    <cellStyle name="Normal 31" xfId="213"/>
    <cellStyle name="Normal 32" xfId="214"/>
    <cellStyle name="Normal 33" xfId="215"/>
    <cellStyle name="Normal 34" xfId="216"/>
    <cellStyle name="Normal 35" xfId="217"/>
    <cellStyle name="Normal 36" xfId="218"/>
    <cellStyle name="Normal 37" xfId="219"/>
    <cellStyle name="Normal 38" xfId="220"/>
    <cellStyle name="Normal 39" xfId="221"/>
    <cellStyle name="Normal 4" xfId="10"/>
    <cellStyle name="Normal 4 2" xfId="222"/>
    <cellStyle name="Normal 4 2 2" xfId="223"/>
    <cellStyle name="Normal 4 3" xfId="224"/>
    <cellStyle name="Normal 40" xfId="225"/>
    <cellStyle name="Normal 41" xfId="226"/>
    <cellStyle name="Normal 42" xfId="227"/>
    <cellStyle name="Normal 43" xfId="228"/>
    <cellStyle name="Normal 44" xfId="229"/>
    <cellStyle name="Normal 45" xfId="230"/>
    <cellStyle name="Normal 46" xfId="231"/>
    <cellStyle name="Normal 46 2" xfId="232"/>
    <cellStyle name="Normal 47" xfId="233"/>
    <cellStyle name="Normal 5" xfId="23"/>
    <cellStyle name="Normal 5 2" xfId="234"/>
    <cellStyle name="Normal 5 3" xfId="235"/>
    <cellStyle name="Normal 6" xfId="236"/>
    <cellStyle name="Normal 6 2" xfId="237"/>
    <cellStyle name="Normal 6 3" xfId="238"/>
    <cellStyle name="Normal 6 4" xfId="239"/>
    <cellStyle name="Normal 7" xfId="240"/>
    <cellStyle name="Normal 7 2" xfId="241"/>
    <cellStyle name="Normal 8" xfId="242"/>
    <cellStyle name="Normal 8 2" xfId="243"/>
    <cellStyle name="Normal 9" xfId="244"/>
    <cellStyle name="Normal 9 2" xfId="245"/>
    <cellStyle name="Normale_blended" xfId="246"/>
    <cellStyle name="Note 2" xfId="247"/>
    <cellStyle name="Note 3" xfId="248"/>
    <cellStyle name="Output 2" xfId="249"/>
    <cellStyle name="Percent" xfId="3" builtinId="5"/>
    <cellStyle name="Percent [2]" xfId="250"/>
    <cellStyle name="Percent [2] 2" xfId="251"/>
    <cellStyle name="Percent [2] 2 2" xfId="252"/>
    <cellStyle name="Percent [2] 2 3" xfId="253"/>
    <cellStyle name="Percent [2] 3" xfId="254"/>
    <cellStyle name="Percent 10" xfId="255"/>
    <cellStyle name="Percent 11" xfId="256"/>
    <cellStyle name="Percent 12" xfId="257"/>
    <cellStyle name="Percent 13" xfId="258"/>
    <cellStyle name="Percent 14" xfId="259"/>
    <cellStyle name="Percent 15" xfId="260"/>
    <cellStyle name="Percent 16" xfId="261"/>
    <cellStyle name="Percent 17" xfId="262"/>
    <cellStyle name="Percent 18" xfId="263"/>
    <cellStyle name="Percent 19" xfId="264"/>
    <cellStyle name="Percent 2" xfId="6"/>
    <cellStyle name="Percent 2 2" xfId="12"/>
    <cellStyle name="Percent 2 3" xfId="265"/>
    <cellStyle name="Percent 2 3 2" xfId="266"/>
    <cellStyle name="Percent 2 3 3" xfId="267"/>
    <cellStyle name="Percent 2 4" xfId="268"/>
    <cellStyle name="Percent 2 5" xfId="269"/>
    <cellStyle name="Percent 2 6" xfId="270"/>
    <cellStyle name="Percent 2 7" xfId="271"/>
    <cellStyle name="Percent 20" xfId="272"/>
    <cellStyle name="Percent 21" xfId="273"/>
    <cellStyle name="Percent 22" xfId="274"/>
    <cellStyle name="Percent 23" xfId="275"/>
    <cellStyle name="Percent 3" xfId="15"/>
    <cellStyle name="Percent 3 2" xfId="276"/>
    <cellStyle name="Percent 4" xfId="16"/>
    <cellStyle name="Percent 4 2" xfId="277"/>
    <cellStyle name="Percent 5" xfId="20"/>
    <cellStyle name="Percent 5 2" xfId="278"/>
    <cellStyle name="Percent 6" xfId="279"/>
    <cellStyle name="Percent 7" xfId="280"/>
    <cellStyle name="Percent 8" xfId="281"/>
    <cellStyle name="Percent 9" xfId="282"/>
    <cellStyle name="PSChar" xfId="283"/>
    <cellStyle name="PSDate" xfId="284"/>
    <cellStyle name="PSDec" xfId="285"/>
    <cellStyle name="PSHeading" xfId="286"/>
    <cellStyle name="PSInt" xfId="287"/>
    <cellStyle name="PSSpacer" xfId="288"/>
    <cellStyle name="R00A" xfId="289"/>
    <cellStyle name="R00B" xfId="290"/>
    <cellStyle name="R00L" xfId="291"/>
    <cellStyle name="R01A" xfId="292"/>
    <cellStyle name="R01B" xfId="293"/>
    <cellStyle name="R01H" xfId="294"/>
    <cellStyle name="R01L" xfId="295"/>
    <cellStyle name="R02A" xfId="296"/>
    <cellStyle name="R02B" xfId="297"/>
    <cellStyle name="R02H" xfId="298"/>
    <cellStyle name="R02L" xfId="299"/>
    <cellStyle name="R03A" xfId="300"/>
    <cellStyle name="R03B" xfId="301"/>
    <cellStyle name="R03H" xfId="302"/>
    <cellStyle name="R03L" xfId="303"/>
    <cellStyle name="R04A" xfId="304"/>
    <cellStyle name="R04B" xfId="305"/>
    <cellStyle name="R04H" xfId="306"/>
    <cellStyle name="R04L" xfId="307"/>
    <cellStyle name="R05A" xfId="308"/>
    <cellStyle name="R05B" xfId="309"/>
    <cellStyle name="R05H" xfId="310"/>
    <cellStyle name="R05L" xfId="311"/>
    <cellStyle name="R06A" xfId="312"/>
    <cellStyle name="R06B" xfId="313"/>
    <cellStyle name="R06H" xfId="314"/>
    <cellStyle name="R06L" xfId="315"/>
    <cellStyle name="R07A" xfId="316"/>
    <cellStyle name="R07B" xfId="317"/>
    <cellStyle name="R07H" xfId="318"/>
    <cellStyle name="R07L" xfId="319"/>
    <cellStyle name="Style 1" xfId="320"/>
    <cellStyle name="Style 1 2" xfId="321"/>
    <cellStyle name="Times New Roman" xfId="322"/>
    <cellStyle name="Title 2" xfId="323"/>
    <cellStyle name="Total 2" xfId="324"/>
    <cellStyle name="Valuta (0)_spies97" xfId="325"/>
    <cellStyle name="Warning Text 2" xfId="326"/>
    <cellStyle name="White rows" xfId="7"/>
    <cellStyle name="White rows 2" xfId="327"/>
    <cellStyle name="YELLOW" xfId="328"/>
    <cellStyle name="YellowBackGreenTxt" xfId="329"/>
  </cellStyles>
  <dxfs count="2">
    <dxf>
      <font>
        <color auto="1"/>
      </font>
      <fill>
        <patternFill>
          <bgColor rgb="FFFF0000"/>
        </patternFill>
      </fill>
    </dxf>
    <dxf>
      <font>
        <color auto="1"/>
      </font>
      <fill>
        <patternFill>
          <bgColor rgb="FF1DF346"/>
        </patternFill>
      </fill>
    </dxf>
  </dxfs>
  <tableStyles count="0" defaultTableStyle="TableStyleMedium2" defaultPivotStyle="PivotStyleLight16"/>
  <colors>
    <mruColors>
      <color rgb="FFFFFF99"/>
      <color rgb="FF1DF34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mmercial%20Strategy\2014%20AER%20Determination\Finance%20Lead\ROMO\Model\ROMO%20v0.2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Commercial%20Strategy\2014%20AER%20Determination\Finance%20Lead\ROMO\Model\ROMO%20v0.13%20%202014%20SCI%20V3%203-4-13%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eg NO method changes"/>
      <sheetName val="For Reg 16-4-13 method changes"/>
      <sheetName val="All graphs"/>
      <sheetName val="Direct Opex"/>
      <sheetName val="Direct System"/>
      <sheetName val="Non-System"/>
      <sheetName val="Overheads"/>
      <sheetName val="Summary for Reg Nom Scen 1"/>
      <sheetName val="$Nominal Results Scen 1"/>
      <sheetName val="$2014 Results Scen 1"/>
      <sheetName val="Summary for Reg values"/>
      <sheetName val="AC Reg summary"/>
      <sheetName val="Summary for Reg"/>
      <sheetName val="Results"/>
      <sheetName val="Sensitivities"/>
      <sheetName val="Allocation rates (2)"/>
      <sheetName val="OH inputs"/>
      <sheetName val="OHs summary"/>
      <sheetName val="INPUT STATUS"/>
      <sheetName val="COO Meeting"/>
      <sheetName val="Checks"/>
      <sheetName val="2) Base (ex Prop) escalated"/>
      <sheetName val="3) Base less depn escalated"/>
      <sheetName val="4) Base (plus prop) escalated"/>
      <sheetName val="Check Scenarios"/>
      <sheetName val="Direct costs summary"/>
      <sheetName val="Fully loaded costs summary"/>
      <sheetName val="Bridge for Jess"/>
      <sheetName val="Story"/>
      <sheetName val="1) Base (ex Prop) no escalat"/>
      <sheetName val="Indirect to unallocated"/>
      <sheetName val="Mini-sub"/>
      <sheetName val="1a"/>
      <sheetName val="ANon-sys"/>
      <sheetName val="Start &amp; End Pool"/>
      <sheetName val="Capex direct &amp; fully loaded"/>
      <sheetName val="Opex direct &amp; fully loaded"/>
      <sheetName val="Non-system detail"/>
      <sheetName val="A4Ohds"/>
      <sheetName val="15-19 Graphs"/>
      <sheetName val="Capex Opex fcst8yr"/>
      <sheetName val="Capex Opex inputs"/>
      <sheetName val="Summary Capex"/>
      <sheetName val="Summary Opex"/>
      <sheetName val="Opex Calc by Div"/>
      <sheetName val="Allocation rates"/>
      <sheetName val="Direct Capex Summary"/>
      <sheetName val="Direct opex summary"/>
      <sheetName val="Project Allocation"/>
      <sheetName val="2015 Divisional Summary"/>
      <sheetName val="2016 Divisional Summary"/>
      <sheetName val="2017 Divisional Summary"/>
      <sheetName val="2018 Divisional Summary"/>
      <sheetName val="2019 Divisional Summary"/>
      <sheetName val="System opex workings"/>
      <sheetName val="Non-System Workings"/>
      <sheetName val="Weighted avg div alloc rates"/>
      <sheetName val="Sys capex workings"/>
      <sheetName val="Direct syscapex input summary 1"/>
      <sheetName val="Direct syscapex input summary 2"/>
      <sheetName val="Direct sys opex input summary"/>
      <sheetName val="OHs input summary"/>
      <sheetName val="OH workings 2015"/>
      <sheetName val="OH workings 2016"/>
      <sheetName val="OH workings 2017"/>
      <sheetName val="OH workings 2018"/>
      <sheetName val="OH workings 2019"/>
      <sheetName val="AC allocation rates"/>
      <sheetName val="OH Harmonisation"/>
      <sheetName val="System opex input"/>
      <sheetName val="Standard Control Capex Input"/>
      <sheetName val="Other System Capex Input"/>
      <sheetName val="Moved to AC"/>
      <sheetName val="Tools &amp; F&amp;F Input"/>
      <sheetName val="Property Data input"/>
      <sheetName val="Fleet Data input"/>
      <sheetName val="IT Data Input"/>
      <sheetName val="Advertising costs"/>
      <sheetName val="Corporate RW"/>
      <sheetName val="Water input"/>
      <sheetName val="Escalation rates"/>
      <sheetName val="Retail provision and income"/>
      <sheetName val="Direct reclassifications"/>
      <sheetName val="Reg reporting depts"/>
      <sheetName val="Corp allocation rates"/>
      <sheetName val="CPI factors"/>
      <sheetName val="Tot.startopex detail2013"/>
      <sheetName val="OH modelling factors"/>
      <sheetName val="Asset lives"/>
      <sheetName val="Current Dept tree"/>
      <sheetName val="Input summary"/>
      <sheetName val="Generation input"/>
      <sheetName val="Summary NS Opex"/>
      <sheetName val="Explanation for Method Sensitiv"/>
      <sheetName val="1a updated"/>
      <sheetName val="Graph for Gary"/>
      <sheetName val="Recommendations"/>
      <sheetName val="Versions"/>
      <sheetName val="Glossary"/>
      <sheetName val="Assumptions"/>
      <sheetName val="General data inputs"/>
      <sheetName val="Model structure"/>
      <sheetName val="Instructions for model"/>
      <sheetName val="2015 Corp alloc rates"/>
    </sheetNames>
    <sheetDataSet>
      <sheetData sheetId="0"/>
      <sheetData sheetId="1"/>
      <sheetData sheetId="2"/>
      <sheetData sheetId="3"/>
      <sheetData sheetId="4"/>
      <sheetData sheetId="5"/>
      <sheetData sheetId="6"/>
      <sheetData sheetId="7"/>
      <sheetData sheetId="8"/>
      <sheetData sheetId="9">
        <row r="246">
          <cell r="C246">
            <v>1664123.5343615788</v>
          </cell>
        </row>
      </sheetData>
      <sheetData sheetId="10">
        <row r="5">
          <cell r="F5">
            <v>476186422.58370477</v>
          </cell>
        </row>
      </sheetData>
      <sheetData sheetId="11">
        <row r="6">
          <cell r="F6">
            <v>11937805.734978175</v>
          </cell>
        </row>
      </sheetData>
      <sheetData sheetId="12">
        <row r="2">
          <cell r="U2" t="str">
            <v>ON</v>
          </cell>
        </row>
      </sheetData>
      <sheetData sheetId="13"/>
      <sheetData sheetId="14">
        <row r="56">
          <cell r="G56">
            <v>-29123434.668092534</v>
          </cell>
        </row>
      </sheetData>
      <sheetData sheetId="15">
        <row r="8">
          <cell r="B8">
            <v>0.43879893012965432</v>
          </cell>
        </row>
      </sheetData>
      <sheetData sheetId="16">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row r="2">
          <cell r="A2" t="str">
            <v xml:space="preserve">The dept numbers were sourced from the current dept tree (2015 dept tree) and then pasted as values. Any new depts would need to be added to this sheet. </v>
          </cell>
        </row>
        <row r="3">
          <cell r="A3" t="str">
            <v>If new depts are added to the dept tree, you will need to  you will need to add them to this sheet.</v>
          </cell>
        </row>
        <row r="4">
          <cell r="A4" t="str">
            <v>2012 SCI data in columns D to F are sourced from Finance, see Input sheet in Port drive: Infrastructure Strategy/Commercial Strategy/2014 AER Determination/Finance Lead/Finance Stream/Database/Opex/AER Data Splits/Network_Project_Split_2011-12_BUD_FINAL_B&amp;F_2011_07_29rlw.xlsm</v>
          </cell>
        </row>
        <row r="5">
          <cell r="A5" t="str">
            <v xml:space="preserve">Mini-sub data is from the OH input sheet in TROMO FINALE, column O at Port drive: Infrastructure Strategy/Commercial Strategy/2014 AER Determination/Finance Lead/Finance Stream/Mini submission/global modelling/Final Model/TROMO FINALE.xlsx
</v>
          </cell>
        </row>
        <row r="6">
          <cell r="A6" t="str">
            <v>Assumptions:</v>
          </cell>
        </row>
        <row r="7">
          <cell r="A7" t="str">
            <v>All forecasts are in 2012 dollars</v>
          </cell>
        </row>
        <row r="8">
          <cell r="A8" t="str">
            <v>All forecasts utilise 2012 current labour rates, 2013 labour on cost rates and 2013 stores on cost rates</v>
          </cell>
        </row>
        <row r="9">
          <cell r="A9" t="str">
            <v>KEY:</v>
          </cell>
        </row>
        <row r="10">
          <cell r="A10" t="str">
            <v>Missing in Bec</v>
          </cell>
        </row>
        <row r="11">
          <cell r="A11" t="str">
            <v>agree</v>
          </cell>
        </row>
        <row r="12">
          <cell r="A12">
            <v>1</v>
          </cell>
        </row>
        <row r="13">
          <cell r="A13">
            <v>314</v>
          </cell>
        </row>
        <row r="14">
          <cell r="A14" t="str">
            <v>Dept No</v>
          </cell>
        </row>
        <row r="15">
          <cell r="A15">
            <v>0</v>
          </cell>
        </row>
        <row r="16">
          <cell r="A16">
            <v>0</v>
          </cell>
        </row>
        <row r="17">
          <cell r="A17" t="str">
            <v>XXX</v>
          </cell>
          <cell r="B17" t="str">
            <v>Stranded FTEs</v>
          </cell>
          <cell r="E17">
            <v>0</v>
          </cell>
          <cell r="F17" t="str">
            <v>Cash modelling</v>
          </cell>
          <cell r="G17" t="str">
            <v>Not Allocated</v>
          </cell>
          <cell r="H17">
            <v>0</v>
          </cell>
          <cell r="I17">
            <v>0</v>
          </cell>
          <cell r="J17">
            <v>0</v>
          </cell>
          <cell r="K17">
            <v>0</v>
          </cell>
          <cell r="L17">
            <v>0</v>
          </cell>
        </row>
        <row r="18">
          <cell r="A18" t="str">
            <v>XXX</v>
          </cell>
        </row>
        <row r="19">
          <cell r="A19">
            <v>999</v>
          </cell>
        </row>
        <row r="20">
          <cell r="A20">
            <v>998</v>
          </cell>
        </row>
        <row r="21">
          <cell r="A21" t="str">
            <v>YYY</v>
          </cell>
        </row>
        <row r="22">
          <cell r="A22">
            <v>187</v>
          </cell>
        </row>
        <row r="23">
          <cell r="A23">
            <v>101</v>
          </cell>
        </row>
        <row r="24">
          <cell r="A24">
            <v>248</v>
          </cell>
        </row>
        <row r="25">
          <cell r="A25">
            <v>261</v>
          </cell>
        </row>
        <row r="26">
          <cell r="A26">
            <v>127</v>
          </cell>
        </row>
        <row r="27">
          <cell r="A27">
            <v>130</v>
          </cell>
        </row>
        <row r="28">
          <cell r="A28">
            <v>513</v>
          </cell>
        </row>
        <row r="29">
          <cell r="A29">
            <v>515</v>
          </cell>
        </row>
        <row r="30">
          <cell r="A30">
            <v>516</v>
          </cell>
        </row>
        <row r="31">
          <cell r="A31">
            <v>517</v>
          </cell>
        </row>
        <row r="32">
          <cell r="A32">
            <v>107</v>
          </cell>
        </row>
        <row r="33">
          <cell r="A33">
            <v>108</v>
          </cell>
        </row>
        <row r="34">
          <cell r="A34">
            <v>165</v>
          </cell>
        </row>
        <row r="35">
          <cell r="A35">
            <v>166</v>
          </cell>
        </row>
        <row r="36">
          <cell r="A36">
            <v>169</v>
          </cell>
        </row>
        <row r="37">
          <cell r="A37">
            <v>175</v>
          </cell>
        </row>
        <row r="38">
          <cell r="A38">
            <v>200</v>
          </cell>
        </row>
        <row r="39">
          <cell r="A39">
            <v>202</v>
          </cell>
        </row>
        <row r="40">
          <cell r="A40">
            <v>204</v>
          </cell>
        </row>
        <row r="41">
          <cell r="A41">
            <v>205</v>
          </cell>
        </row>
        <row r="42">
          <cell r="A42">
            <v>207</v>
          </cell>
        </row>
        <row r="43">
          <cell r="A43">
            <v>216</v>
          </cell>
        </row>
        <row r="44">
          <cell r="A44">
            <v>217</v>
          </cell>
        </row>
        <row r="45">
          <cell r="A45">
            <v>249</v>
          </cell>
        </row>
        <row r="46">
          <cell r="A46">
            <v>271</v>
          </cell>
        </row>
        <row r="47">
          <cell r="A47">
            <v>272</v>
          </cell>
        </row>
        <row r="48">
          <cell r="A48">
            <v>273</v>
          </cell>
        </row>
        <row r="49">
          <cell r="A49">
            <v>281</v>
          </cell>
        </row>
        <row r="50">
          <cell r="A50">
            <v>282</v>
          </cell>
        </row>
        <row r="51">
          <cell r="A51">
            <v>284</v>
          </cell>
        </row>
        <row r="52">
          <cell r="A52">
            <v>314</v>
          </cell>
        </row>
        <row r="53">
          <cell r="A53">
            <v>420</v>
          </cell>
        </row>
        <row r="54">
          <cell r="A54">
            <v>421</v>
          </cell>
        </row>
        <row r="55">
          <cell r="A55">
            <v>422</v>
          </cell>
        </row>
        <row r="56">
          <cell r="A56">
            <v>423</v>
          </cell>
        </row>
        <row r="57">
          <cell r="A57">
            <v>424</v>
          </cell>
        </row>
        <row r="58">
          <cell r="A58">
            <v>426</v>
          </cell>
        </row>
        <row r="59">
          <cell r="A59">
            <v>430</v>
          </cell>
        </row>
        <row r="60">
          <cell r="A60">
            <v>431</v>
          </cell>
        </row>
        <row r="61">
          <cell r="A61">
            <v>432</v>
          </cell>
        </row>
        <row r="62">
          <cell r="A62">
            <v>433</v>
          </cell>
        </row>
        <row r="63">
          <cell r="A63">
            <v>434</v>
          </cell>
        </row>
        <row r="64">
          <cell r="A64">
            <v>439</v>
          </cell>
        </row>
        <row r="65">
          <cell r="A65">
            <v>444</v>
          </cell>
        </row>
        <row r="66">
          <cell r="A66">
            <v>459</v>
          </cell>
        </row>
        <row r="67">
          <cell r="A67">
            <v>858</v>
          </cell>
        </row>
        <row r="68">
          <cell r="A68">
            <v>889</v>
          </cell>
        </row>
        <row r="69">
          <cell r="A69">
            <v>890</v>
          </cell>
        </row>
        <row r="70">
          <cell r="A70">
            <v>994</v>
          </cell>
        </row>
        <row r="71">
          <cell r="A71">
            <v>111</v>
          </cell>
        </row>
        <row r="72">
          <cell r="A72">
            <v>116</v>
          </cell>
        </row>
        <row r="73">
          <cell r="A73">
            <v>117</v>
          </cell>
        </row>
        <row r="74">
          <cell r="A74">
            <v>119</v>
          </cell>
        </row>
        <row r="75">
          <cell r="A75">
            <v>120</v>
          </cell>
        </row>
        <row r="76">
          <cell r="A76">
            <v>283</v>
          </cell>
        </row>
        <row r="77">
          <cell r="A77">
            <v>103</v>
          </cell>
        </row>
        <row r="78">
          <cell r="A78">
            <v>106</v>
          </cell>
        </row>
        <row r="79">
          <cell r="A79">
            <v>115</v>
          </cell>
        </row>
        <row r="80">
          <cell r="A80">
            <v>129</v>
          </cell>
        </row>
        <row r="81">
          <cell r="A81">
            <v>132</v>
          </cell>
        </row>
        <row r="82">
          <cell r="A82">
            <v>144</v>
          </cell>
        </row>
        <row r="83">
          <cell r="A83">
            <v>145</v>
          </cell>
        </row>
        <row r="84">
          <cell r="A84">
            <v>146</v>
          </cell>
        </row>
        <row r="85">
          <cell r="A85">
            <v>147</v>
          </cell>
        </row>
        <row r="86">
          <cell r="A86">
            <v>149</v>
          </cell>
        </row>
        <row r="87">
          <cell r="A87">
            <v>153</v>
          </cell>
        </row>
        <row r="88">
          <cell r="A88">
            <v>156</v>
          </cell>
        </row>
        <row r="89">
          <cell r="A89">
            <v>158</v>
          </cell>
        </row>
        <row r="90">
          <cell r="A90">
            <v>159</v>
          </cell>
        </row>
        <row r="91">
          <cell r="A91">
            <v>164</v>
          </cell>
        </row>
        <row r="92">
          <cell r="A92">
            <v>182</v>
          </cell>
        </row>
        <row r="93">
          <cell r="A93">
            <v>210</v>
          </cell>
        </row>
        <row r="94">
          <cell r="A94">
            <v>211</v>
          </cell>
        </row>
        <row r="95">
          <cell r="A95">
            <v>218</v>
          </cell>
        </row>
        <row r="96">
          <cell r="A96">
            <v>400</v>
          </cell>
        </row>
        <row r="97">
          <cell r="A97">
            <v>475</v>
          </cell>
        </row>
        <row r="98">
          <cell r="A98">
            <v>244</v>
          </cell>
        </row>
        <row r="99">
          <cell r="A99">
            <v>246</v>
          </cell>
        </row>
        <row r="100">
          <cell r="A100">
            <v>252</v>
          </cell>
        </row>
        <row r="101">
          <cell r="A101">
            <v>255</v>
          </cell>
        </row>
        <row r="102">
          <cell r="A102">
            <v>256</v>
          </cell>
        </row>
        <row r="103">
          <cell r="A103">
            <v>257</v>
          </cell>
        </row>
        <row r="104">
          <cell r="A104">
            <v>260</v>
          </cell>
        </row>
        <row r="105">
          <cell r="A105">
            <v>262</v>
          </cell>
        </row>
        <row r="106">
          <cell r="A106">
            <v>275</v>
          </cell>
        </row>
        <row r="107">
          <cell r="A107">
            <v>286</v>
          </cell>
        </row>
        <row r="108">
          <cell r="A108">
            <v>190</v>
          </cell>
        </row>
        <row r="109">
          <cell r="A109">
            <v>191</v>
          </cell>
        </row>
        <row r="110">
          <cell r="A110">
            <v>192</v>
          </cell>
        </row>
        <row r="111">
          <cell r="A111">
            <v>194</v>
          </cell>
        </row>
        <row r="112">
          <cell r="A112">
            <v>199</v>
          </cell>
        </row>
        <row r="113">
          <cell r="A113">
            <v>415</v>
          </cell>
        </row>
        <row r="114">
          <cell r="A114">
            <v>438</v>
          </cell>
        </row>
        <row r="115">
          <cell r="A115">
            <v>442</v>
          </cell>
        </row>
        <row r="116">
          <cell r="A116">
            <v>473</v>
          </cell>
        </row>
        <row r="117">
          <cell r="A117">
            <v>474</v>
          </cell>
        </row>
        <row r="118">
          <cell r="A118">
            <v>750</v>
          </cell>
        </row>
        <row r="119">
          <cell r="A119">
            <v>751</v>
          </cell>
        </row>
        <row r="120">
          <cell r="A120">
            <v>752</v>
          </cell>
        </row>
        <row r="121">
          <cell r="A121">
            <v>771</v>
          </cell>
        </row>
        <row r="122">
          <cell r="A122">
            <v>773</v>
          </cell>
        </row>
        <row r="123">
          <cell r="A123">
            <v>781</v>
          </cell>
        </row>
        <row r="124">
          <cell r="A124">
            <v>783</v>
          </cell>
        </row>
        <row r="125">
          <cell r="A125">
            <v>791</v>
          </cell>
        </row>
        <row r="126">
          <cell r="A126">
            <v>793</v>
          </cell>
        </row>
        <row r="127">
          <cell r="A127">
            <v>797</v>
          </cell>
        </row>
        <row r="128">
          <cell r="A128">
            <v>799</v>
          </cell>
        </row>
        <row r="129">
          <cell r="A129">
            <v>815</v>
          </cell>
        </row>
        <row r="130">
          <cell r="A130">
            <v>817</v>
          </cell>
        </row>
        <row r="131">
          <cell r="A131">
            <v>821</v>
          </cell>
        </row>
        <row r="132">
          <cell r="A132">
            <v>823</v>
          </cell>
        </row>
        <row r="133">
          <cell r="A133">
            <v>829</v>
          </cell>
        </row>
        <row r="134">
          <cell r="A134">
            <v>839</v>
          </cell>
        </row>
        <row r="135">
          <cell r="A135">
            <v>871</v>
          </cell>
        </row>
        <row r="136">
          <cell r="A136">
            <v>891</v>
          </cell>
        </row>
        <row r="137">
          <cell r="A137">
            <v>893</v>
          </cell>
        </row>
        <row r="138">
          <cell r="A138">
            <v>915</v>
          </cell>
        </row>
        <row r="139">
          <cell r="A139">
            <v>916</v>
          </cell>
        </row>
        <row r="140">
          <cell r="A140">
            <v>239</v>
          </cell>
        </row>
        <row r="141">
          <cell r="A141">
            <v>293</v>
          </cell>
        </row>
        <row r="142">
          <cell r="A142">
            <v>335</v>
          </cell>
        </row>
        <row r="143">
          <cell r="A143">
            <v>356</v>
          </cell>
        </row>
        <row r="144">
          <cell r="A144">
            <v>357</v>
          </cell>
        </row>
        <row r="145">
          <cell r="A145">
            <v>359</v>
          </cell>
        </row>
        <row r="146">
          <cell r="A146">
            <v>418</v>
          </cell>
        </row>
        <row r="147">
          <cell r="A147">
            <v>419</v>
          </cell>
        </row>
        <row r="148">
          <cell r="A148">
            <v>428</v>
          </cell>
        </row>
        <row r="149">
          <cell r="A149">
            <v>440</v>
          </cell>
        </row>
        <row r="150">
          <cell r="A150">
            <v>450</v>
          </cell>
        </row>
        <row r="151">
          <cell r="A151">
            <v>451</v>
          </cell>
        </row>
        <row r="152">
          <cell r="A152">
            <v>452</v>
          </cell>
        </row>
        <row r="153">
          <cell r="A153">
            <v>455</v>
          </cell>
        </row>
        <row r="154">
          <cell r="A154">
            <v>456</v>
          </cell>
        </row>
        <row r="155">
          <cell r="A155">
            <v>472</v>
          </cell>
        </row>
        <row r="156">
          <cell r="A156">
            <v>500</v>
          </cell>
        </row>
        <row r="157">
          <cell r="A157">
            <v>501</v>
          </cell>
        </row>
        <row r="158">
          <cell r="A158">
            <v>502</v>
          </cell>
        </row>
        <row r="159">
          <cell r="A159">
            <v>506</v>
          </cell>
        </row>
        <row r="160">
          <cell r="A160">
            <v>508</v>
          </cell>
        </row>
        <row r="161">
          <cell r="A161">
            <v>510</v>
          </cell>
        </row>
        <row r="162">
          <cell r="A162">
            <v>514</v>
          </cell>
        </row>
        <row r="163">
          <cell r="A163">
            <v>518</v>
          </cell>
        </row>
        <row r="164">
          <cell r="A164">
            <v>520</v>
          </cell>
        </row>
        <row r="165">
          <cell r="A165">
            <v>522</v>
          </cell>
        </row>
        <row r="166">
          <cell r="A166">
            <v>524</v>
          </cell>
        </row>
        <row r="167">
          <cell r="A167">
            <v>526</v>
          </cell>
        </row>
        <row r="168">
          <cell r="A168">
            <v>530</v>
          </cell>
        </row>
        <row r="169">
          <cell r="A169">
            <v>531</v>
          </cell>
        </row>
        <row r="170">
          <cell r="A170">
            <v>532</v>
          </cell>
        </row>
        <row r="171">
          <cell r="A171">
            <v>533</v>
          </cell>
        </row>
        <row r="172">
          <cell r="A172">
            <v>538</v>
          </cell>
        </row>
        <row r="173">
          <cell r="A173">
            <v>539</v>
          </cell>
        </row>
        <row r="174">
          <cell r="A174">
            <v>544</v>
          </cell>
        </row>
        <row r="175">
          <cell r="A175">
            <v>550</v>
          </cell>
        </row>
        <row r="176">
          <cell r="A176">
            <v>551</v>
          </cell>
        </row>
        <row r="177">
          <cell r="A177">
            <v>552</v>
          </cell>
        </row>
        <row r="178">
          <cell r="A178">
            <v>553</v>
          </cell>
        </row>
        <row r="179">
          <cell r="A179">
            <v>554</v>
          </cell>
        </row>
        <row r="180">
          <cell r="A180">
            <v>556</v>
          </cell>
        </row>
        <row r="181">
          <cell r="A181">
            <v>557</v>
          </cell>
        </row>
        <row r="182">
          <cell r="A182">
            <v>558</v>
          </cell>
        </row>
        <row r="183">
          <cell r="A183">
            <v>559</v>
          </cell>
        </row>
        <row r="184">
          <cell r="A184">
            <v>560</v>
          </cell>
        </row>
        <row r="185">
          <cell r="A185">
            <v>562</v>
          </cell>
        </row>
        <row r="186">
          <cell r="A186">
            <v>568</v>
          </cell>
        </row>
        <row r="187">
          <cell r="A187">
            <v>570</v>
          </cell>
        </row>
        <row r="188">
          <cell r="A188">
            <v>572</v>
          </cell>
        </row>
        <row r="189">
          <cell r="A189">
            <v>576</v>
          </cell>
        </row>
        <row r="190">
          <cell r="A190">
            <v>577</v>
          </cell>
        </row>
        <row r="191">
          <cell r="A191">
            <v>578</v>
          </cell>
        </row>
        <row r="192">
          <cell r="A192">
            <v>580</v>
          </cell>
        </row>
        <row r="193">
          <cell r="A193">
            <v>584</v>
          </cell>
        </row>
        <row r="194">
          <cell r="A194">
            <v>586</v>
          </cell>
        </row>
        <row r="195">
          <cell r="A195">
            <v>590</v>
          </cell>
        </row>
        <row r="196">
          <cell r="A196">
            <v>592</v>
          </cell>
        </row>
        <row r="197">
          <cell r="A197">
            <v>593</v>
          </cell>
        </row>
        <row r="198">
          <cell r="A198">
            <v>596</v>
          </cell>
        </row>
        <row r="199">
          <cell r="A199">
            <v>597</v>
          </cell>
        </row>
        <row r="200">
          <cell r="A200">
            <v>598</v>
          </cell>
        </row>
        <row r="201">
          <cell r="A201">
            <v>599</v>
          </cell>
        </row>
        <row r="202">
          <cell r="A202">
            <v>602</v>
          </cell>
        </row>
        <row r="203">
          <cell r="A203">
            <v>603</v>
          </cell>
        </row>
        <row r="204">
          <cell r="A204">
            <v>604</v>
          </cell>
        </row>
        <row r="205">
          <cell r="A205">
            <v>608</v>
          </cell>
        </row>
        <row r="206">
          <cell r="A206">
            <v>609</v>
          </cell>
        </row>
        <row r="207">
          <cell r="A207">
            <v>610</v>
          </cell>
        </row>
        <row r="208">
          <cell r="A208">
            <v>611</v>
          </cell>
        </row>
        <row r="209">
          <cell r="A209">
            <v>620</v>
          </cell>
        </row>
        <row r="210">
          <cell r="A210">
            <v>622</v>
          </cell>
        </row>
        <row r="211">
          <cell r="A211">
            <v>624</v>
          </cell>
        </row>
        <row r="212">
          <cell r="A212">
            <v>628</v>
          </cell>
        </row>
        <row r="213">
          <cell r="A213">
            <v>630</v>
          </cell>
        </row>
        <row r="214">
          <cell r="A214">
            <v>632</v>
          </cell>
        </row>
        <row r="215">
          <cell r="A215">
            <v>636</v>
          </cell>
        </row>
        <row r="216">
          <cell r="A216">
            <v>638</v>
          </cell>
        </row>
        <row r="217">
          <cell r="A217">
            <v>640</v>
          </cell>
        </row>
        <row r="218">
          <cell r="A218">
            <v>641</v>
          </cell>
        </row>
        <row r="219">
          <cell r="A219">
            <v>642</v>
          </cell>
        </row>
        <row r="220">
          <cell r="A220">
            <v>644</v>
          </cell>
        </row>
        <row r="221">
          <cell r="A221">
            <v>646</v>
          </cell>
        </row>
        <row r="222">
          <cell r="A222">
            <v>647</v>
          </cell>
        </row>
        <row r="223">
          <cell r="A223">
            <v>648</v>
          </cell>
        </row>
        <row r="224">
          <cell r="A224">
            <v>650</v>
          </cell>
        </row>
        <row r="225">
          <cell r="A225">
            <v>652</v>
          </cell>
        </row>
        <row r="226">
          <cell r="A226">
            <v>654</v>
          </cell>
        </row>
        <row r="227">
          <cell r="A227">
            <v>658</v>
          </cell>
        </row>
        <row r="228">
          <cell r="A228">
            <v>662</v>
          </cell>
        </row>
        <row r="229">
          <cell r="A229">
            <v>666</v>
          </cell>
        </row>
        <row r="230">
          <cell r="A230">
            <v>668</v>
          </cell>
        </row>
        <row r="231">
          <cell r="A231">
            <v>670</v>
          </cell>
        </row>
        <row r="232">
          <cell r="A232">
            <v>674</v>
          </cell>
        </row>
        <row r="233">
          <cell r="A233">
            <v>676</v>
          </cell>
        </row>
        <row r="234">
          <cell r="A234">
            <v>680</v>
          </cell>
        </row>
        <row r="235">
          <cell r="A235">
            <v>682</v>
          </cell>
        </row>
        <row r="236">
          <cell r="A236">
            <v>686</v>
          </cell>
        </row>
        <row r="237">
          <cell r="A237">
            <v>688</v>
          </cell>
        </row>
        <row r="238">
          <cell r="A238">
            <v>690</v>
          </cell>
        </row>
        <row r="239">
          <cell r="A239">
            <v>692</v>
          </cell>
        </row>
        <row r="240">
          <cell r="A240">
            <v>694</v>
          </cell>
        </row>
        <row r="241">
          <cell r="A241">
            <v>696</v>
          </cell>
        </row>
        <row r="242">
          <cell r="A242">
            <v>698</v>
          </cell>
        </row>
        <row r="243">
          <cell r="A243">
            <v>699</v>
          </cell>
        </row>
        <row r="244">
          <cell r="A244">
            <v>700</v>
          </cell>
        </row>
        <row r="245">
          <cell r="A245">
            <v>706</v>
          </cell>
        </row>
        <row r="246">
          <cell r="A246">
            <v>708</v>
          </cell>
        </row>
        <row r="247">
          <cell r="A247">
            <v>710</v>
          </cell>
        </row>
        <row r="248">
          <cell r="A248">
            <v>712</v>
          </cell>
        </row>
        <row r="249">
          <cell r="A249">
            <v>716</v>
          </cell>
        </row>
        <row r="250">
          <cell r="A250">
            <v>720</v>
          </cell>
        </row>
        <row r="251">
          <cell r="A251">
            <v>722</v>
          </cell>
        </row>
        <row r="252">
          <cell r="A252">
            <v>724</v>
          </cell>
        </row>
        <row r="253">
          <cell r="A253">
            <v>726</v>
          </cell>
        </row>
        <row r="254">
          <cell r="A254">
            <v>728</v>
          </cell>
        </row>
        <row r="255">
          <cell r="A255">
            <v>730</v>
          </cell>
        </row>
        <row r="256">
          <cell r="A256">
            <v>732</v>
          </cell>
        </row>
        <row r="257">
          <cell r="A257">
            <v>734</v>
          </cell>
        </row>
        <row r="258">
          <cell r="A258">
            <v>736</v>
          </cell>
        </row>
        <row r="259">
          <cell r="A259">
            <v>738</v>
          </cell>
        </row>
        <row r="260">
          <cell r="A260">
            <v>740</v>
          </cell>
        </row>
        <row r="261">
          <cell r="A261">
            <v>770</v>
          </cell>
        </row>
        <row r="262">
          <cell r="A262">
            <v>780</v>
          </cell>
        </row>
        <row r="263">
          <cell r="A263">
            <v>801</v>
          </cell>
        </row>
        <row r="264">
          <cell r="A264">
            <v>803</v>
          </cell>
        </row>
        <row r="265">
          <cell r="A265">
            <v>805</v>
          </cell>
        </row>
        <row r="266">
          <cell r="A266">
            <v>811</v>
          </cell>
        </row>
        <row r="267">
          <cell r="A267">
            <v>820</v>
          </cell>
        </row>
        <row r="268">
          <cell r="A268">
            <v>825</v>
          </cell>
        </row>
        <row r="269">
          <cell r="A269">
            <v>830</v>
          </cell>
        </row>
        <row r="270">
          <cell r="A270">
            <v>850</v>
          </cell>
        </row>
        <row r="271">
          <cell r="A271">
            <v>855</v>
          </cell>
        </row>
        <row r="272">
          <cell r="A272">
            <v>859</v>
          </cell>
        </row>
        <row r="273">
          <cell r="A273">
            <v>860</v>
          </cell>
        </row>
        <row r="274">
          <cell r="A274">
            <v>865</v>
          </cell>
        </row>
        <row r="275">
          <cell r="A275">
            <v>869</v>
          </cell>
        </row>
        <row r="276">
          <cell r="A276">
            <v>870</v>
          </cell>
        </row>
        <row r="277">
          <cell r="A277">
            <v>880</v>
          </cell>
        </row>
        <row r="278">
          <cell r="A278">
            <v>881</v>
          </cell>
        </row>
        <row r="279">
          <cell r="A279">
            <v>882</v>
          </cell>
        </row>
        <row r="280">
          <cell r="A280">
            <v>883</v>
          </cell>
        </row>
        <row r="281">
          <cell r="A281">
            <v>885</v>
          </cell>
        </row>
        <row r="282">
          <cell r="A282">
            <v>886</v>
          </cell>
        </row>
        <row r="283">
          <cell r="A283">
            <v>888</v>
          </cell>
        </row>
        <row r="284">
          <cell r="A284">
            <v>892</v>
          </cell>
        </row>
        <row r="285">
          <cell r="A285">
            <v>897</v>
          </cell>
        </row>
        <row r="286">
          <cell r="A286">
            <v>899</v>
          </cell>
        </row>
        <row r="287">
          <cell r="A287">
            <v>910</v>
          </cell>
        </row>
        <row r="288">
          <cell r="A288">
            <v>921</v>
          </cell>
        </row>
        <row r="289">
          <cell r="A289">
            <v>922</v>
          </cell>
        </row>
        <row r="290">
          <cell r="A290">
            <v>923</v>
          </cell>
        </row>
        <row r="291">
          <cell r="A291">
            <v>931</v>
          </cell>
        </row>
        <row r="292">
          <cell r="A292">
            <v>932</v>
          </cell>
        </row>
        <row r="293">
          <cell r="A293">
            <v>933</v>
          </cell>
        </row>
        <row r="294">
          <cell r="A294">
            <v>934</v>
          </cell>
        </row>
        <row r="295">
          <cell r="A295">
            <v>937</v>
          </cell>
        </row>
        <row r="296">
          <cell r="A296">
            <v>947</v>
          </cell>
        </row>
        <row r="297">
          <cell r="A297">
            <v>109</v>
          </cell>
        </row>
        <row r="298">
          <cell r="A298">
            <v>172</v>
          </cell>
        </row>
        <row r="299">
          <cell r="A299">
            <v>173</v>
          </cell>
        </row>
        <row r="300">
          <cell r="A300">
            <v>253</v>
          </cell>
        </row>
        <row r="301">
          <cell r="A301">
            <v>264</v>
          </cell>
        </row>
        <row r="302">
          <cell r="A302">
            <v>265</v>
          </cell>
        </row>
        <row r="303">
          <cell r="A303">
            <v>266</v>
          </cell>
        </row>
        <row r="304">
          <cell r="A304">
            <v>267</v>
          </cell>
        </row>
        <row r="305">
          <cell r="A305">
            <v>268</v>
          </cell>
        </row>
        <row r="306">
          <cell r="A306">
            <v>269</v>
          </cell>
        </row>
        <row r="307">
          <cell r="A307">
            <v>333</v>
          </cell>
        </row>
        <row r="308">
          <cell r="A308">
            <v>401</v>
          </cell>
        </row>
        <row r="309">
          <cell r="A309">
            <v>402</v>
          </cell>
        </row>
        <row r="310">
          <cell r="A310">
            <v>404</v>
          </cell>
        </row>
        <row r="311">
          <cell r="A311">
            <v>405</v>
          </cell>
        </row>
        <row r="312">
          <cell r="A312">
            <v>408</v>
          </cell>
        </row>
        <row r="313">
          <cell r="A313">
            <v>410</v>
          </cell>
        </row>
        <row r="314">
          <cell r="A314">
            <v>411</v>
          </cell>
        </row>
        <row r="315">
          <cell r="A315">
            <v>414</v>
          </cell>
        </row>
        <row r="316">
          <cell r="A316">
            <v>417</v>
          </cell>
        </row>
        <row r="317">
          <cell r="A317">
            <v>435</v>
          </cell>
        </row>
        <row r="318">
          <cell r="A318">
            <v>436</v>
          </cell>
        </row>
        <row r="319">
          <cell r="A319">
            <v>446</v>
          </cell>
        </row>
        <row r="320">
          <cell r="A320">
            <v>448</v>
          </cell>
        </row>
        <row r="321">
          <cell r="A321">
            <v>449</v>
          </cell>
        </row>
        <row r="322">
          <cell r="A322">
            <v>429</v>
          </cell>
        </row>
        <row r="323">
          <cell r="A323">
            <v>482</v>
          </cell>
        </row>
        <row r="324">
          <cell r="A324">
            <v>483</v>
          </cell>
        </row>
        <row r="325">
          <cell r="A325">
            <v>484</v>
          </cell>
        </row>
        <row r="326">
          <cell r="A326">
            <v>485</v>
          </cell>
        </row>
        <row r="327">
          <cell r="A327">
            <v>486</v>
          </cell>
        </row>
        <row r="328">
          <cell r="A328">
            <v>487</v>
          </cell>
        </row>
        <row r="329">
          <cell r="A329">
            <v>488</v>
          </cell>
        </row>
        <row r="330">
          <cell r="A330">
            <v>489</v>
          </cell>
        </row>
        <row r="331">
          <cell r="A331">
            <v>490</v>
          </cell>
        </row>
        <row r="332">
          <cell r="A332">
            <v>491</v>
          </cell>
        </row>
        <row r="333">
          <cell r="A333">
            <v>492</v>
          </cell>
        </row>
        <row r="334">
          <cell r="A334">
            <v>493</v>
          </cell>
        </row>
        <row r="335">
          <cell r="A335">
            <v>0</v>
          </cell>
        </row>
      </sheetData>
      <sheetData sheetId="17"/>
      <sheetData sheetId="18">
        <row r="3">
          <cell r="F3" t="str">
            <v>Open</v>
          </cell>
        </row>
      </sheetData>
      <sheetData sheetId="19"/>
      <sheetData sheetId="20"/>
      <sheetData sheetId="21"/>
      <sheetData sheetId="22"/>
      <sheetData sheetId="23"/>
      <sheetData sheetId="24"/>
      <sheetData sheetId="25">
        <row r="44">
          <cell r="B44">
            <v>92942739.765464187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1">
          <cell r="C41">
            <v>6428113.3229424153</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row r="2">
          <cell r="A2" t="str">
            <v>The Sum of Networks % from this sheet feeds into the Network Allocation Split sheet where it is split between the 3 network divisions.</v>
          </cell>
        </row>
        <row r="3">
          <cell r="A3" t="str">
            <v>The other relevant %s feed straight to the OH workings sheets where they are used to split overheads by dept.</v>
          </cell>
        </row>
        <row r="4">
          <cell r="A4" t="str">
            <v>Weighted average divisonal rate for Corporate Overheads</v>
          </cell>
        </row>
        <row r="7">
          <cell r="A7">
            <v>0</v>
          </cell>
        </row>
        <row r="8">
          <cell r="C8" t="str">
            <v>From</v>
          </cell>
          <cell r="D8" t="str">
            <v>Retail</v>
          </cell>
          <cell r="E8" t="str">
            <v>Water</v>
          </cell>
          <cell r="F8" t="str">
            <v>Gas</v>
          </cell>
          <cell r="G8" t="str">
            <v>Networks ONLY</v>
          </cell>
          <cell r="H8" t="str">
            <v>Other non-reg business ONLY</v>
          </cell>
          <cell r="I8" t="str">
            <v>Sum of Networks</v>
          </cell>
          <cell r="J8" t="str">
            <v>Total</v>
          </cell>
          <cell r="K8" t="str">
            <v>Retail</v>
          </cell>
          <cell r="L8" t="str">
            <v>Water</v>
          </cell>
          <cell r="M8" t="str">
            <v>Gas</v>
          </cell>
          <cell r="N8" t="str">
            <v>Networks ONLY</v>
          </cell>
          <cell r="O8" t="str">
            <v>Other non-reg business ONLY</v>
          </cell>
          <cell r="P8" t="str">
            <v>Sum of Networks</v>
          </cell>
          <cell r="Q8" t="str">
            <v>Total</v>
          </cell>
          <cell r="R8" t="str">
            <v>Retail</v>
          </cell>
          <cell r="S8" t="str">
            <v>Water</v>
          </cell>
          <cell r="T8" t="str">
            <v>Gas</v>
          </cell>
          <cell r="U8" t="str">
            <v>Networks ONLY</v>
          </cell>
          <cell r="V8" t="str">
            <v>Other non-reg business ONLY</v>
          </cell>
          <cell r="W8" t="str">
            <v>Sum of Networks</v>
          </cell>
          <cell r="X8" t="str">
            <v>Total</v>
          </cell>
          <cell r="Y8" t="str">
            <v>Retail</v>
          </cell>
          <cell r="Z8" t="str">
            <v>Water</v>
          </cell>
          <cell r="AA8" t="str">
            <v>Gas</v>
          </cell>
          <cell r="AB8" t="str">
            <v>Networks ONLY</v>
          </cell>
          <cell r="AC8" t="str">
            <v>Other non-reg business ONLY</v>
          </cell>
          <cell r="AD8" t="str">
            <v>Sum of Networks</v>
          </cell>
          <cell r="AE8" t="str">
            <v>Total</v>
          </cell>
          <cell r="AF8" t="str">
            <v>Retail</v>
          </cell>
          <cell r="AG8" t="str">
            <v>Water</v>
          </cell>
          <cell r="AH8" t="str">
            <v>Gas</v>
          </cell>
          <cell r="AI8" t="str">
            <v>Networks ONLY</v>
          </cell>
          <cell r="AJ8" t="str">
            <v>Other non-reg business ONLY</v>
          </cell>
          <cell r="AK8" t="str">
            <v>Sum of Networks</v>
          </cell>
          <cell r="AL8" t="str">
            <v>Total</v>
          </cell>
        </row>
        <row r="9">
          <cell r="C9" t="str">
            <v>COO</v>
          </cell>
          <cell r="D9">
            <v>0</v>
          </cell>
          <cell r="E9">
            <v>2.2004895451505451E-2</v>
          </cell>
          <cell r="F9">
            <v>0</v>
          </cell>
          <cell r="G9">
            <v>0.96540539504360101</v>
          </cell>
          <cell r="H9">
            <v>1.2589709504893487E-2</v>
          </cell>
          <cell r="I9">
            <v>0.97799510454849448</v>
          </cell>
          <cell r="J9">
            <v>0.99999999999999989</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row>
        <row r="10">
          <cell r="C10" t="str">
            <v>ICT</v>
          </cell>
          <cell r="D10">
            <v>0</v>
          </cell>
          <cell r="E10">
            <v>3.276826732543809E-2</v>
          </cell>
          <cell r="F10">
            <v>0</v>
          </cell>
          <cell r="G10">
            <v>0.9479705647123563</v>
          </cell>
          <cell r="H10">
            <v>1.9261167962205814E-2</v>
          </cell>
          <cell r="I10">
            <v>0.96723173267456197</v>
          </cell>
          <cell r="J10">
            <v>1.0000000000000002</v>
          </cell>
          <cell r="K10">
            <v>0</v>
          </cell>
          <cell r="L10">
            <v>3.276826732543809E-2</v>
          </cell>
          <cell r="M10">
            <v>0</v>
          </cell>
          <cell r="N10">
            <v>0.94797056471235619</v>
          </cell>
          <cell r="O10">
            <v>1.9261167962205814E-2</v>
          </cell>
          <cell r="P10">
            <v>0.96723173267456197</v>
          </cell>
          <cell r="Q10">
            <v>1.0000000000000002</v>
          </cell>
          <cell r="R10">
            <v>0</v>
          </cell>
          <cell r="S10">
            <v>3.2768267325438097E-2</v>
          </cell>
          <cell r="T10">
            <v>0</v>
          </cell>
          <cell r="U10">
            <v>0.94797056471235597</v>
          </cell>
          <cell r="V10">
            <v>1.9261167962205814E-2</v>
          </cell>
          <cell r="W10">
            <v>0.96723173267456208</v>
          </cell>
          <cell r="X10">
            <v>0.99999999999999989</v>
          </cell>
          <cell r="Y10">
            <v>0</v>
          </cell>
          <cell r="Z10">
            <v>3.276826732543809E-2</v>
          </cell>
          <cell r="AA10">
            <v>0</v>
          </cell>
          <cell r="AB10">
            <v>0.94797056471235619</v>
          </cell>
          <cell r="AC10">
            <v>1.9261167962205811E-2</v>
          </cell>
          <cell r="AD10">
            <v>0.96723173267456186</v>
          </cell>
          <cell r="AE10">
            <v>1.0000000000000002</v>
          </cell>
          <cell r="AF10">
            <v>0</v>
          </cell>
          <cell r="AG10">
            <v>3.276826732543809E-2</v>
          </cell>
          <cell r="AH10">
            <v>0</v>
          </cell>
          <cell r="AI10">
            <v>0.94797056471235597</v>
          </cell>
          <cell r="AJ10">
            <v>1.9261167962205811E-2</v>
          </cell>
          <cell r="AK10">
            <v>0.96723173267456175</v>
          </cell>
          <cell r="AL10">
            <v>0.99999999999999989</v>
          </cell>
        </row>
        <row r="11">
          <cell r="C11" t="str">
            <v>People &amp; Services</v>
          </cell>
          <cell r="D11">
            <v>0</v>
          </cell>
          <cell r="E11">
            <v>2.0710191138773634E-2</v>
          </cell>
          <cell r="F11">
            <v>0</v>
          </cell>
          <cell r="G11">
            <v>0.94607043123315748</v>
          </cell>
          <cell r="H11">
            <v>3.321937762806889E-2</v>
          </cell>
          <cell r="I11">
            <v>0.9792898088612263</v>
          </cell>
          <cell r="J11">
            <v>1</v>
          </cell>
          <cell r="K11">
            <v>0</v>
          </cell>
          <cell r="L11">
            <v>2.0710191138773631E-2</v>
          </cell>
          <cell r="M11">
            <v>0</v>
          </cell>
          <cell r="N11">
            <v>0.94607043123315737</v>
          </cell>
          <cell r="O11">
            <v>3.3219377628068883E-2</v>
          </cell>
          <cell r="P11">
            <v>0.9792898088612263</v>
          </cell>
          <cell r="Q11">
            <v>0.99999999999999989</v>
          </cell>
          <cell r="R11">
            <v>0</v>
          </cell>
          <cell r="S11">
            <v>2.0710191138773634E-2</v>
          </cell>
          <cell r="T11">
            <v>0</v>
          </cell>
          <cell r="U11">
            <v>0.94607043123315759</v>
          </cell>
          <cell r="V11">
            <v>3.3219377628068883E-2</v>
          </cell>
          <cell r="W11">
            <v>0.97928980886122652</v>
          </cell>
          <cell r="X11">
            <v>1</v>
          </cell>
          <cell r="Y11">
            <v>0</v>
          </cell>
          <cell r="Z11">
            <v>2.0710191138773638E-2</v>
          </cell>
          <cell r="AA11">
            <v>0</v>
          </cell>
          <cell r="AB11">
            <v>0.94607043123315759</v>
          </cell>
          <cell r="AC11">
            <v>3.3219377628068897E-2</v>
          </cell>
          <cell r="AD11">
            <v>0.97928980886122641</v>
          </cell>
          <cell r="AE11">
            <v>1</v>
          </cell>
          <cell r="AF11">
            <v>0</v>
          </cell>
          <cell r="AG11">
            <v>2.0710191138773638E-2</v>
          </cell>
          <cell r="AH11">
            <v>0</v>
          </cell>
          <cell r="AI11">
            <v>0.94607043123315748</v>
          </cell>
          <cell r="AJ11">
            <v>3.3219377628068897E-2</v>
          </cell>
          <cell r="AK11">
            <v>0.9792898088612263</v>
          </cell>
          <cell r="AL11">
            <v>1</v>
          </cell>
        </row>
        <row r="12">
          <cell r="C12" t="str">
            <v>Health Safety &amp; Environment</v>
          </cell>
          <cell r="D12">
            <v>0</v>
          </cell>
          <cell r="E12">
            <v>2.0616896742605181E-2</v>
          </cell>
          <cell r="F12">
            <v>0</v>
          </cell>
          <cell r="G12">
            <v>0.96606609472587124</v>
          </cell>
          <cell r="H12">
            <v>1.3317008531523679E-2</v>
          </cell>
          <cell r="I12">
            <v>0.97938310325739486</v>
          </cell>
          <cell r="J12">
            <v>1</v>
          </cell>
          <cell r="K12">
            <v>0</v>
          </cell>
          <cell r="L12">
            <v>2.0616896742605185E-2</v>
          </cell>
          <cell r="M12">
            <v>0</v>
          </cell>
          <cell r="N12">
            <v>0.96606609472587135</v>
          </cell>
          <cell r="O12">
            <v>1.3317008531523677E-2</v>
          </cell>
          <cell r="P12">
            <v>0.97938310325739475</v>
          </cell>
          <cell r="Q12">
            <v>1.0000000000000002</v>
          </cell>
          <cell r="R12">
            <v>0</v>
          </cell>
          <cell r="S12">
            <v>2.0616896742605181E-2</v>
          </cell>
          <cell r="T12">
            <v>0</v>
          </cell>
          <cell r="U12">
            <v>0.96606609472587091</v>
          </cell>
          <cell r="V12">
            <v>1.3317008531523677E-2</v>
          </cell>
          <cell r="W12">
            <v>0.97938310325739475</v>
          </cell>
          <cell r="X12">
            <v>0.99999999999999978</v>
          </cell>
          <cell r="Y12">
            <v>0</v>
          </cell>
          <cell r="Z12">
            <v>2.0616896742605178E-2</v>
          </cell>
          <cell r="AA12">
            <v>0</v>
          </cell>
          <cell r="AB12">
            <v>0.96606609472587113</v>
          </cell>
          <cell r="AC12">
            <v>1.3317008531523674E-2</v>
          </cell>
          <cell r="AD12">
            <v>0.97938310325739464</v>
          </cell>
          <cell r="AE12">
            <v>0.99999999999999989</v>
          </cell>
          <cell r="AF12">
            <v>0</v>
          </cell>
          <cell r="AG12">
            <v>2.0616896742605185E-2</v>
          </cell>
          <cell r="AH12">
            <v>0</v>
          </cell>
          <cell r="AI12">
            <v>0.96606609472587113</v>
          </cell>
          <cell r="AJ12">
            <v>1.3317008531523676E-2</v>
          </cell>
          <cell r="AK12">
            <v>0.97938310325739486</v>
          </cell>
          <cell r="AL12">
            <v>0.99999999999999989</v>
          </cell>
        </row>
        <row r="13">
          <cell r="C13" t="str">
            <v>Finance &amp; Compliance</v>
          </cell>
          <cell r="D13">
            <v>0</v>
          </cell>
          <cell r="E13">
            <v>1.9324577748793401E-2</v>
          </cell>
          <cell r="F13">
            <v>0</v>
          </cell>
          <cell r="G13">
            <v>0.96974634631815093</v>
          </cell>
          <cell r="H13">
            <v>1.0929075933055669E-2</v>
          </cell>
          <cell r="I13">
            <v>0.98067542225120663</v>
          </cell>
          <cell r="J13">
            <v>1</v>
          </cell>
          <cell r="K13">
            <v>0</v>
          </cell>
          <cell r="L13">
            <v>1.9324577748793401E-2</v>
          </cell>
          <cell r="M13">
            <v>0</v>
          </cell>
          <cell r="N13">
            <v>0.96974634631815104</v>
          </cell>
          <cell r="O13">
            <v>1.0929075933055669E-2</v>
          </cell>
          <cell r="P13">
            <v>0.98067542225120652</v>
          </cell>
          <cell r="Q13">
            <v>1</v>
          </cell>
          <cell r="R13">
            <v>0</v>
          </cell>
          <cell r="S13">
            <v>1.9324577748793398E-2</v>
          </cell>
          <cell r="T13">
            <v>0</v>
          </cell>
          <cell r="U13">
            <v>0.96974634631815093</v>
          </cell>
          <cell r="V13">
            <v>1.0929075933055669E-2</v>
          </cell>
          <cell r="W13">
            <v>0.98067542225120663</v>
          </cell>
          <cell r="X13">
            <v>1</v>
          </cell>
          <cell r="Y13">
            <v>0</v>
          </cell>
          <cell r="Z13">
            <v>1.9324577748793401E-2</v>
          </cell>
          <cell r="AA13">
            <v>0</v>
          </cell>
          <cell r="AB13">
            <v>0.96974634631815071</v>
          </cell>
          <cell r="AC13">
            <v>1.0929075933055669E-2</v>
          </cell>
          <cell r="AD13">
            <v>0.98067542225120663</v>
          </cell>
          <cell r="AE13">
            <v>0.99999999999999978</v>
          </cell>
          <cell r="AF13">
            <v>0</v>
          </cell>
          <cell r="AG13">
            <v>1.9324577748793405E-2</v>
          </cell>
          <cell r="AH13">
            <v>0</v>
          </cell>
          <cell r="AI13">
            <v>0.96974634631815104</v>
          </cell>
          <cell r="AJ13">
            <v>1.0929075933055669E-2</v>
          </cell>
          <cell r="AK13">
            <v>0.98067542225120674</v>
          </cell>
          <cell r="AL13">
            <v>1</v>
          </cell>
        </row>
        <row r="14">
          <cell r="C14" t="str">
            <v>Networks NSW</v>
          </cell>
          <cell r="D14">
            <v>0</v>
          </cell>
          <cell r="E14">
            <v>0.02</v>
          </cell>
          <cell r="F14">
            <v>0</v>
          </cell>
          <cell r="G14">
            <v>0.96635974304068528</v>
          </cell>
          <cell r="H14">
            <v>1.3640256959314775E-2</v>
          </cell>
          <cell r="I14">
            <v>0.98000000000000009</v>
          </cell>
          <cell r="J14">
            <v>1</v>
          </cell>
          <cell r="K14">
            <v>0</v>
          </cell>
          <cell r="L14">
            <v>0.02</v>
          </cell>
          <cell r="M14">
            <v>0</v>
          </cell>
          <cell r="N14">
            <v>0.96635974304068528</v>
          </cell>
          <cell r="O14">
            <v>1.3640256959314775E-2</v>
          </cell>
          <cell r="P14">
            <v>0.98</v>
          </cell>
          <cell r="Q14">
            <v>1</v>
          </cell>
          <cell r="R14">
            <v>0</v>
          </cell>
          <cell r="S14">
            <v>0.02</v>
          </cell>
          <cell r="T14">
            <v>0</v>
          </cell>
          <cell r="U14">
            <v>0.96635974304068528</v>
          </cell>
          <cell r="V14">
            <v>1.3640256959314773E-2</v>
          </cell>
          <cell r="W14">
            <v>0.98</v>
          </cell>
          <cell r="X14">
            <v>1</v>
          </cell>
          <cell r="Y14">
            <v>0</v>
          </cell>
          <cell r="Z14">
            <v>0.02</v>
          </cell>
          <cell r="AA14">
            <v>0</v>
          </cell>
          <cell r="AB14">
            <v>0.96635974304068528</v>
          </cell>
          <cell r="AC14">
            <v>1.3640256959314775E-2</v>
          </cell>
          <cell r="AD14">
            <v>0.9800000000000002</v>
          </cell>
          <cell r="AE14">
            <v>1</v>
          </cell>
          <cell r="AF14">
            <v>0</v>
          </cell>
          <cell r="AG14">
            <v>0.02</v>
          </cell>
          <cell r="AH14">
            <v>0</v>
          </cell>
          <cell r="AI14">
            <v>0.96635974304068528</v>
          </cell>
          <cell r="AJ14">
            <v>1.3640256959314775E-2</v>
          </cell>
          <cell r="AK14">
            <v>0.98000000000000009</v>
          </cell>
          <cell r="AL14">
            <v>1</v>
          </cell>
        </row>
        <row r="15">
          <cell r="C15" t="str">
            <v>Dept 187</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row>
        <row r="17">
          <cell r="C17" t="str">
            <v>Retail</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row>
        <row r="18">
          <cell r="C18" t="str">
            <v>Network Development</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row>
        <row r="19">
          <cell r="C19" t="str">
            <v>Network Operations</v>
          </cell>
          <cell r="D19">
            <v>0</v>
          </cell>
          <cell r="E19">
            <v>0</v>
          </cell>
          <cell r="F19">
            <v>0</v>
          </cell>
          <cell r="G19">
            <v>1</v>
          </cell>
          <cell r="H19">
            <v>0</v>
          </cell>
          <cell r="I19">
            <v>1</v>
          </cell>
          <cell r="J19">
            <v>1</v>
          </cell>
          <cell r="K19">
            <v>0</v>
          </cell>
          <cell r="L19">
            <v>0</v>
          </cell>
          <cell r="M19">
            <v>0</v>
          </cell>
          <cell r="N19">
            <v>1</v>
          </cell>
          <cell r="O19">
            <v>0</v>
          </cell>
          <cell r="P19">
            <v>1</v>
          </cell>
          <cell r="Q19">
            <v>1</v>
          </cell>
          <cell r="R19">
            <v>0</v>
          </cell>
          <cell r="S19">
            <v>0</v>
          </cell>
          <cell r="T19">
            <v>0</v>
          </cell>
          <cell r="U19">
            <v>1</v>
          </cell>
          <cell r="V19">
            <v>0</v>
          </cell>
          <cell r="W19">
            <v>1</v>
          </cell>
          <cell r="X19">
            <v>1</v>
          </cell>
          <cell r="Y19">
            <v>0</v>
          </cell>
          <cell r="Z19">
            <v>0</v>
          </cell>
          <cell r="AA19">
            <v>0</v>
          </cell>
          <cell r="AB19">
            <v>1</v>
          </cell>
          <cell r="AC19">
            <v>0</v>
          </cell>
          <cell r="AD19">
            <v>1</v>
          </cell>
          <cell r="AE19">
            <v>1</v>
          </cell>
          <cell r="AF19">
            <v>0</v>
          </cell>
          <cell r="AG19">
            <v>0</v>
          </cell>
          <cell r="AH19">
            <v>0</v>
          </cell>
          <cell r="AI19">
            <v>1</v>
          </cell>
          <cell r="AJ19">
            <v>0</v>
          </cell>
          <cell r="AK19">
            <v>1</v>
          </cell>
          <cell r="AL19">
            <v>1</v>
          </cell>
        </row>
        <row r="20">
          <cell r="C20" t="str">
            <v>Chief Engineer</v>
          </cell>
          <cell r="D20">
            <v>0</v>
          </cell>
          <cell r="E20">
            <v>3.1810012935542236E-3</v>
          </cell>
          <cell r="F20">
            <v>0</v>
          </cell>
          <cell r="G20">
            <v>0.96412615811623414</v>
          </cell>
          <cell r="H20">
            <v>3.2692840590211415E-2</v>
          </cell>
          <cell r="I20">
            <v>0.99681899870644575</v>
          </cell>
          <cell r="J20">
            <v>0.99999999999999978</v>
          </cell>
          <cell r="K20">
            <v>0</v>
          </cell>
          <cell r="L20">
            <v>3.1810012935542232E-3</v>
          </cell>
          <cell r="M20">
            <v>0</v>
          </cell>
          <cell r="N20">
            <v>0.96412615811623426</v>
          </cell>
          <cell r="O20">
            <v>3.2692840590211415E-2</v>
          </cell>
          <cell r="P20">
            <v>0.99681899870644575</v>
          </cell>
          <cell r="Q20">
            <v>0.99999999999999989</v>
          </cell>
          <cell r="R20">
            <v>0</v>
          </cell>
          <cell r="S20">
            <v>3.1810012935542236E-3</v>
          </cell>
          <cell r="T20">
            <v>0</v>
          </cell>
          <cell r="U20">
            <v>0.96412615811623437</v>
          </cell>
          <cell r="V20">
            <v>3.2692840590211422E-2</v>
          </cell>
          <cell r="W20">
            <v>0.99681899870644575</v>
          </cell>
          <cell r="X20">
            <v>1</v>
          </cell>
          <cell r="Y20">
            <v>0</v>
          </cell>
          <cell r="Z20">
            <v>3.1810012935542232E-3</v>
          </cell>
          <cell r="AA20">
            <v>0</v>
          </cell>
          <cell r="AB20">
            <v>0.96412615811623426</v>
          </cell>
          <cell r="AC20">
            <v>3.2692840590211415E-2</v>
          </cell>
          <cell r="AD20">
            <v>0.99681899870644564</v>
          </cell>
          <cell r="AE20">
            <v>0.99999999999999989</v>
          </cell>
          <cell r="AF20">
            <v>0</v>
          </cell>
          <cell r="AG20">
            <v>3.1810012935542236E-3</v>
          </cell>
          <cell r="AH20">
            <v>0</v>
          </cell>
          <cell r="AI20">
            <v>0.96412615811623426</v>
          </cell>
          <cell r="AJ20">
            <v>3.2692840590211415E-2</v>
          </cell>
          <cell r="AK20">
            <v>0.99681899870644586</v>
          </cell>
          <cell r="AL20">
            <v>0.99999999999999989</v>
          </cell>
        </row>
        <row r="21">
          <cell r="C21" t="str">
            <v>Water</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C22" t="str">
            <v>INSERT ROWS ABOVE THIS LINE</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4">
          <cell r="A24">
            <v>0</v>
          </cell>
        </row>
        <row r="25">
          <cell r="A25" t="str">
            <v>Corporate_allocation_rates_dollars</v>
          </cell>
        </row>
        <row r="26">
          <cell r="A26">
            <v>1</v>
          </cell>
        </row>
        <row r="27">
          <cell r="A27">
            <v>0</v>
          </cell>
        </row>
        <row r="28">
          <cell r="A28" t="str">
            <v>Dept</v>
          </cell>
          <cell r="B28" t="str">
            <v>Name</v>
          </cell>
          <cell r="C28" t="str">
            <v>Division</v>
          </cell>
          <cell r="D28" t="str">
            <v>Allocation pool</v>
          </cell>
          <cell r="E28" t="str">
            <v>Column to lookup</v>
          </cell>
          <cell r="F28" t="str">
            <v>Retail</v>
          </cell>
          <cell r="G28" t="str">
            <v>Column to lookup</v>
          </cell>
          <cell r="H28" t="str">
            <v>Water</v>
          </cell>
          <cell r="I28" t="str">
            <v>Column to lookup</v>
          </cell>
          <cell r="J28" t="str">
            <v>Gas</v>
          </cell>
          <cell r="K28" t="str">
            <v>Column to lookup</v>
          </cell>
          <cell r="L28" t="str">
            <v>Column to lookup</v>
          </cell>
          <cell r="M28" t="str">
            <v>Networks ONLY</v>
          </cell>
          <cell r="N28" t="str">
            <v>Other non-reg business ONLY</v>
          </cell>
          <cell r="O28" t="str">
            <v>Sum of Networks</v>
          </cell>
          <cell r="P28" t="str">
            <v>Base Ohs for submission</v>
          </cell>
          <cell r="Q28" t="str">
            <v>Retail</v>
          </cell>
          <cell r="R28" t="str">
            <v>Water</v>
          </cell>
          <cell r="S28" t="str">
            <v>Gas</v>
          </cell>
          <cell r="T28" t="str">
            <v>Networks ONLY</v>
          </cell>
          <cell r="U28" t="str">
            <v>Other non-reg business ONLY</v>
          </cell>
          <cell r="V28" t="str">
            <v>Sum of Networks</v>
          </cell>
          <cell r="W28" t="str">
            <v>Base OHs for submission</v>
          </cell>
          <cell r="X28" t="str">
            <v>Retail</v>
          </cell>
          <cell r="Y28" t="str">
            <v>Water</v>
          </cell>
          <cell r="Z28" t="str">
            <v>Gas</v>
          </cell>
          <cell r="AA28" t="str">
            <v>Networks ONLY</v>
          </cell>
          <cell r="AB28" t="str">
            <v>Other non-reg business ONLY</v>
          </cell>
          <cell r="AC28" t="str">
            <v>Sum of Networks</v>
          </cell>
          <cell r="AD28" t="str">
            <v>Base OHs for submission</v>
          </cell>
          <cell r="AE28" t="str">
            <v>Retail</v>
          </cell>
          <cell r="AF28" t="str">
            <v>Water</v>
          </cell>
          <cell r="AG28" t="str">
            <v>Gas</v>
          </cell>
          <cell r="AH28" t="str">
            <v>Networks ONLY</v>
          </cell>
          <cell r="AI28" t="str">
            <v>Other non-reg business ONLY</v>
          </cell>
          <cell r="AJ28" t="str">
            <v>Sum of Networks</v>
          </cell>
          <cell r="AK28" t="str">
            <v>Base OHs for submission</v>
          </cell>
          <cell r="AL28" t="str">
            <v>Retail</v>
          </cell>
          <cell r="AM28" t="str">
            <v>Water</v>
          </cell>
          <cell r="AN28" t="str">
            <v>Gas</v>
          </cell>
          <cell r="AO28" t="str">
            <v>Networks ONLY</v>
          </cell>
          <cell r="AP28" t="str">
            <v>Other non-reg business ONLY</v>
          </cell>
          <cell r="AQ28" t="str">
            <v>Sum of Networks</v>
          </cell>
          <cell r="AR28" t="str">
            <v>Base OHs for submission</v>
          </cell>
          <cell r="AS28" t="str">
            <v>Retail</v>
          </cell>
          <cell r="AT28" t="str">
            <v>Water</v>
          </cell>
          <cell r="AU28" t="str">
            <v>Gas</v>
          </cell>
          <cell r="AV28" t="str">
            <v>Networks ONLY</v>
          </cell>
          <cell r="AW28" t="str">
            <v>Other non-reg business ONLY</v>
          </cell>
          <cell r="AX28" t="str">
            <v>Sum of Networks</v>
          </cell>
        </row>
        <row r="29">
          <cell r="A29">
            <v>0</v>
          </cell>
        </row>
        <row r="30">
          <cell r="A30">
            <v>998</v>
          </cell>
        </row>
        <row r="31">
          <cell r="A31">
            <v>999</v>
          </cell>
        </row>
        <row r="32">
          <cell r="A32">
            <v>187</v>
          </cell>
        </row>
        <row r="33">
          <cell r="A33">
            <v>101</v>
          </cell>
        </row>
        <row r="34">
          <cell r="A34">
            <v>248</v>
          </cell>
        </row>
        <row r="35">
          <cell r="A35">
            <v>261</v>
          </cell>
        </row>
        <row r="36">
          <cell r="A36">
            <v>127</v>
          </cell>
        </row>
        <row r="37">
          <cell r="A37">
            <v>130</v>
          </cell>
        </row>
        <row r="38">
          <cell r="A38">
            <v>513</v>
          </cell>
        </row>
        <row r="39">
          <cell r="A39">
            <v>515</v>
          </cell>
        </row>
        <row r="40">
          <cell r="A40">
            <v>516</v>
          </cell>
        </row>
        <row r="41">
          <cell r="A41">
            <v>517</v>
          </cell>
        </row>
        <row r="42">
          <cell r="A42">
            <v>107</v>
          </cell>
        </row>
        <row r="43">
          <cell r="A43">
            <v>108</v>
          </cell>
        </row>
        <row r="44">
          <cell r="A44">
            <v>165</v>
          </cell>
        </row>
        <row r="45">
          <cell r="A45">
            <v>166</v>
          </cell>
        </row>
        <row r="46">
          <cell r="A46">
            <v>169</v>
          </cell>
        </row>
        <row r="47">
          <cell r="A47">
            <v>175</v>
          </cell>
        </row>
        <row r="48">
          <cell r="A48">
            <v>200</v>
          </cell>
        </row>
        <row r="49">
          <cell r="A49">
            <v>202</v>
          </cell>
        </row>
        <row r="50">
          <cell r="A50">
            <v>204</v>
          </cell>
        </row>
        <row r="51">
          <cell r="A51">
            <v>205</v>
          </cell>
        </row>
        <row r="52">
          <cell r="A52">
            <v>207</v>
          </cell>
        </row>
        <row r="53">
          <cell r="A53">
            <v>216</v>
          </cell>
        </row>
        <row r="54">
          <cell r="A54">
            <v>217</v>
          </cell>
        </row>
        <row r="55">
          <cell r="A55">
            <v>249</v>
          </cell>
        </row>
        <row r="56">
          <cell r="A56">
            <v>271</v>
          </cell>
        </row>
        <row r="57">
          <cell r="A57">
            <v>272</v>
          </cell>
        </row>
        <row r="58">
          <cell r="A58">
            <v>273</v>
          </cell>
        </row>
        <row r="59">
          <cell r="A59">
            <v>281</v>
          </cell>
        </row>
        <row r="60">
          <cell r="A60">
            <v>282</v>
          </cell>
        </row>
        <row r="61">
          <cell r="A61">
            <v>284</v>
          </cell>
        </row>
        <row r="62">
          <cell r="A62">
            <v>314</v>
          </cell>
        </row>
        <row r="63">
          <cell r="A63">
            <v>420</v>
          </cell>
        </row>
        <row r="64">
          <cell r="A64">
            <v>421</v>
          </cell>
        </row>
        <row r="65">
          <cell r="A65">
            <v>422</v>
          </cell>
        </row>
        <row r="66">
          <cell r="A66">
            <v>423</v>
          </cell>
        </row>
        <row r="67">
          <cell r="A67">
            <v>424</v>
          </cell>
        </row>
        <row r="68">
          <cell r="A68">
            <v>426</v>
          </cell>
        </row>
        <row r="69">
          <cell r="A69">
            <v>430</v>
          </cell>
        </row>
        <row r="70">
          <cell r="A70">
            <v>431</v>
          </cell>
        </row>
        <row r="71">
          <cell r="A71">
            <v>432</v>
          </cell>
        </row>
        <row r="72">
          <cell r="A72">
            <v>433</v>
          </cell>
        </row>
        <row r="73">
          <cell r="A73">
            <v>434</v>
          </cell>
        </row>
        <row r="74">
          <cell r="A74">
            <v>439</v>
          </cell>
        </row>
        <row r="75">
          <cell r="A75">
            <v>444</v>
          </cell>
        </row>
        <row r="76">
          <cell r="A76">
            <v>459</v>
          </cell>
        </row>
        <row r="77">
          <cell r="A77">
            <v>858</v>
          </cell>
        </row>
        <row r="78">
          <cell r="A78">
            <v>889</v>
          </cell>
        </row>
        <row r="79">
          <cell r="A79">
            <v>890</v>
          </cell>
        </row>
        <row r="80">
          <cell r="A80">
            <v>994</v>
          </cell>
        </row>
        <row r="81">
          <cell r="A81">
            <v>111</v>
          </cell>
        </row>
        <row r="82">
          <cell r="A82">
            <v>116</v>
          </cell>
        </row>
        <row r="83">
          <cell r="A83">
            <v>117</v>
          </cell>
        </row>
        <row r="84">
          <cell r="A84">
            <v>119</v>
          </cell>
        </row>
        <row r="85">
          <cell r="A85">
            <v>120</v>
          </cell>
        </row>
        <row r="86">
          <cell r="A86">
            <v>283</v>
          </cell>
        </row>
        <row r="87">
          <cell r="A87">
            <v>103</v>
          </cell>
        </row>
        <row r="88">
          <cell r="A88">
            <v>106</v>
          </cell>
        </row>
        <row r="89">
          <cell r="A89">
            <v>115</v>
          </cell>
        </row>
        <row r="90">
          <cell r="A90">
            <v>129</v>
          </cell>
        </row>
        <row r="91">
          <cell r="A91">
            <v>132</v>
          </cell>
        </row>
        <row r="92">
          <cell r="A92">
            <v>144</v>
          </cell>
        </row>
        <row r="93">
          <cell r="A93">
            <v>145</v>
          </cell>
        </row>
        <row r="94">
          <cell r="A94">
            <v>146</v>
          </cell>
        </row>
        <row r="95">
          <cell r="A95">
            <v>147</v>
          </cell>
        </row>
        <row r="96">
          <cell r="A96">
            <v>149</v>
          </cell>
        </row>
        <row r="97">
          <cell r="A97">
            <v>153</v>
          </cell>
        </row>
        <row r="98">
          <cell r="A98">
            <v>156</v>
          </cell>
        </row>
        <row r="99">
          <cell r="A99">
            <v>158</v>
          </cell>
        </row>
        <row r="100">
          <cell r="A100">
            <v>159</v>
          </cell>
        </row>
        <row r="101">
          <cell r="A101">
            <v>164</v>
          </cell>
        </row>
        <row r="102">
          <cell r="A102">
            <v>182</v>
          </cell>
        </row>
        <row r="103">
          <cell r="A103">
            <v>210</v>
          </cell>
        </row>
        <row r="104">
          <cell r="A104">
            <v>211</v>
          </cell>
        </row>
        <row r="105">
          <cell r="A105">
            <v>218</v>
          </cell>
        </row>
        <row r="106">
          <cell r="A106">
            <v>400</v>
          </cell>
        </row>
        <row r="107">
          <cell r="A107">
            <v>475</v>
          </cell>
        </row>
        <row r="108">
          <cell r="A108">
            <v>244</v>
          </cell>
        </row>
        <row r="109">
          <cell r="A109">
            <v>246</v>
          </cell>
        </row>
        <row r="110">
          <cell r="A110">
            <v>252</v>
          </cell>
        </row>
        <row r="111">
          <cell r="A111">
            <v>255</v>
          </cell>
        </row>
        <row r="112">
          <cell r="A112">
            <v>256</v>
          </cell>
        </row>
        <row r="113">
          <cell r="A113">
            <v>257</v>
          </cell>
        </row>
        <row r="114">
          <cell r="A114">
            <v>260</v>
          </cell>
        </row>
        <row r="115">
          <cell r="A115">
            <v>262</v>
          </cell>
        </row>
        <row r="116">
          <cell r="A116">
            <v>275</v>
          </cell>
        </row>
        <row r="117">
          <cell r="A117">
            <v>286</v>
          </cell>
        </row>
        <row r="118">
          <cell r="A118">
            <v>190</v>
          </cell>
        </row>
        <row r="119">
          <cell r="A119">
            <v>191</v>
          </cell>
        </row>
        <row r="120">
          <cell r="A120">
            <v>192</v>
          </cell>
        </row>
        <row r="121">
          <cell r="A121">
            <v>194</v>
          </cell>
        </row>
        <row r="122">
          <cell r="A122">
            <v>199</v>
          </cell>
        </row>
        <row r="123">
          <cell r="A123">
            <v>415</v>
          </cell>
        </row>
        <row r="124">
          <cell r="A124">
            <v>438</v>
          </cell>
        </row>
        <row r="125">
          <cell r="A125">
            <v>442</v>
          </cell>
        </row>
        <row r="126">
          <cell r="A126">
            <v>473</v>
          </cell>
        </row>
        <row r="127">
          <cell r="A127">
            <v>474</v>
          </cell>
        </row>
        <row r="128">
          <cell r="A128">
            <v>750</v>
          </cell>
        </row>
        <row r="129">
          <cell r="A129">
            <v>751</v>
          </cell>
        </row>
        <row r="130">
          <cell r="A130">
            <v>752</v>
          </cell>
        </row>
        <row r="131">
          <cell r="A131">
            <v>771</v>
          </cell>
        </row>
        <row r="132">
          <cell r="A132">
            <v>773</v>
          </cell>
        </row>
        <row r="133">
          <cell r="A133">
            <v>781</v>
          </cell>
        </row>
        <row r="134">
          <cell r="A134">
            <v>783</v>
          </cell>
        </row>
        <row r="135">
          <cell r="A135">
            <v>791</v>
          </cell>
        </row>
        <row r="136">
          <cell r="A136">
            <v>793</v>
          </cell>
        </row>
        <row r="137">
          <cell r="A137">
            <v>797</v>
          </cell>
        </row>
        <row r="138">
          <cell r="A138">
            <v>799</v>
          </cell>
        </row>
        <row r="139">
          <cell r="A139">
            <v>815</v>
          </cell>
        </row>
        <row r="140">
          <cell r="A140">
            <v>817</v>
          </cell>
        </row>
        <row r="141">
          <cell r="A141">
            <v>821</v>
          </cell>
        </row>
        <row r="142">
          <cell r="A142">
            <v>823</v>
          </cell>
        </row>
        <row r="143">
          <cell r="A143">
            <v>829</v>
          </cell>
        </row>
        <row r="144">
          <cell r="A144">
            <v>839</v>
          </cell>
        </row>
        <row r="145">
          <cell r="A145">
            <v>871</v>
          </cell>
        </row>
        <row r="146">
          <cell r="A146">
            <v>891</v>
          </cell>
        </row>
        <row r="147">
          <cell r="A147">
            <v>893</v>
          </cell>
        </row>
        <row r="148">
          <cell r="A148">
            <v>915</v>
          </cell>
        </row>
        <row r="149">
          <cell r="A149">
            <v>916</v>
          </cell>
        </row>
        <row r="150">
          <cell r="A150">
            <v>239</v>
          </cell>
        </row>
        <row r="151">
          <cell r="A151">
            <v>293</v>
          </cell>
        </row>
        <row r="152">
          <cell r="A152">
            <v>335</v>
          </cell>
        </row>
        <row r="153">
          <cell r="A153">
            <v>356</v>
          </cell>
        </row>
        <row r="154">
          <cell r="A154">
            <v>357</v>
          </cell>
        </row>
        <row r="155">
          <cell r="A155">
            <v>359</v>
          </cell>
        </row>
        <row r="156">
          <cell r="A156">
            <v>418</v>
          </cell>
        </row>
        <row r="157">
          <cell r="A157">
            <v>419</v>
          </cell>
        </row>
        <row r="158">
          <cell r="A158">
            <v>428</v>
          </cell>
        </row>
        <row r="159">
          <cell r="A159">
            <v>440</v>
          </cell>
        </row>
        <row r="160">
          <cell r="A160">
            <v>450</v>
          </cell>
        </row>
        <row r="161">
          <cell r="A161">
            <v>451</v>
          </cell>
        </row>
        <row r="162">
          <cell r="A162">
            <v>452</v>
          </cell>
        </row>
        <row r="163">
          <cell r="A163">
            <v>455</v>
          </cell>
        </row>
        <row r="164">
          <cell r="A164">
            <v>456</v>
          </cell>
        </row>
        <row r="165">
          <cell r="A165">
            <v>472</v>
          </cell>
        </row>
        <row r="166">
          <cell r="A166">
            <v>500</v>
          </cell>
        </row>
        <row r="167">
          <cell r="A167">
            <v>501</v>
          </cell>
        </row>
        <row r="168">
          <cell r="A168">
            <v>502</v>
          </cell>
        </row>
        <row r="169">
          <cell r="A169">
            <v>506</v>
          </cell>
        </row>
        <row r="170">
          <cell r="A170">
            <v>508</v>
          </cell>
        </row>
        <row r="171">
          <cell r="A171">
            <v>510</v>
          </cell>
        </row>
        <row r="172">
          <cell r="A172">
            <v>514</v>
          </cell>
        </row>
        <row r="173">
          <cell r="A173">
            <v>518</v>
          </cell>
        </row>
        <row r="174">
          <cell r="A174">
            <v>520</v>
          </cell>
        </row>
        <row r="175">
          <cell r="A175">
            <v>522</v>
          </cell>
        </row>
        <row r="176">
          <cell r="A176">
            <v>524</v>
          </cell>
        </row>
        <row r="177">
          <cell r="A177">
            <v>526</v>
          </cell>
        </row>
        <row r="178">
          <cell r="A178">
            <v>530</v>
          </cell>
        </row>
        <row r="179">
          <cell r="A179">
            <v>531</v>
          </cell>
        </row>
        <row r="180">
          <cell r="A180">
            <v>532</v>
          </cell>
        </row>
        <row r="181">
          <cell r="A181">
            <v>533</v>
          </cell>
        </row>
        <row r="182">
          <cell r="A182">
            <v>538</v>
          </cell>
        </row>
        <row r="183">
          <cell r="A183">
            <v>539</v>
          </cell>
        </row>
        <row r="184">
          <cell r="A184">
            <v>544</v>
          </cell>
        </row>
        <row r="185">
          <cell r="A185">
            <v>550</v>
          </cell>
        </row>
        <row r="186">
          <cell r="A186">
            <v>551</v>
          </cell>
        </row>
        <row r="187">
          <cell r="A187">
            <v>552</v>
          </cell>
        </row>
        <row r="188">
          <cell r="A188">
            <v>553</v>
          </cell>
        </row>
        <row r="189">
          <cell r="A189">
            <v>554</v>
          </cell>
        </row>
        <row r="190">
          <cell r="A190">
            <v>556</v>
          </cell>
        </row>
        <row r="191">
          <cell r="A191">
            <v>557</v>
          </cell>
        </row>
        <row r="192">
          <cell r="A192">
            <v>558</v>
          </cell>
        </row>
        <row r="193">
          <cell r="A193">
            <v>559</v>
          </cell>
        </row>
        <row r="194">
          <cell r="A194">
            <v>560</v>
          </cell>
        </row>
        <row r="195">
          <cell r="A195">
            <v>562</v>
          </cell>
        </row>
        <row r="196">
          <cell r="A196">
            <v>568</v>
          </cell>
        </row>
        <row r="197">
          <cell r="A197">
            <v>570</v>
          </cell>
        </row>
        <row r="198">
          <cell r="A198">
            <v>572</v>
          </cell>
        </row>
        <row r="199">
          <cell r="A199">
            <v>576</v>
          </cell>
        </row>
        <row r="200">
          <cell r="A200">
            <v>577</v>
          </cell>
        </row>
        <row r="201">
          <cell r="A201">
            <v>578</v>
          </cell>
        </row>
        <row r="202">
          <cell r="A202">
            <v>580</v>
          </cell>
        </row>
        <row r="203">
          <cell r="A203">
            <v>584</v>
          </cell>
        </row>
        <row r="204">
          <cell r="A204">
            <v>586</v>
          </cell>
        </row>
        <row r="205">
          <cell r="A205">
            <v>590</v>
          </cell>
        </row>
        <row r="206">
          <cell r="A206">
            <v>592</v>
          </cell>
        </row>
        <row r="207">
          <cell r="A207">
            <v>593</v>
          </cell>
        </row>
        <row r="208">
          <cell r="A208">
            <v>596</v>
          </cell>
        </row>
        <row r="209">
          <cell r="A209">
            <v>597</v>
          </cell>
        </row>
        <row r="210">
          <cell r="A210">
            <v>598</v>
          </cell>
        </row>
        <row r="211">
          <cell r="A211">
            <v>599</v>
          </cell>
        </row>
        <row r="212">
          <cell r="A212">
            <v>602</v>
          </cell>
        </row>
        <row r="213">
          <cell r="A213">
            <v>603</v>
          </cell>
        </row>
        <row r="214">
          <cell r="A214">
            <v>604</v>
          </cell>
        </row>
        <row r="215">
          <cell r="A215">
            <v>608</v>
          </cell>
        </row>
        <row r="216">
          <cell r="A216">
            <v>609</v>
          </cell>
        </row>
        <row r="217">
          <cell r="A217">
            <v>610</v>
          </cell>
        </row>
        <row r="218">
          <cell r="A218">
            <v>611</v>
          </cell>
        </row>
        <row r="219">
          <cell r="A219">
            <v>620</v>
          </cell>
        </row>
        <row r="220">
          <cell r="A220">
            <v>622</v>
          </cell>
        </row>
        <row r="221">
          <cell r="A221">
            <v>624</v>
          </cell>
        </row>
        <row r="222">
          <cell r="A222">
            <v>628</v>
          </cell>
        </row>
        <row r="223">
          <cell r="A223">
            <v>630</v>
          </cell>
        </row>
        <row r="224">
          <cell r="A224">
            <v>632</v>
          </cell>
        </row>
        <row r="225">
          <cell r="A225">
            <v>636</v>
          </cell>
        </row>
        <row r="226">
          <cell r="A226">
            <v>638</v>
          </cell>
        </row>
        <row r="227">
          <cell r="A227">
            <v>640</v>
          </cell>
        </row>
        <row r="228">
          <cell r="A228">
            <v>641</v>
          </cell>
        </row>
        <row r="229">
          <cell r="A229">
            <v>642</v>
          </cell>
        </row>
        <row r="230">
          <cell r="A230">
            <v>644</v>
          </cell>
        </row>
        <row r="231">
          <cell r="A231">
            <v>646</v>
          </cell>
        </row>
        <row r="232">
          <cell r="A232">
            <v>647</v>
          </cell>
        </row>
        <row r="233">
          <cell r="A233">
            <v>648</v>
          </cell>
        </row>
        <row r="234">
          <cell r="A234">
            <v>650</v>
          </cell>
        </row>
        <row r="235">
          <cell r="A235">
            <v>652</v>
          </cell>
        </row>
        <row r="236">
          <cell r="A236">
            <v>654</v>
          </cell>
        </row>
        <row r="237">
          <cell r="A237">
            <v>658</v>
          </cell>
        </row>
        <row r="238">
          <cell r="A238">
            <v>662</v>
          </cell>
        </row>
        <row r="239">
          <cell r="A239">
            <v>666</v>
          </cell>
        </row>
        <row r="240">
          <cell r="A240">
            <v>668</v>
          </cell>
        </row>
        <row r="241">
          <cell r="A241">
            <v>670</v>
          </cell>
        </row>
        <row r="242">
          <cell r="A242">
            <v>674</v>
          </cell>
        </row>
        <row r="243">
          <cell r="A243">
            <v>676</v>
          </cell>
        </row>
        <row r="244">
          <cell r="A244">
            <v>680</v>
          </cell>
        </row>
        <row r="245">
          <cell r="A245">
            <v>682</v>
          </cell>
        </row>
        <row r="246">
          <cell r="A246">
            <v>686</v>
          </cell>
        </row>
        <row r="247">
          <cell r="A247">
            <v>688</v>
          </cell>
        </row>
        <row r="248">
          <cell r="A248">
            <v>690</v>
          </cell>
        </row>
        <row r="249">
          <cell r="A249">
            <v>692</v>
          </cell>
        </row>
        <row r="250">
          <cell r="A250">
            <v>694</v>
          </cell>
        </row>
        <row r="251">
          <cell r="A251">
            <v>696</v>
          </cell>
        </row>
        <row r="252">
          <cell r="A252">
            <v>698</v>
          </cell>
        </row>
        <row r="253">
          <cell r="A253">
            <v>699</v>
          </cell>
        </row>
        <row r="254">
          <cell r="A254">
            <v>700</v>
          </cell>
        </row>
        <row r="255">
          <cell r="A255">
            <v>706</v>
          </cell>
        </row>
        <row r="256">
          <cell r="A256">
            <v>708</v>
          </cell>
        </row>
        <row r="257">
          <cell r="A257">
            <v>710</v>
          </cell>
        </row>
        <row r="258">
          <cell r="A258">
            <v>712</v>
          </cell>
        </row>
        <row r="259">
          <cell r="A259">
            <v>716</v>
          </cell>
        </row>
        <row r="260">
          <cell r="A260">
            <v>720</v>
          </cell>
        </row>
        <row r="261">
          <cell r="A261">
            <v>722</v>
          </cell>
        </row>
        <row r="262">
          <cell r="A262">
            <v>724</v>
          </cell>
        </row>
        <row r="263">
          <cell r="A263">
            <v>726</v>
          </cell>
        </row>
        <row r="264">
          <cell r="A264">
            <v>728</v>
          </cell>
        </row>
        <row r="265">
          <cell r="A265">
            <v>730</v>
          </cell>
        </row>
        <row r="266">
          <cell r="A266">
            <v>732</v>
          </cell>
        </row>
        <row r="267">
          <cell r="A267">
            <v>734</v>
          </cell>
        </row>
        <row r="268">
          <cell r="A268">
            <v>736</v>
          </cell>
        </row>
        <row r="269">
          <cell r="A269">
            <v>738</v>
          </cell>
        </row>
        <row r="270">
          <cell r="A270">
            <v>740</v>
          </cell>
        </row>
        <row r="271">
          <cell r="A271">
            <v>770</v>
          </cell>
        </row>
        <row r="272">
          <cell r="A272">
            <v>780</v>
          </cell>
        </row>
        <row r="273">
          <cell r="A273">
            <v>801</v>
          </cell>
        </row>
        <row r="274">
          <cell r="A274">
            <v>803</v>
          </cell>
        </row>
        <row r="275">
          <cell r="A275">
            <v>805</v>
          </cell>
        </row>
        <row r="276">
          <cell r="A276">
            <v>811</v>
          </cell>
        </row>
        <row r="277">
          <cell r="A277">
            <v>820</v>
          </cell>
        </row>
        <row r="278">
          <cell r="A278">
            <v>825</v>
          </cell>
        </row>
        <row r="279">
          <cell r="A279">
            <v>830</v>
          </cell>
        </row>
        <row r="280">
          <cell r="A280">
            <v>850</v>
          </cell>
        </row>
        <row r="281">
          <cell r="A281">
            <v>855</v>
          </cell>
        </row>
        <row r="282">
          <cell r="A282">
            <v>859</v>
          </cell>
        </row>
        <row r="283">
          <cell r="A283">
            <v>860</v>
          </cell>
        </row>
        <row r="284">
          <cell r="A284">
            <v>865</v>
          </cell>
        </row>
        <row r="285">
          <cell r="A285">
            <v>869</v>
          </cell>
        </row>
        <row r="286">
          <cell r="A286">
            <v>870</v>
          </cell>
        </row>
        <row r="287">
          <cell r="A287">
            <v>880</v>
          </cell>
        </row>
        <row r="288">
          <cell r="A288">
            <v>881</v>
          </cell>
        </row>
        <row r="289">
          <cell r="A289">
            <v>882</v>
          </cell>
        </row>
        <row r="290">
          <cell r="A290">
            <v>883</v>
          </cell>
        </row>
        <row r="291">
          <cell r="A291">
            <v>885</v>
          </cell>
        </row>
        <row r="292">
          <cell r="A292">
            <v>886</v>
          </cell>
        </row>
        <row r="293">
          <cell r="A293">
            <v>888</v>
          </cell>
        </row>
        <row r="294">
          <cell r="A294">
            <v>892</v>
          </cell>
        </row>
        <row r="295">
          <cell r="A295">
            <v>897</v>
          </cell>
        </row>
        <row r="296">
          <cell r="A296">
            <v>899</v>
          </cell>
        </row>
        <row r="297">
          <cell r="A297">
            <v>910</v>
          </cell>
        </row>
        <row r="298">
          <cell r="A298">
            <v>921</v>
          </cell>
        </row>
        <row r="299">
          <cell r="A299">
            <v>922</v>
          </cell>
        </row>
        <row r="300">
          <cell r="A300">
            <v>923</v>
          </cell>
        </row>
        <row r="301">
          <cell r="A301">
            <v>931</v>
          </cell>
        </row>
        <row r="302">
          <cell r="A302">
            <v>932</v>
          </cell>
        </row>
        <row r="303">
          <cell r="A303">
            <v>933</v>
          </cell>
        </row>
        <row r="304">
          <cell r="A304">
            <v>934</v>
          </cell>
        </row>
        <row r="305">
          <cell r="A305">
            <v>937</v>
          </cell>
        </row>
        <row r="306">
          <cell r="A306">
            <v>947</v>
          </cell>
        </row>
        <row r="307">
          <cell r="A307">
            <v>109</v>
          </cell>
        </row>
        <row r="308">
          <cell r="A308">
            <v>172</v>
          </cell>
        </row>
        <row r="309">
          <cell r="A309">
            <v>173</v>
          </cell>
        </row>
        <row r="310">
          <cell r="A310">
            <v>253</v>
          </cell>
        </row>
        <row r="311">
          <cell r="A311">
            <v>264</v>
          </cell>
        </row>
        <row r="312">
          <cell r="A312">
            <v>265</v>
          </cell>
        </row>
        <row r="313">
          <cell r="A313">
            <v>266</v>
          </cell>
        </row>
        <row r="314">
          <cell r="A314">
            <v>267</v>
          </cell>
        </row>
        <row r="315">
          <cell r="A315">
            <v>268</v>
          </cell>
        </row>
        <row r="316">
          <cell r="A316">
            <v>269</v>
          </cell>
        </row>
        <row r="317">
          <cell r="A317">
            <v>333</v>
          </cell>
        </row>
        <row r="318">
          <cell r="A318">
            <v>401</v>
          </cell>
        </row>
        <row r="319">
          <cell r="A319">
            <v>402</v>
          </cell>
        </row>
        <row r="320">
          <cell r="A320">
            <v>404</v>
          </cell>
        </row>
        <row r="321">
          <cell r="A321">
            <v>405</v>
          </cell>
        </row>
        <row r="322">
          <cell r="A322">
            <v>408</v>
          </cell>
        </row>
        <row r="323">
          <cell r="A323">
            <v>410</v>
          </cell>
        </row>
        <row r="324">
          <cell r="A324">
            <v>411</v>
          </cell>
        </row>
        <row r="325">
          <cell r="A325">
            <v>414</v>
          </cell>
        </row>
        <row r="326">
          <cell r="A326">
            <v>417</v>
          </cell>
        </row>
        <row r="327">
          <cell r="A327">
            <v>435</v>
          </cell>
        </row>
        <row r="328">
          <cell r="A328">
            <v>436</v>
          </cell>
        </row>
        <row r="329">
          <cell r="A329">
            <v>446</v>
          </cell>
        </row>
        <row r="330">
          <cell r="A330">
            <v>448</v>
          </cell>
        </row>
        <row r="331">
          <cell r="A331">
            <v>449</v>
          </cell>
        </row>
        <row r="332">
          <cell r="A332">
            <v>429</v>
          </cell>
        </row>
        <row r="333">
          <cell r="A333">
            <v>482</v>
          </cell>
        </row>
        <row r="334">
          <cell r="A334">
            <v>483</v>
          </cell>
        </row>
        <row r="335">
          <cell r="A335">
            <v>484</v>
          </cell>
        </row>
        <row r="336">
          <cell r="A336">
            <v>485</v>
          </cell>
        </row>
        <row r="337">
          <cell r="A337">
            <v>486</v>
          </cell>
        </row>
        <row r="338">
          <cell r="A338">
            <v>487</v>
          </cell>
        </row>
        <row r="339">
          <cell r="A339">
            <v>488</v>
          </cell>
        </row>
        <row r="340">
          <cell r="A340">
            <v>489</v>
          </cell>
        </row>
        <row r="341">
          <cell r="A341">
            <v>490</v>
          </cell>
        </row>
        <row r="342">
          <cell r="A342">
            <v>491</v>
          </cell>
        </row>
        <row r="343">
          <cell r="A343">
            <v>492</v>
          </cell>
        </row>
        <row r="344">
          <cell r="A344">
            <v>493</v>
          </cell>
        </row>
        <row r="345">
          <cell r="A345">
            <v>0</v>
          </cell>
        </row>
        <row r="346">
          <cell r="A346">
            <v>0</v>
          </cell>
        </row>
      </sheetData>
      <sheetData sheetId="57"/>
      <sheetData sheetId="58"/>
      <sheetData sheetId="59"/>
      <sheetData sheetId="60"/>
      <sheetData sheetId="61"/>
      <sheetData sheetId="62">
        <row r="1">
          <cell r="A1" t="str">
            <v>This sheet takes the 2015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row>
        <row r="11">
          <cell r="A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t="str">
            <v>Spare</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t="str">
            <v>SPARE</v>
          </cell>
          <cell r="AR12" t="str">
            <v>Total AER Regulated costs not allocated by Reg</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t="str">
            <v>Check</v>
          </cell>
          <cell r="BW12" t="str">
            <v>Column to lookup</v>
          </cell>
          <cell r="BX12" t="str">
            <v>Reg % for Other non-Reg businesses</v>
          </cell>
          <cell r="BY12" t="str">
            <v>Dollars of unallocated indirect OHDS to non-control costs</v>
          </cell>
          <cell r="BZ12" t="str">
            <v>Column to lookup</v>
          </cell>
          <cell r="CA12" t="str">
            <v>Reg % for Other non-Reg businesses</v>
          </cell>
          <cell r="CB12" t="str">
            <v>Dollars of unallocated indirect OHDS to Water</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3">
        <row r="1">
          <cell r="A1" t="str">
            <v>This sheet takes the 2016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2016</v>
          </cell>
          <cell r="I11">
            <v>2017</v>
          </cell>
          <cell r="J11">
            <v>2018</v>
          </cell>
          <cell r="K11">
            <v>2016</v>
          </cell>
          <cell r="L11">
            <v>2016</v>
          </cell>
          <cell r="M11">
            <v>2016</v>
          </cell>
          <cell r="N11">
            <v>2016</v>
          </cell>
          <cell r="O11">
            <v>2016</v>
          </cell>
          <cell r="P11">
            <v>2016</v>
          </cell>
          <cell r="Q11">
            <v>2016</v>
          </cell>
          <cell r="R11">
            <v>2016</v>
          </cell>
          <cell r="S11">
            <v>2016</v>
          </cell>
          <cell r="T11">
            <v>2016</v>
          </cell>
          <cell r="U11">
            <v>0</v>
          </cell>
          <cell r="V11">
            <v>2016</v>
          </cell>
          <cell r="W11">
            <v>2016</v>
          </cell>
          <cell r="X11">
            <v>2016</v>
          </cell>
          <cell r="Y11">
            <v>2016</v>
          </cell>
          <cell r="Z11">
            <v>0</v>
          </cell>
          <cell r="AA11">
            <v>2016</v>
          </cell>
          <cell r="AB11">
            <v>2016</v>
          </cell>
          <cell r="AC11">
            <v>2016</v>
          </cell>
          <cell r="AD11">
            <v>2016</v>
          </cell>
          <cell r="AE11">
            <v>2016</v>
          </cell>
          <cell r="AF11">
            <v>2016</v>
          </cell>
          <cell r="AG11">
            <v>2016</v>
          </cell>
          <cell r="AH11">
            <v>2016</v>
          </cell>
          <cell r="AI11">
            <v>2016</v>
          </cell>
          <cell r="AJ11">
            <v>2016</v>
          </cell>
          <cell r="AK11">
            <v>2016</v>
          </cell>
          <cell r="AL11">
            <v>2016</v>
          </cell>
          <cell r="AM11">
            <v>2016</v>
          </cell>
          <cell r="AN11">
            <v>0</v>
          </cell>
          <cell r="AO11">
            <v>0</v>
          </cell>
          <cell r="AP11">
            <v>2016</v>
          </cell>
          <cell r="AQ11">
            <v>0</v>
          </cell>
          <cell r="AR11">
            <v>0</v>
          </cell>
          <cell r="AS11">
            <v>2016</v>
          </cell>
          <cell r="AT11">
            <v>2016</v>
          </cell>
          <cell r="AU11">
            <v>2016</v>
          </cell>
          <cell r="AV11">
            <v>2016</v>
          </cell>
          <cell r="AW11">
            <v>2016</v>
          </cell>
          <cell r="AX11">
            <v>0</v>
          </cell>
          <cell r="AY11">
            <v>2016</v>
          </cell>
          <cell r="AZ11">
            <v>0</v>
          </cell>
          <cell r="BA11">
            <v>0</v>
          </cell>
          <cell r="BB11">
            <v>2016</v>
          </cell>
          <cell r="BC11">
            <v>2016</v>
          </cell>
          <cell r="BD11">
            <v>2016</v>
          </cell>
          <cell r="BE11">
            <v>2016</v>
          </cell>
          <cell r="BF11">
            <v>0</v>
          </cell>
          <cell r="BG11">
            <v>0</v>
          </cell>
          <cell r="BH11">
            <v>0</v>
          </cell>
          <cell r="BI11">
            <v>0</v>
          </cell>
          <cell r="BJ11">
            <v>0</v>
          </cell>
          <cell r="BK11">
            <v>2016</v>
          </cell>
          <cell r="BL11">
            <v>0</v>
          </cell>
          <cell r="BM11">
            <v>0</v>
          </cell>
          <cell r="BN11">
            <v>2016</v>
          </cell>
          <cell r="BO11">
            <v>0</v>
          </cell>
          <cell r="BP11">
            <v>0</v>
          </cell>
          <cell r="BQ11">
            <v>2016</v>
          </cell>
          <cell r="BR11">
            <v>2016</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4">
        <row r="1">
          <cell r="A1" t="str">
            <v>This sheet takes the 2017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2017</v>
          </cell>
          <cell r="I11">
            <v>2018</v>
          </cell>
          <cell r="J11">
            <v>2019</v>
          </cell>
          <cell r="K11">
            <v>2017</v>
          </cell>
          <cell r="L11">
            <v>2017</v>
          </cell>
          <cell r="M11">
            <v>2017</v>
          </cell>
          <cell r="N11">
            <v>2017</v>
          </cell>
          <cell r="O11">
            <v>2017</v>
          </cell>
          <cell r="P11">
            <v>2017</v>
          </cell>
          <cell r="Q11">
            <v>2017</v>
          </cell>
          <cell r="R11">
            <v>2017</v>
          </cell>
          <cell r="S11">
            <v>2017</v>
          </cell>
          <cell r="T11">
            <v>2017</v>
          </cell>
          <cell r="U11">
            <v>0</v>
          </cell>
          <cell r="V11">
            <v>2017</v>
          </cell>
          <cell r="W11">
            <v>2017</v>
          </cell>
          <cell r="X11">
            <v>2017</v>
          </cell>
          <cell r="Y11">
            <v>2017</v>
          </cell>
          <cell r="Z11">
            <v>0</v>
          </cell>
          <cell r="AA11">
            <v>2017</v>
          </cell>
          <cell r="AB11">
            <v>2017</v>
          </cell>
          <cell r="AC11">
            <v>2017</v>
          </cell>
          <cell r="AD11">
            <v>2017</v>
          </cell>
          <cell r="AE11">
            <v>2017</v>
          </cell>
          <cell r="AF11">
            <v>2017</v>
          </cell>
          <cell r="AG11">
            <v>2017</v>
          </cell>
          <cell r="AH11">
            <v>2017</v>
          </cell>
          <cell r="AI11">
            <v>2017</v>
          </cell>
          <cell r="AJ11">
            <v>2017</v>
          </cell>
          <cell r="AK11">
            <v>2017</v>
          </cell>
          <cell r="AL11">
            <v>2017</v>
          </cell>
          <cell r="AM11">
            <v>2017</v>
          </cell>
          <cell r="AN11">
            <v>0</v>
          </cell>
          <cell r="AO11">
            <v>0</v>
          </cell>
          <cell r="AP11">
            <v>2017</v>
          </cell>
          <cell r="AQ11">
            <v>0</v>
          </cell>
          <cell r="AR11">
            <v>0</v>
          </cell>
          <cell r="AS11">
            <v>2017</v>
          </cell>
          <cell r="AT11">
            <v>2017</v>
          </cell>
          <cell r="AU11">
            <v>2017</v>
          </cell>
          <cell r="AV11">
            <v>2017</v>
          </cell>
          <cell r="AW11">
            <v>2017</v>
          </cell>
          <cell r="AX11">
            <v>0</v>
          </cell>
          <cell r="AY11">
            <v>2017</v>
          </cell>
          <cell r="AZ11">
            <v>0</v>
          </cell>
          <cell r="BA11">
            <v>0</v>
          </cell>
          <cell r="BB11">
            <v>2017</v>
          </cell>
          <cell r="BC11">
            <v>2017</v>
          </cell>
          <cell r="BD11">
            <v>2017</v>
          </cell>
          <cell r="BE11">
            <v>2017</v>
          </cell>
          <cell r="BF11">
            <v>0</v>
          </cell>
          <cell r="BG11">
            <v>0</v>
          </cell>
          <cell r="BH11">
            <v>0</v>
          </cell>
          <cell r="BI11">
            <v>0</v>
          </cell>
          <cell r="BJ11">
            <v>0</v>
          </cell>
          <cell r="BK11">
            <v>2017</v>
          </cell>
          <cell r="BL11">
            <v>0</v>
          </cell>
          <cell r="BM11">
            <v>0</v>
          </cell>
          <cell r="BN11">
            <v>2017</v>
          </cell>
          <cell r="BO11">
            <v>0</v>
          </cell>
          <cell r="BP11">
            <v>0</v>
          </cell>
          <cell r="BQ11">
            <v>2017</v>
          </cell>
          <cell r="BR11">
            <v>2017</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5">
        <row r="1">
          <cell r="A1" t="str">
            <v>This sheet takes the 2018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2018</v>
          </cell>
          <cell r="I11">
            <v>2019</v>
          </cell>
          <cell r="J11" t="str">
            <v>2015-19</v>
          </cell>
          <cell r="K11">
            <v>2018</v>
          </cell>
          <cell r="L11">
            <v>2018</v>
          </cell>
          <cell r="M11">
            <v>2018</v>
          </cell>
          <cell r="N11">
            <v>2018</v>
          </cell>
          <cell r="O11">
            <v>2018</v>
          </cell>
          <cell r="P11">
            <v>2018</v>
          </cell>
          <cell r="Q11">
            <v>2018</v>
          </cell>
          <cell r="R11">
            <v>2018</v>
          </cell>
          <cell r="S11">
            <v>2018</v>
          </cell>
          <cell r="T11">
            <v>2018</v>
          </cell>
          <cell r="U11">
            <v>0</v>
          </cell>
          <cell r="V11">
            <v>2018</v>
          </cell>
          <cell r="W11">
            <v>2018</v>
          </cell>
          <cell r="X11">
            <v>2018</v>
          </cell>
          <cell r="Y11">
            <v>2018</v>
          </cell>
          <cell r="Z11">
            <v>0</v>
          </cell>
          <cell r="AA11">
            <v>2018</v>
          </cell>
          <cell r="AB11">
            <v>2018</v>
          </cell>
          <cell r="AC11">
            <v>2018</v>
          </cell>
          <cell r="AD11">
            <v>2018</v>
          </cell>
          <cell r="AE11">
            <v>2018</v>
          </cell>
          <cell r="AF11">
            <v>2018</v>
          </cell>
          <cell r="AG11">
            <v>2018</v>
          </cell>
          <cell r="AH11">
            <v>2018</v>
          </cell>
          <cell r="AI11">
            <v>2018</v>
          </cell>
          <cell r="AJ11">
            <v>2018</v>
          </cell>
          <cell r="AK11">
            <v>2018</v>
          </cell>
          <cell r="AL11">
            <v>2018</v>
          </cell>
          <cell r="AM11">
            <v>2018</v>
          </cell>
          <cell r="AN11">
            <v>0</v>
          </cell>
          <cell r="AO11">
            <v>0</v>
          </cell>
          <cell r="AP11">
            <v>2018</v>
          </cell>
          <cell r="AQ11">
            <v>0</v>
          </cell>
          <cell r="AR11">
            <v>0</v>
          </cell>
          <cell r="AS11">
            <v>2018</v>
          </cell>
          <cell r="AT11">
            <v>2018</v>
          </cell>
          <cell r="AU11">
            <v>2018</v>
          </cell>
          <cell r="AV11">
            <v>2018</v>
          </cell>
          <cell r="AW11">
            <v>2018</v>
          </cell>
          <cell r="AX11">
            <v>0</v>
          </cell>
          <cell r="AY11">
            <v>2018</v>
          </cell>
          <cell r="AZ11">
            <v>0</v>
          </cell>
          <cell r="BA11">
            <v>0</v>
          </cell>
          <cell r="BB11">
            <v>2018</v>
          </cell>
          <cell r="BC11">
            <v>2018</v>
          </cell>
          <cell r="BD11">
            <v>2018</v>
          </cell>
          <cell r="BE11">
            <v>2018</v>
          </cell>
          <cell r="BF11">
            <v>0</v>
          </cell>
          <cell r="BG11">
            <v>0</v>
          </cell>
          <cell r="BH11">
            <v>0</v>
          </cell>
          <cell r="BI11">
            <v>0</v>
          </cell>
          <cell r="BJ11">
            <v>0</v>
          </cell>
          <cell r="BK11">
            <v>2018</v>
          </cell>
          <cell r="BL11">
            <v>0</v>
          </cell>
          <cell r="BM11">
            <v>0</v>
          </cell>
          <cell r="BN11">
            <v>2018</v>
          </cell>
          <cell r="BO11">
            <v>0</v>
          </cell>
          <cell r="BP11">
            <v>0</v>
          </cell>
          <cell r="BQ11">
            <v>2018</v>
          </cell>
          <cell r="BR11">
            <v>2018</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6">
        <row r="1">
          <cell r="A1" t="str">
            <v>This sheet takes the 2019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2019</v>
          </cell>
          <cell r="I11" t="str">
            <v>2015-19</v>
          </cell>
          <cell r="J11">
            <v>0</v>
          </cell>
          <cell r="K11">
            <v>2019</v>
          </cell>
          <cell r="L11">
            <v>2019</v>
          </cell>
          <cell r="M11">
            <v>2019</v>
          </cell>
          <cell r="N11">
            <v>2019</v>
          </cell>
          <cell r="O11">
            <v>2019</v>
          </cell>
          <cell r="P11">
            <v>2019</v>
          </cell>
          <cell r="Q11">
            <v>2019</v>
          </cell>
          <cell r="R11">
            <v>2019</v>
          </cell>
          <cell r="S11">
            <v>2019</v>
          </cell>
          <cell r="T11">
            <v>2019</v>
          </cell>
          <cell r="U11">
            <v>0</v>
          </cell>
          <cell r="V11">
            <v>2019</v>
          </cell>
          <cell r="W11">
            <v>2019</v>
          </cell>
          <cell r="X11">
            <v>2019</v>
          </cell>
          <cell r="Y11">
            <v>2019</v>
          </cell>
          <cell r="Z11">
            <v>0</v>
          </cell>
          <cell r="AA11">
            <v>2019</v>
          </cell>
          <cell r="AB11">
            <v>2019</v>
          </cell>
          <cell r="AC11">
            <v>2019</v>
          </cell>
          <cell r="AD11">
            <v>2019</v>
          </cell>
          <cell r="AE11">
            <v>2019</v>
          </cell>
          <cell r="AF11">
            <v>2019</v>
          </cell>
          <cell r="AG11">
            <v>2019</v>
          </cell>
          <cell r="AH11">
            <v>2019</v>
          </cell>
          <cell r="AI11">
            <v>2019</v>
          </cell>
          <cell r="AJ11">
            <v>2019</v>
          </cell>
          <cell r="AK11">
            <v>2019</v>
          </cell>
          <cell r="AL11">
            <v>2019</v>
          </cell>
          <cell r="AM11">
            <v>2019</v>
          </cell>
          <cell r="AN11">
            <v>0</v>
          </cell>
          <cell r="AO11">
            <v>0</v>
          </cell>
          <cell r="AP11">
            <v>2019</v>
          </cell>
          <cell r="AQ11">
            <v>0</v>
          </cell>
          <cell r="AR11">
            <v>0</v>
          </cell>
          <cell r="AS11">
            <v>2019</v>
          </cell>
          <cell r="AT11">
            <v>2019</v>
          </cell>
          <cell r="AU11">
            <v>2019</v>
          </cell>
          <cell r="AV11">
            <v>2019</v>
          </cell>
          <cell r="AW11">
            <v>2019</v>
          </cell>
          <cell r="AX11">
            <v>0</v>
          </cell>
          <cell r="AY11">
            <v>2019</v>
          </cell>
          <cell r="AZ11">
            <v>0</v>
          </cell>
          <cell r="BA11">
            <v>0</v>
          </cell>
          <cell r="BB11">
            <v>2019</v>
          </cell>
          <cell r="BC11">
            <v>2019</v>
          </cell>
          <cell r="BD11">
            <v>2019</v>
          </cell>
          <cell r="BE11">
            <v>2019</v>
          </cell>
          <cell r="BF11">
            <v>0</v>
          </cell>
          <cell r="BG11">
            <v>0</v>
          </cell>
          <cell r="BH11">
            <v>0</v>
          </cell>
          <cell r="BI11">
            <v>0</v>
          </cell>
          <cell r="BJ11">
            <v>0</v>
          </cell>
          <cell r="BK11">
            <v>2019</v>
          </cell>
          <cell r="BL11">
            <v>0</v>
          </cell>
          <cell r="BM11">
            <v>0</v>
          </cell>
          <cell r="BN11">
            <v>2019</v>
          </cell>
          <cell r="BO11">
            <v>0</v>
          </cell>
          <cell r="BP11">
            <v>0</v>
          </cell>
          <cell r="BQ11">
            <v>2019</v>
          </cell>
          <cell r="BR11">
            <v>2019</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7"/>
      <sheetData sheetId="68"/>
      <sheetData sheetId="69"/>
      <sheetData sheetId="70"/>
      <sheetData sheetId="71"/>
      <sheetData sheetId="72">
        <row r="6">
          <cell r="H6">
            <v>17230224.802594624</v>
          </cell>
        </row>
        <row r="7">
          <cell r="A7">
            <v>190</v>
          </cell>
          <cell r="B7" t="str">
            <v>M R Southern &amp; South East</v>
          </cell>
          <cell r="C7">
            <v>0.93733459915196715</v>
          </cell>
          <cell r="D7">
            <v>16949277.077780668</v>
          </cell>
          <cell r="E7" t="str">
            <v>Network Development</v>
          </cell>
          <cell r="F7" t="str">
            <v>Not allocated</v>
          </cell>
          <cell r="G7">
            <v>0</v>
          </cell>
          <cell r="H7">
            <v>3310822.3373710257</v>
          </cell>
          <cell r="I7">
            <v>3371512.145590004</v>
          </cell>
          <cell r="J7">
            <v>3395128.7517434862</v>
          </cell>
          <cell r="K7">
            <v>3423048.0842324016</v>
          </cell>
          <cell r="L7">
            <v>3448765.7588437507</v>
          </cell>
        </row>
        <row r="8">
          <cell r="A8">
            <v>191</v>
          </cell>
          <cell r="B8" t="str">
            <v>M R Central West &amp; North West</v>
          </cell>
          <cell r="C8">
            <v>1</v>
          </cell>
          <cell r="D8">
            <v>23557996.40435442</v>
          </cell>
          <cell r="E8" t="str">
            <v>Network Development</v>
          </cell>
          <cell r="F8" t="str">
            <v>Not allocated</v>
          </cell>
          <cell r="G8">
            <v>0</v>
          </cell>
          <cell r="H8">
            <v>4601750.2906652419</v>
          </cell>
          <cell r="I8">
            <v>4686103.7576150466</v>
          </cell>
          <cell r="J8">
            <v>4718928.7518784385</v>
          </cell>
          <cell r="K8">
            <v>4757734.1552810464</v>
          </cell>
          <cell r="L8">
            <v>4793479.4489146462</v>
          </cell>
        </row>
        <row r="9">
          <cell r="A9">
            <v>192</v>
          </cell>
          <cell r="B9" t="str">
            <v>M R Northern, MNC &amp; FNC</v>
          </cell>
          <cell r="C9">
            <v>1</v>
          </cell>
          <cell r="D9">
            <v>16459247.374525864</v>
          </cell>
          <cell r="E9" t="str">
            <v>Network Development</v>
          </cell>
          <cell r="F9" t="str">
            <v>Not allocated</v>
          </cell>
          <cell r="G9">
            <v>0</v>
          </cell>
          <cell r="H9">
            <v>3215101.3647262305</v>
          </cell>
          <cell r="I9">
            <v>3274036.5371235358</v>
          </cell>
          <cell r="J9">
            <v>3296970.350822085</v>
          </cell>
          <cell r="K9">
            <v>3324082.4924112451</v>
          </cell>
          <cell r="L9">
            <v>3349056.6294427686</v>
          </cell>
        </row>
        <row r="10">
          <cell r="A10">
            <v>194</v>
          </cell>
          <cell r="B10" t="str">
            <v>Meter Reading Far West</v>
          </cell>
          <cell r="C10">
            <v>0.75909866848753837</v>
          </cell>
          <cell r="D10">
            <v>1938824.7845690991</v>
          </cell>
          <cell r="E10" t="str">
            <v>Network Development</v>
          </cell>
          <cell r="F10" t="str">
            <v>Not allocated</v>
          </cell>
          <cell r="G10">
            <v>0</v>
          </cell>
          <cell r="H10">
            <v>378724.37718390615</v>
          </cell>
          <cell r="I10">
            <v>385666.6735311618</v>
          </cell>
          <cell r="J10">
            <v>388368.17290058354</v>
          </cell>
          <cell r="K10">
            <v>391561.86036877031</v>
          </cell>
          <cell r="L10">
            <v>394503.7005846774</v>
          </cell>
        </row>
        <row r="11">
          <cell r="A11">
            <v>199</v>
          </cell>
          <cell r="B11" t="str">
            <v>Meter Reading Management</v>
          </cell>
          <cell r="C11">
            <v>0.92410831690987638</v>
          </cell>
          <cell r="D11">
            <v>6560611.5123269428</v>
          </cell>
          <cell r="E11" t="str">
            <v>Network Development</v>
          </cell>
          <cell r="F11" t="str">
            <v>Not allocated</v>
          </cell>
          <cell r="G11">
            <v>0</v>
          </cell>
          <cell r="H11">
            <v>1281530.7132066598</v>
          </cell>
          <cell r="I11">
            <v>1305022.1136159615</v>
          </cell>
          <cell r="J11">
            <v>1314163.4697635779</v>
          </cell>
          <cell r="K11">
            <v>1324970.2961139113</v>
          </cell>
          <cell r="L11">
            <v>1334924.9196268325</v>
          </cell>
        </row>
        <row r="12">
          <cell r="A12">
            <v>264</v>
          </cell>
          <cell r="B12" t="str">
            <v>Meter Maintenance</v>
          </cell>
          <cell r="C12">
            <v>1</v>
          </cell>
          <cell r="D12">
            <v>27931.181720173903</v>
          </cell>
          <cell r="E12" t="str">
            <v>Chief Engineer</v>
          </cell>
          <cell r="F12" t="str">
            <v>Network Allocation</v>
          </cell>
          <cell r="G12">
            <v>0</v>
          </cell>
          <cell r="H12">
            <v>5586.2363440347808</v>
          </cell>
          <cell r="I12">
            <v>5586.2363440347808</v>
          </cell>
          <cell r="J12">
            <v>5586.2363440347808</v>
          </cell>
          <cell r="K12">
            <v>5586.2363440347808</v>
          </cell>
          <cell r="L12">
            <v>5586.2363440347808</v>
          </cell>
        </row>
        <row r="13">
          <cell r="A13">
            <v>265</v>
          </cell>
          <cell r="B13" t="str">
            <v>Meter Data Agency</v>
          </cell>
          <cell r="C13">
            <v>0.66</v>
          </cell>
          <cell r="D13">
            <v>3540671.129426525</v>
          </cell>
          <cell r="E13" t="str">
            <v>Chief Engineer</v>
          </cell>
          <cell r="F13" t="str">
            <v>Network Allocation</v>
          </cell>
          <cell r="G13">
            <v>0</v>
          </cell>
          <cell r="H13">
            <v>708134.22588530497</v>
          </cell>
          <cell r="I13">
            <v>708134.22588530497</v>
          </cell>
          <cell r="J13">
            <v>708134.22588530497</v>
          </cell>
          <cell r="K13">
            <v>708134.22588530497</v>
          </cell>
          <cell r="L13">
            <v>708134.22588530497</v>
          </cell>
        </row>
        <row r="14">
          <cell r="A14">
            <v>266</v>
          </cell>
          <cell r="B14" t="str">
            <v>Meter Provision</v>
          </cell>
          <cell r="C14">
            <v>0.73</v>
          </cell>
          <cell r="D14">
            <v>4490967.4498751257</v>
          </cell>
          <cell r="E14" t="str">
            <v>Chief Engineer</v>
          </cell>
          <cell r="F14" t="str">
            <v>Network Allocation</v>
          </cell>
          <cell r="G14">
            <v>0</v>
          </cell>
          <cell r="H14">
            <v>898193.48997502518</v>
          </cell>
          <cell r="I14">
            <v>898193.48997502518</v>
          </cell>
          <cell r="J14">
            <v>898193.48997502518</v>
          </cell>
          <cell r="K14">
            <v>898193.48997502518</v>
          </cell>
          <cell r="L14">
            <v>898193.48997502518</v>
          </cell>
        </row>
        <row r="15">
          <cell r="A15">
            <v>267</v>
          </cell>
          <cell r="B15" t="str">
            <v>Meter Test Lab</v>
          </cell>
          <cell r="C15">
            <v>0.85</v>
          </cell>
          <cell r="D15">
            <v>5435530.0080665527</v>
          </cell>
          <cell r="E15" t="str">
            <v>Chief Engineer</v>
          </cell>
          <cell r="F15" t="str">
            <v>Network Allocation</v>
          </cell>
          <cell r="G15">
            <v>0</v>
          </cell>
          <cell r="H15">
            <v>1087106.0016133105</v>
          </cell>
          <cell r="I15">
            <v>1087106.0016133105</v>
          </cell>
          <cell r="J15">
            <v>1087106.0016133105</v>
          </cell>
          <cell r="K15">
            <v>1087106.0016133105</v>
          </cell>
          <cell r="L15">
            <v>1087106.0016133105</v>
          </cell>
        </row>
        <row r="16">
          <cell r="A16">
            <v>268</v>
          </cell>
          <cell r="B16" t="str">
            <v>Meter Business Services</v>
          </cell>
          <cell r="C16">
            <v>0.62</v>
          </cell>
          <cell r="D16">
            <v>4839978.2075811233</v>
          </cell>
          <cell r="E16" t="str">
            <v>Chief Engineer</v>
          </cell>
          <cell r="F16" t="str">
            <v>Network Allocation</v>
          </cell>
          <cell r="G16">
            <v>0</v>
          </cell>
          <cell r="H16">
            <v>967995.6415162246</v>
          </cell>
          <cell r="I16">
            <v>967995.6415162246</v>
          </cell>
          <cell r="J16">
            <v>967995.6415162246</v>
          </cell>
          <cell r="K16">
            <v>967995.6415162246</v>
          </cell>
          <cell r="L16">
            <v>967995.6415162246</v>
          </cell>
        </row>
        <row r="17">
          <cell r="A17">
            <v>269</v>
          </cell>
          <cell r="B17" t="str">
            <v>Metering Services Management</v>
          </cell>
          <cell r="C17">
            <v>0.77200000000000002</v>
          </cell>
          <cell r="D17">
            <v>3876400.620538292</v>
          </cell>
          <cell r="E17" t="str">
            <v>Chief Engineer</v>
          </cell>
          <cell r="F17" t="str">
            <v>Network Allocation</v>
          </cell>
          <cell r="G17">
            <v>0</v>
          </cell>
          <cell r="H17">
            <v>775280.1241076584</v>
          </cell>
          <cell r="I17">
            <v>775280.1241076584</v>
          </cell>
          <cell r="J17">
            <v>775280.1241076584</v>
          </cell>
          <cell r="K17">
            <v>775280.1241076584</v>
          </cell>
          <cell r="L17">
            <v>775280.1241076584</v>
          </cell>
        </row>
        <row r="18">
          <cell r="A18" t="str">
            <v>INSERT ROWS ABOVE THIS LINE</v>
          </cell>
          <cell r="B18">
            <v>0</v>
          </cell>
          <cell r="C18">
            <v>0</v>
          </cell>
          <cell r="D18">
            <v>0</v>
          </cell>
          <cell r="E18">
            <v>0</v>
          </cell>
          <cell r="F18">
            <v>0</v>
          </cell>
          <cell r="G18">
            <v>0</v>
          </cell>
          <cell r="H18">
            <v>0</v>
          </cell>
          <cell r="I18">
            <v>0</v>
          </cell>
          <cell r="J18">
            <v>0</v>
          </cell>
          <cell r="K18">
            <v>0</v>
          </cell>
          <cell r="L18">
            <v>0</v>
          </cell>
        </row>
      </sheetData>
      <sheetData sheetId="73"/>
      <sheetData sheetId="74"/>
      <sheetData sheetId="75"/>
      <sheetData sheetId="76"/>
      <sheetData sheetId="77">
        <row r="11">
          <cell r="A11">
            <v>1</v>
          </cell>
        </row>
        <row r="12">
          <cell r="A12" t="str">
            <v>Dept no</v>
          </cell>
          <cell r="B12" t="str">
            <v>Dept name</v>
          </cell>
          <cell r="C12" t="str">
            <v>Last submission approx $ (new CPI)</v>
          </cell>
          <cell r="D12">
            <v>2015</v>
          </cell>
          <cell r="E12">
            <v>2016</v>
          </cell>
          <cell r="F12">
            <v>2017</v>
          </cell>
          <cell r="G12">
            <v>2018</v>
          </cell>
          <cell r="H12">
            <v>2019</v>
          </cell>
          <cell r="I12" t="str">
            <v>2015-19</v>
          </cell>
        </row>
        <row r="13">
          <cell r="A13">
            <v>0</v>
          </cell>
        </row>
        <row r="14">
          <cell r="A14">
            <v>106</v>
          </cell>
        </row>
        <row r="15">
          <cell r="A15">
            <v>117</v>
          </cell>
        </row>
        <row r="16">
          <cell r="A16">
            <v>130</v>
          </cell>
        </row>
        <row r="17">
          <cell r="A17">
            <v>173</v>
          </cell>
        </row>
        <row r="18">
          <cell r="A18">
            <v>175</v>
          </cell>
        </row>
        <row r="19">
          <cell r="A19">
            <v>266</v>
          </cell>
        </row>
        <row r="20">
          <cell r="A20">
            <v>269</v>
          </cell>
        </row>
        <row r="21">
          <cell r="A21">
            <v>402</v>
          </cell>
        </row>
        <row r="22">
          <cell r="A22">
            <v>439</v>
          </cell>
        </row>
        <row r="23">
          <cell r="A23">
            <v>444</v>
          </cell>
        </row>
        <row r="24">
          <cell r="A24">
            <v>485</v>
          </cell>
        </row>
        <row r="25">
          <cell r="A25">
            <v>770</v>
          </cell>
        </row>
        <row r="26">
          <cell r="A26">
            <v>780</v>
          </cell>
        </row>
        <row r="27">
          <cell r="A27">
            <v>791</v>
          </cell>
        </row>
        <row r="28">
          <cell r="A28">
            <v>820</v>
          </cell>
        </row>
        <row r="29">
          <cell r="A29">
            <v>830</v>
          </cell>
        </row>
        <row r="30">
          <cell r="A30">
            <v>869</v>
          </cell>
        </row>
        <row r="31">
          <cell r="A31">
            <v>891</v>
          </cell>
        </row>
        <row r="32">
          <cell r="A32">
            <v>893</v>
          </cell>
        </row>
        <row r="33">
          <cell r="A33">
            <v>910</v>
          </cell>
        </row>
        <row r="34">
          <cell r="A34">
            <v>0</v>
          </cell>
        </row>
        <row r="35">
          <cell r="A35">
            <v>0</v>
          </cell>
        </row>
      </sheetData>
      <sheetData sheetId="78"/>
      <sheetData sheetId="79"/>
      <sheetData sheetId="80"/>
      <sheetData sheetId="81"/>
      <sheetData sheetId="82"/>
      <sheetData sheetId="83">
        <row r="1">
          <cell r="A1" t="str">
            <v>These are OHD depts that need to have their Networks share of OHDS moved to direct opex or indirect opex for Reg reporting purposes.</v>
          </cell>
        </row>
        <row r="2">
          <cell r="A2" t="str">
            <v>Most of the costs then receive allocations (reworked to take the additional direct opex into the system project pool)</v>
          </cell>
        </row>
        <row r="3">
          <cell r="A3" t="str">
            <v>Reg_reporting</v>
          </cell>
        </row>
        <row r="5">
          <cell r="A5">
            <v>1</v>
          </cell>
          <cell r="B5">
            <v>2</v>
          </cell>
          <cell r="C5">
            <v>3</v>
          </cell>
          <cell r="D5">
            <v>4</v>
          </cell>
          <cell r="E5">
            <v>5</v>
          </cell>
        </row>
        <row r="6">
          <cell r="A6" t="str">
            <v>Dept</v>
          </cell>
        </row>
        <row r="7">
          <cell r="A7">
            <v>293</v>
          </cell>
        </row>
        <row r="8">
          <cell r="A8">
            <v>356</v>
          </cell>
        </row>
        <row r="9">
          <cell r="A9">
            <v>357</v>
          </cell>
        </row>
        <row r="10">
          <cell r="A10">
            <v>880</v>
          </cell>
        </row>
        <row r="11">
          <cell r="A11">
            <v>881</v>
          </cell>
        </row>
        <row r="12">
          <cell r="A12">
            <v>882</v>
          </cell>
        </row>
        <row r="13">
          <cell r="A13">
            <v>883</v>
          </cell>
        </row>
        <row r="14">
          <cell r="A14">
            <v>885</v>
          </cell>
        </row>
        <row r="15">
          <cell r="A15">
            <v>886</v>
          </cell>
        </row>
        <row r="16">
          <cell r="A16">
            <v>888</v>
          </cell>
        </row>
        <row r="17">
          <cell r="A17">
            <v>892</v>
          </cell>
        </row>
        <row r="18">
          <cell r="A18">
            <v>897</v>
          </cell>
        </row>
        <row r="19">
          <cell r="A19">
            <v>773</v>
          </cell>
        </row>
        <row r="20">
          <cell r="A20">
            <v>783</v>
          </cell>
        </row>
        <row r="21">
          <cell r="A21">
            <v>793</v>
          </cell>
        </row>
        <row r="22">
          <cell r="A22">
            <v>797</v>
          </cell>
        </row>
        <row r="23">
          <cell r="A23">
            <v>817</v>
          </cell>
        </row>
        <row r="24">
          <cell r="A24">
            <v>823</v>
          </cell>
        </row>
        <row r="25">
          <cell r="A25">
            <v>839</v>
          </cell>
        </row>
        <row r="26">
          <cell r="A26">
            <v>893</v>
          </cell>
        </row>
        <row r="27">
          <cell r="A27">
            <v>916</v>
          </cell>
        </row>
        <row r="28">
          <cell r="A28">
            <v>752</v>
          </cell>
        </row>
        <row r="29">
          <cell r="A29">
            <v>771</v>
          </cell>
        </row>
        <row r="30">
          <cell r="A30">
            <v>781</v>
          </cell>
        </row>
        <row r="31">
          <cell r="A31">
            <v>791</v>
          </cell>
        </row>
        <row r="32">
          <cell r="A32">
            <v>799</v>
          </cell>
        </row>
        <row r="33">
          <cell r="A33">
            <v>815</v>
          </cell>
        </row>
        <row r="34">
          <cell r="A34">
            <v>821</v>
          </cell>
        </row>
        <row r="35">
          <cell r="A35">
            <v>829</v>
          </cell>
        </row>
        <row r="36">
          <cell r="A36">
            <v>891</v>
          </cell>
        </row>
        <row r="37">
          <cell r="A37">
            <v>915</v>
          </cell>
        </row>
        <row r="38">
          <cell r="A38">
            <v>411</v>
          </cell>
        </row>
        <row r="39">
          <cell r="A39">
            <v>436</v>
          </cell>
        </row>
        <row r="40">
          <cell r="A40">
            <v>190</v>
          </cell>
        </row>
        <row r="41">
          <cell r="A41">
            <v>191</v>
          </cell>
        </row>
        <row r="42">
          <cell r="A42">
            <v>192</v>
          </cell>
        </row>
        <row r="43">
          <cell r="A43">
            <v>194</v>
          </cell>
        </row>
        <row r="44">
          <cell r="A44">
            <v>199</v>
          </cell>
        </row>
        <row r="45">
          <cell r="A45">
            <v>0</v>
          </cell>
        </row>
      </sheetData>
      <sheetData sheetId="8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row r="2">
          <cell r="A2" t="str">
            <v>The data on this sheet is fed to the OH model sheets for each year. The Regulated Network %s and Other non-reg businesses % are fed to the Network allocation split sheet where they are used to determine %s for each of the 3 network divisions.</v>
          </cell>
        </row>
        <row r="3">
          <cell r="A3" t="str">
            <v>Column D feeds to the overhead workings sheets- column xx to drive which items ar eextracted separately by reg.  Note that whilst public lighting and generation are always extracted separately ie. in the base case, NOCS and Meter reading are only extracted separately IF the sensitivity is on.</v>
          </cell>
        </row>
        <row r="4">
          <cell r="A4" t="str">
            <v>KEY:</v>
          </cell>
        </row>
        <row r="5">
          <cell r="A5">
            <v>0</v>
          </cell>
        </row>
        <row r="6">
          <cell r="A6">
            <v>0</v>
          </cell>
        </row>
        <row r="7">
          <cell r="A7" t="str">
            <v>Check</v>
          </cell>
        </row>
        <row r="8">
          <cell r="A8" t="str">
            <v>Corp_allocation_rates</v>
          </cell>
        </row>
        <row r="9">
          <cell r="A9">
            <v>1</v>
          </cell>
        </row>
        <row r="10">
          <cell r="A10" t="str">
            <v>2015 onwards forecast</v>
          </cell>
        </row>
        <row r="11">
          <cell r="A11" t="str">
            <v>Dept</v>
          </cell>
          <cell r="B11" t="str">
            <v>Descr</v>
          </cell>
          <cell r="C11" t="str">
            <v>CAM Methodology</v>
          </cell>
          <cell r="D11" t="str">
            <v>Division per Finance Tree</v>
          </cell>
          <cell r="E11" t="str">
            <v>Allocation pool</v>
          </cell>
          <cell r="F11" t="str">
            <v>Allocation Check</v>
          </cell>
          <cell r="G11" t="str">
            <v>Retail</v>
          </cell>
          <cell r="H11" t="str">
            <v>Water</v>
          </cell>
          <cell r="I11" t="str">
            <v>Gas</v>
          </cell>
          <cell r="J11" t="str">
            <v>Regulated Network</v>
          </cell>
          <cell r="K11" t="str">
            <v>Other Non Reg Businesses</v>
          </cell>
          <cell r="L11" t="str">
            <v>Check</v>
          </cell>
          <cell r="M11">
            <v>0</v>
          </cell>
          <cell r="N11">
            <v>0</v>
          </cell>
          <cell r="O11">
            <v>0</v>
          </cell>
          <cell r="P11">
            <v>0</v>
          </cell>
          <cell r="Q11">
            <v>0</v>
          </cell>
          <cell r="R11">
            <v>0</v>
          </cell>
          <cell r="S11">
            <v>0</v>
          </cell>
          <cell r="T11">
            <v>0</v>
          </cell>
          <cell r="U11">
            <v>0</v>
          </cell>
          <cell r="V11">
            <v>0</v>
          </cell>
          <cell r="W11">
            <v>0</v>
          </cell>
        </row>
        <row r="12">
          <cell r="A12">
            <v>998</v>
          </cell>
        </row>
        <row r="13">
          <cell r="A13">
            <v>999</v>
          </cell>
        </row>
        <row r="14">
          <cell r="A14">
            <v>187</v>
          </cell>
        </row>
        <row r="15">
          <cell r="A15">
            <v>101</v>
          </cell>
        </row>
        <row r="16">
          <cell r="A16">
            <v>248</v>
          </cell>
        </row>
        <row r="17">
          <cell r="A17">
            <v>261</v>
          </cell>
        </row>
        <row r="18">
          <cell r="A18">
            <v>127</v>
          </cell>
        </row>
        <row r="19">
          <cell r="A19">
            <v>130</v>
          </cell>
        </row>
        <row r="20">
          <cell r="A20">
            <v>513</v>
          </cell>
        </row>
        <row r="21">
          <cell r="A21">
            <v>515</v>
          </cell>
        </row>
        <row r="22">
          <cell r="A22">
            <v>516</v>
          </cell>
        </row>
        <row r="23">
          <cell r="A23">
            <v>517</v>
          </cell>
        </row>
        <row r="24">
          <cell r="A24">
            <v>107</v>
          </cell>
        </row>
        <row r="25">
          <cell r="A25">
            <v>108</v>
          </cell>
        </row>
        <row r="26">
          <cell r="A26">
            <v>165</v>
          </cell>
        </row>
        <row r="27">
          <cell r="A27">
            <v>166</v>
          </cell>
        </row>
        <row r="28">
          <cell r="A28">
            <v>169</v>
          </cell>
        </row>
        <row r="29">
          <cell r="A29">
            <v>175</v>
          </cell>
        </row>
        <row r="30">
          <cell r="A30">
            <v>200</v>
          </cell>
        </row>
        <row r="31">
          <cell r="A31">
            <v>202</v>
          </cell>
        </row>
        <row r="32">
          <cell r="A32">
            <v>204</v>
          </cell>
        </row>
        <row r="33">
          <cell r="A33">
            <v>205</v>
          </cell>
        </row>
        <row r="34">
          <cell r="A34">
            <v>207</v>
          </cell>
        </row>
        <row r="35">
          <cell r="A35">
            <v>216</v>
          </cell>
        </row>
        <row r="36">
          <cell r="A36">
            <v>217</v>
          </cell>
        </row>
        <row r="37">
          <cell r="A37">
            <v>249</v>
          </cell>
        </row>
        <row r="38">
          <cell r="A38">
            <v>271</v>
          </cell>
        </row>
        <row r="39">
          <cell r="A39">
            <v>272</v>
          </cell>
        </row>
        <row r="40">
          <cell r="A40">
            <v>273</v>
          </cell>
        </row>
        <row r="41">
          <cell r="A41">
            <v>281</v>
          </cell>
        </row>
        <row r="42">
          <cell r="A42">
            <v>282</v>
          </cell>
        </row>
        <row r="43">
          <cell r="A43">
            <v>284</v>
          </cell>
        </row>
        <row r="44">
          <cell r="A44">
            <v>314</v>
          </cell>
        </row>
        <row r="45">
          <cell r="A45">
            <v>420</v>
          </cell>
        </row>
        <row r="46">
          <cell r="A46">
            <v>421</v>
          </cell>
        </row>
        <row r="47">
          <cell r="A47">
            <v>422</v>
          </cell>
        </row>
        <row r="48">
          <cell r="A48">
            <v>423</v>
          </cell>
        </row>
        <row r="49">
          <cell r="A49">
            <v>424</v>
          </cell>
        </row>
        <row r="50">
          <cell r="A50">
            <v>426</v>
          </cell>
        </row>
        <row r="51">
          <cell r="A51">
            <v>430</v>
          </cell>
        </row>
        <row r="52">
          <cell r="A52">
            <v>431</v>
          </cell>
        </row>
        <row r="53">
          <cell r="A53">
            <v>432</v>
          </cell>
        </row>
        <row r="54">
          <cell r="A54">
            <v>433</v>
          </cell>
        </row>
        <row r="55">
          <cell r="A55">
            <v>434</v>
          </cell>
        </row>
        <row r="56">
          <cell r="A56">
            <v>439</v>
          </cell>
        </row>
        <row r="57">
          <cell r="A57">
            <v>444</v>
          </cell>
        </row>
        <row r="58">
          <cell r="A58">
            <v>459</v>
          </cell>
        </row>
        <row r="59">
          <cell r="A59">
            <v>858</v>
          </cell>
        </row>
        <row r="60">
          <cell r="A60">
            <v>889</v>
          </cell>
        </row>
        <row r="61">
          <cell r="A61">
            <v>890</v>
          </cell>
        </row>
        <row r="62">
          <cell r="A62">
            <v>994</v>
          </cell>
        </row>
        <row r="63">
          <cell r="A63">
            <v>111</v>
          </cell>
        </row>
        <row r="64">
          <cell r="A64">
            <v>116</v>
          </cell>
        </row>
        <row r="65">
          <cell r="A65">
            <v>117</v>
          </cell>
        </row>
        <row r="66">
          <cell r="A66">
            <v>119</v>
          </cell>
        </row>
        <row r="67">
          <cell r="A67">
            <v>120</v>
          </cell>
        </row>
        <row r="68">
          <cell r="A68">
            <v>283</v>
          </cell>
        </row>
        <row r="69">
          <cell r="A69">
            <v>103</v>
          </cell>
        </row>
        <row r="70">
          <cell r="A70">
            <v>106</v>
          </cell>
        </row>
        <row r="71">
          <cell r="A71">
            <v>115</v>
          </cell>
        </row>
        <row r="72">
          <cell r="A72">
            <v>129</v>
          </cell>
        </row>
        <row r="73">
          <cell r="A73">
            <v>132</v>
          </cell>
        </row>
        <row r="74">
          <cell r="A74">
            <v>144</v>
          </cell>
        </row>
        <row r="75">
          <cell r="A75">
            <v>145</v>
          </cell>
        </row>
        <row r="76">
          <cell r="A76">
            <v>146</v>
          </cell>
        </row>
        <row r="77">
          <cell r="A77">
            <v>147</v>
          </cell>
        </row>
        <row r="78">
          <cell r="A78">
            <v>149</v>
          </cell>
        </row>
        <row r="79">
          <cell r="A79">
            <v>153</v>
          </cell>
        </row>
        <row r="80">
          <cell r="A80">
            <v>156</v>
          </cell>
        </row>
        <row r="81">
          <cell r="A81">
            <v>158</v>
          </cell>
        </row>
        <row r="82">
          <cell r="A82">
            <v>159</v>
          </cell>
        </row>
        <row r="83">
          <cell r="A83">
            <v>164</v>
          </cell>
        </row>
        <row r="84">
          <cell r="A84">
            <v>182</v>
          </cell>
        </row>
        <row r="85">
          <cell r="A85">
            <v>210</v>
          </cell>
        </row>
        <row r="86">
          <cell r="A86">
            <v>211</v>
          </cell>
        </row>
        <row r="87">
          <cell r="A87">
            <v>218</v>
          </cell>
        </row>
        <row r="88">
          <cell r="A88">
            <v>400</v>
          </cell>
        </row>
        <row r="89">
          <cell r="A89">
            <v>475</v>
          </cell>
        </row>
        <row r="90">
          <cell r="A90">
            <v>244</v>
          </cell>
        </row>
        <row r="91">
          <cell r="A91">
            <v>246</v>
          </cell>
        </row>
        <row r="92">
          <cell r="A92">
            <v>252</v>
          </cell>
        </row>
        <row r="93">
          <cell r="A93">
            <v>255</v>
          </cell>
        </row>
        <row r="94">
          <cell r="A94">
            <v>256</v>
          </cell>
        </row>
        <row r="95">
          <cell r="A95">
            <v>257</v>
          </cell>
        </row>
        <row r="96">
          <cell r="A96">
            <v>260</v>
          </cell>
        </row>
        <row r="97">
          <cell r="A97">
            <v>262</v>
          </cell>
        </row>
        <row r="98">
          <cell r="A98">
            <v>275</v>
          </cell>
        </row>
        <row r="99">
          <cell r="A99">
            <v>286</v>
          </cell>
        </row>
        <row r="100">
          <cell r="A100">
            <v>190</v>
          </cell>
        </row>
        <row r="101">
          <cell r="A101">
            <v>191</v>
          </cell>
        </row>
        <row r="102">
          <cell r="A102">
            <v>192</v>
          </cell>
        </row>
        <row r="103">
          <cell r="A103">
            <v>194</v>
          </cell>
        </row>
        <row r="104">
          <cell r="A104">
            <v>199</v>
          </cell>
        </row>
        <row r="105">
          <cell r="A105">
            <v>415</v>
          </cell>
        </row>
        <row r="106">
          <cell r="A106">
            <v>438</v>
          </cell>
        </row>
        <row r="107">
          <cell r="A107">
            <v>442</v>
          </cell>
        </row>
        <row r="108">
          <cell r="A108">
            <v>473</v>
          </cell>
        </row>
        <row r="109">
          <cell r="A109">
            <v>474</v>
          </cell>
        </row>
        <row r="110">
          <cell r="A110">
            <v>750</v>
          </cell>
        </row>
        <row r="111">
          <cell r="A111">
            <v>751</v>
          </cell>
        </row>
        <row r="112">
          <cell r="A112">
            <v>752</v>
          </cell>
        </row>
        <row r="113">
          <cell r="A113">
            <v>771</v>
          </cell>
        </row>
        <row r="114">
          <cell r="A114">
            <v>773</v>
          </cell>
        </row>
        <row r="115">
          <cell r="A115">
            <v>781</v>
          </cell>
        </row>
        <row r="116">
          <cell r="A116">
            <v>783</v>
          </cell>
        </row>
        <row r="117">
          <cell r="A117">
            <v>791</v>
          </cell>
        </row>
        <row r="118">
          <cell r="A118">
            <v>793</v>
          </cell>
        </row>
        <row r="119">
          <cell r="A119">
            <v>797</v>
          </cell>
        </row>
        <row r="120">
          <cell r="A120">
            <v>799</v>
          </cell>
        </row>
        <row r="121">
          <cell r="A121">
            <v>815</v>
          </cell>
        </row>
        <row r="122">
          <cell r="A122">
            <v>817</v>
          </cell>
        </row>
        <row r="123">
          <cell r="A123">
            <v>821</v>
          </cell>
        </row>
        <row r="124">
          <cell r="A124">
            <v>823</v>
          </cell>
        </row>
        <row r="125">
          <cell r="A125">
            <v>829</v>
          </cell>
        </row>
        <row r="126">
          <cell r="A126">
            <v>839</v>
          </cell>
        </row>
        <row r="127">
          <cell r="A127">
            <v>871</v>
          </cell>
        </row>
        <row r="128">
          <cell r="A128">
            <v>891</v>
          </cell>
        </row>
        <row r="129">
          <cell r="A129">
            <v>893</v>
          </cell>
        </row>
        <row r="130">
          <cell r="A130">
            <v>915</v>
          </cell>
        </row>
        <row r="131">
          <cell r="A131">
            <v>916</v>
          </cell>
        </row>
        <row r="132">
          <cell r="A132">
            <v>239</v>
          </cell>
        </row>
        <row r="133">
          <cell r="A133">
            <v>293</v>
          </cell>
        </row>
        <row r="134">
          <cell r="A134">
            <v>335</v>
          </cell>
        </row>
        <row r="135">
          <cell r="A135">
            <v>356</v>
          </cell>
        </row>
        <row r="136">
          <cell r="A136">
            <v>357</v>
          </cell>
        </row>
        <row r="137">
          <cell r="A137">
            <v>359</v>
          </cell>
        </row>
        <row r="138">
          <cell r="A138">
            <v>418</v>
          </cell>
        </row>
        <row r="139">
          <cell r="A139">
            <v>419</v>
          </cell>
        </row>
        <row r="140">
          <cell r="A140">
            <v>428</v>
          </cell>
        </row>
        <row r="141">
          <cell r="A141">
            <v>440</v>
          </cell>
        </row>
        <row r="142">
          <cell r="A142">
            <v>450</v>
          </cell>
        </row>
        <row r="143">
          <cell r="A143">
            <v>451</v>
          </cell>
        </row>
        <row r="144">
          <cell r="A144">
            <v>452</v>
          </cell>
        </row>
        <row r="145">
          <cell r="A145">
            <v>455</v>
          </cell>
        </row>
        <row r="146">
          <cell r="A146">
            <v>456</v>
          </cell>
        </row>
        <row r="147">
          <cell r="A147">
            <v>472</v>
          </cell>
        </row>
        <row r="148">
          <cell r="A148">
            <v>500</v>
          </cell>
        </row>
        <row r="149">
          <cell r="A149">
            <v>501</v>
          </cell>
        </row>
        <row r="150">
          <cell r="A150">
            <v>502</v>
          </cell>
        </row>
        <row r="151">
          <cell r="A151">
            <v>506</v>
          </cell>
        </row>
        <row r="152">
          <cell r="A152">
            <v>508</v>
          </cell>
        </row>
        <row r="153">
          <cell r="A153">
            <v>510</v>
          </cell>
        </row>
        <row r="154">
          <cell r="A154">
            <v>514</v>
          </cell>
        </row>
        <row r="155">
          <cell r="A155">
            <v>518</v>
          </cell>
        </row>
        <row r="156">
          <cell r="A156">
            <v>520</v>
          </cell>
        </row>
        <row r="157">
          <cell r="A157">
            <v>522</v>
          </cell>
        </row>
        <row r="158">
          <cell r="A158">
            <v>524</v>
          </cell>
        </row>
        <row r="159">
          <cell r="A159">
            <v>526</v>
          </cell>
        </row>
        <row r="160">
          <cell r="A160">
            <v>530</v>
          </cell>
        </row>
        <row r="161">
          <cell r="A161">
            <v>531</v>
          </cell>
        </row>
        <row r="162">
          <cell r="A162">
            <v>532</v>
          </cell>
        </row>
        <row r="163">
          <cell r="A163">
            <v>533</v>
          </cell>
        </row>
        <row r="164">
          <cell r="A164">
            <v>538</v>
          </cell>
        </row>
        <row r="165">
          <cell r="A165">
            <v>539</v>
          </cell>
        </row>
        <row r="166">
          <cell r="A166">
            <v>544</v>
          </cell>
        </row>
        <row r="167">
          <cell r="A167">
            <v>550</v>
          </cell>
        </row>
        <row r="168">
          <cell r="A168">
            <v>551</v>
          </cell>
        </row>
        <row r="169">
          <cell r="A169">
            <v>552</v>
          </cell>
        </row>
        <row r="170">
          <cell r="A170">
            <v>553</v>
          </cell>
        </row>
        <row r="171">
          <cell r="A171">
            <v>554</v>
          </cell>
        </row>
        <row r="172">
          <cell r="A172">
            <v>556</v>
          </cell>
        </row>
        <row r="173">
          <cell r="A173">
            <v>557</v>
          </cell>
        </row>
        <row r="174">
          <cell r="A174">
            <v>558</v>
          </cell>
        </row>
        <row r="175">
          <cell r="A175">
            <v>559</v>
          </cell>
        </row>
        <row r="176">
          <cell r="A176">
            <v>560</v>
          </cell>
        </row>
        <row r="177">
          <cell r="A177">
            <v>562</v>
          </cell>
        </row>
        <row r="178">
          <cell r="A178">
            <v>568</v>
          </cell>
        </row>
        <row r="179">
          <cell r="A179">
            <v>570</v>
          </cell>
        </row>
        <row r="180">
          <cell r="A180">
            <v>572</v>
          </cell>
        </row>
        <row r="181">
          <cell r="A181">
            <v>576</v>
          </cell>
        </row>
        <row r="182">
          <cell r="A182">
            <v>577</v>
          </cell>
        </row>
        <row r="183">
          <cell r="A183">
            <v>578</v>
          </cell>
        </row>
        <row r="184">
          <cell r="A184">
            <v>580</v>
          </cell>
        </row>
        <row r="185">
          <cell r="A185">
            <v>584</v>
          </cell>
        </row>
        <row r="186">
          <cell r="A186">
            <v>586</v>
          </cell>
        </row>
        <row r="187">
          <cell r="A187">
            <v>590</v>
          </cell>
        </row>
        <row r="188">
          <cell r="A188">
            <v>592</v>
          </cell>
        </row>
        <row r="189">
          <cell r="A189">
            <v>593</v>
          </cell>
        </row>
        <row r="190">
          <cell r="A190">
            <v>596</v>
          </cell>
        </row>
        <row r="191">
          <cell r="A191">
            <v>597</v>
          </cell>
        </row>
        <row r="192">
          <cell r="A192">
            <v>598</v>
          </cell>
        </row>
        <row r="193">
          <cell r="A193">
            <v>599</v>
          </cell>
        </row>
        <row r="194">
          <cell r="A194">
            <v>602</v>
          </cell>
        </row>
        <row r="195">
          <cell r="A195">
            <v>603</v>
          </cell>
        </row>
        <row r="196">
          <cell r="A196">
            <v>604</v>
          </cell>
        </row>
        <row r="197">
          <cell r="A197">
            <v>608</v>
          </cell>
        </row>
        <row r="198">
          <cell r="A198">
            <v>609</v>
          </cell>
        </row>
        <row r="199">
          <cell r="A199">
            <v>610</v>
          </cell>
        </row>
        <row r="200">
          <cell r="A200">
            <v>611</v>
          </cell>
        </row>
        <row r="201">
          <cell r="A201">
            <v>620</v>
          </cell>
        </row>
        <row r="202">
          <cell r="A202">
            <v>622</v>
          </cell>
        </row>
        <row r="203">
          <cell r="A203">
            <v>624</v>
          </cell>
        </row>
        <row r="204">
          <cell r="A204">
            <v>628</v>
          </cell>
        </row>
        <row r="205">
          <cell r="A205">
            <v>630</v>
          </cell>
        </row>
        <row r="206">
          <cell r="A206">
            <v>632</v>
          </cell>
        </row>
        <row r="207">
          <cell r="A207">
            <v>636</v>
          </cell>
        </row>
        <row r="208">
          <cell r="A208">
            <v>638</v>
          </cell>
        </row>
        <row r="209">
          <cell r="A209">
            <v>640</v>
          </cell>
        </row>
        <row r="210">
          <cell r="A210">
            <v>641</v>
          </cell>
        </row>
        <row r="211">
          <cell r="A211">
            <v>642</v>
          </cell>
        </row>
        <row r="212">
          <cell r="A212">
            <v>644</v>
          </cell>
        </row>
        <row r="213">
          <cell r="A213">
            <v>646</v>
          </cell>
        </row>
        <row r="214">
          <cell r="A214">
            <v>647</v>
          </cell>
        </row>
        <row r="215">
          <cell r="A215">
            <v>648</v>
          </cell>
        </row>
        <row r="216">
          <cell r="A216">
            <v>650</v>
          </cell>
        </row>
        <row r="217">
          <cell r="A217">
            <v>652</v>
          </cell>
        </row>
        <row r="218">
          <cell r="A218">
            <v>654</v>
          </cell>
        </row>
        <row r="219">
          <cell r="A219">
            <v>658</v>
          </cell>
        </row>
        <row r="220">
          <cell r="A220">
            <v>662</v>
          </cell>
        </row>
        <row r="221">
          <cell r="A221">
            <v>666</v>
          </cell>
        </row>
        <row r="222">
          <cell r="A222">
            <v>668</v>
          </cell>
        </row>
        <row r="223">
          <cell r="A223">
            <v>670</v>
          </cell>
        </row>
        <row r="224">
          <cell r="A224">
            <v>674</v>
          </cell>
        </row>
        <row r="225">
          <cell r="A225">
            <v>676</v>
          </cell>
        </row>
        <row r="226">
          <cell r="A226">
            <v>680</v>
          </cell>
        </row>
        <row r="227">
          <cell r="A227">
            <v>682</v>
          </cell>
        </row>
        <row r="228">
          <cell r="A228">
            <v>686</v>
          </cell>
        </row>
        <row r="229">
          <cell r="A229">
            <v>688</v>
          </cell>
        </row>
        <row r="230">
          <cell r="A230">
            <v>690</v>
          </cell>
        </row>
        <row r="231">
          <cell r="A231">
            <v>692</v>
          </cell>
        </row>
        <row r="232">
          <cell r="A232">
            <v>694</v>
          </cell>
        </row>
        <row r="233">
          <cell r="A233">
            <v>696</v>
          </cell>
        </row>
        <row r="234">
          <cell r="A234">
            <v>698</v>
          </cell>
        </row>
        <row r="235">
          <cell r="A235">
            <v>699</v>
          </cell>
        </row>
        <row r="236">
          <cell r="A236">
            <v>700</v>
          </cell>
        </row>
        <row r="237">
          <cell r="A237">
            <v>706</v>
          </cell>
        </row>
        <row r="238">
          <cell r="A238">
            <v>708</v>
          </cell>
        </row>
        <row r="239">
          <cell r="A239">
            <v>710</v>
          </cell>
        </row>
        <row r="240">
          <cell r="A240">
            <v>712</v>
          </cell>
        </row>
        <row r="241">
          <cell r="A241">
            <v>716</v>
          </cell>
        </row>
        <row r="242">
          <cell r="A242">
            <v>720</v>
          </cell>
        </row>
        <row r="243">
          <cell r="A243">
            <v>722</v>
          </cell>
        </row>
        <row r="244">
          <cell r="A244">
            <v>724</v>
          </cell>
        </row>
        <row r="245">
          <cell r="A245">
            <v>726</v>
          </cell>
        </row>
        <row r="246">
          <cell r="A246">
            <v>728</v>
          </cell>
        </row>
        <row r="247">
          <cell r="A247">
            <v>730</v>
          </cell>
        </row>
        <row r="248">
          <cell r="A248">
            <v>732</v>
          </cell>
        </row>
        <row r="249">
          <cell r="A249">
            <v>734</v>
          </cell>
        </row>
        <row r="250">
          <cell r="A250">
            <v>736</v>
          </cell>
        </row>
        <row r="251">
          <cell r="A251">
            <v>738</v>
          </cell>
        </row>
        <row r="252">
          <cell r="A252">
            <v>740</v>
          </cell>
        </row>
        <row r="253">
          <cell r="A253">
            <v>770</v>
          </cell>
        </row>
        <row r="254">
          <cell r="A254">
            <v>780</v>
          </cell>
        </row>
        <row r="255">
          <cell r="A255">
            <v>801</v>
          </cell>
        </row>
        <row r="256">
          <cell r="A256">
            <v>803</v>
          </cell>
        </row>
        <row r="257">
          <cell r="A257">
            <v>805</v>
          </cell>
        </row>
        <row r="258">
          <cell r="A258">
            <v>811</v>
          </cell>
        </row>
        <row r="259">
          <cell r="A259">
            <v>820</v>
          </cell>
        </row>
        <row r="260">
          <cell r="A260">
            <v>825</v>
          </cell>
        </row>
        <row r="261">
          <cell r="A261">
            <v>830</v>
          </cell>
        </row>
        <row r="262">
          <cell r="A262">
            <v>850</v>
          </cell>
        </row>
        <row r="263">
          <cell r="A263">
            <v>855</v>
          </cell>
        </row>
        <row r="264">
          <cell r="A264">
            <v>859</v>
          </cell>
        </row>
        <row r="265">
          <cell r="A265">
            <v>860</v>
          </cell>
        </row>
        <row r="266">
          <cell r="A266">
            <v>865</v>
          </cell>
        </row>
        <row r="267">
          <cell r="A267">
            <v>869</v>
          </cell>
        </row>
        <row r="268">
          <cell r="A268">
            <v>870</v>
          </cell>
        </row>
        <row r="269">
          <cell r="A269">
            <v>880</v>
          </cell>
        </row>
        <row r="270">
          <cell r="A270">
            <v>881</v>
          </cell>
        </row>
        <row r="271">
          <cell r="A271">
            <v>882</v>
          </cell>
        </row>
        <row r="272">
          <cell r="A272">
            <v>883</v>
          </cell>
        </row>
        <row r="273">
          <cell r="A273">
            <v>885</v>
          </cell>
        </row>
        <row r="274">
          <cell r="A274">
            <v>886</v>
          </cell>
        </row>
        <row r="275">
          <cell r="A275">
            <v>888</v>
          </cell>
        </row>
        <row r="276">
          <cell r="A276">
            <v>892</v>
          </cell>
        </row>
        <row r="277">
          <cell r="A277">
            <v>897</v>
          </cell>
        </row>
        <row r="278">
          <cell r="A278">
            <v>899</v>
          </cell>
        </row>
        <row r="279">
          <cell r="A279">
            <v>910</v>
          </cell>
        </row>
        <row r="280">
          <cell r="A280">
            <v>921</v>
          </cell>
        </row>
        <row r="281">
          <cell r="A281">
            <v>922</v>
          </cell>
        </row>
        <row r="282">
          <cell r="A282">
            <v>923</v>
          </cell>
        </row>
        <row r="283">
          <cell r="A283">
            <v>931</v>
          </cell>
        </row>
        <row r="284">
          <cell r="A284">
            <v>932</v>
          </cell>
        </row>
        <row r="285">
          <cell r="A285">
            <v>933</v>
          </cell>
        </row>
        <row r="286">
          <cell r="A286">
            <v>934</v>
          </cell>
        </row>
        <row r="287">
          <cell r="A287">
            <v>937</v>
          </cell>
        </row>
        <row r="288">
          <cell r="A288">
            <v>947</v>
          </cell>
        </row>
        <row r="289">
          <cell r="A289">
            <v>109</v>
          </cell>
        </row>
        <row r="290">
          <cell r="A290">
            <v>172</v>
          </cell>
        </row>
        <row r="291">
          <cell r="A291">
            <v>173</v>
          </cell>
        </row>
        <row r="292">
          <cell r="A292">
            <v>253</v>
          </cell>
        </row>
        <row r="293">
          <cell r="A293">
            <v>264</v>
          </cell>
        </row>
        <row r="294">
          <cell r="A294">
            <v>265</v>
          </cell>
        </row>
        <row r="295">
          <cell r="A295">
            <v>266</v>
          </cell>
        </row>
        <row r="296">
          <cell r="A296">
            <v>267</v>
          </cell>
        </row>
        <row r="297">
          <cell r="A297">
            <v>268</v>
          </cell>
        </row>
        <row r="298">
          <cell r="A298">
            <v>269</v>
          </cell>
        </row>
        <row r="299">
          <cell r="A299">
            <v>333</v>
          </cell>
        </row>
        <row r="300">
          <cell r="A300">
            <v>401</v>
          </cell>
        </row>
        <row r="301">
          <cell r="A301">
            <v>402</v>
          </cell>
        </row>
        <row r="302">
          <cell r="A302">
            <v>404</v>
          </cell>
        </row>
        <row r="303">
          <cell r="A303">
            <v>405</v>
          </cell>
        </row>
        <row r="304">
          <cell r="A304">
            <v>408</v>
          </cell>
        </row>
        <row r="305">
          <cell r="A305">
            <v>410</v>
          </cell>
        </row>
        <row r="306">
          <cell r="A306">
            <v>411</v>
          </cell>
        </row>
        <row r="307">
          <cell r="A307">
            <v>414</v>
          </cell>
        </row>
        <row r="308">
          <cell r="A308">
            <v>417</v>
          </cell>
        </row>
        <row r="309">
          <cell r="A309">
            <v>435</v>
          </cell>
        </row>
        <row r="310">
          <cell r="A310">
            <v>436</v>
          </cell>
        </row>
        <row r="311">
          <cell r="A311">
            <v>446</v>
          </cell>
        </row>
        <row r="312">
          <cell r="A312">
            <v>448</v>
          </cell>
        </row>
        <row r="313">
          <cell r="A313">
            <v>449</v>
          </cell>
        </row>
        <row r="314">
          <cell r="A314">
            <v>429</v>
          </cell>
        </row>
        <row r="315">
          <cell r="A315">
            <v>482</v>
          </cell>
        </row>
        <row r="316">
          <cell r="A316">
            <v>483</v>
          </cell>
        </row>
        <row r="317">
          <cell r="A317">
            <v>484</v>
          </cell>
        </row>
        <row r="318">
          <cell r="A318">
            <v>485</v>
          </cell>
        </row>
        <row r="319">
          <cell r="A319">
            <v>486</v>
          </cell>
        </row>
        <row r="320">
          <cell r="A320">
            <v>487</v>
          </cell>
        </row>
        <row r="321">
          <cell r="A321">
            <v>488</v>
          </cell>
        </row>
        <row r="322">
          <cell r="A322">
            <v>489</v>
          </cell>
        </row>
        <row r="323">
          <cell r="A323">
            <v>490</v>
          </cell>
        </row>
        <row r="324">
          <cell r="A324">
            <v>491</v>
          </cell>
        </row>
        <row r="325">
          <cell r="A325">
            <v>492</v>
          </cell>
        </row>
        <row r="326">
          <cell r="A326">
            <v>493</v>
          </cell>
        </row>
        <row r="327">
          <cell r="A327">
            <v>0</v>
          </cell>
        </row>
      </sheetData>
      <sheetData sheetId="85">
        <row r="6">
          <cell r="B6">
            <v>3.39E-2</v>
          </cell>
        </row>
      </sheetData>
      <sheetData sheetId="86"/>
      <sheetData sheetId="87"/>
      <sheetData sheetId="88"/>
      <sheetData sheetId="89">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row r="2">
          <cell r="A2" t="str">
            <v xml:space="preserve">Data was run by Jess McIness in Finance. At present this is the 2013 dept tree. Columns P to S look up the dept tree to </v>
          </cell>
        </row>
        <row r="3">
          <cell r="A3" t="str">
            <v>Links - The vlookups on the Allocation rates page link to this sheet</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row>
        <row r="5">
          <cell r="A5" t="str">
            <v>Name80</v>
          </cell>
        </row>
        <row r="6">
          <cell r="A6" t="str">
            <v>XXX</v>
          </cell>
        </row>
        <row r="7">
          <cell r="A7">
            <v>187</v>
          </cell>
        </row>
        <row r="8">
          <cell r="A8">
            <v>101</v>
          </cell>
        </row>
        <row r="9">
          <cell r="A9">
            <v>248</v>
          </cell>
        </row>
        <row r="10">
          <cell r="A10">
            <v>261</v>
          </cell>
        </row>
        <row r="11">
          <cell r="A11">
            <v>127</v>
          </cell>
        </row>
        <row r="12">
          <cell r="A12">
            <v>130</v>
          </cell>
        </row>
        <row r="13">
          <cell r="A13">
            <v>513</v>
          </cell>
        </row>
        <row r="14">
          <cell r="A14">
            <v>515</v>
          </cell>
        </row>
        <row r="15">
          <cell r="A15">
            <v>516</v>
          </cell>
        </row>
        <row r="16">
          <cell r="A16">
            <v>517</v>
          </cell>
        </row>
        <row r="17">
          <cell r="A17">
            <v>107</v>
          </cell>
        </row>
        <row r="18">
          <cell r="A18">
            <v>108</v>
          </cell>
        </row>
        <row r="19">
          <cell r="A19">
            <v>165</v>
          </cell>
        </row>
        <row r="20">
          <cell r="A20">
            <v>166</v>
          </cell>
        </row>
        <row r="21">
          <cell r="A21">
            <v>169</v>
          </cell>
        </row>
        <row r="22">
          <cell r="A22">
            <v>175</v>
          </cell>
        </row>
        <row r="23">
          <cell r="A23">
            <v>200</v>
          </cell>
        </row>
        <row r="24">
          <cell r="A24">
            <v>202</v>
          </cell>
        </row>
        <row r="25">
          <cell r="A25">
            <v>204</v>
          </cell>
        </row>
        <row r="26">
          <cell r="A26">
            <v>205</v>
          </cell>
        </row>
        <row r="27">
          <cell r="A27">
            <v>207</v>
          </cell>
        </row>
        <row r="28">
          <cell r="A28">
            <v>216</v>
          </cell>
        </row>
        <row r="29">
          <cell r="A29">
            <v>217</v>
          </cell>
        </row>
        <row r="30">
          <cell r="A30">
            <v>249</v>
          </cell>
        </row>
        <row r="31">
          <cell r="A31">
            <v>271</v>
          </cell>
        </row>
        <row r="32">
          <cell r="A32">
            <v>272</v>
          </cell>
        </row>
        <row r="33">
          <cell r="A33">
            <v>273</v>
          </cell>
        </row>
        <row r="34">
          <cell r="A34">
            <v>281</v>
          </cell>
        </row>
        <row r="35">
          <cell r="A35">
            <v>282</v>
          </cell>
        </row>
        <row r="36">
          <cell r="A36">
            <v>284</v>
          </cell>
        </row>
        <row r="37">
          <cell r="A37">
            <v>314</v>
          </cell>
        </row>
        <row r="38">
          <cell r="A38">
            <v>420</v>
          </cell>
        </row>
        <row r="39">
          <cell r="A39">
            <v>421</v>
          </cell>
        </row>
        <row r="40">
          <cell r="A40">
            <v>422</v>
          </cell>
        </row>
        <row r="41">
          <cell r="A41">
            <v>423</v>
          </cell>
        </row>
        <row r="42">
          <cell r="A42">
            <v>424</v>
          </cell>
        </row>
        <row r="43">
          <cell r="A43">
            <v>426</v>
          </cell>
        </row>
        <row r="44">
          <cell r="A44">
            <v>430</v>
          </cell>
        </row>
        <row r="45">
          <cell r="A45">
            <v>431</v>
          </cell>
        </row>
        <row r="46">
          <cell r="A46">
            <v>432</v>
          </cell>
        </row>
        <row r="47">
          <cell r="A47">
            <v>433</v>
          </cell>
        </row>
        <row r="48">
          <cell r="A48">
            <v>434</v>
          </cell>
        </row>
        <row r="49">
          <cell r="A49">
            <v>439</v>
          </cell>
        </row>
        <row r="50">
          <cell r="A50">
            <v>444</v>
          </cell>
        </row>
        <row r="51">
          <cell r="A51">
            <v>459</v>
          </cell>
        </row>
        <row r="52">
          <cell r="A52">
            <v>858</v>
          </cell>
        </row>
        <row r="53">
          <cell r="A53">
            <v>889</v>
          </cell>
        </row>
        <row r="54">
          <cell r="A54">
            <v>890</v>
          </cell>
        </row>
        <row r="55">
          <cell r="A55">
            <v>994</v>
          </cell>
        </row>
        <row r="56">
          <cell r="A56">
            <v>111</v>
          </cell>
        </row>
        <row r="57">
          <cell r="A57">
            <v>116</v>
          </cell>
        </row>
        <row r="58">
          <cell r="A58">
            <v>117</v>
          </cell>
        </row>
        <row r="59">
          <cell r="A59">
            <v>119</v>
          </cell>
        </row>
        <row r="60">
          <cell r="A60">
            <v>120</v>
          </cell>
        </row>
        <row r="61">
          <cell r="A61">
            <v>283</v>
          </cell>
        </row>
        <row r="62">
          <cell r="A62">
            <v>103</v>
          </cell>
        </row>
        <row r="63">
          <cell r="A63">
            <v>106</v>
          </cell>
        </row>
        <row r="64">
          <cell r="A64">
            <v>115</v>
          </cell>
        </row>
        <row r="65">
          <cell r="A65">
            <v>129</v>
          </cell>
        </row>
        <row r="66">
          <cell r="A66">
            <v>132</v>
          </cell>
        </row>
        <row r="67">
          <cell r="A67">
            <v>144</v>
          </cell>
        </row>
        <row r="68">
          <cell r="A68">
            <v>145</v>
          </cell>
        </row>
        <row r="69">
          <cell r="A69">
            <v>146</v>
          </cell>
        </row>
        <row r="70">
          <cell r="A70">
            <v>147</v>
          </cell>
        </row>
        <row r="71">
          <cell r="A71">
            <v>149</v>
          </cell>
        </row>
        <row r="72">
          <cell r="A72">
            <v>153</v>
          </cell>
        </row>
        <row r="73">
          <cell r="A73">
            <v>156</v>
          </cell>
        </row>
        <row r="74">
          <cell r="A74">
            <v>158</v>
          </cell>
        </row>
        <row r="75">
          <cell r="A75">
            <v>159</v>
          </cell>
        </row>
        <row r="76">
          <cell r="A76">
            <v>164</v>
          </cell>
        </row>
        <row r="77">
          <cell r="A77">
            <v>182</v>
          </cell>
        </row>
        <row r="78">
          <cell r="A78">
            <v>210</v>
          </cell>
        </row>
        <row r="79">
          <cell r="A79">
            <v>211</v>
          </cell>
        </row>
        <row r="80">
          <cell r="A80">
            <v>218</v>
          </cell>
        </row>
        <row r="81">
          <cell r="A81">
            <v>400</v>
          </cell>
        </row>
        <row r="82">
          <cell r="A82">
            <v>475</v>
          </cell>
        </row>
        <row r="83">
          <cell r="A83">
            <v>244</v>
          </cell>
        </row>
        <row r="84">
          <cell r="A84">
            <v>246</v>
          </cell>
        </row>
        <row r="85">
          <cell r="A85">
            <v>252</v>
          </cell>
        </row>
        <row r="86">
          <cell r="A86">
            <v>255</v>
          </cell>
        </row>
        <row r="87">
          <cell r="A87">
            <v>256</v>
          </cell>
        </row>
        <row r="88">
          <cell r="A88">
            <v>257</v>
          </cell>
        </row>
        <row r="89">
          <cell r="A89">
            <v>260</v>
          </cell>
        </row>
        <row r="90">
          <cell r="A90">
            <v>262</v>
          </cell>
        </row>
        <row r="91">
          <cell r="A91">
            <v>275</v>
          </cell>
        </row>
        <row r="92">
          <cell r="A92">
            <v>286</v>
          </cell>
        </row>
        <row r="93">
          <cell r="A93">
            <v>190</v>
          </cell>
        </row>
        <row r="94">
          <cell r="A94">
            <v>191</v>
          </cell>
        </row>
        <row r="95">
          <cell r="A95">
            <v>192</v>
          </cell>
        </row>
        <row r="96">
          <cell r="A96">
            <v>194</v>
          </cell>
        </row>
        <row r="97">
          <cell r="A97">
            <v>199</v>
          </cell>
        </row>
        <row r="98">
          <cell r="A98">
            <v>415</v>
          </cell>
        </row>
        <row r="99">
          <cell r="A99">
            <v>438</v>
          </cell>
        </row>
        <row r="100">
          <cell r="A100">
            <v>442</v>
          </cell>
        </row>
        <row r="101">
          <cell r="A101">
            <v>473</v>
          </cell>
        </row>
        <row r="102">
          <cell r="A102">
            <v>474</v>
          </cell>
        </row>
        <row r="103">
          <cell r="A103">
            <v>750</v>
          </cell>
        </row>
        <row r="104">
          <cell r="A104">
            <v>751</v>
          </cell>
        </row>
        <row r="105">
          <cell r="A105">
            <v>752</v>
          </cell>
        </row>
        <row r="106">
          <cell r="A106">
            <v>771</v>
          </cell>
        </row>
        <row r="107">
          <cell r="A107">
            <v>773</v>
          </cell>
        </row>
        <row r="108">
          <cell r="A108">
            <v>781</v>
          </cell>
        </row>
        <row r="109">
          <cell r="A109">
            <v>783</v>
          </cell>
        </row>
        <row r="110">
          <cell r="A110">
            <v>791</v>
          </cell>
        </row>
        <row r="111">
          <cell r="A111">
            <v>793</v>
          </cell>
        </row>
        <row r="112">
          <cell r="A112">
            <v>797</v>
          </cell>
        </row>
        <row r="113">
          <cell r="A113">
            <v>799</v>
          </cell>
        </row>
        <row r="114">
          <cell r="A114">
            <v>815</v>
          </cell>
        </row>
        <row r="115">
          <cell r="A115">
            <v>817</v>
          </cell>
        </row>
        <row r="116">
          <cell r="A116">
            <v>821</v>
          </cell>
        </row>
        <row r="117">
          <cell r="A117">
            <v>823</v>
          </cell>
        </row>
        <row r="118">
          <cell r="A118">
            <v>829</v>
          </cell>
        </row>
        <row r="119">
          <cell r="A119">
            <v>839</v>
          </cell>
        </row>
        <row r="120">
          <cell r="A120">
            <v>871</v>
          </cell>
        </row>
        <row r="121">
          <cell r="A121">
            <v>891</v>
          </cell>
        </row>
        <row r="122">
          <cell r="A122">
            <v>893</v>
          </cell>
        </row>
        <row r="123">
          <cell r="A123">
            <v>915</v>
          </cell>
        </row>
        <row r="124">
          <cell r="A124">
            <v>916</v>
          </cell>
        </row>
        <row r="125">
          <cell r="A125">
            <v>239</v>
          </cell>
        </row>
        <row r="126">
          <cell r="A126">
            <v>293</v>
          </cell>
        </row>
        <row r="127">
          <cell r="A127">
            <v>335</v>
          </cell>
        </row>
        <row r="128">
          <cell r="A128">
            <v>356</v>
          </cell>
        </row>
        <row r="129">
          <cell r="A129">
            <v>357</v>
          </cell>
        </row>
        <row r="130">
          <cell r="A130">
            <v>359</v>
          </cell>
        </row>
        <row r="131">
          <cell r="A131">
            <v>418</v>
          </cell>
        </row>
        <row r="132">
          <cell r="A132">
            <v>419</v>
          </cell>
        </row>
        <row r="133">
          <cell r="A133">
            <v>428</v>
          </cell>
        </row>
        <row r="134">
          <cell r="A134">
            <v>440</v>
          </cell>
        </row>
        <row r="135">
          <cell r="A135">
            <v>450</v>
          </cell>
        </row>
        <row r="136">
          <cell r="A136">
            <v>451</v>
          </cell>
        </row>
        <row r="137">
          <cell r="A137">
            <v>452</v>
          </cell>
        </row>
        <row r="138">
          <cell r="A138">
            <v>455</v>
          </cell>
        </row>
        <row r="139">
          <cell r="A139">
            <v>456</v>
          </cell>
        </row>
        <row r="140">
          <cell r="A140">
            <v>472</v>
          </cell>
        </row>
        <row r="141">
          <cell r="A141">
            <v>500</v>
          </cell>
        </row>
        <row r="142">
          <cell r="A142">
            <v>501</v>
          </cell>
        </row>
        <row r="143">
          <cell r="A143">
            <v>502</v>
          </cell>
        </row>
        <row r="144">
          <cell r="A144">
            <v>506</v>
          </cell>
        </row>
        <row r="145">
          <cell r="A145">
            <v>508</v>
          </cell>
        </row>
        <row r="146">
          <cell r="A146">
            <v>510</v>
          </cell>
        </row>
        <row r="147">
          <cell r="A147">
            <v>514</v>
          </cell>
        </row>
        <row r="148">
          <cell r="A148">
            <v>518</v>
          </cell>
        </row>
        <row r="149">
          <cell r="A149">
            <v>520</v>
          </cell>
        </row>
        <row r="150">
          <cell r="A150">
            <v>522</v>
          </cell>
        </row>
        <row r="151">
          <cell r="A151">
            <v>524</v>
          </cell>
        </row>
        <row r="152">
          <cell r="A152">
            <v>526</v>
          </cell>
        </row>
        <row r="153">
          <cell r="A153">
            <v>530</v>
          </cell>
        </row>
        <row r="154">
          <cell r="A154">
            <v>531</v>
          </cell>
        </row>
        <row r="155">
          <cell r="A155">
            <v>532</v>
          </cell>
        </row>
        <row r="156">
          <cell r="A156">
            <v>533</v>
          </cell>
        </row>
        <row r="157">
          <cell r="A157">
            <v>538</v>
          </cell>
        </row>
        <row r="158">
          <cell r="A158">
            <v>539</v>
          </cell>
        </row>
        <row r="159">
          <cell r="A159">
            <v>544</v>
          </cell>
        </row>
        <row r="160">
          <cell r="A160">
            <v>550</v>
          </cell>
        </row>
        <row r="161">
          <cell r="A161">
            <v>551</v>
          </cell>
        </row>
        <row r="162">
          <cell r="A162">
            <v>552</v>
          </cell>
        </row>
        <row r="163">
          <cell r="A163">
            <v>553</v>
          </cell>
        </row>
        <row r="164">
          <cell r="A164">
            <v>554</v>
          </cell>
        </row>
        <row r="165">
          <cell r="A165">
            <v>556</v>
          </cell>
        </row>
        <row r="166">
          <cell r="A166">
            <v>557</v>
          </cell>
        </row>
        <row r="167">
          <cell r="A167">
            <v>558</v>
          </cell>
        </row>
        <row r="168">
          <cell r="A168">
            <v>559</v>
          </cell>
        </row>
        <row r="169">
          <cell r="A169">
            <v>560</v>
          </cell>
        </row>
        <row r="170">
          <cell r="A170">
            <v>562</v>
          </cell>
        </row>
        <row r="171">
          <cell r="A171">
            <v>568</v>
          </cell>
        </row>
        <row r="172">
          <cell r="A172">
            <v>570</v>
          </cell>
        </row>
        <row r="173">
          <cell r="A173">
            <v>572</v>
          </cell>
        </row>
        <row r="174">
          <cell r="A174">
            <v>576</v>
          </cell>
        </row>
        <row r="175">
          <cell r="A175">
            <v>577</v>
          </cell>
        </row>
        <row r="176">
          <cell r="A176">
            <v>578</v>
          </cell>
        </row>
        <row r="177">
          <cell r="A177">
            <v>580</v>
          </cell>
        </row>
        <row r="178">
          <cell r="A178">
            <v>584</v>
          </cell>
        </row>
        <row r="179">
          <cell r="A179">
            <v>586</v>
          </cell>
        </row>
        <row r="180">
          <cell r="A180">
            <v>590</v>
          </cell>
        </row>
        <row r="181">
          <cell r="A181">
            <v>592</v>
          </cell>
        </row>
        <row r="182">
          <cell r="A182">
            <v>593</v>
          </cell>
        </row>
        <row r="183">
          <cell r="A183">
            <v>596</v>
          </cell>
        </row>
        <row r="184">
          <cell r="A184">
            <v>597</v>
          </cell>
        </row>
        <row r="185">
          <cell r="A185">
            <v>598</v>
          </cell>
        </row>
        <row r="186">
          <cell r="A186">
            <v>599</v>
          </cell>
        </row>
        <row r="187">
          <cell r="A187">
            <v>602</v>
          </cell>
        </row>
        <row r="188">
          <cell r="A188">
            <v>603</v>
          </cell>
        </row>
        <row r="189">
          <cell r="A189">
            <v>604</v>
          </cell>
        </row>
        <row r="190">
          <cell r="A190">
            <v>608</v>
          </cell>
        </row>
        <row r="191">
          <cell r="A191">
            <v>609</v>
          </cell>
        </row>
        <row r="192">
          <cell r="A192">
            <v>610</v>
          </cell>
        </row>
        <row r="193">
          <cell r="A193">
            <v>611</v>
          </cell>
        </row>
        <row r="194">
          <cell r="A194">
            <v>620</v>
          </cell>
        </row>
        <row r="195">
          <cell r="A195">
            <v>622</v>
          </cell>
        </row>
        <row r="196">
          <cell r="A196">
            <v>624</v>
          </cell>
        </row>
        <row r="197">
          <cell r="A197">
            <v>628</v>
          </cell>
        </row>
        <row r="198">
          <cell r="A198">
            <v>630</v>
          </cell>
        </row>
        <row r="199">
          <cell r="A199">
            <v>632</v>
          </cell>
        </row>
        <row r="200">
          <cell r="A200">
            <v>636</v>
          </cell>
        </row>
        <row r="201">
          <cell r="A201">
            <v>638</v>
          </cell>
        </row>
        <row r="202">
          <cell r="A202">
            <v>640</v>
          </cell>
        </row>
        <row r="203">
          <cell r="A203">
            <v>641</v>
          </cell>
        </row>
        <row r="204">
          <cell r="A204">
            <v>642</v>
          </cell>
        </row>
        <row r="205">
          <cell r="A205">
            <v>644</v>
          </cell>
        </row>
        <row r="206">
          <cell r="A206">
            <v>646</v>
          </cell>
        </row>
        <row r="207">
          <cell r="A207">
            <v>647</v>
          </cell>
        </row>
        <row r="208">
          <cell r="A208">
            <v>648</v>
          </cell>
        </row>
        <row r="209">
          <cell r="A209">
            <v>650</v>
          </cell>
        </row>
        <row r="210">
          <cell r="A210">
            <v>652</v>
          </cell>
        </row>
        <row r="211">
          <cell r="A211">
            <v>654</v>
          </cell>
        </row>
        <row r="212">
          <cell r="A212">
            <v>658</v>
          </cell>
        </row>
        <row r="213">
          <cell r="A213">
            <v>662</v>
          </cell>
        </row>
        <row r="214">
          <cell r="A214">
            <v>666</v>
          </cell>
        </row>
        <row r="215">
          <cell r="A215">
            <v>668</v>
          </cell>
        </row>
        <row r="216">
          <cell r="A216">
            <v>670</v>
          </cell>
        </row>
        <row r="217">
          <cell r="A217">
            <v>674</v>
          </cell>
        </row>
        <row r="218">
          <cell r="A218">
            <v>676</v>
          </cell>
        </row>
        <row r="219">
          <cell r="A219">
            <v>680</v>
          </cell>
        </row>
        <row r="220">
          <cell r="A220">
            <v>682</v>
          </cell>
        </row>
        <row r="221">
          <cell r="A221">
            <v>686</v>
          </cell>
        </row>
        <row r="222">
          <cell r="A222">
            <v>688</v>
          </cell>
        </row>
        <row r="223">
          <cell r="A223">
            <v>690</v>
          </cell>
        </row>
        <row r="224">
          <cell r="A224">
            <v>692</v>
          </cell>
        </row>
        <row r="225">
          <cell r="A225">
            <v>694</v>
          </cell>
        </row>
        <row r="226">
          <cell r="A226">
            <v>696</v>
          </cell>
        </row>
        <row r="227">
          <cell r="A227">
            <v>698</v>
          </cell>
        </row>
        <row r="228">
          <cell r="A228">
            <v>699</v>
          </cell>
        </row>
        <row r="229">
          <cell r="A229">
            <v>700</v>
          </cell>
        </row>
        <row r="230">
          <cell r="A230">
            <v>706</v>
          </cell>
        </row>
        <row r="231">
          <cell r="A231">
            <v>708</v>
          </cell>
        </row>
        <row r="232">
          <cell r="A232">
            <v>710</v>
          </cell>
        </row>
        <row r="233">
          <cell r="A233">
            <v>712</v>
          </cell>
        </row>
        <row r="234">
          <cell r="A234">
            <v>716</v>
          </cell>
        </row>
        <row r="235">
          <cell r="A235">
            <v>720</v>
          </cell>
        </row>
        <row r="236">
          <cell r="A236">
            <v>722</v>
          </cell>
        </row>
        <row r="237">
          <cell r="A237">
            <v>724</v>
          </cell>
        </row>
        <row r="238">
          <cell r="A238">
            <v>726</v>
          </cell>
        </row>
        <row r="239">
          <cell r="A239">
            <v>728</v>
          </cell>
        </row>
        <row r="240">
          <cell r="A240">
            <v>730</v>
          </cell>
        </row>
        <row r="241">
          <cell r="A241">
            <v>732</v>
          </cell>
        </row>
        <row r="242">
          <cell r="A242">
            <v>734</v>
          </cell>
        </row>
        <row r="243">
          <cell r="A243">
            <v>736</v>
          </cell>
        </row>
        <row r="244">
          <cell r="A244">
            <v>738</v>
          </cell>
        </row>
        <row r="245">
          <cell r="A245">
            <v>740</v>
          </cell>
        </row>
        <row r="246">
          <cell r="A246">
            <v>770</v>
          </cell>
        </row>
        <row r="247">
          <cell r="A247">
            <v>780</v>
          </cell>
        </row>
        <row r="248">
          <cell r="A248">
            <v>801</v>
          </cell>
        </row>
        <row r="249">
          <cell r="A249">
            <v>803</v>
          </cell>
        </row>
        <row r="250">
          <cell r="A250">
            <v>805</v>
          </cell>
        </row>
        <row r="251">
          <cell r="A251">
            <v>811</v>
          </cell>
        </row>
        <row r="252">
          <cell r="A252">
            <v>820</v>
          </cell>
        </row>
        <row r="253">
          <cell r="A253">
            <v>825</v>
          </cell>
        </row>
        <row r="254">
          <cell r="A254">
            <v>830</v>
          </cell>
        </row>
        <row r="255">
          <cell r="A255">
            <v>850</v>
          </cell>
        </row>
        <row r="256">
          <cell r="A256">
            <v>855</v>
          </cell>
        </row>
        <row r="257">
          <cell r="A257">
            <v>859</v>
          </cell>
        </row>
        <row r="258">
          <cell r="A258">
            <v>860</v>
          </cell>
        </row>
        <row r="259">
          <cell r="A259">
            <v>865</v>
          </cell>
        </row>
        <row r="260">
          <cell r="A260">
            <v>869</v>
          </cell>
        </row>
        <row r="261">
          <cell r="A261">
            <v>870</v>
          </cell>
        </row>
        <row r="262">
          <cell r="A262">
            <v>880</v>
          </cell>
        </row>
        <row r="263">
          <cell r="A263">
            <v>881</v>
          </cell>
        </row>
        <row r="264">
          <cell r="A264">
            <v>882</v>
          </cell>
        </row>
        <row r="265">
          <cell r="A265">
            <v>883</v>
          </cell>
        </row>
        <row r="266">
          <cell r="A266">
            <v>885</v>
          </cell>
        </row>
        <row r="267">
          <cell r="A267">
            <v>886</v>
          </cell>
        </row>
        <row r="268">
          <cell r="A268">
            <v>888</v>
          </cell>
        </row>
        <row r="269">
          <cell r="A269">
            <v>892</v>
          </cell>
        </row>
        <row r="270">
          <cell r="A270">
            <v>897</v>
          </cell>
        </row>
        <row r="271">
          <cell r="A271">
            <v>899</v>
          </cell>
        </row>
        <row r="272">
          <cell r="A272">
            <v>910</v>
          </cell>
        </row>
        <row r="273">
          <cell r="A273">
            <v>921</v>
          </cell>
        </row>
        <row r="274">
          <cell r="A274">
            <v>922</v>
          </cell>
        </row>
        <row r="275">
          <cell r="A275">
            <v>923</v>
          </cell>
        </row>
        <row r="276">
          <cell r="A276">
            <v>931</v>
          </cell>
        </row>
        <row r="277">
          <cell r="A277">
            <v>932</v>
          </cell>
        </row>
        <row r="278">
          <cell r="A278">
            <v>933</v>
          </cell>
        </row>
        <row r="279">
          <cell r="A279">
            <v>934</v>
          </cell>
        </row>
        <row r="280">
          <cell r="A280">
            <v>937</v>
          </cell>
        </row>
        <row r="281">
          <cell r="A281">
            <v>947</v>
          </cell>
        </row>
        <row r="282">
          <cell r="A282">
            <v>109</v>
          </cell>
        </row>
        <row r="283">
          <cell r="A283">
            <v>172</v>
          </cell>
        </row>
        <row r="284">
          <cell r="A284">
            <v>173</v>
          </cell>
        </row>
        <row r="285">
          <cell r="A285">
            <v>253</v>
          </cell>
        </row>
        <row r="286">
          <cell r="A286">
            <v>264</v>
          </cell>
        </row>
        <row r="287">
          <cell r="A287">
            <v>265</v>
          </cell>
        </row>
        <row r="288">
          <cell r="A288">
            <v>266</v>
          </cell>
        </row>
        <row r="289">
          <cell r="A289">
            <v>267</v>
          </cell>
        </row>
        <row r="290">
          <cell r="A290">
            <v>268</v>
          </cell>
        </row>
        <row r="291">
          <cell r="A291">
            <v>269</v>
          </cell>
        </row>
        <row r="292">
          <cell r="A292">
            <v>333</v>
          </cell>
        </row>
        <row r="293">
          <cell r="A293">
            <v>401</v>
          </cell>
        </row>
        <row r="294">
          <cell r="A294">
            <v>402</v>
          </cell>
        </row>
        <row r="295">
          <cell r="A295">
            <v>404</v>
          </cell>
        </row>
        <row r="296">
          <cell r="A296">
            <v>405</v>
          </cell>
        </row>
        <row r="297">
          <cell r="A297">
            <v>408</v>
          </cell>
        </row>
        <row r="298">
          <cell r="A298">
            <v>410</v>
          </cell>
        </row>
        <row r="299">
          <cell r="A299">
            <v>411</v>
          </cell>
        </row>
        <row r="300">
          <cell r="A300">
            <v>414</v>
          </cell>
        </row>
        <row r="301">
          <cell r="A301">
            <v>417</v>
          </cell>
        </row>
        <row r="302">
          <cell r="A302">
            <v>435</v>
          </cell>
        </row>
        <row r="303">
          <cell r="A303">
            <v>436</v>
          </cell>
        </row>
        <row r="304">
          <cell r="A304">
            <v>446</v>
          </cell>
        </row>
        <row r="305">
          <cell r="A305">
            <v>448</v>
          </cell>
        </row>
        <row r="306">
          <cell r="A306">
            <v>449</v>
          </cell>
        </row>
        <row r="307">
          <cell r="A307">
            <v>429</v>
          </cell>
        </row>
        <row r="308">
          <cell r="A308">
            <v>482</v>
          </cell>
        </row>
        <row r="309">
          <cell r="A309">
            <v>483</v>
          </cell>
        </row>
        <row r="310">
          <cell r="A310">
            <v>484</v>
          </cell>
        </row>
        <row r="311">
          <cell r="A311">
            <v>485</v>
          </cell>
        </row>
        <row r="312">
          <cell r="A312">
            <v>486</v>
          </cell>
        </row>
        <row r="313">
          <cell r="A313">
            <v>487</v>
          </cell>
        </row>
        <row r="314">
          <cell r="A314">
            <v>488</v>
          </cell>
        </row>
        <row r="315">
          <cell r="A315">
            <v>489</v>
          </cell>
        </row>
        <row r="316">
          <cell r="A316">
            <v>490</v>
          </cell>
        </row>
        <row r="317">
          <cell r="A317">
            <v>491</v>
          </cell>
        </row>
        <row r="318">
          <cell r="A318">
            <v>492</v>
          </cell>
        </row>
        <row r="319">
          <cell r="A319">
            <v>493</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row r="655">
          <cell r="A655">
            <v>0</v>
          </cell>
        </row>
        <row r="656">
          <cell r="A656">
            <v>0</v>
          </cell>
        </row>
        <row r="657">
          <cell r="A657">
            <v>0</v>
          </cell>
        </row>
        <row r="658">
          <cell r="A658">
            <v>0</v>
          </cell>
        </row>
        <row r="659">
          <cell r="A659">
            <v>0</v>
          </cell>
        </row>
        <row r="660">
          <cell r="A660">
            <v>0</v>
          </cell>
        </row>
        <row r="661">
          <cell r="A661">
            <v>0</v>
          </cell>
        </row>
        <row r="662">
          <cell r="A662">
            <v>0</v>
          </cell>
        </row>
        <row r="663">
          <cell r="A663">
            <v>0</v>
          </cell>
        </row>
        <row r="664">
          <cell r="A664">
            <v>0</v>
          </cell>
        </row>
        <row r="665">
          <cell r="A665">
            <v>0</v>
          </cell>
        </row>
        <row r="666">
          <cell r="A666">
            <v>0</v>
          </cell>
        </row>
        <row r="667">
          <cell r="A667">
            <v>0</v>
          </cell>
        </row>
        <row r="668">
          <cell r="A668">
            <v>0</v>
          </cell>
        </row>
        <row r="669">
          <cell r="A669">
            <v>0</v>
          </cell>
        </row>
        <row r="670">
          <cell r="A670">
            <v>0</v>
          </cell>
        </row>
        <row r="671">
          <cell r="A671">
            <v>0</v>
          </cell>
        </row>
        <row r="672">
          <cell r="A672">
            <v>0</v>
          </cell>
        </row>
        <row r="673">
          <cell r="A673">
            <v>0</v>
          </cell>
        </row>
        <row r="674">
          <cell r="A674">
            <v>0</v>
          </cell>
        </row>
        <row r="675">
          <cell r="A675">
            <v>0</v>
          </cell>
        </row>
        <row r="676">
          <cell r="A676">
            <v>0</v>
          </cell>
        </row>
        <row r="677">
          <cell r="A677">
            <v>0</v>
          </cell>
        </row>
        <row r="678">
          <cell r="A678">
            <v>0</v>
          </cell>
        </row>
        <row r="679">
          <cell r="A679">
            <v>0</v>
          </cell>
        </row>
        <row r="680">
          <cell r="A680">
            <v>0</v>
          </cell>
        </row>
        <row r="681">
          <cell r="A681">
            <v>0</v>
          </cell>
        </row>
        <row r="682">
          <cell r="A682">
            <v>0</v>
          </cell>
        </row>
        <row r="683">
          <cell r="A683">
            <v>0</v>
          </cell>
        </row>
        <row r="684">
          <cell r="A684">
            <v>0</v>
          </cell>
        </row>
        <row r="685">
          <cell r="A685">
            <v>0</v>
          </cell>
        </row>
        <row r="686">
          <cell r="A686">
            <v>0</v>
          </cell>
        </row>
        <row r="687">
          <cell r="A687">
            <v>0</v>
          </cell>
        </row>
        <row r="688">
          <cell r="A688">
            <v>0</v>
          </cell>
        </row>
        <row r="689">
          <cell r="A689">
            <v>0</v>
          </cell>
        </row>
        <row r="690">
          <cell r="A690">
            <v>0</v>
          </cell>
        </row>
        <row r="691">
          <cell r="A691">
            <v>0</v>
          </cell>
        </row>
        <row r="692">
          <cell r="A692">
            <v>0</v>
          </cell>
        </row>
        <row r="693">
          <cell r="A693">
            <v>0</v>
          </cell>
        </row>
        <row r="694">
          <cell r="A694">
            <v>0</v>
          </cell>
        </row>
        <row r="695">
          <cell r="A695">
            <v>0</v>
          </cell>
        </row>
        <row r="696">
          <cell r="A696">
            <v>0</v>
          </cell>
        </row>
        <row r="697">
          <cell r="A697">
            <v>0</v>
          </cell>
        </row>
        <row r="698">
          <cell r="A698">
            <v>0</v>
          </cell>
        </row>
        <row r="699">
          <cell r="A699">
            <v>0</v>
          </cell>
        </row>
        <row r="700">
          <cell r="A700">
            <v>0</v>
          </cell>
        </row>
        <row r="701">
          <cell r="A701">
            <v>0</v>
          </cell>
        </row>
        <row r="702">
          <cell r="A702">
            <v>0</v>
          </cell>
        </row>
      </sheetData>
      <sheetData sheetId="90"/>
      <sheetData sheetId="91"/>
      <sheetData sheetId="92"/>
      <sheetData sheetId="93"/>
      <sheetData sheetId="94"/>
      <sheetData sheetId="95"/>
      <sheetData sheetId="96"/>
      <sheetData sheetId="97"/>
      <sheetData sheetId="98"/>
      <sheetData sheetId="99"/>
      <sheetData sheetId="100">
        <row r="20">
          <cell r="E20">
            <v>187</v>
          </cell>
          <cell r="F20" t="str">
            <v>Dept 187</v>
          </cell>
        </row>
        <row r="21">
          <cell r="E21" t="str">
            <v>CEO - CEO</v>
          </cell>
          <cell r="F21" t="str">
            <v>Networks NSW</v>
          </cell>
        </row>
        <row r="22">
          <cell r="E22" t="str">
            <v>PEOPLE_AND_SERVICES - People &amp; Services</v>
          </cell>
          <cell r="F22" t="str">
            <v>People &amp; Services</v>
          </cell>
        </row>
        <row r="23">
          <cell r="E23" t="str">
            <v>ICT - Information, Comm &amp; Tech</v>
          </cell>
          <cell r="F23" t="str">
            <v>ICT</v>
          </cell>
        </row>
        <row r="24">
          <cell r="E24" t="str">
            <v>CHIEF_ENG - Chief Engineer</v>
          </cell>
          <cell r="F24" t="str">
            <v>Chief Engineer</v>
          </cell>
        </row>
        <row r="25">
          <cell r="E25" t="str">
            <v>FINANCE_AND_COMPL - Finance &amp; Compliance</v>
          </cell>
          <cell r="F25" t="str">
            <v>Finance &amp; Compliance</v>
          </cell>
        </row>
        <row r="26">
          <cell r="E26" t="str">
            <v>HEALTH_SAFETY_ENV - Health, Safety &amp; Environment</v>
          </cell>
          <cell r="F26" t="str">
            <v>Health Safety &amp; Environment</v>
          </cell>
        </row>
        <row r="27">
          <cell r="E27" t="str">
            <v>NETWORK_DEV - Network Development</v>
          </cell>
          <cell r="F27" t="str">
            <v>Network Development</v>
          </cell>
        </row>
        <row r="28">
          <cell r="E28" t="str">
            <v>NETWORK_OPS - Network Operations</v>
          </cell>
          <cell r="F28" t="str">
            <v>Network Operations</v>
          </cell>
        </row>
        <row r="29">
          <cell r="E29" t="str">
            <v>OFFICE_MD - Office of COO</v>
          </cell>
          <cell r="F29" t="str">
            <v>COO</v>
          </cell>
        </row>
        <row r="30">
          <cell r="E30" t="str">
            <v>NNSW_INT - Networks NSW (Internal)</v>
          </cell>
          <cell r="F30" t="str">
            <v>Networks NSW</v>
          </cell>
        </row>
        <row r="31">
          <cell r="E31" t="str">
            <v>RETAIL_TRANS_SERV - Retail Transition Services</v>
          </cell>
          <cell r="F31" t="str">
            <v>Retail</v>
          </cell>
        </row>
        <row r="32">
          <cell r="E32">
            <v>239</v>
          </cell>
          <cell r="F32" t="str">
            <v>Network Operations</v>
          </cell>
        </row>
        <row r="33">
          <cell r="E33" t="str">
            <v>RETAILMARKETING - Retail Marketing</v>
          </cell>
          <cell r="F33" t="str">
            <v>Retail</v>
          </cell>
        </row>
        <row r="34">
          <cell r="E34" t="str">
            <v>RETAILSALES - Retail Sales</v>
          </cell>
          <cell r="F34" t="str">
            <v>Retail</v>
          </cell>
        </row>
        <row r="35">
          <cell r="E35" t="str">
            <v>SENIOR_MANAGEMENT - Senior Management</v>
          </cell>
          <cell r="F35" t="str">
            <v>Networks NSW</v>
          </cell>
        </row>
        <row r="36">
          <cell r="E36" t="str">
            <v>WORKPLACE_RELAT_PROG - Workplace Relations</v>
          </cell>
          <cell r="F36" t="str">
            <v>Work Relations</v>
          </cell>
        </row>
        <row r="37">
          <cell r="E37" t="str">
            <v>RETAILMANAGEMENT - Retail Management</v>
          </cell>
          <cell r="F37" t="str">
            <v>Retail</v>
          </cell>
        </row>
        <row r="38">
          <cell r="E38" t="str">
            <v>NNSW_EXT - Networks NSW (External)</v>
          </cell>
          <cell r="F38" t="str">
            <v>Networks NSW</v>
          </cell>
        </row>
        <row r="39">
          <cell r="E39" t="str">
            <v>INSERT ROWS ABOVE THIS LINE</v>
          </cell>
          <cell r="F39">
            <v>0</v>
          </cell>
        </row>
      </sheetData>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Sensitivities"/>
      <sheetName val="Bridge for Jess (2)"/>
      <sheetName val="Bridge for Jess"/>
      <sheetName val="Summary Capex"/>
      <sheetName val="Summary Opex"/>
      <sheetName val="Checks"/>
      <sheetName val="TIDY UP"/>
      <sheetName val="2) Base (ex Prop) escalated"/>
      <sheetName val="3) Base less depn escalated"/>
      <sheetName val="4) Base (plus prop) escalated"/>
      <sheetName val="Check Scenarios"/>
      <sheetName val="COO Meeting"/>
      <sheetName val="Story"/>
      <sheetName val="1) Base (ex Prop) no escalat"/>
      <sheetName val="ROMO "/>
      <sheetName val="Direct reclassifications"/>
      <sheetName val="Indirect to unallocated"/>
      <sheetName val="Assumptions"/>
      <sheetName val="Mini-sub"/>
      <sheetName val="1a"/>
      <sheetName val="ANon-sys"/>
      <sheetName val="Acomponents"/>
      <sheetName val="A1.1Direct"/>
      <sheetName val="A1.2 Fully loaded"/>
      <sheetName val="A2.1"/>
      <sheetName val="A4Ohds"/>
      <sheetName val="15-19 Graphs"/>
      <sheetName val="Capex Opex fcst8yr"/>
      <sheetName val="Story Graphs"/>
      <sheetName val="Capex Opex inputs"/>
      <sheetName val="Compareopex"/>
      <sheetName val="Comparecapex"/>
      <sheetName val="CompareOHS"/>
      <sheetName val="compareHigh level"/>
      <sheetName val="Opex Calc by Div"/>
      <sheetName val="Allocation rates"/>
      <sheetName val="Project Allocation"/>
      <sheetName val="2015 Divisional Summary"/>
      <sheetName val="2016 Divisional Summary"/>
      <sheetName val="2017 Divisional Summary"/>
      <sheetName val="2018 Divisional Summary"/>
      <sheetName val="2019 Divisional Summary"/>
      <sheetName val="Instructions for model"/>
      <sheetName val="OHs summary"/>
      <sheetName val="Direct opex summary"/>
      <sheetName val="Direct Capex Summary"/>
      <sheetName val="Sys capex workings"/>
      <sheetName val="System opex workings"/>
      <sheetName val="Non-Sytem Workings"/>
      <sheetName val="OH workings 2012"/>
      <sheetName val="OH workings 2015"/>
      <sheetName val="OH workings 2016"/>
      <sheetName val="OH workings 2017"/>
      <sheetName val="OH workings 2018"/>
      <sheetName val="OH workings 2019"/>
      <sheetName val="Network allocation split"/>
      <sheetName val="Weighted avg div alloc rates"/>
      <sheetName val="Direct syscapex input summary 1"/>
      <sheetName val="Direct syscapex input summary 2"/>
      <sheetName val="Direct sys opex input summary"/>
      <sheetName val="System opex input"/>
      <sheetName val="Standard Control Capex Input"/>
      <sheetName val="Other System Capex Input"/>
      <sheetName val="OHs input summary"/>
      <sheetName val="Tools &amp; F&amp;F Input"/>
      <sheetName val="Property Data input"/>
      <sheetName val="Fleet Data input"/>
      <sheetName val="IT Data Input"/>
      <sheetName val="OH inputs"/>
      <sheetName val="Advertising costs"/>
      <sheetName val="Water input"/>
      <sheetName val="Escalation rates"/>
      <sheetName val="Retail provision and income"/>
      <sheetName val="Corp allocation rates"/>
      <sheetName val="CPI factors"/>
      <sheetName val="Model structure"/>
      <sheetName val="OH modelling factors"/>
      <sheetName val="Asset lives"/>
      <sheetName val="General data inputs"/>
      <sheetName val="Dept tree 2015"/>
      <sheetName val="Dept tree 2016"/>
      <sheetName val="Dept tree 2017"/>
      <sheetName val="Dept tree 2018"/>
      <sheetName val="Dept tree 2019"/>
      <sheetName val="Dept names"/>
      <sheetName val="Input summary"/>
      <sheetName val="2012 Divisional Summary"/>
      <sheetName val="Dept tree 2012"/>
      <sheetName val="2012W.avg div alloc rate"/>
      <sheetName val="2012 data"/>
      <sheetName val="Tot.startopex detail2012"/>
      <sheetName val="S2Capex"/>
      <sheetName val="S2Opex"/>
      <sheetName val="S3Non-sys"/>
      <sheetName val="S1Total"/>
      <sheetName val="Generation input"/>
      <sheetName val="Total Master 2012"/>
      <sheetName val="2012 Div Base case"/>
      <sheetName val="Summary NS Opex"/>
      <sheetName val="Explanation for Method Sensitiv"/>
      <sheetName val="1a updated"/>
      <sheetName val="Graph for Gary"/>
      <sheetName val="Recommendations"/>
      <sheetName val="Versions"/>
      <sheetName val="Glossary"/>
      <sheetName val="2015 Corp alloc rates"/>
    </sheetNames>
    <sheetDataSet>
      <sheetData sheetId="0"/>
      <sheetData sheetId="1"/>
      <sheetData sheetId="2"/>
      <sheetData sheetId="3"/>
      <sheetData sheetId="4">
        <row r="23">
          <cell r="A23" t="str">
            <v>Growth (demand related)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A1" t="str">
            <v>This sheet takes the 2012 OH input data and calculates the Corporate and Divisional allocations of overheads to divisions. It is also where adjustments to the RAW data for sensitivities, savings, costs seperately reported by Reg, escalation factors and cpi take place.</v>
          </cell>
        </row>
      </sheetData>
      <sheetData sheetId="51">
        <row r="1">
          <cell r="A1" t="str">
            <v>This sheet takes the 2015 OH input data and calculates the Corporate and Divisional allocations of overheads to divisions. It is also where adjustments to the RAW data for sensitivities, savings and costs seperately reported by Reg.</v>
          </cell>
        </row>
      </sheetData>
      <sheetData sheetId="52">
        <row r="1">
          <cell r="A1" t="str">
            <v>This sheet takes the 2016 OH input data and calculates the Corporate and Divisional allocations of overheads to divisions. It is also where adjustments to the RAW data for sensitivities, savings and costs seperately reported by Reg.</v>
          </cell>
        </row>
      </sheetData>
      <sheetData sheetId="53"/>
      <sheetData sheetId="54"/>
      <sheetData sheetId="55"/>
      <sheetData sheetId="56">
        <row r="1">
          <cell r="A1" t="str">
            <v>This sheet splits the Sum of Networks % from the Weighted avg div allocation rates sheet between the three Network divisions to establish their relative share based on direct capex and project direct opex spend for each year.</v>
          </cell>
        </row>
      </sheetData>
      <sheetData sheetId="57">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sheetData>
      <sheetData sheetId="58"/>
      <sheetData sheetId="59"/>
      <sheetData sheetId="60"/>
      <sheetData sheetId="61"/>
      <sheetData sheetId="62"/>
      <sheetData sheetId="63"/>
      <sheetData sheetId="64"/>
      <sheetData sheetId="65"/>
      <sheetData sheetId="66"/>
      <sheetData sheetId="67"/>
      <sheetData sheetId="68"/>
      <sheetData sheetId="69">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sheetData>
      <sheetData sheetId="70">
        <row r="11">
          <cell r="A11">
            <v>1</v>
          </cell>
        </row>
      </sheetData>
      <sheetData sheetId="71"/>
      <sheetData sheetId="72"/>
      <sheetData sheetId="73"/>
      <sheetData sheetId="7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sheetData>
      <sheetData sheetId="75"/>
      <sheetData sheetId="76"/>
      <sheetData sheetId="77"/>
      <sheetData sheetId="78"/>
      <sheetData sheetId="79"/>
      <sheetData sheetId="80">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1">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2">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3">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4">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5">
        <row r="1">
          <cell r="A1" t="str">
            <v>This sheet converts the unusual names from the PeopleSoft system (Dept tree sheets) into shortened, easier to understand names. It provides the input to the Dept tree sheets (columns P to S). It must b eupdated manually whenever there is a new sci or restructure</v>
          </cell>
        </row>
        <row r="2">
          <cell r="A2" t="str">
            <v xml:space="preserve">To do a quick structure change (before it is in P soft)  change column R in each dept tree sheet </v>
          </cell>
        </row>
        <row r="4">
          <cell r="A4" t="str">
            <v>2015 NAME CONVERSION</v>
          </cell>
          <cell r="C4" t="str">
            <v>2016 NAME CONVERSION</v>
          </cell>
          <cell r="E4" t="str">
            <v>2017 NAME CONVERSION</v>
          </cell>
          <cell r="G4" t="str">
            <v>2018 NAME CONVERSION</v>
          </cell>
          <cell r="I4" t="str">
            <v>2019 NAME CONVERSION</v>
          </cell>
        </row>
        <row r="5">
          <cell r="A5" t="str">
            <v>TREE Node L2 Name</v>
          </cell>
          <cell r="C5" t="str">
            <v>TREE Node L2 Name</v>
          </cell>
          <cell r="E5" t="str">
            <v>TREE Node L2 Name</v>
          </cell>
          <cell r="G5" t="str">
            <v>TREE Node L2 Name</v>
          </cell>
          <cell r="I5" t="str">
            <v>TREE Node L2 Name</v>
          </cell>
        </row>
        <row r="6">
          <cell r="A6">
            <v>187</v>
          </cell>
          <cell r="C6">
            <v>187</v>
          </cell>
          <cell r="E6">
            <v>187</v>
          </cell>
          <cell r="G6">
            <v>187</v>
          </cell>
          <cell r="I6">
            <v>187</v>
          </cell>
        </row>
        <row r="7">
          <cell r="A7" t="str">
            <v>CEO - CEO</v>
          </cell>
          <cell r="C7" t="str">
            <v>CEO - CEO</v>
          </cell>
          <cell r="E7" t="str">
            <v>CEO - CEO</v>
          </cell>
          <cell r="G7" t="str">
            <v>CEO - CEO</v>
          </cell>
          <cell r="I7" t="str">
            <v>CEO - CEO</v>
          </cell>
        </row>
        <row r="8">
          <cell r="A8" t="str">
            <v>COMPANYSECRETARYMGMT - Company Secretary</v>
          </cell>
          <cell r="C8" t="str">
            <v>COMPANYSECRETARYMGMT - Company Secretary</v>
          </cell>
          <cell r="E8" t="str">
            <v>COMPANYSECRETARYMGMT - Company Secretary</v>
          </cell>
          <cell r="G8" t="str">
            <v>COMPANYSECRETARYMGMT - Company Secretary</v>
          </cell>
          <cell r="I8" t="str">
            <v>COMPANYSECRETARYMGMT - Company Secretary</v>
          </cell>
        </row>
        <row r="9">
          <cell r="A9" t="str">
            <v>CORP_STRAT_COMM - Corporate Strategy &amp; Comms</v>
          </cell>
          <cell r="C9" t="str">
            <v>CORP_STRAT_COMM - Corporate Strategy &amp; Comms</v>
          </cell>
          <cell r="E9" t="str">
            <v>CORP_STRAT_COMM - Corporate Strategy &amp; Comms</v>
          </cell>
          <cell r="G9" t="str">
            <v>CORP_STRAT_COMM - Corporate Strategy &amp; Comms</v>
          </cell>
          <cell r="I9" t="str">
            <v>CORP_STRAT_COMM - Corporate Strategy &amp; Comms</v>
          </cell>
        </row>
        <row r="10">
          <cell r="A10" t="str">
            <v>ENGINEERING_SERVICES - Engineering Services</v>
          </cell>
          <cell r="C10" t="str">
            <v>ENGINEERING_SERVICES - Engineering Services</v>
          </cell>
          <cell r="E10" t="str">
            <v>ENGINEERING_SERVICES - Engineering Services</v>
          </cell>
          <cell r="G10" t="str">
            <v>ENGINEERING_SERVICES - Engineering Services</v>
          </cell>
          <cell r="I10" t="str">
            <v>ENGINEERING_SERVICES - Engineering Services</v>
          </cell>
        </row>
        <row r="11">
          <cell r="A11" t="str">
            <v>FINANCERISK&amp;CORPOPS - Finance &amp; Information Tech.</v>
          </cell>
          <cell r="C11" t="str">
            <v>FINANCERISK&amp;CORPOPS - Finance &amp; Information Tech.</v>
          </cell>
          <cell r="E11" t="str">
            <v>FINANCERISK&amp;CORPOPS - Finance &amp; Information Tech.</v>
          </cell>
          <cell r="G11" t="str">
            <v>FINANCERISK&amp;CORPOPS - Finance &amp; Information Tech.</v>
          </cell>
          <cell r="I11" t="str">
            <v>FINANCERISK&amp;CORPOPS - Finance &amp; Information Tech.</v>
          </cell>
        </row>
        <row r="12">
          <cell r="A12" t="str">
            <v>HUMANRESOURCES - Human Resources &amp; Safety</v>
          </cell>
          <cell r="C12" t="str">
            <v>HUMANRESOURCES - Human Resources &amp; Safety</v>
          </cell>
          <cell r="E12" t="str">
            <v>HUMANRESOURCES - Human Resources &amp; Safety</v>
          </cell>
          <cell r="G12" t="str">
            <v>HUMANRESOURCES - Human Resources &amp; Safety</v>
          </cell>
          <cell r="I12" t="str">
            <v>HUMANRESOURCES - Human Resources &amp; Safety</v>
          </cell>
        </row>
        <row r="13">
          <cell r="A13" t="str">
            <v>INFRASTRAT - Infrastructure Strategy</v>
          </cell>
          <cell r="C13" t="str">
            <v>INFRASTRAT - Infrastructure Strategy</v>
          </cell>
          <cell r="E13" t="str">
            <v>INFRASTRAT - Infrastructure Strategy</v>
          </cell>
          <cell r="G13" t="str">
            <v>INFRASTRAT - Infrastructure Strategy</v>
          </cell>
          <cell r="I13" t="str">
            <v>INFRASTRAT - Infrastructure Strategy</v>
          </cell>
        </row>
        <row r="14">
          <cell r="A14" t="str">
            <v>INFRASTRUCTUREOPERAT - Infrastructure Operations</v>
          </cell>
          <cell r="C14" t="str">
            <v>INFRASTRUCTUREOPERAT - Infrastructure Operations</v>
          </cell>
          <cell r="E14" t="str">
            <v>INFRASTRUCTUREOPERAT - Infrastructure Operations</v>
          </cell>
          <cell r="G14" t="str">
            <v>INFRASTRUCTUREOPERAT - Infrastructure Operations</v>
          </cell>
          <cell r="I14" t="str">
            <v>INFRASTRUCTUREOPERAT - Infrastructure Operations</v>
          </cell>
        </row>
        <row r="15">
          <cell r="A15" t="str">
            <v>OFFICE_MD - Office of Managing Director</v>
          </cell>
          <cell r="C15" t="str">
            <v>OFFICE_MD - Office of Managing Director</v>
          </cell>
          <cell r="E15" t="str">
            <v>OFFICE_MD - Office of Managing Director</v>
          </cell>
          <cell r="G15" t="str">
            <v>OFFICE_MD - Office of Managing Director</v>
          </cell>
          <cell r="I15" t="str">
            <v>OFFICE_MD - Office of Managing Director</v>
          </cell>
        </row>
        <row r="16">
          <cell r="A16" t="str">
            <v>OTHER - Other</v>
          </cell>
          <cell r="C16" t="str">
            <v>OTHER - Other</v>
          </cell>
          <cell r="E16" t="str">
            <v>OTHER - Other</v>
          </cell>
          <cell r="G16" t="str">
            <v>OTHER - Other</v>
          </cell>
          <cell r="I16" t="str">
            <v>OTHER - Other</v>
          </cell>
        </row>
        <row r="17">
          <cell r="A17" t="str">
            <v>RETAIL_TRANS_SERV - Retail Transition Services</v>
          </cell>
          <cell r="C17" t="str">
            <v>RETAIL_TRANS_SERV - Retail Transition Services</v>
          </cell>
          <cell r="E17" t="str">
            <v>RETAIL_TRANS_SERV - Retail Transition Services</v>
          </cell>
          <cell r="G17" t="str">
            <v>RETAIL_TRANS_SERV - Retail Transition Services</v>
          </cell>
          <cell r="I17" t="str">
            <v>RETAIL_TRANS_SERV - Retail Transition Services</v>
          </cell>
        </row>
        <row r="18">
          <cell r="A18" t="str">
            <v>RETAILMANAGEMENT - Retail Management</v>
          </cell>
          <cell r="C18" t="str">
            <v>RETAILMANAGEMENT - Retail Management</v>
          </cell>
          <cell r="E18" t="str">
            <v>RETAILMANAGEMENT - Retail Management</v>
          </cell>
          <cell r="G18" t="str">
            <v>RETAILMANAGEMENT - Retail Management</v>
          </cell>
          <cell r="I18" t="str">
            <v>RETAILMANAGEMENT - Retail Management</v>
          </cell>
        </row>
        <row r="19">
          <cell r="A19" t="str">
            <v>RETAILMARKETING - Retail Marketing</v>
          </cell>
          <cell r="C19" t="str">
            <v>RETAILMARKETING - Retail Marketing</v>
          </cell>
          <cell r="E19" t="str">
            <v>RETAILMARKETING - Retail Marketing</v>
          </cell>
          <cell r="G19" t="str">
            <v>RETAILMARKETING - Retail Marketing</v>
          </cell>
          <cell r="I19" t="str">
            <v>RETAILMARKETING - Retail Marketing</v>
          </cell>
        </row>
        <row r="20">
          <cell r="A20" t="str">
            <v>RETAILSALES - Retail Sales</v>
          </cell>
          <cell r="C20" t="str">
            <v>RETAILSALES - Retail Sales</v>
          </cell>
          <cell r="E20" t="str">
            <v>RETAILSALES - Retail Sales</v>
          </cell>
          <cell r="G20" t="str">
            <v>RETAILSALES - Retail Sales</v>
          </cell>
          <cell r="I20" t="str">
            <v>RETAILSALES - Retail Sales</v>
          </cell>
        </row>
        <row r="21">
          <cell r="A21" t="str">
            <v>SENIOR_MANAGEMENT - Senior Management</v>
          </cell>
          <cell r="C21" t="str">
            <v>SENIOR_MANAGEMENT - Senior Management</v>
          </cell>
          <cell r="E21" t="str">
            <v>SENIOR_MANAGEMENT - Senior Management</v>
          </cell>
          <cell r="G21" t="str">
            <v>SENIOR_MANAGEMENT - Senior Management</v>
          </cell>
          <cell r="I21" t="str">
            <v>SENIOR_MANAGEMENT - Senior Management</v>
          </cell>
        </row>
        <row r="22">
          <cell r="A22" t="str">
            <v>WORKPLACE_RELAT_PROG - Workplace Relations</v>
          </cell>
          <cell r="C22" t="str">
            <v>WORKPLACE_RELAT_PROG - Workplace Relations</v>
          </cell>
          <cell r="E22" t="str">
            <v>WORKPLACE_RELAT_PROG - Workplace Relations</v>
          </cell>
          <cell r="G22" t="str">
            <v>WORKPLACE_RELAT_PROG - Workplace Relations</v>
          </cell>
          <cell r="I22" t="str">
            <v>WORKPLACE_RELAT_PROG - Workplace Relations</v>
          </cell>
        </row>
        <row r="24">
          <cell r="A24" t="str">
            <v>INSERT ROWS ABOVE THIS LINE</v>
          </cell>
          <cell r="C24" t="str">
            <v>INSERT ROWS ABOVE THIS LINE</v>
          </cell>
          <cell r="E24" t="str">
            <v>INSERT ROWS ABOVE THIS LINE</v>
          </cell>
          <cell r="G24" t="str">
            <v>INSERT ROWS ABOVE THIS LINE</v>
          </cell>
          <cell r="I24" t="str">
            <v>INSERT ROWS ABOVE THIS LINE</v>
          </cell>
        </row>
      </sheetData>
      <sheetData sheetId="86"/>
      <sheetData sheetId="87"/>
      <sheetData sheetId="88"/>
      <sheetData sheetId="89">
        <row r="1">
          <cell r="A1" t="str">
            <v>This sheet feeds into the OH workings 2012 sheet. It takes the rates from the 2012 Data page and adjusts for the Retail sensitivity as required.</v>
          </cell>
        </row>
      </sheetData>
      <sheetData sheetId="90">
        <row r="1">
          <cell r="A1" t="str">
            <v>This data is coped from TROMO FINALE - OHs input sheet (from Jess McInnes in Finance) and the 2012 Allocation Rates page. Port drive: Infrastructure Strategy/Commercial Strategy/2014 AER Determination/Finance Lead/Finance Stream/Mini submission/global modelling/Final Model/TROMO FINALE.xlsx</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77"/>
  <sheetViews>
    <sheetView workbookViewId="0">
      <pane xSplit="3" ySplit="4" topLeftCell="D5" activePane="bottomRight" state="frozen"/>
      <selection pane="topRight" activeCell="D1" sqref="D1"/>
      <selection pane="bottomLeft" activeCell="A6" sqref="A6"/>
      <selection pane="bottomRight" activeCell="L29" sqref="L29"/>
    </sheetView>
  </sheetViews>
  <sheetFormatPr defaultRowHeight="12.75" x14ac:dyDescent="0.2"/>
  <cols>
    <col min="1" max="1" width="9.140625" style="87"/>
    <col min="2" max="2" width="29.140625" style="87" customWidth="1"/>
    <col min="3" max="9" width="10.28515625" style="87" bestFit="1" customWidth="1"/>
    <col min="10" max="10" width="10.85546875" style="87" customWidth="1"/>
    <col min="11" max="11" width="7.7109375" style="87" bestFit="1" customWidth="1"/>
    <col min="12" max="16384" width="9.140625" style="87"/>
  </cols>
  <sheetData>
    <row r="1" spans="1:11" x14ac:dyDescent="0.2">
      <c r="A1" s="86" t="s">
        <v>109</v>
      </c>
      <c r="B1" s="86"/>
    </row>
    <row r="2" spans="1:11" s="82" customFormat="1" x14ac:dyDescent="0.2">
      <c r="B2" s="88" t="s">
        <v>110</v>
      </c>
    </row>
    <row r="3" spans="1:11" s="82" customFormat="1" x14ac:dyDescent="0.2"/>
    <row r="4" spans="1:11" x14ac:dyDescent="0.2">
      <c r="D4" s="13" t="s">
        <v>111</v>
      </c>
      <c r="E4" s="13" t="s">
        <v>112</v>
      </c>
      <c r="F4" s="13" t="s">
        <v>0</v>
      </c>
      <c r="G4" s="13" t="s">
        <v>1</v>
      </c>
      <c r="H4" s="13" t="s">
        <v>12</v>
      </c>
      <c r="I4" s="13" t="s">
        <v>2</v>
      </c>
      <c r="J4" s="13" t="s">
        <v>3</v>
      </c>
    </row>
    <row r="5" spans="1:11" x14ac:dyDescent="0.2">
      <c r="B5" s="87" t="s">
        <v>113</v>
      </c>
      <c r="D5" s="5"/>
      <c r="E5" s="5"/>
      <c r="F5" s="5"/>
      <c r="G5" s="5"/>
      <c r="H5" s="5"/>
      <c r="I5" s="5"/>
      <c r="J5" s="5"/>
    </row>
    <row r="6" spans="1:11" x14ac:dyDescent="0.2">
      <c r="B6" s="87" t="s">
        <v>114</v>
      </c>
      <c r="D6" s="101">
        <v>3.39E-2</v>
      </c>
      <c r="E6" s="101">
        <v>1.7600000000000001E-2</v>
      </c>
      <c r="F6" s="101">
        <v>2.5000000000000001E-2</v>
      </c>
      <c r="G6" s="101">
        <v>2.5000000000000001E-2</v>
      </c>
      <c r="H6" s="101">
        <v>2.5000000000000001E-2</v>
      </c>
      <c r="I6" s="101">
        <v>2.5000000000000001E-2</v>
      </c>
      <c r="J6" s="101">
        <v>2.5000000000000001E-2</v>
      </c>
    </row>
    <row r="7" spans="1:11" x14ac:dyDescent="0.2">
      <c r="B7" s="87" t="s">
        <v>115</v>
      </c>
      <c r="D7" s="90">
        <v>3.39E-2</v>
      </c>
      <c r="E7" s="90">
        <v>1.7600000000000001E-2</v>
      </c>
      <c r="F7" s="102">
        <v>0</v>
      </c>
      <c r="G7" s="102">
        <v>0</v>
      </c>
      <c r="H7" s="102">
        <v>0</v>
      </c>
      <c r="I7" s="102">
        <v>0</v>
      </c>
      <c r="J7" s="102">
        <v>0</v>
      </c>
    </row>
    <row r="8" spans="1:11" x14ac:dyDescent="0.2">
      <c r="D8" s="87">
        <v>0</v>
      </c>
      <c r="E8" s="87">
        <v>0</v>
      </c>
      <c r="F8" s="87">
        <v>0</v>
      </c>
      <c r="G8" s="87">
        <v>0</v>
      </c>
      <c r="H8" s="87">
        <v>0</v>
      </c>
      <c r="I8" s="87">
        <v>0</v>
      </c>
      <c r="J8" s="87">
        <v>0</v>
      </c>
    </row>
    <row r="9" spans="1:11" x14ac:dyDescent="0.2">
      <c r="D9" s="87">
        <v>0</v>
      </c>
      <c r="E9" s="87">
        <v>0</v>
      </c>
      <c r="F9" s="87">
        <v>0</v>
      </c>
      <c r="G9" s="87">
        <v>0</v>
      </c>
      <c r="H9" s="87">
        <v>0</v>
      </c>
      <c r="I9" s="87">
        <v>0</v>
      </c>
      <c r="J9" s="87">
        <v>0</v>
      </c>
    </row>
    <row r="10" spans="1:11" ht="13.5" thickBot="1" x14ac:dyDescent="0.25">
      <c r="B10" s="87" t="s">
        <v>116</v>
      </c>
      <c r="D10" s="90">
        <f>1+D7</f>
        <v>1.0339</v>
      </c>
      <c r="E10" s="90">
        <f>D10*(1+E6)</f>
        <v>1.05209664</v>
      </c>
      <c r="F10" s="90">
        <f>E10*(1+F6)</f>
        <v>1.0783990559999999</v>
      </c>
      <c r="G10" s="90">
        <f t="shared" ref="G10:I10" si="0">F10*(1+G6)</f>
        <v>1.1053590323999998</v>
      </c>
      <c r="H10" s="90">
        <f t="shared" si="0"/>
        <v>1.1329930082099997</v>
      </c>
      <c r="I10" s="90">
        <f t="shared" si="0"/>
        <v>1.1613178334152496</v>
      </c>
      <c r="J10" s="90">
        <f>I10*(1+J6)</f>
        <v>1.1903507792506307</v>
      </c>
    </row>
    <row r="11" spans="1:11" ht="13.5" thickBot="1" x14ac:dyDescent="0.25">
      <c r="B11" s="103" t="s">
        <v>117</v>
      </c>
      <c r="C11" s="103"/>
      <c r="D11" s="104">
        <v>3.3900000000000041E-2</v>
      </c>
      <c r="E11" s="104">
        <v>5.2096640000000027E-2</v>
      </c>
      <c r="F11" s="104">
        <v>7.8399055999999856E-2</v>
      </c>
      <c r="G11" s="104">
        <v>0.10535903239999977</v>
      </c>
      <c r="H11" s="104">
        <v>0.13299300820999971</v>
      </c>
      <c r="I11" s="104">
        <v>0.16131783341524963</v>
      </c>
      <c r="J11" s="105">
        <v>0.19035077925063071</v>
      </c>
    </row>
    <row r="12" spans="1:11" s="89" customFormat="1" ht="5.25" customHeight="1" x14ac:dyDescent="0.2"/>
    <row r="14" spans="1:11" x14ac:dyDescent="0.2">
      <c r="F14" s="5" t="s">
        <v>0</v>
      </c>
      <c r="G14" s="5" t="s">
        <v>1</v>
      </c>
      <c r="H14" s="5" t="s">
        <v>12</v>
      </c>
      <c r="I14" s="5" t="s">
        <v>2</v>
      </c>
      <c r="J14" s="5" t="s">
        <v>3</v>
      </c>
    </row>
    <row r="15" spans="1:11" x14ac:dyDescent="0.2">
      <c r="A15" s="86" t="s">
        <v>148</v>
      </c>
    </row>
    <row r="16" spans="1:11" x14ac:dyDescent="0.2">
      <c r="B16" s="5" t="s">
        <v>4</v>
      </c>
      <c r="F16" s="90">
        <v>8.8300000000000003E-2</v>
      </c>
      <c r="G16" s="90">
        <v>8.8300000000000003E-2</v>
      </c>
      <c r="H16" s="90">
        <v>8.8300000000000003E-2</v>
      </c>
      <c r="I16" s="90">
        <v>8.8300000000000003E-2</v>
      </c>
      <c r="J16" s="90">
        <v>8.8300000000000003E-2</v>
      </c>
      <c r="K16" s="39"/>
    </row>
    <row r="17" spans="1:12" s="89" customFormat="1" ht="5.25" customHeight="1" x14ac:dyDescent="0.2"/>
    <row r="19" spans="1:12" x14ac:dyDescent="0.2">
      <c r="A19" s="5" t="s">
        <v>18</v>
      </c>
      <c r="C19" s="1" t="s">
        <v>6</v>
      </c>
      <c r="D19" s="1" t="s">
        <v>7</v>
      </c>
      <c r="E19" s="1" t="s">
        <v>8</v>
      </c>
      <c r="F19" s="2" t="s">
        <v>0</v>
      </c>
      <c r="G19" s="2" t="s">
        <v>1</v>
      </c>
      <c r="H19" s="2" t="s">
        <v>12</v>
      </c>
      <c r="I19" s="2" t="s">
        <v>2</v>
      </c>
      <c r="J19" s="2" t="s">
        <v>3</v>
      </c>
      <c r="K19" s="2"/>
      <c r="L19" s="2"/>
    </row>
    <row r="20" spans="1:12" x14ac:dyDescent="0.2">
      <c r="A20" s="86" t="s">
        <v>145</v>
      </c>
      <c r="B20" s="86"/>
      <c r="C20" s="106" t="s">
        <v>9</v>
      </c>
      <c r="D20" s="106" t="s">
        <v>9</v>
      </c>
      <c r="E20" s="107" t="s">
        <v>10</v>
      </c>
      <c r="F20" s="107" t="s">
        <v>11</v>
      </c>
      <c r="G20" s="107" t="s">
        <v>11</v>
      </c>
      <c r="H20" s="107" t="s">
        <v>11</v>
      </c>
      <c r="I20" s="107" t="s">
        <v>11</v>
      </c>
      <c r="J20" s="107" t="s">
        <v>11</v>
      </c>
      <c r="K20" s="107"/>
      <c r="L20" s="107"/>
    </row>
    <row r="21" spans="1:12" x14ac:dyDescent="0.2">
      <c r="C21" s="106"/>
      <c r="D21" s="107"/>
      <c r="E21" s="107"/>
      <c r="F21" s="107"/>
      <c r="G21" s="107"/>
      <c r="H21" s="107"/>
      <c r="I21" s="107"/>
      <c r="J21" s="107"/>
      <c r="K21" s="108"/>
      <c r="L21" s="109"/>
    </row>
    <row r="22" spans="1:12" x14ac:dyDescent="0.2">
      <c r="A22" s="91" t="s">
        <v>13</v>
      </c>
      <c r="C22" s="10">
        <v>698383</v>
      </c>
      <c r="D22" s="10">
        <v>703627</v>
      </c>
      <c r="E22" s="10">
        <v>706630.3</v>
      </c>
      <c r="F22" s="10">
        <v>711051.3</v>
      </c>
      <c r="G22" s="10">
        <v>715107.4</v>
      </c>
      <c r="H22" s="10">
        <v>718894.6</v>
      </c>
      <c r="I22" s="10">
        <v>723358</v>
      </c>
      <c r="J22" s="10">
        <v>728274.4</v>
      </c>
      <c r="K22" s="75"/>
      <c r="L22" s="76"/>
    </row>
    <row r="23" spans="1:12" x14ac:dyDescent="0.2">
      <c r="A23" s="91" t="s">
        <v>14</v>
      </c>
      <c r="C23" s="10">
        <v>10367</v>
      </c>
      <c r="D23" s="10">
        <v>11678</v>
      </c>
      <c r="E23" s="10">
        <v>12428.8</v>
      </c>
      <c r="F23" s="10">
        <v>13534.1</v>
      </c>
      <c r="G23" s="10">
        <v>14548.1</v>
      </c>
      <c r="H23" s="10">
        <v>15494.9</v>
      </c>
      <c r="I23" s="10">
        <v>16610.8</v>
      </c>
      <c r="J23" s="10">
        <v>17839.900000000001</v>
      </c>
      <c r="K23" s="75"/>
      <c r="L23" s="76"/>
    </row>
    <row r="24" spans="1:12" x14ac:dyDescent="0.2">
      <c r="A24" s="91" t="s">
        <v>15</v>
      </c>
      <c r="C24" s="10">
        <v>79697</v>
      </c>
      <c r="D24" s="10">
        <v>80273</v>
      </c>
      <c r="E24" s="10">
        <v>79973</v>
      </c>
      <c r="F24" s="10">
        <v>79250.489999999991</v>
      </c>
      <c r="G24" s="10">
        <v>78238.699000000008</v>
      </c>
      <c r="H24" s="10">
        <v>77197.221000000005</v>
      </c>
      <c r="I24" s="10">
        <v>76266.085999999996</v>
      </c>
      <c r="J24" s="10">
        <v>75028.603000000003</v>
      </c>
      <c r="K24" s="75"/>
      <c r="L24" s="76"/>
    </row>
    <row r="25" spans="1:12" x14ac:dyDescent="0.2">
      <c r="A25" s="91" t="s">
        <v>16</v>
      </c>
      <c r="C25" s="10">
        <v>10914</v>
      </c>
      <c r="D25" s="10">
        <v>11458</v>
      </c>
      <c r="E25" s="10">
        <v>11425</v>
      </c>
      <c r="F25" s="10">
        <v>14113.1</v>
      </c>
      <c r="G25" s="10">
        <v>14359</v>
      </c>
      <c r="H25" s="10">
        <v>14603.3</v>
      </c>
      <c r="I25" s="10">
        <v>14861</v>
      </c>
      <c r="J25" s="10">
        <v>15086</v>
      </c>
      <c r="K25" s="75"/>
      <c r="L25" s="76"/>
    </row>
    <row r="26" spans="1:12" x14ac:dyDescent="0.2">
      <c r="A26" s="91" t="s">
        <v>17</v>
      </c>
      <c r="C26" s="10">
        <v>493193</v>
      </c>
      <c r="D26" s="10">
        <v>489270.7</v>
      </c>
      <c r="E26" s="10">
        <v>485385.4</v>
      </c>
      <c r="F26" s="10">
        <v>481536.7</v>
      </c>
      <c r="G26" s="10">
        <v>477724.30000000005</v>
      </c>
      <c r="H26" s="10">
        <v>473947.6</v>
      </c>
      <c r="I26" s="10">
        <v>470206.4</v>
      </c>
      <c r="J26" s="10">
        <v>466500.1</v>
      </c>
      <c r="K26" s="76"/>
      <c r="L26" s="76"/>
    </row>
    <row r="27" spans="1:12" x14ac:dyDescent="0.2">
      <c r="A27" s="87" t="s">
        <v>34</v>
      </c>
      <c r="C27" s="10">
        <v>65295</v>
      </c>
      <c r="D27" s="10">
        <v>82125</v>
      </c>
      <c r="E27" s="10">
        <v>97771.626999999993</v>
      </c>
      <c r="F27" s="10">
        <v>113418.433</v>
      </c>
      <c r="G27" s="10">
        <v>127565.171</v>
      </c>
      <c r="H27" s="10">
        <v>141785.261</v>
      </c>
      <c r="I27" s="10">
        <v>153845.16099999996</v>
      </c>
      <c r="J27" s="10">
        <v>165832.18900000001</v>
      </c>
      <c r="K27" s="77"/>
      <c r="L27" s="77"/>
    </row>
    <row r="28" spans="1:12" x14ac:dyDescent="0.2">
      <c r="K28" s="40"/>
      <c r="L28" s="40"/>
    </row>
    <row r="29" spans="1:12" ht="13.5" thickBot="1" x14ac:dyDescent="0.25">
      <c r="A29" s="92" t="s">
        <v>146</v>
      </c>
      <c r="C29" s="93">
        <f t="shared" ref="C29:J29" si="1">SUM(C22:C28)</f>
        <v>1357849</v>
      </c>
      <c r="D29" s="93">
        <f t="shared" si="1"/>
        <v>1378431.7</v>
      </c>
      <c r="E29" s="93">
        <f t="shared" si="1"/>
        <v>1393614.1270000001</v>
      </c>
      <c r="F29" s="93">
        <f t="shared" si="1"/>
        <v>1412904.1229999999</v>
      </c>
      <c r="G29" s="93">
        <f t="shared" si="1"/>
        <v>1427542.6700000002</v>
      </c>
      <c r="H29" s="93">
        <f t="shared" si="1"/>
        <v>1441922.882</v>
      </c>
      <c r="I29" s="93">
        <f t="shared" si="1"/>
        <v>1455147.4470000002</v>
      </c>
      <c r="J29" s="93">
        <f t="shared" si="1"/>
        <v>1468561.192</v>
      </c>
      <c r="K29" s="94"/>
      <c r="L29" s="94"/>
    </row>
    <row r="30" spans="1:12" ht="13.5" thickTop="1" x14ac:dyDescent="0.2"/>
    <row r="31" spans="1:12" x14ac:dyDescent="0.2">
      <c r="A31" s="33" t="s">
        <v>144</v>
      </c>
    </row>
    <row r="32" spans="1:12" x14ac:dyDescent="0.2">
      <c r="A32" s="91" t="s">
        <v>202</v>
      </c>
      <c r="C32" s="6">
        <v>226</v>
      </c>
      <c r="D32" s="229">
        <f t="shared" ref="D32:J32" si="2">D22-C22</f>
        <v>5244</v>
      </c>
      <c r="E32" s="229">
        <f t="shared" si="2"/>
        <v>3003.3000000000466</v>
      </c>
      <c r="F32" s="229">
        <f t="shared" si="2"/>
        <v>4421</v>
      </c>
      <c r="G32" s="229">
        <f t="shared" si="2"/>
        <v>4056.0999999999767</v>
      </c>
      <c r="H32" s="229">
        <f t="shared" si="2"/>
        <v>3787.1999999999534</v>
      </c>
      <c r="I32" s="229">
        <f t="shared" si="2"/>
        <v>4463.4000000000233</v>
      </c>
      <c r="J32" s="229">
        <f t="shared" si="2"/>
        <v>4916.4000000000233</v>
      </c>
    </row>
    <row r="33" spans="1:12" x14ac:dyDescent="0.2">
      <c r="A33" s="91" t="s">
        <v>14</v>
      </c>
      <c r="C33" s="6"/>
      <c r="D33" s="229">
        <f t="shared" ref="D33:D37" si="3">D23-C23</f>
        <v>1311</v>
      </c>
      <c r="E33" s="229">
        <f t="shared" ref="E33:E37" si="4">E23-D23</f>
        <v>750.79999999999927</v>
      </c>
      <c r="F33" s="229">
        <f t="shared" ref="F33:J37" si="5">F23-E23</f>
        <v>1105.3000000000011</v>
      </c>
      <c r="G33" s="229">
        <f t="shared" si="5"/>
        <v>1014</v>
      </c>
      <c r="H33" s="229">
        <f t="shared" si="5"/>
        <v>946.79999999999927</v>
      </c>
      <c r="I33" s="229">
        <f t="shared" si="5"/>
        <v>1115.8999999999996</v>
      </c>
      <c r="J33" s="229">
        <f t="shared" si="5"/>
        <v>1229.1000000000022</v>
      </c>
    </row>
    <row r="34" spans="1:12" x14ac:dyDescent="0.2">
      <c r="A34" s="91" t="s">
        <v>80</v>
      </c>
      <c r="C34" s="6">
        <v>1183</v>
      </c>
      <c r="D34" s="229">
        <f t="shared" si="3"/>
        <v>576</v>
      </c>
      <c r="E34" s="229">
        <f t="shared" si="4"/>
        <v>-300</v>
      </c>
      <c r="F34" s="229">
        <f t="shared" si="5"/>
        <v>-722.51000000000931</v>
      </c>
      <c r="G34" s="229">
        <f t="shared" si="5"/>
        <v>-1011.7909999999829</v>
      </c>
      <c r="H34" s="229">
        <f t="shared" si="5"/>
        <v>-1041.4780000000028</v>
      </c>
      <c r="I34" s="229">
        <f t="shared" si="5"/>
        <v>-931.13500000000931</v>
      </c>
      <c r="J34" s="229">
        <f t="shared" si="5"/>
        <v>-1237.4829999999929</v>
      </c>
    </row>
    <row r="35" spans="1:12" x14ac:dyDescent="0.2">
      <c r="A35" s="91" t="s">
        <v>73</v>
      </c>
      <c r="C35" s="6"/>
      <c r="D35" s="229">
        <f t="shared" si="3"/>
        <v>544</v>
      </c>
      <c r="E35" s="229">
        <f t="shared" si="4"/>
        <v>-33</v>
      </c>
      <c r="F35" s="229">
        <f t="shared" si="5"/>
        <v>2688.1000000000004</v>
      </c>
      <c r="G35" s="229">
        <f t="shared" si="5"/>
        <v>245.89999999999964</v>
      </c>
      <c r="H35" s="229">
        <f t="shared" si="5"/>
        <v>244.29999999999927</v>
      </c>
      <c r="I35" s="229">
        <f t="shared" si="5"/>
        <v>257.70000000000073</v>
      </c>
      <c r="J35" s="229">
        <f t="shared" si="5"/>
        <v>225</v>
      </c>
    </row>
    <row r="36" spans="1:12" x14ac:dyDescent="0.2">
      <c r="A36" s="91" t="s">
        <v>17</v>
      </c>
      <c r="C36" s="6"/>
      <c r="D36" s="229">
        <f t="shared" si="3"/>
        <v>-3922.2999999999884</v>
      </c>
      <c r="E36" s="229">
        <f t="shared" si="4"/>
        <v>-3885.2999999999884</v>
      </c>
      <c r="F36" s="229">
        <f t="shared" si="5"/>
        <v>-3848.7000000000116</v>
      </c>
      <c r="G36" s="229">
        <f t="shared" si="5"/>
        <v>-3812.3999999999651</v>
      </c>
      <c r="H36" s="229">
        <f t="shared" si="5"/>
        <v>-3776.7000000000698</v>
      </c>
      <c r="I36" s="229">
        <f t="shared" si="5"/>
        <v>-3741.1999999999534</v>
      </c>
      <c r="J36" s="229">
        <f t="shared" si="5"/>
        <v>-3706.3000000000466</v>
      </c>
    </row>
    <row r="37" spans="1:12" x14ac:dyDescent="0.2">
      <c r="A37" s="91" t="s">
        <v>43</v>
      </c>
      <c r="C37" s="6"/>
      <c r="D37" s="229">
        <f t="shared" si="3"/>
        <v>16830</v>
      </c>
      <c r="E37" s="229">
        <f t="shared" si="4"/>
        <v>15646.626999999993</v>
      </c>
      <c r="F37" s="229">
        <f t="shared" si="5"/>
        <v>15646.806000000011</v>
      </c>
      <c r="G37" s="229">
        <f t="shared" si="5"/>
        <v>14146.737999999998</v>
      </c>
      <c r="H37" s="229">
        <f t="shared" si="5"/>
        <v>14220.089999999997</v>
      </c>
      <c r="I37" s="229">
        <f t="shared" si="5"/>
        <v>12059.899999999965</v>
      </c>
      <c r="J37" s="229">
        <f t="shared" si="5"/>
        <v>11987.028000000049</v>
      </c>
    </row>
    <row r="38" spans="1:12" x14ac:dyDescent="0.2">
      <c r="A38" s="91"/>
      <c r="C38" s="6"/>
      <c r="D38" s="6"/>
      <c r="E38" s="6"/>
      <c r="F38" s="6"/>
      <c r="G38" s="6"/>
      <c r="H38" s="6"/>
      <c r="I38" s="6"/>
      <c r="J38" s="6"/>
    </row>
    <row r="39" spans="1:12" x14ac:dyDescent="0.2">
      <c r="A39" s="92" t="s">
        <v>146</v>
      </c>
      <c r="C39" s="6">
        <f t="shared" ref="C39:J39" si="6">SUM(C32:C38)</f>
        <v>1409</v>
      </c>
      <c r="D39" s="6">
        <f t="shared" si="6"/>
        <v>20582.700000000012</v>
      </c>
      <c r="E39" s="6">
        <f t="shared" si="6"/>
        <v>15182.427000000051</v>
      </c>
      <c r="F39" s="6">
        <f t="shared" si="6"/>
        <v>19289.995999999992</v>
      </c>
      <c r="G39" s="6">
        <f t="shared" si="6"/>
        <v>14638.547000000026</v>
      </c>
      <c r="H39" s="6">
        <f t="shared" si="6"/>
        <v>14380.211999999876</v>
      </c>
      <c r="I39" s="6">
        <f t="shared" si="6"/>
        <v>13224.565000000026</v>
      </c>
      <c r="J39" s="6">
        <f t="shared" si="6"/>
        <v>13413.745000000035</v>
      </c>
      <c r="K39" s="95">
        <f>SUM(F39:J39)</f>
        <v>74947.064999999959</v>
      </c>
    </row>
    <row r="40" spans="1:12" x14ac:dyDescent="0.2">
      <c r="A40" s="91"/>
      <c r="D40" s="95">
        <f t="shared" ref="D40:E40" si="7">D29-C29</f>
        <v>20582.699999999953</v>
      </c>
      <c r="E40" s="95">
        <f t="shared" si="7"/>
        <v>15182.427000000142</v>
      </c>
      <c r="F40" s="95">
        <f>F29-E29</f>
        <v>19289.99599999981</v>
      </c>
      <c r="G40" s="95">
        <f t="shared" ref="G40:J40" si="8">G29-F29</f>
        <v>14638.547000000253</v>
      </c>
      <c r="H40" s="95">
        <f t="shared" si="8"/>
        <v>14380.211999999825</v>
      </c>
      <c r="I40" s="95">
        <f t="shared" si="8"/>
        <v>13224.565000000177</v>
      </c>
      <c r="J40" s="95">
        <f t="shared" si="8"/>
        <v>13413.744999999879</v>
      </c>
      <c r="K40" s="95">
        <f>SUM(F40:J40)</f>
        <v>74947.064999999944</v>
      </c>
      <c r="L40" s="87" t="s">
        <v>128</v>
      </c>
    </row>
    <row r="41" spans="1:12" x14ac:dyDescent="0.2">
      <c r="A41" s="41" t="s">
        <v>38</v>
      </c>
      <c r="B41" s="41"/>
      <c r="C41" s="41"/>
      <c r="D41" s="42">
        <f t="shared" ref="D41:J41" si="9">D39/C29</f>
        <v>1.5158312890461319E-2</v>
      </c>
      <c r="E41" s="42">
        <f t="shared" si="9"/>
        <v>1.1014275861473624E-2</v>
      </c>
      <c r="F41" s="42">
        <f t="shared" si="9"/>
        <v>1.3841705265664252E-2</v>
      </c>
      <c r="G41" s="42">
        <f t="shared" si="9"/>
        <v>1.0360608877634386E-2</v>
      </c>
      <c r="H41" s="42">
        <f t="shared" si="9"/>
        <v>1.0073402569465664E-2</v>
      </c>
      <c r="I41" s="42">
        <f t="shared" si="9"/>
        <v>9.1714787004815879E-3</v>
      </c>
      <c r="J41" s="42">
        <f t="shared" si="9"/>
        <v>9.2181345798698529E-3</v>
      </c>
    </row>
    <row r="42" spans="1:12" s="89" customFormat="1" ht="5.25" customHeight="1" x14ac:dyDescent="0.2"/>
    <row r="43" spans="1:12" x14ac:dyDescent="0.2">
      <c r="A43" s="92"/>
    </row>
    <row r="44" spans="1:12" x14ac:dyDescent="0.2">
      <c r="A44" s="86" t="s">
        <v>22</v>
      </c>
      <c r="B44" s="86"/>
    </row>
    <row r="46" spans="1:12" x14ac:dyDescent="0.2">
      <c r="A46" s="87" t="s">
        <v>19</v>
      </c>
      <c r="C46" s="95">
        <f>$C$50*K46</f>
        <v>430556.83</v>
      </c>
      <c r="D46" s="96">
        <v>454893.83</v>
      </c>
      <c r="E46" s="96">
        <v>481361.83</v>
      </c>
      <c r="F46" s="96">
        <f>E46+SUM('Metering AMP'!C5:C7)</f>
        <v>506717.23000000004</v>
      </c>
      <c r="G46" s="96">
        <f>F46+SUM('Metering AMP'!E5:E7)</f>
        <v>529052.23</v>
      </c>
      <c r="H46" s="96">
        <f>G46+SUM('Metering AMP'!G5:G7)</f>
        <v>591923.98</v>
      </c>
      <c r="I46" s="96">
        <f>H46+SUM('Metering AMP'!I5:I7)</f>
        <v>617250.73</v>
      </c>
      <c r="J46" s="96">
        <f>I46+SUM('Metering AMP'!K5:K7)</f>
        <v>640169.73</v>
      </c>
      <c r="K46" s="80">
        <v>0.31</v>
      </c>
      <c r="L46" s="96"/>
    </row>
    <row r="47" spans="1:12" x14ac:dyDescent="0.2">
      <c r="A47" s="87" t="s">
        <v>23</v>
      </c>
      <c r="C47" s="95">
        <f>$C$50*K47</f>
        <v>750002.22000000009</v>
      </c>
      <c r="D47" s="96">
        <v>750002.22000000009</v>
      </c>
      <c r="E47" s="96">
        <v>750002.22000000009</v>
      </c>
      <c r="F47" s="96">
        <f t="shared" ref="F47:J47" si="10">E47</f>
        <v>750002.22000000009</v>
      </c>
      <c r="G47" s="96">
        <f t="shared" si="10"/>
        <v>750002.22000000009</v>
      </c>
      <c r="H47" s="96">
        <f t="shared" si="10"/>
        <v>750002.22000000009</v>
      </c>
      <c r="I47" s="96">
        <f t="shared" si="10"/>
        <v>750002.22000000009</v>
      </c>
      <c r="J47" s="96">
        <f t="shared" si="10"/>
        <v>750002.22000000009</v>
      </c>
      <c r="K47" s="80">
        <v>0.54</v>
      </c>
      <c r="L47" s="96"/>
    </row>
    <row r="48" spans="1:12" x14ac:dyDescent="0.2">
      <c r="A48" s="87" t="s">
        <v>20</v>
      </c>
      <c r="C48" s="95">
        <f>$C$50*K48</f>
        <v>111111.44</v>
      </c>
      <c r="D48" s="96">
        <v>118881.44</v>
      </c>
      <c r="E48" s="96">
        <v>125381.44</v>
      </c>
      <c r="F48" s="96">
        <f>E48+SUM('Metering AMP'!C8:C9)</f>
        <v>131081.44</v>
      </c>
      <c r="G48" s="96">
        <f>F48+SUM('Metering AMP'!E8:E9)</f>
        <v>137181.44</v>
      </c>
      <c r="H48" s="96">
        <f>G48+SUM('Metering AMP'!G8:G9)</f>
        <v>144281.44</v>
      </c>
      <c r="I48" s="96">
        <f>H48+SUM('Metering AMP'!I8:I9)</f>
        <v>149681.44</v>
      </c>
      <c r="J48" s="96">
        <f>I48+SUM('Metering AMP'!K8:K9)</f>
        <v>155581.44</v>
      </c>
      <c r="K48" s="80">
        <v>0.08</v>
      </c>
      <c r="L48" s="96"/>
    </row>
    <row r="49" spans="1:12" x14ac:dyDescent="0.2">
      <c r="A49" s="87" t="s">
        <v>24</v>
      </c>
      <c r="C49" s="95">
        <f>$C$50*K49</f>
        <v>97222.510000000009</v>
      </c>
      <c r="D49" s="96">
        <v>97222.510000000009</v>
      </c>
      <c r="E49" s="96">
        <v>97222.510000000009</v>
      </c>
      <c r="F49" s="96">
        <f t="shared" ref="F49:J49" si="11">E49</f>
        <v>97222.510000000009</v>
      </c>
      <c r="G49" s="96">
        <f t="shared" si="11"/>
        <v>97222.510000000009</v>
      </c>
      <c r="H49" s="96">
        <f t="shared" si="11"/>
        <v>97222.510000000009</v>
      </c>
      <c r="I49" s="96">
        <f t="shared" si="11"/>
        <v>97222.510000000009</v>
      </c>
      <c r="J49" s="96">
        <f t="shared" si="11"/>
        <v>97222.510000000009</v>
      </c>
      <c r="K49" s="81">
        <v>7.0000000000000007E-2</v>
      </c>
      <c r="L49" s="96"/>
    </row>
    <row r="50" spans="1:12" ht="13.5" thickBot="1" x14ac:dyDescent="0.25">
      <c r="C50" s="97">
        <v>1388893</v>
      </c>
      <c r="D50" s="98">
        <f t="shared" ref="D50:K50" si="12">SUM(D46:D49)</f>
        <v>1421000</v>
      </c>
      <c r="E50" s="98">
        <f t="shared" si="12"/>
        <v>1453968</v>
      </c>
      <c r="F50" s="98">
        <f t="shared" si="12"/>
        <v>1485023.4000000001</v>
      </c>
      <c r="G50" s="98">
        <f t="shared" si="12"/>
        <v>1513458.4000000001</v>
      </c>
      <c r="H50" s="98">
        <f t="shared" si="12"/>
        <v>1583430.1500000001</v>
      </c>
      <c r="I50" s="98">
        <f t="shared" si="12"/>
        <v>1614156.9000000001</v>
      </c>
      <c r="J50" s="98">
        <f t="shared" si="12"/>
        <v>1642975.9000000001</v>
      </c>
      <c r="K50" s="99">
        <f t="shared" si="12"/>
        <v>1</v>
      </c>
      <c r="L50" s="96"/>
    </row>
    <row r="51" spans="1:12" ht="13.5" thickTop="1" x14ac:dyDescent="0.2">
      <c r="D51" s="100"/>
      <c r="E51" s="100"/>
      <c r="F51" s="100"/>
      <c r="G51" s="100"/>
      <c r="H51" s="100"/>
      <c r="I51" s="100"/>
      <c r="J51" s="100"/>
      <c r="K51" s="95"/>
      <c r="L51" s="95"/>
    </row>
    <row r="52" spans="1:12" x14ac:dyDescent="0.2">
      <c r="A52" s="87" t="s">
        <v>35</v>
      </c>
      <c r="D52" s="6">
        <f t="shared" ref="D52:J52" si="13">D50-C50</f>
        <v>32107</v>
      </c>
      <c r="E52" s="96">
        <f t="shared" si="13"/>
        <v>32968</v>
      </c>
      <c r="F52" s="96">
        <f t="shared" si="13"/>
        <v>31055.40000000014</v>
      </c>
      <c r="G52" s="6">
        <f t="shared" si="13"/>
        <v>28435</v>
      </c>
      <c r="H52" s="6">
        <f t="shared" si="13"/>
        <v>69971.75</v>
      </c>
      <c r="I52" s="6">
        <f t="shared" si="13"/>
        <v>30726.75</v>
      </c>
      <c r="J52" s="6">
        <f t="shared" si="13"/>
        <v>28819</v>
      </c>
      <c r="K52" s="6"/>
      <c r="L52" s="6"/>
    </row>
    <row r="53" spans="1:12" x14ac:dyDescent="0.2">
      <c r="A53" s="87" t="s">
        <v>36</v>
      </c>
      <c r="D53" s="8">
        <f t="shared" ref="D53:J53" si="14">D52/C50</f>
        <v>2.311697157376414E-2</v>
      </c>
      <c r="E53" s="8">
        <f t="shared" si="14"/>
        <v>2.3200562983814215E-2</v>
      </c>
      <c r="F53" s="8">
        <f t="shared" si="14"/>
        <v>2.1359067049618794E-2</v>
      </c>
      <c r="G53" s="8">
        <f t="shared" si="14"/>
        <v>1.9147846424507519E-2</v>
      </c>
      <c r="H53" s="8">
        <f t="shared" si="14"/>
        <v>4.6233018363768696E-2</v>
      </c>
      <c r="I53" s="8">
        <f t="shared" si="14"/>
        <v>1.9405181845249062E-2</v>
      </c>
      <c r="J53" s="8">
        <f t="shared" si="14"/>
        <v>1.7853902554330375E-2</v>
      </c>
    </row>
    <row r="54" spans="1:12" s="89" customFormat="1" ht="5.25" customHeight="1" x14ac:dyDescent="0.2"/>
    <row r="56" spans="1:12" x14ac:dyDescent="0.2">
      <c r="A56" s="86" t="s">
        <v>150</v>
      </c>
      <c r="B56" s="86"/>
      <c r="C56"/>
      <c r="D56"/>
      <c r="E56"/>
    </row>
    <row r="57" spans="1:12" x14ac:dyDescent="0.2">
      <c r="A57" s="283" t="s">
        <v>25</v>
      </c>
      <c r="B57" s="284"/>
      <c r="C57" s="110">
        <f>D63</f>
        <v>76.865600000000001</v>
      </c>
      <c r="D57" s="111">
        <v>65.22</v>
      </c>
      <c r="E57" s="112">
        <f>Inputs!C50</f>
        <v>1388893</v>
      </c>
    </row>
    <row r="58" spans="1:12" x14ac:dyDescent="0.2">
      <c r="A58" s="283" t="s">
        <v>23</v>
      </c>
      <c r="B58" s="284"/>
      <c r="C58" s="110">
        <f>C57+C61</f>
        <v>111.8656</v>
      </c>
      <c r="D58" s="113"/>
      <c r="E58" s="112"/>
    </row>
    <row r="59" spans="1:12" x14ac:dyDescent="0.2">
      <c r="A59" s="283" t="s">
        <v>26</v>
      </c>
      <c r="B59" s="284"/>
      <c r="C59" s="110">
        <f>D63</f>
        <v>76.865600000000001</v>
      </c>
      <c r="D59" s="111">
        <v>210.79</v>
      </c>
      <c r="E59" s="112">
        <f>Inputs!C48</f>
        <v>111111.44</v>
      </c>
    </row>
    <row r="60" spans="1:12" x14ac:dyDescent="0.2">
      <c r="A60" s="283" t="s">
        <v>24</v>
      </c>
      <c r="B60" s="284"/>
      <c r="C60" s="110">
        <f>C59+C61</f>
        <v>111.8656</v>
      </c>
      <c r="D60" s="113"/>
      <c r="E60" s="114"/>
    </row>
    <row r="61" spans="1:12" x14ac:dyDescent="0.2">
      <c r="A61" s="283" t="s">
        <v>135</v>
      </c>
      <c r="B61" s="284"/>
      <c r="C61" s="110">
        <v>35</v>
      </c>
      <c r="D61" s="113"/>
      <c r="E61" s="114"/>
    </row>
    <row r="62" spans="1:12" x14ac:dyDescent="0.2">
      <c r="A62" s="281" t="s">
        <v>136</v>
      </c>
      <c r="B62" s="282"/>
      <c r="C62" s="115">
        <v>147</v>
      </c>
      <c r="D62" s="114" t="s">
        <v>138</v>
      </c>
      <c r="E62" s="114"/>
    </row>
    <row r="63" spans="1:12" x14ac:dyDescent="0.2">
      <c r="A63"/>
      <c r="B63"/>
      <c r="C63"/>
      <c r="D63" s="74">
        <f>D57*(1-$E$63)+D59*$E$63</f>
        <v>76.865600000000001</v>
      </c>
      <c r="E63" s="8">
        <f>E59/E57</f>
        <v>0.08</v>
      </c>
    </row>
    <row r="64" spans="1:12" x14ac:dyDescent="0.2">
      <c r="A64" s="116" t="s">
        <v>151</v>
      </c>
      <c r="B64" s="37"/>
      <c r="C64" s="37"/>
      <c r="D64" s="37"/>
      <c r="E64" s="37"/>
    </row>
    <row r="65" spans="1:10" x14ac:dyDescent="0.2">
      <c r="A65" s="116" t="s">
        <v>152</v>
      </c>
      <c r="B65" s="37"/>
      <c r="C65" s="37"/>
      <c r="D65" s="37"/>
      <c r="E65" s="37"/>
    </row>
    <row r="66" spans="1:10" x14ac:dyDescent="0.2">
      <c r="A66" s="116" t="s">
        <v>149</v>
      </c>
      <c r="B66" s="37"/>
      <c r="C66" s="37"/>
      <c r="D66" s="37"/>
      <c r="E66" s="37"/>
    </row>
    <row r="67" spans="1:10" x14ac:dyDescent="0.2">
      <c r="A67" s="117" t="s">
        <v>153</v>
      </c>
      <c r="B67"/>
      <c r="C67"/>
      <c r="D67"/>
      <c r="E67"/>
    </row>
    <row r="69" spans="1:10" s="89" customFormat="1" ht="5.25" customHeight="1" x14ac:dyDescent="0.2"/>
    <row r="71" spans="1:10" x14ac:dyDescent="0.2">
      <c r="A71" s="86" t="s">
        <v>180</v>
      </c>
      <c r="B71" s="86"/>
      <c r="C71" s="4"/>
      <c r="D71" s="4"/>
      <c r="E71" s="4"/>
    </row>
    <row r="72" spans="1:10" x14ac:dyDescent="0.2">
      <c r="A72" s="231" t="s">
        <v>182</v>
      </c>
      <c r="F72" s="177">
        <v>1.2545513516741304E-3</v>
      </c>
      <c r="G72" s="177">
        <v>7.7903738308496449E-3</v>
      </c>
      <c r="H72" s="177">
        <v>1.3313070757255968E-2</v>
      </c>
      <c r="I72" s="177">
        <v>1.3339103170957236E-2</v>
      </c>
      <c r="J72" s="177">
        <v>1.3317950293912357E-2</v>
      </c>
    </row>
    <row r="73" spans="1:10" x14ac:dyDescent="0.2">
      <c r="A73" s="231" t="s">
        <v>181</v>
      </c>
      <c r="F73" s="177">
        <v>5.9119471088392066E-3</v>
      </c>
      <c r="G73" s="177">
        <v>1.4546084542446438E-2</v>
      </c>
      <c r="H73" s="177">
        <v>1.4884453910926429E-2</v>
      </c>
      <c r="I73" s="177">
        <v>1.3692664767098687E-2</v>
      </c>
      <c r="J73" s="177">
        <v>1.2661655756055851E-2</v>
      </c>
    </row>
    <row r="75" spans="1:10" x14ac:dyDescent="0.2">
      <c r="A75" s="5" t="s">
        <v>188</v>
      </c>
    </row>
    <row r="76" spans="1:10" x14ac:dyDescent="0.2">
      <c r="A76" s="231" t="s">
        <v>182</v>
      </c>
      <c r="F76" s="90">
        <f>(1+F72)</f>
        <v>1.0012545513516742</v>
      </c>
      <c r="G76" s="177">
        <f t="shared" ref="G76:J77" si="15">F76*(1+G72)</f>
        <v>1.0090546986065434</v>
      </c>
      <c r="H76" s="177">
        <f t="shared" si="15"/>
        <v>1.0224883152070339</v>
      </c>
      <c r="I76" s="177">
        <f t="shared" si="15"/>
        <v>1.0361273923346788</v>
      </c>
      <c r="J76" s="177">
        <f t="shared" si="15"/>
        <v>1.049926485443953</v>
      </c>
    </row>
    <row r="77" spans="1:10" x14ac:dyDescent="0.2">
      <c r="A77" s="231" t="s">
        <v>181</v>
      </c>
      <c r="F77" s="90">
        <f>(1+F73)</f>
        <v>1.0059119471088391</v>
      </c>
      <c r="G77" s="177">
        <f t="shared" si="15"/>
        <v>1.0205440273337414</v>
      </c>
      <c r="H77" s="177">
        <f t="shared" si="15"/>
        <v>1.0357342678726618</v>
      </c>
      <c r="I77" s="177">
        <f t="shared" si="15"/>
        <v>1.0499162299904385</v>
      </c>
      <c r="J77" s="177">
        <f t="shared" si="15"/>
        <v>1.0632099078672734</v>
      </c>
    </row>
  </sheetData>
  <mergeCells count="6">
    <mergeCell ref="A62:B62"/>
    <mergeCell ref="A57:B57"/>
    <mergeCell ref="A58:B58"/>
    <mergeCell ref="A59:B59"/>
    <mergeCell ref="A60:B60"/>
    <mergeCell ref="A61:B61"/>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pageSetUpPr fitToPage="1"/>
  </sheetPr>
  <dimension ref="B2:H36"/>
  <sheetViews>
    <sheetView tabSelected="1" workbookViewId="0">
      <selection activeCell="J24" sqref="J24"/>
    </sheetView>
  </sheetViews>
  <sheetFormatPr defaultRowHeight="12.75" x14ac:dyDescent="0.2"/>
  <cols>
    <col min="2" max="2" width="46.7109375" customWidth="1"/>
    <col min="3" max="3" width="12.140625" customWidth="1"/>
    <col min="4" max="4" width="11.5703125" bestFit="1" customWidth="1"/>
    <col min="5" max="5" width="9.28515625" bestFit="1" customWidth="1"/>
    <col min="6" max="8" width="8.85546875" customWidth="1"/>
  </cols>
  <sheetData>
    <row r="2" spans="2:7" s="4" customFormat="1" x14ac:dyDescent="0.2">
      <c r="B2" s="5" t="s">
        <v>195</v>
      </c>
      <c r="F2" s="5"/>
    </row>
    <row r="3" spans="2:7" ht="6" customHeight="1" x14ac:dyDescent="0.2"/>
    <row r="4" spans="2:7" x14ac:dyDescent="0.2">
      <c r="B4" s="38" t="s">
        <v>69</v>
      </c>
      <c r="C4" s="38" t="s">
        <v>0</v>
      </c>
      <c r="D4" s="38" t="s">
        <v>1</v>
      </c>
      <c r="E4" s="38" t="s">
        <v>12</v>
      </c>
      <c r="F4" s="38" t="s">
        <v>2</v>
      </c>
      <c r="G4" s="38" t="s">
        <v>3</v>
      </c>
    </row>
    <row r="5" spans="2:7" x14ac:dyDescent="0.2">
      <c r="B5" s="17" t="s">
        <v>70</v>
      </c>
      <c r="C5" s="63"/>
      <c r="D5" s="63"/>
      <c r="E5" s="63"/>
      <c r="F5" s="63"/>
      <c r="G5" s="63"/>
    </row>
    <row r="6" spans="2:7" x14ac:dyDescent="0.2">
      <c r="B6" s="15" t="s">
        <v>13</v>
      </c>
      <c r="C6" s="238">
        <f>'Price Build Up'!D77</f>
        <v>46.179500993479117</v>
      </c>
      <c r="D6" s="253">
        <f>'Price Build Up'!$E$77</f>
        <v>48.737342281020716</v>
      </c>
      <c r="E6" s="253">
        <f>'Price Build Up'!F77</f>
        <v>50.944725493310656</v>
      </c>
      <c r="F6" s="253">
        <f>'Price Build Up'!G77</f>
        <v>51.926333592228801</v>
      </c>
      <c r="G6" s="253">
        <f>'Price Build Up'!H77</f>
        <v>55.865501520503933</v>
      </c>
    </row>
    <row r="7" spans="2:7" x14ac:dyDescent="0.2">
      <c r="B7" s="15" t="s">
        <v>14</v>
      </c>
      <c r="C7" s="238">
        <f>'Price Build Up'!D78</f>
        <v>54.503517990837565</v>
      </c>
      <c r="D7" s="253">
        <f>'Price Build Up'!$E$78</f>
        <v>57.019098032503379</v>
      </c>
      <c r="E7" s="253">
        <f>'Price Build Up'!F78</f>
        <v>59.240381363975935</v>
      </c>
      <c r="F7" s="253">
        <f>'Price Build Up'!G78</f>
        <v>60.29009870569606</v>
      </c>
      <c r="G7" s="253">
        <f>'Price Build Up'!H78</f>
        <v>64.260986650350787</v>
      </c>
    </row>
    <row r="8" spans="2:7" x14ac:dyDescent="0.2">
      <c r="B8" s="15" t="s">
        <v>15</v>
      </c>
      <c r="C8" s="238">
        <f>'Price Build Up'!D79</f>
        <v>46.17950099347911</v>
      </c>
      <c r="D8" s="253">
        <f>'Price Build Up'!$E$79</f>
        <v>48.737342281020716</v>
      </c>
      <c r="E8" s="253">
        <f>'Price Build Up'!F79</f>
        <v>50.944725493310649</v>
      </c>
      <c r="F8" s="253">
        <f>'Price Build Up'!G79</f>
        <v>51.926333592228794</v>
      </c>
      <c r="G8" s="253">
        <f>'Price Build Up'!H79</f>
        <v>55.865501520503933</v>
      </c>
    </row>
    <row r="9" spans="2:7" x14ac:dyDescent="0.2">
      <c r="B9" s="15" t="s">
        <v>16</v>
      </c>
      <c r="C9" s="238">
        <f>'Price Build Up'!D80</f>
        <v>54.503517990837565</v>
      </c>
      <c r="D9" s="253">
        <f>'Price Build Up'!$E$80</f>
        <v>57.019098032503386</v>
      </c>
      <c r="E9" s="253">
        <f>'Price Build Up'!F80</f>
        <v>59.240381363975935</v>
      </c>
      <c r="F9" s="253">
        <f>'Price Build Up'!G80</f>
        <v>60.290098705696067</v>
      </c>
      <c r="G9" s="253">
        <f>'Price Build Up'!H80</f>
        <v>64.260986650350787</v>
      </c>
    </row>
    <row r="10" spans="2:7" x14ac:dyDescent="0.2">
      <c r="B10" s="15" t="s">
        <v>17</v>
      </c>
      <c r="C10" s="238">
        <f>'Price Build Up'!D81</f>
        <v>17.608873480630546</v>
      </c>
      <c r="D10" s="253">
        <f>'Price Build Up'!$E$81</f>
        <v>18.790917389281049</v>
      </c>
      <c r="E10" s="253">
        <f>'Price Build Up'!F81</f>
        <v>19.790319262002868</v>
      </c>
      <c r="F10" s="253">
        <f>'Price Build Up'!G81</f>
        <v>20.209313784555956</v>
      </c>
      <c r="G10" s="253">
        <f>'Price Build Up'!H81</f>
        <v>21.989948624960139</v>
      </c>
    </row>
    <row r="11" spans="2:7" x14ac:dyDescent="0.2">
      <c r="B11" s="15" t="s">
        <v>137</v>
      </c>
      <c r="C11" s="238">
        <f>'Price Build Up'!D82</f>
        <v>51.917416917508689</v>
      </c>
      <c r="D11" s="253">
        <f>'Price Build Up'!$E$82</f>
        <v>54.201602433259424</v>
      </c>
      <c r="E11" s="253">
        <f>'Price Build Up'!F82</f>
        <v>56.232017432030709</v>
      </c>
      <c r="F11" s="253">
        <f>'Price Build Up'!G82</f>
        <v>57.207703131961274</v>
      </c>
      <c r="G11" s="253">
        <f>'Price Build Up'!H82</f>
        <v>60.839189580884536</v>
      </c>
    </row>
    <row r="12" spans="2:7" s="4" customFormat="1" x14ac:dyDescent="0.2">
      <c r="B12" s="15"/>
      <c r="C12" s="63"/>
      <c r="D12" s="63"/>
      <c r="E12" s="63"/>
      <c r="F12" s="63"/>
      <c r="G12" s="63"/>
    </row>
    <row r="13" spans="2:7" s="4" customFormat="1" x14ac:dyDescent="0.2">
      <c r="B13" s="17" t="s">
        <v>42</v>
      </c>
      <c r="C13" s="63"/>
      <c r="D13" s="63"/>
      <c r="E13" s="63"/>
      <c r="F13" s="63"/>
      <c r="G13" s="63"/>
    </row>
    <row r="14" spans="2:7" s="4" customFormat="1" x14ac:dyDescent="0.2">
      <c r="B14" s="15" t="str">
        <f>'Price Build Up'!B17</f>
        <v>Anytime Customers</v>
      </c>
      <c r="C14" s="63"/>
      <c r="D14" s="254">
        <f>'Price Build Up'!E87</f>
        <v>14.751231885043181</v>
      </c>
      <c r="E14" s="254">
        <f>'Price Build Up'!F87</f>
        <v>14.800678604585949</v>
      </c>
      <c r="F14" s="254">
        <f>'Price Build Up'!G87</f>
        <v>15.023284851420366</v>
      </c>
      <c r="G14" s="254">
        <f>'Price Build Up'!H87</f>
        <v>15.212712444360255</v>
      </c>
    </row>
    <row r="15" spans="2:7" s="4" customFormat="1" x14ac:dyDescent="0.2">
      <c r="B15" s="15" t="str">
        <f>'Price Build Up'!B18</f>
        <v>TOU Customers</v>
      </c>
      <c r="C15" s="63"/>
      <c r="D15" s="254">
        <f>'Price Build Up'!E88</f>
        <v>19.64968183156417</v>
      </c>
      <c r="E15" s="254">
        <f>'Price Build Up'!F88</f>
        <v>19.70956229728554</v>
      </c>
      <c r="F15" s="254">
        <f>'Price Build Up'!G88</f>
        <v>20.018220449852656</v>
      </c>
      <c r="G15" s="254">
        <f>'Price Build Up'!H88</f>
        <v>20.258887103857784</v>
      </c>
    </row>
    <row r="16" spans="2:7" s="4" customFormat="1" x14ac:dyDescent="0.2">
      <c r="B16" s="15" t="str">
        <f>'Price Build Up'!B19</f>
        <v>Controlled Load</v>
      </c>
      <c r="C16" s="63"/>
      <c r="D16" s="254">
        <f>'Price Build Up'!E89</f>
        <v>4.7051316430847328</v>
      </c>
      <c r="E16" s="254">
        <f>'Price Build Up'!F89</f>
        <v>4.7233617880602194</v>
      </c>
      <c r="F16" s="254">
        <f>'Price Build Up'!G89</f>
        <v>4.7893835314741695</v>
      </c>
      <c r="G16" s="254">
        <f>'Price Build Up'!H89</f>
        <v>4.8545946540626561</v>
      </c>
    </row>
    <row r="17" spans="2:8" s="4" customFormat="1" x14ac:dyDescent="0.2">
      <c r="B17" s="15" t="str">
        <f>'Price Build Up'!B20</f>
        <v>Solar Additions (assume single phase 2 element)</v>
      </c>
      <c r="C17" s="63"/>
      <c r="D17" s="254">
        <f>'Price Build Up'!E90</f>
        <v>19.215825860823575</v>
      </c>
      <c r="E17" s="254">
        <f>'Price Build Up'!F90</f>
        <v>19.273203614095792</v>
      </c>
      <c r="F17" s="254">
        <f>'Price Build Up'!G90</f>
        <v>19.577439216224793</v>
      </c>
      <c r="G17" s="254">
        <f>'Price Build Up'!H90</f>
        <v>19.810491615245734</v>
      </c>
    </row>
    <row r="19" spans="2:8" s="4" customFormat="1" x14ac:dyDescent="0.2">
      <c r="B19" s="83" t="s">
        <v>219</v>
      </c>
      <c r="C19" s="84" t="s">
        <v>147</v>
      </c>
    </row>
    <row r="20" spans="2:8" x14ac:dyDescent="0.2">
      <c r="B20" s="260" t="str">
        <f>'New Meter Pricing'!A6</f>
        <v>Single Phase Accumulation</v>
      </c>
      <c r="C20" s="85">
        <f>'New Meter Pricing'!L6</f>
        <v>35.578146721721112</v>
      </c>
    </row>
    <row r="21" spans="2:8" x14ac:dyDescent="0.2">
      <c r="B21" s="260" t="str">
        <f>'New Meter Pricing'!A7</f>
        <v>Three Phase Accumulation</v>
      </c>
      <c r="C21" s="85">
        <f>'New Meter Pricing'!L7</f>
        <v>134.40633205983528</v>
      </c>
    </row>
    <row r="22" spans="2:8" x14ac:dyDescent="0.2">
      <c r="B22" s="260" t="str">
        <f>'New Meter Pricing'!A8</f>
        <v>Single Phase TOU</v>
      </c>
      <c r="C22" s="85">
        <f>'New Meter Pricing'!L8</f>
        <v>99.017935453963332</v>
      </c>
    </row>
    <row r="23" spans="2:8" x14ac:dyDescent="0.2">
      <c r="B23" s="260" t="str">
        <f>'New Meter Pricing'!A9</f>
        <v>Single Phase 2 element (TOU)</v>
      </c>
      <c r="C23" s="85">
        <f>'New Meter Pricing'!L9</f>
        <v>232.87082967590518</v>
      </c>
    </row>
    <row r="24" spans="2:8" x14ac:dyDescent="0.2">
      <c r="B24" s="260" t="str">
        <f>'New Meter Pricing'!A10</f>
        <v>Three Phase TOU</v>
      </c>
      <c r="C24" s="85">
        <f>'New Meter Pricing'!L10</f>
        <v>326.07766783198736</v>
      </c>
    </row>
    <row r="25" spans="2:8" x14ac:dyDescent="0.2">
      <c r="B25" s="260" t="str">
        <f>'New Meter Pricing'!A11</f>
        <v>Three Phase CT</v>
      </c>
      <c r="C25" s="85">
        <f>'New Meter Pricing'!L11</f>
        <v>464.27109595397923</v>
      </c>
    </row>
    <row r="26" spans="2:8" x14ac:dyDescent="0.2">
      <c r="B26" s="260"/>
      <c r="C26" s="63"/>
    </row>
    <row r="28" spans="2:8" x14ac:dyDescent="0.2">
      <c r="B28" s="5" t="s">
        <v>215</v>
      </c>
    </row>
    <row r="30" spans="2:8" x14ac:dyDescent="0.2">
      <c r="B30" s="83" t="s">
        <v>213</v>
      </c>
      <c r="C30" s="84" t="s">
        <v>216</v>
      </c>
      <c r="D30" s="256" t="s">
        <v>0</v>
      </c>
      <c r="E30" s="256" t="s">
        <v>1</v>
      </c>
      <c r="F30" s="256" t="s">
        <v>12</v>
      </c>
      <c r="G30" s="256" t="s">
        <v>2</v>
      </c>
      <c r="H30" s="256" t="s">
        <v>3</v>
      </c>
    </row>
    <row r="31" spans="2:8" x14ac:dyDescent="0.2">
      <c r="B31" s="247" t="s">
        <v>217</v>
      </c>
      <c r="C31" s="248"/>
      <c r="D31" s="253">
        <f>AVERAGE('Recoverable Costs Summary'!D18,'Recoverable Costs Summary'!D25)/Inputs!D50</f>
        <v>80.704690730525456</v>
      </c>
      <c r="E31" s="253">
        <f>AVERAGE('Recoverable Costs Summary'!E18,'Recoverable Costs Summary'!E25)/Inputs!G50</f>
        <v>69.993451607481006</v>
      </c>
      <c r="F31" s="253">
        <f>AVERAGE('Recoverable Costs Summary'!F18,'Recoverable Costs Summary'!F25)/Inputs!H50</f>
        <v>59.931855849355799</v>
      </c>
      <c r="G31" s="253">
        <f>AVERAGE('Recoverable Costs Summary'!G18,'Recoverable Costs Summary'!G25)/Inputs!I50</f>
        <v>51.931673067664526</v>
      </c>
      <c r="H31" s="253">
        <f>AVERAGE('Recoverable Costs Summary'!H18,'Recoverable Costs Summary'!H25)/Inputs!J50</f>
        <v>43.426787528073085</v>
      </c>
    </row>
    <row r="32" spans="2:8" x14ac:dyDescent="0.2">
      <c r="B32" s="247" t="s">
        <v>214</v>
      </c>
      <c r="C32" s="255">
        <v>0.5</v>
      </c>
      <c r="D32" s="238">
        <v>54.339994738951368</v>
      </c>
      <c r="E32" s="253">
        <v>54.988409951390352</v>
      </c>
      <c r="F32" s="253">
        <v>56.125011935850722</v>
      </c>
      <c r="G32" s="253">
        <v>57.278538402402027</v>
      </c>
      <c r="H32" s="253">
        <v>58.446432707234173</v>
      </c>
    </row>
    <row r="33" spans="2:8" x14ac:dyDescent="0.2">
      <c r="B33" s="249" t="s">
        <v>218</v>
      </c>
      <c r="C33" s="250"/>
      <c r="D33" s="259">
        <f>SUM(D31:D32)</f>
        <v>135.04468546947683</v>
      </c>
      <c r="E33" s="259">
        <f>SUM(E31:E32)</f>
        <v>124.98186155887136</v>
      </c>
      <c r="F33" s="259">
        <f>SUM(F31:F32)</f>
        <v>116.05686778520652</v>
      </c>
      <c r="G33" s="259">
        <f>SUM(G31:G32)</f>
        <v>109.21021147006655</v>
      </c>
      <c r="H33" s="259">
        <f>SUM(H31:H32)</f>
        <v>101.87322023530726</v>
      </c>
    </row>
    <row r="34" spans="2:8" x14ac:dyDescent="0.2">
      <c r="B34" s="4"/>
      <c r="C34" s="4"/>
      <c r="D34" s="4"/>
      <c r="E34" s="4"/>
      <c r="F34" s="4"/>
      <c r="G34" s="4"/>
    </row>
    <row r="35" spans="2:8" x14ac:dyDescent="0.2">
      <c r="B35" s="200"/>
      <c r="C35" s="200"/>
      <c r="D35" s="200"/>
      <c r="E35" s="200"/>
    </row>
    <row r="36" spans="2:8" x14ac:dyDescent="0.2">
      <c r="B36" s="200"/>
      <c r="C36" s="200"/>
      <c r="D36" s="200"/>
      <c r="E36" s="200"/>
    </row>
  </sheetData>
  <customSheetViews>
    <customSheetView guid="{935FDB08-2C7A-4709-9BC5-9809E261DD86}">
      <pageMargins left="0.7" right="0.7" top="0.75" bottom="0.75" header="0.3" footer="0.3"/>
    </customSheetView>
  </customSheetView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2:R93"/>
  <sheetViews>
    <sheetView topLeftCell="A53" zoomScale="90" zoomScaleNormal="90" workbookViewId="0">
      <selection activeCell="D110" sqref="D110"/>
    </sheetView>
  </sheetViews>
  <sheetFormatPr defaultRowHeight="12.75" x14ac:dyDescent="0.2"/>
  <cols>
    <col min="1" max="1" width="4.42578125" customWidth="1"/>
    <col min="2" max="2" width="46.5703125" customWidth="1"/>
    <col min="3" max="3" width="14.85546875" customWidth="1"/>
    <col min="4" max="6" width="12.85546875" customWidth="1"/>
    <col min="7" max="7" width="14" customWidth="1"/>
    <col min="8" max="8" width="12.85546875" customWidth="1"/>
    <col min="9" max="9" width="15.7109375" customWidth="1"/>
    <col min="10" max="10" width="15.140625" customWidth="1"/>
    <col min="11" max="11" width="1.5703125" customWidth="1"/>
    <col min="12" max="12" width="14.28515625" customWidth="1"/>
    <col min="13" max="13" width="11.28515625" customWidth="1"/>
    <col min="14" max="14" width="0.85546875" customWidth="1"/>
    <col min="15" max="15" width="11.42578125" style="4" customWidth="1"/>
    <col min="16" max="16" width="12" customWidth="1"/>
    <col min="17" max="17" width="17.7109375" customWidth="1"/>
  </cols>
  <sheetData>
    <row r="2" spans="2:18" x14ac:dyDescent="0.2">
      <c r="B2" s="20" t="str">
        <f>Inputs!A19</f>
        <v>Customer Numbers</v>
      </c>
      <c r="C2" s="22" t="str">
        <f>Inputs!E19</f>
        <v>2013/14</v>
      </c>
      <c r="D2" s="22" t="str">
        <f>Inputs!F19</f>
        <v>2014/15</v>
      </c>
      <c r="E2" s="22" t="str">
        <f>Inputs!G19</f>
        <v>2015/16</v>
      </c>
      <c r="F2" s="22" t="str">
        <f>Inputs!H19</f>
        <v>2016/17</v>
      </c>
      <c r="G2" s="22" t="str">
        <f>Inputs!I19</f>
        <v>2017/18</v>
      </c>
      <c r="H2" s="22" t="str">
        <f>Inputs!J19</f>
        <v>2018/19</v>
      </c>
      <c r="I2" s="285" t="s">
        <v>134</v>
      </c>
      <c r="J2" s="13" t="s">
        <v>40</v>
      </c>
      <c r="L2" s="13" t="s">
        <v>39</v>
      </c>
      <c r="O2" t="s">
        <v>129</v>
      </c>
    </row>
    <row r="3" spans="2:18" x14ac:dyDescent="0.2">
      <c r="B3" s="20" t="s">
        <v>143</v>
      </c>
      <c r="C3" s="22" t="str">
        <f>Inputs!E20</f>
        <v>Forecast</v>
      </c>
      <c r="D3" s="22" t="str">
        <f>Inputs!F20</f>
        <v>Projected</v>
      </c>
      <c r="E3" s="22" t="str">
        <f>Inputs!G20</f>
        <v>Projected</v>
      </c>
      <c r="F3" s="22" t="str">
        <f>Inputs!H20</f>
        <v>Projected</v>
      </c>
      <c r="G3" s="22" t="str">
        <f>Inputs!I20</f>
        <v>Projected</v>
      </c>
      <c r="H3" s="22" t="str">
        <f>Inputs!J20</f>
        <v>Projected</v>
      </c>
      <c r="I3" s="285"/>
      <c r="J3" s="13" t="s">
        <v>21</v>
      </c>
      <c r="L3" s="13" t="s">
        <v>21</v>
      </c>
      <c r="O3" t="s">
        <v>141</v>
      </c>
    </row>
    <row r="4" spans="2:18" x14ac:dyDescent="0.2">
      <c r="B4" s="15"/>
      <c r="C4" s="15"/>
      <c r="D4" s="15"/>
      <c r="E4" s="15"/>
      <c r="F4" s="15"/>
      <c r="G4" s="15"/>
      <c r="H4" s="15"/>
      <c r="L4" s="4"/>
      <c r="O4" t="s">
        <v>130</v>
      </c>
    </row>
    <row r="5" spans="2:18" x14ac:dyDescent="0.2">
      <c r="B5" s="15"/>
      <c r="C5" s="15"/>
      <c r="D5" s="15"/>
      <c r="E5" s="15"/>
      <c r="F5" s="15"/>
      <c r="G5" s="15"/>
      <c r="H5" s="15"/>
      <c r="L5" s="4"/>
      <c r="O5" s="25" t="s">
        <v>131</v>
      </c>
      <c r="P5" s="25" t="s">
        <v>133</v>
      </c>
      <c r="Q5" s="25" t="s">
        <v>132</v>
      </c>
    </row>
    <row r="6" spans="2:18" x14ac:dyDescent="0.2">
      <c r="B6" s="15" t="str">
        <f>Inputs!A22</f>
        <v>Residential Anytime</v>
      </c>
      <c r="C6" s="79">
        <f>Inputs!D22</f>
        <v>703627</v>
      </c>
      <c r="D6" s="79">
        <f>Inputs!F22</f>
        <v>711051.3</v>
      </c>
      <c r="E6" s="79">
        <f>Inputs!G22-Inputs!G32</f>
        <v>711051.3</v>
      </c>
      <c r="F6" s="79">
        <f>Inputs!H22-Inputs!H32-Inputs!G32</f>
        <v>711051.3</v>
      </c>
      <c r="G6" s="79">
        <f>Inputs!I22-Inputs!I32-Inputs!H32-Inputs!G32</f>
        <v>711051.3</v>
      </c>
      <c r="H6" s="79">
        <f>Inputs!J22-Inputs!J32-Inputs!I32-Inputs!H32-Inputs!G32</f>
        <v>711051.3</v>
      </c>
      <c r="I6" s="68">
        <f>Inputs!$C$57</f>
        <v>76.865600000000001</v>
      </c>
      <c r="J6" s="50">
        <f>I6/$I$13</f>
        <v>0.1862971307581639</v>
      </c>
      <c r="L6" s="50">
        <f>R6/$R$13</f>
        <v>0.14814814814814814</v>
      </c>
      <c r="O6">
        <v>0.75</v>
      </c>
      <c r="P6" s="4">
        <v>1</v>
      </c>
      <c r="Q6">
        <f>P6*0.25</f>
        <v>0.25</v>
      </c>
      <c r="R6">
        <f>O6+Q6</f>
        <v>1</v>
      </c>
    </row>
    <row r="7" spans="2:18" x14ac:dyDescent="0.2">
      <c r="B7" s="15" t="str">
        <f>Inputs!A23</f>
        <v>Residential TOU</v>
      </c>
      <c r="C7" s="79">
        <f>Inputs!D23</f>
        <v>11678</v>
      </c>
      <c r="D7" s="79">
        <f>Inputs!F23</f>
        <v>13534.1</v>
      </c>
      <c r="E7" s="79">
        <f>Inputs!G23-Inputs!G33</f>
        <v>13534.1</v>
      </c>
      <c r="F7" s="79">
        <f>Inputs!H23-Inputs!H33-Inputs!G33</f>
        <v>13534.1</v>
      </c>
      <c r="G7" s="79">
        <f>Inputs!I23-Inputs!I33-Inputs!H33-Inputs!G33</f>
        <v>13534.1</v>
      </c>
      <c r="H7" s="79">
        <f>Inputs!J23-Inputs!J33-Inputs!I33-Inputs!H33-Inputs!G33</f>
        <v>13534.1</v>
      </c>
      <c r="I7" s="68">
        <f>Inputs!$C$57</f>
        <v>76.865600000000001</v>
      </c>
      <c r="J7" s="50">
        <f t="shared" ref="J7:J11" si="0">I7/$I$13</f>
        <v>0.1862971307581639</v>
      </c>
      <c r="L7" s="50">
        <f t="shared" ref="L7:L11" si="1">R7/$R$13</f>
        <v>0.22222222222222221</v>
      </c>
      <c r="O7">
        <v>0.75</v>
      </c>
      <c r="P7" s="4">
        <v>3</v>
      </c>
      <c r="Q7" s="4">
        <f t="shared" ref="Q7:Q11" si="2">P7*0.25</f>
        <v>0.75</v>
      </c>
      <c r="R7" s="4">
        <f t="shared" ref="R7:R11" si="3">O7+Q7</f>
        <v>1.5</v>
      </c>
    </row>
    <row r="8" spans="2:18" x14ac:dyDescent="0.2">
      <c r="B8" s="15" t="str">
        <f>Inputs!A24</f>
        <v>Small Business anytime</v>
      </c>
      <c r="C8" s="79">
        <f>Inputs!D24</f>
        <v>80273</v>
      </c>
      <c r="D8" s="79">
        <f>Inputs!F24</f>
        <v>79250.489999999991</v>
      </c>
      <c r="E8" s="79">
        <f>Inputs!G24-Inputs!G34</f>
        <v>79250.489999999991</v>
      </c>
      <c r="F8" s="79">
        <f>Inputs!H24-Inputs!H34-Inputs!G34</f>
        <v>79250.489999999991</v>
      </c>
      <c r="G8" s="79">
        <f>Inputs!I24-Inputs!I34-Inputs!H34-Inputs!G34</f>
        <v>79250.489999999991</v>
      </c>
      <c r="H8" s="79">
        <f>Inputs!J24-Inputs!J34-Inputs!I34-Inputs!H34-Inputs!G34</f>
        <v>79250.489999999991</v>
      </c>
      <c r="I8" s="68">
        <f>Inputs!$C$59</f>
        <v>76.865600000000001</v>
      </c>
      <c r="J8" s="50">
        <f t="shared" si="0"/>
        <v>0.1862971307581639</v>
      </c>
      <c r="L8" s="50">
        <f t="shared" si="1"/>
        <v>0.14814814814814814</v>
      </c>
      <c r="O8">
        <v>0.75</v>
      </c>
      <c r="P8" s="4">
        <v>1</v>
      </c>
      <c r="Q8" s="4">
        <f t="shared" si="2"/>
        <v>0.25</v>
      </c>
      <c r="R8" s="4">
        <f t="shared" si="3"/>
        <v>1</v>
      </c>
    </row>
    <row r="9" spans="2:18" x14ac:dyDescent="0.2">
      <c r="B9" s="15" t="str">
        <f>Inputs!A25</f>
        <v>Small Business  TOU</v>
      </c>
      <c r="C9" s="79">
        <f>Inputs!D25</f>
        <v>11458</v>
      </c>
      <c r="D9" s="79">
        <f>Inputs!F25</f>
        <v>14113.1</v>
      </c>
      <c r="E9" s="79">
        <f>Inputs!G25-Inputs!G35</f>
        <v>14113.1</v>
      </c>
      <c r="F9" s="79">
        <f>Inputs!H25-Inputs!H35-Inputs!G35</f>
        <v>14113.1</v>
      </c>
      <c r="G9" s="79">
        <f>Inputs!I25-Inputs!I35-Inputs!H35-Inputs!G35</f>
        <v>14113.1</v>
      </c>
      <c r="H9" s="79">
        <f>Inputs!J25-Inputs!J35-Inputs!I35-Inputs!H35-Inputs!G35</f>
        <v>14113.1</v>
      </c>
      <c r="I9" s="68">
        <f>Inputs!$C$59</f>
        <v>76.865600000000001</v>
      </c>
      <c r="J9" s="50">
        <f t="shared" si="0"/>
        <v>0.1862971307581639</v>
      </c>
      <c r="L9" s="50">
        <f t="shared" si="1"/>
        <v>0.22222222222222221</v>
      </c>
      <c r="O9">
        <v>0.75</v>
      </c>
      <c r="P9" s="4">
        <v>3</v>
      </c>
      <c r="Q9" s="4">
        <f t="shared" si="2"/>
        <v>0.75</v>
      </c>
      <c r="R9" s="4">
        <f t="shared" si="3"/>
        <v>1.5</v>
      </c>
    </row>
    <row r="10" spans="2:18" x14ac:dyDescent="0.2">
      <c r="B10" s="15" t="str">
        <f>Inputs!A26</f>
        <v>Controlled Load</v>
      </c>
      <c r="C10" s="79">
        <f>Inputs!D26</f>
        <v>489270.7</v>
      </c>
      <c r="D10" s="79">
        <f>Inputs!F26</f>
        <v>481536.7</v>
      </c>
      <c r="E10" s="79">
        <f>Inputs!G26-1200</f>
        <v>476524.30000000005</v>
      </c>
      <c r="F10" s="79">
        <f>Inputs!H26-2400</f>
        <v>471547.6</v>
      </c>
      <c r="G10" s="79">
        <f>Inputs!I26-3600</f>
        <v>466606.4</v>
      </c>
      <c r="H10" s="79">
        <f>Inputs!J26-4800</f>
        <v>461700.1</v>
      </c>
      <c r="I10" s="68">
        <f>Inputs!C61</f>
        <v>35</v>
      </c>
      <c r="J10" s="50">
        <f t="shared" si="0"/>
        <v>8.482857840875159E-2</v>
      </c>
      <c r="L10" s="50">
        <f t="shared" si="1"/>
        <v>3.7037037037037035E-2</v>
      </c>
      <c r="O10">
        <v>0</v>
      </c>
      <c r="P10" s="4">
        <v>1</v>
      </c>
      <c r="Q10" s="4">
        <f t="shared" si="2"/>
        <v>0.25</v>
      </c>
      <c r="R10" s="4">
        <f t="shared" si="3"/>
        <v>0.25</v>
      </c>
    </row>
    <row r="11" spans="2:18" x14ac:dyDescent="0.2">
      <c r="B11" s="15" t="str">
        <f>Inputs!A27</f>
        <v>Solar</v>
      </c>
      <c r="C11" s="79">
        <f>Inputs!D27</f>
        <v>82125</v>
      </c>
      <c r="D11" s="79">
        <f>Inputs!F27</f>
        <v>113418.433</v>
      </c>
      <c r="E11" s="79">
        <f>Inputs!G27-Inputs!G37</f>
        <v>113418.433</v>
      </c>
      <c r="F11" s="79">
        <f>Inputs!H27-Inputs!H37-Inputs!G37</f>
        <v>113418.433</v>
      </c>
      <c r="G11" s="79">
        <f>Inputs!I27-Inputs!I37-Inputs!H37-Inputs!G37</f>
        <v>113418.433</v>
      </c>
      <c r="H11" s="79">
        <f>Inputs!J27-Inputs!J37-Inputs!I37-Inputs!H37-Inputs!G37</f>
        <v>113418.433</v>
      </c>
      <c r="I11" s="68">
        <f>(Inputs!C62-Inputs!C57)</f>
        <v>70.134399999999999</v>
      </c>
      <c r="J11" s="50">
        <f t="shared" si="0"/>
        <v>0.16998289855859278</v>
      </c>
      <c r="L11" s="50">
        <f t="shared" si="1"/>
        <v>0.22222222222222221</v>
      </c>
      <c r="O11">
        <v>0</v>
      </c>
      <c r="P11" s="4">
        <v>6</v>
      </c>
      <c r="Q11" s="4">
        <f t="shared" si="2"/>
        <v>1.5</v>
      </c>
      <c r="R11" s="4">
        <f t="shared" si="3"/>
        <v>1.5</v>
      </c>
    </row>
    <row r="12" spans="2:18" x14ac:dyDescent="0.2">
      <c r="B12" s="15"/>
      <c r="C12" s="18"/>
      <c r="D12" s="18"/>
      <c r="E12" s="18"/>
      <c r="F12" s="18"/>
      <c r="G12" s="18"/>
      <c r="H12" s="18"/>
      <c r="I12" s="68"/>
      <c r="L12" s="4"/>
      <c r="O12"/>
    </row>
    <row r="13" spans="2:18" x14ac:dyDescent="0.2">
      <c r="B13" s="14" t="s">
        <v>201</v>
      </c>
      <c r="C13" s="230">
        <f>Inputs!E29</f>
        <v>1393614.1270000001</v>
      </c>
      <c r="D13" s="230">
        <f>Inputs!F29</f>
        <v>1412904.1229999999</v>
      </c>
      <c r="E13" s="230">
        <f>SUM(E6:E11)</f>
        <v>1407891.723</v>
      </c>
      <c r="F13" s="230">
        <f>SUM(F6:F12)</f>
        <v>1402915.0229999998</v>
      </c>
      <c r="G13" s="230">
        <f>SUM(G6:G11)</f>
        <v>1397973.8230000001</v>
      </c>
      <c r="H13" s="230">
        <f>SUM(H6:H11)</f>
        <v>1393067.5229999998</v>
      </c>
      <c r="I13" s="68">
        <f>SUM(I6:I11)</f>
        <v>412.59680000000003</v>
      </c>
      <c r="J13" s="3">
        <f>SUM(J6:J12)</f>
        <v>1</v>
      </c>
      <c r="L13" s="3">
        <f>SUM(L6:L12)</f>
        <v>0.99999999999999989</v>
      </c>
      <c r="O13"/>
      <c r="R13">
        <f>SUM(R6:R12)</f>
        <v>6.75</v>
      </c>
    </row>
    <row r="14" spans="2:18" x14ac:dyDescent="0.2">
      <c r="C14" s="4"/>
      <c r="D14" s="7">
        <f>D13-C13</f>
        <v>19289.99599999981</v>
      </c>
      <c r="E14" s="7">
        <f>E13-D13</f>
        <v>-5012.3999999999069</v>
      </c>
      <c r="F14" s="7">
        <f>F13-E13</f>
        <v>-4976.7000000001863</v>
      </c>
      <c r="G14" s="7">
        <f>G13-F13</f>
        <v>-4941.1999999997206</v>
      </c>
      <c r="H14" s="7">
        <f>H13-G13</f>
        <v>-4906.3000000002794</v>
      </c>
      <c r="L14" s="4"/>
      <c r="O14"/>
    </row>
    <row r="15" spans="2:18" s="4" customFormat="1" x14ac:dyDescent="0.2">
      <c r="B15" s="20" t="s">
        <v>37</v>
      </c>
      <c r="C15" s="21"/>
      <c r="D15" s="21"/>
      <c r="E15" s="21"/>
      <c r="F15" s="21"/>
      <c r="G15" s="21"/>
      <c r="H15" s="21"/>
    </row>
    <row r="16" spans="2:18" s="4" customFormat="1" x14ac:dyDescent="0.2">
      <c r="B16" s="15"/>
      <c r="C16" s="15"/>
      <c r="D16" s="15"/>
      <c r="E16" s="15"/>
      <c r="F16" s="15"/>
      <c r="G16" s="15"/>
      <c r="H16" s="15"/>
    </row>
    <row r="17" spans="2:15" s="4" customFormat="1" x14ac:dyDescent="0.2">
      <c r="B17" s="23" t="s">
        <v>203</v>
      </c>
      <c r="C17" s="15"/>
      <c r="D17" s="18"/>
      <c r="E17" s="18">
        <f>Inputs!G32+Inputs!G34+D17</f>
        <v>3044.3089999999938</v>
      </c>
      <c r="F17" s="18">
        <f>Inputs!H32+Inputs!H34+E17</f>
        <v>5790.0309999999445</v>
      </c>
      <c r="G17" s="18">
        <f>Inputs!I32+Inputs!I34+F17</f>
        <v>9322.2959999999584</v>
      </c>
      <c r="H17" s="18">
        <f>Inputs!J32+Inputs!J34+G17</f>
        <v>13001.212999999989</v>
      </c>
      <c r="I17" s="239">
        <f>SUM(D6:H6,D8:H8)/SUM($D$13:$H$13)*SUM($D$22:$H$22)/5</f>
        <v>21555.338503630541</v>
      </c>
      <c r="J17" s="50">
        <f>K17/$K$22</f>
        <v>0.29693246225068143</v>
      </c>
      <c r="K17" s="3">
        <f>J8</f>
        <v>0.1862971307581639</v>
      </c>
      <c r="L17" s="50">
        <f>M17/$M$22</f>
        <v>0.23529411764705885</v>
      </c>
      <c r="M17" s="3">
        <f>L6</f>
        <v>0.14814814814814814</v>
      </c>
    </row>
    <row r="18" spans="2:15" s="4" customFormat="1" x14ac:dyDescent="0.2">
      <c r="B18" s="23" t="s">
        <v>204</v>
      </c>
      <c r="C18" s="15"/>
      <c r="D18" s="18"/>
      <c r="E18" s="18">
        <f>Inputs!G33+Inputs!G35+D18</f>
        <v>1259.8999999999996</v>
      </c>
      <c r="F18" s="18">
        <f>Inputs!H33+Inputs!H35+E18</f>
        <v>2450.9999999999982</v>
      </c>
      <c r="G18" s="18">
        <f>Inputs!I33+Inputs!I35+F18</f>
        <v>3824.5999999999985</v>
      </c>
      <c r="H18" s="18">
        <f>Inputs!J33+Inputs!J35+G18</f>
        <v>5278.7000000000007</v>
      </c>
      <c r="I18" s="239">
        <f>SUM(D7:H7,D9:H9)/SUM($D$13:$H$13)*SUM($D$22:$H$22)/5</f>
        <v>754.07238376313717</v>
      </c>
      <c r="J18" s="50">
        <f t="shared" ref="J18:J20" si="4">K18/$K$22</f>
        <v>0.29693246225068143</v>
      </c>
      <c r="K18" s="3">
        <f>J9</f>
        <v>0.1862971307581639</v>
      </c>
      <c r="L18" s="50">
        <f t="shared" ref="L18:L20" si="5">M18/$M$22</f>
        <v>0.35294117647058826</v>
      </c>
      <c r="M18" s="3">
        <f>L7</f>
        <v>0.22222222222222221</v>
      </c>
    </row>
    <row r="19" spans="2:15" s="4" customFormat="1" x14ac:dyDescent="0.2">
      <c r="B19" s="23" t="str">
        <f>Inputs!A36</f>
        <v>Controlled Load</v>
      </c>
      <c r="C19" s="63"/>
      <c r="D19" s="18"/>
      <c r="E19" s="18">
        <v>1200</v>
      </c>
      <c r="F19" s="18">
        <v>2400</v>
      </c>
      <c r="G19" s="18">
        <v>3600</v>
      </c>
      <c r="H19" s="18">
        <v>4800</v>
      </c>
      <c r="I19" s="239">
        <f>SUM(D10:H10)/SUM($D$13:$H$13)*SUM($D$22:$H$22)/5</f>
        <v>12862.341648833124</v>
      </c>
      <c r="J19" s="50">
        <f t="shared" si="4"/>
        <v>0.1352052957210228</v>
      </c>
      <c r="K19" s="3">
        <f>J10</f>
        <v>8.482857840875159E-2</v>
      </c>
      <c r="L19" s="50">
        <f t="shared" si="5"/>
        <v>5.8823529411764712E-2</v>
      </c>
      <c r="M19" s="3">
        <f>L10</f>
        <v>3.7037037037037035E-2</v>
      </c>
      <c r="O19" s="4" t="s">
        <v>178</v>
      </c>
    </row>
    <row r="20" spans="2:15" s="4" customFormat="1" x14ac:dyDescent="0.2">
      <c r="B20" s="23" t="str">
        <f>Inputs!A37</f>
        <v>Solar Additions (assume single phase 2 element)</v>
      </c>
      <c r="C20" s="15"/>
      <c r="D20" s="18"/>
      <c r="E20" s="18">
        <f>Inputs!G37+D20</f>
        <v>14146.737999999998</v>
      </c>
      <c r="F20" s="18">
        <f>Inputs!H37+E20</f>
        <v>28366.827999999994</v>
      </c>
      <c r="G20" s="18">
        <f>Inputs!I37+F20</f>
        <v>40426.727999999959</v>
      </c>
      <c r="H20" s="18">
        <f>Inputs!J37+G20</f>
        <v>52413.756000000008</v>
      </c>
      <c r="I20" s="239">
        <f>SUM(D11:H11)/SUM($D$13:$H$13)*SUM($D$22:$H$22)/5</f>
        <v>3093.4672637731724</v>
      </c>
      <c r="J20" s="50">
        <f t="shared" si="4"/>
        <v>0.27092977977761429</v>
      </c>
      <c r="K20" s="3">
        <f>J11</f>
        <v>0.16998289855859278</v>
      </c>
      <c r="L20" s="50">
        <f t="shared" si="5"/>
        <v>0.35294117647058826</v>
      </c>
      <c r="M20" s="3">
        <f>L11</f>
        <v>0.22222222222222221</v>
      </c>
    </row>
    <row r="21" spans="2:15" s="4" customFormat="1" x14ac:dyDescent="0.2">
      <c r="B21" s="15"/>
      <c r="C21" s="15"/>
      <c r="D21" s="18"/>
      <c r="E21" s="18"/>
      <c r="F21" s="18"/>
      <c r="G21" s="18"/>
      <c r="H21" s="18"/>
      <c r="J21" s="65"/>
      <c r="K21" s="65"/>
      <c r="L21" s="65"/>
      <c r="M21" s="65"/>
      <c r="N21" s="65"/>
      <c r="O21" s="65"/>
    </row>
    <row r="22" spans="2:15" x14ac:dyDescent="0.2">
      <c r="B22" s="14" t="s">
        <v>205</v>
      </c>
      <c r="C22" s="14"/>
      <c r="D22" s="230"/>
      <c r="E22" s="230">
        <f>SUM(E17:E20)</f>
        <v>19650.946999999993</v>
      </c>
      <c r="F22" s="230">
        <f>SUM(F17:F21)</f>
        <v>39007.858999999939</v>
      </c>
      <c r="G22" s="230">
        <f>SUM(G17:G20)</f>
        <v>57173.623999999916</v>
      </c>
      <c r="H22" s="230">
        <f>SUM(H17:H20)</f>
        <v>75493.668999999994</v>
      </c>
      <c r="J22" s="65"/>
      <c r="K22" s="3">
        <f>SUM(K17:K21)</f>
        <v>0.6274057384836722</v>
      </c>
      <c r="L22" s="66"/>
      <c r="M22" s="3">
        <f>SUM(M17:M21)</f>
        <v>0.62962962962962954</v>
      </c>
      <c r="N22" s="67"/>
      <c r="O22" s="65"/>
    </row>
    <row r="23" spans="2:15" x14ac:dyDescent="0.2">
      <c r="B23" s="232" t="s">
        <v>190</v>
      </c>
      <c r="C23" s="232"/>
      <c r="D23" s="233">
        <f>D13</f>
        <v>1412904.1229999999</v>
      </c>
      <c r="E23" s="233">
        <f>E13+E22</f>
        <v>1427542.67</v>
      </c>
      <c r="F23" s="233">
        <f t="shared" ref="F23:H23" si="6">F13+F22</f>
        <v>1441922.8819999998</v>
      </c>
      <c r="G23" s="233">
        <f t="shared" si="6"/>
        <v>1455147.4469999999</v>
      </c>
      <c r="H23" s="233">
        <f t="shared" si="6"/>
        <v>1468561.1919999998</v>
      </c>
      <c r="J23" s="65"/>
      <c r="K23" s="65"/>
      <c r="L23" s="66"/>
      <c r="M23" s="67"/>
      <c r="N23" s="67"/>
      <c r="O23" s="65"/>
    </row>
    <row r="24" spans="2:15" s="4" customFormat="1" x14ac:dyDescent="0.2">
      <c r="B24" s="232" t="s">
        <v>212</v>
      </c>
      <c r="C24" s="232"/>
      <c r="D24" s="235">
        <f>D22/D23</f>
        <v>0</v>
      </c>
      <c r="E24" s="235">
        <f t="shared" ref="E24" si="7">E22/E23</f>
        <v>1.3765575917951366E-2</v>
      </c>
      <c r="F24" s="235">
        <f>F22/F23</f>
        <v>2.7052666607172926E-2</v>
      </c>
      <c r="G24" s="235">
        <f>G22/G23</f>
        <v>3.9290605304549538E-2</v>
      </c>
      <c r="H24" s="235">
        <f>H22/H23</f>
        <v>5.1406553170036381E-2</v>
      </c>
      <c r="J24" s="65"/>
      <c r="K24" s="65"/>
      <c r="L24" s="66"/>
      <c r="M24" s="67"/>
      <c r="N24" s="67"/>
      <c r="O24" s="65"/>
    </row>
    <row r="25" spans="2:15" s="4" customFormat="1" x14ac:dyDescent="0.2">
      <c r="B25" s="5"/>
      <c r="C25" s="5"/>
      <c r="D25" s="5"/>
      <c r="E25" s="5"/>
      <c r="F25" s="5"/>
      <c r="G25" s="5"/>
      <c r="H25" s="5"/>
      <c r="J25" s="65"/>
      <c r="K25" s="65"/>
      <c r="L25" s="66"/>
      <c r="M25" s="67"/>
      <c r="N25" s="67"/>
      <c r="O25" s="65"/>
    </row>
    <row r="26" spans="2:15" x14ac:dyDescent="0.2">
      <c r="B26" s="20" t="s">
        <v>191</v>
      </c>
      <c r="C26" s="21"/>
      <c r="D26" s="21"/>
      <c r="E26" s="21"/>
      <c r="F26" s="21"/>
      <c r="G26" s="21"/>
      <c r="H26" s="21"/>
      <c r="J26" s="65"/>
      <c r="K26" s="65"/>
      <c r="L26" s="66"/>
      <c r="M26" s="67"/>
      <c r="N26" s="67"/>
      <c r="O26" s="65"/>
    </row>
    <row r="27" spans="2:15" x14ac:dyDescent="0.2">
      <c r="B27" s="14"/>
      <c r="C27" s="15"/>
      <c r="D27" s="15"/>
      <c r="E27" s="15"/>
      <c r="F27" s="15"/>
      <c r="G27" s="15"/>
      <c r="H27" s="15"/>
      <c r="J27" s="65"/>
      <c r="K27" s="65"/>
      <c r="L27" s="66"/>
      <c r="M27" s="67"/>
      <c r="N27" s="67"/>
      <c r="O27" s="65"/>
    </row>
    <row r="28" spans="2:15" x14ac:dyDescent="0.2">
      <c r="B28" s="15" t="s">
        <v>223</v>
      </c>
      <c r="C28" s="15"/>
      <c r="D28" s="18">
        <f>'Recoverable Costs Summary'!D21+'Recoverable Costs Summary'!D27+'Recoverable Costs Summary'!D34</f>
        <v>13790134.664982896</v>
      </c>
      <c r="E28" s="18">
        <f>'Recoverable Costs Summary'!E21+'Recoverable Costs Summary'!E27+'Recoverable Costs Summary'!E34</f>
        <v>14523130.727973737</v>
      </c>
      <c r="F28" s="18">
        <f>'Recoverable Costs Summary'!F21+'Recoverable Costs Summary'!F27+'Recoverable Costs Summary'!F34</f>
        <v>15046817.749159778</v>
      </c>
      <c r="G28" s="18">
        <f>'Recoverable Costs Summary'!G21+'Recoverable Costs Summary'!G27+'Recoverable Costs Summary'!G34</f>
        <v>13474887.216660824</v>
      </c>
      <c r="H28" s="18">
        <f>'Recoverable Costs Summary'!H21+'Recoverable Costs Summary'!H27+'Recoverable Costs Summary'!H34</f>
        <v>13516110.93158995</v>
      </c>
      <c r="J28" s="65"/>
      <c r="K28" s="65"/>
      <c r="M28" s="65"/>
      <c r="N28" s="65"/>
      <c r="O28" s="65"/>
    </row>
    <row r="29" spans="2:15" s="4" customFormat="1" x14ac:dyDescent="0.2">
      <c r="B29" s="15" t="s">
        <v>175</v>
      </c>
      <c r="C29" s="15"/>
      <c r="D29" s="18">
        <f>('Recoverable Costs Summary'!D39+'Recoverable Costs Summary'!D44+'Recoverable Costs Summary'!D50)*(1-D$24)</f>
        <v>5891279.9149822798</v>
      </c>
      <c r="E29" s="18">
        <f>('Recoverable Costs Summary'!E39+'Recoverable Costs Summary'!E44+'Recoverable Costs Summary'!E50)*(1-E$24)</f>
        <v>6303437.0634671738</v>
      </c>
      <c r="F29" s="18">
        <f>('Recoverable Costs Summary'!F39+'Recoverable Costs Summary'!F44+'Recoverable Costs Summary'!F50)*(1-F$24)</f>
        <v>6311162.6205837838</v>
      </c>
      <c r="G29" s="18">
        <f>('Recoverable Costs Summary'!G39+'Recoverable Costs Summary'!G44+'Recoverable Costs Summary'!G50)*(1-G$24)</f>
        <v>6359552.8233309491</v>
      </c>
      <c r="H29" s="18">
        <f>('Recoverable Costs Summary'!H39+'Recoverable Costs Summary'!H44+'Recoverable Costs Summary'!H50)*(1-H$24)</f>
        <v>6452314.6284750234</v>
      </c>
    </row>
    <row r="30" spans="2:15" x14ac:dyDescent="0.2">
      <c r="B30" s="15" t="s">
        <v>44</v>
      </c>
      <c r="C30" s="15"/>
      <c r="D30" s="18">
        <f>'Recoverable Costs Summary'!D23</f>
        <v>14005079.193519356</v>
      </c>
      <c r="E30" s="18">
        <f>'Recoverable Costs Summary'!E23</f>
        <v>15800633.956665827</v>
      </c>
      <c r="F30" s="18">
        <f>'Recoverable Costs Summary'!F23</f>
        <v>17672645.3877481</v>
      </c>
      <c r="G30" s="18">
        <f>'Recoverable Costs Summary'!G23</f>
        <v>20077480.253628701</v>
      </c>
      <c r="H30" s="18">
        <f>'Recoverable Costs Summary'!H23</f>
        <v>24250888.380725481</v>
      </c>
      <c r="I30" s="13" t="s">
        <v>189</v>
      </c>
      <c r="J30" s="234">
        <f>SUM(D28:H31)+SUM(D35:H36)-SUM('Recoverable Costs Summary'!D60:H60)</f>
        <v>0</v>
      </c>
      <c r="L30" s="4"/>
      <c r="O30"/>
    </row>
    <row r="31" spans="2:15" x14ac:dyDescent="0.2">
      <c r="B31" s="15" t="s">
        <v>39</v>
      </c>
      <c r="C31" s="15"/>
      <c r="D31" s="18">
        <f>('Recoverable Costs Summary'!D32+'Recoverable Costs Summary'!D56)*(1-D$24)</f>
        <v>18683829.084336955</v>
      </c>
      <c r="E31" s="18">
        <f>('Recoverable Costs Summary'!E32+'Recoverable Costs Summary'!E56)*(1-E$24)</f>
        <v>18568215.072905097</v>
      </c>
      <c r="F31" s="18">
        <f>('Recoverable Costs Summary'!F32+'Recoverable Costs Summary'!F56)*(1-F$24)</f>
        <v>18578737.515377324</v>
      </c>
      <c r="G31" s="18">
        <f>('Recoverable Costs Summary'!G32+'Recoverable Costs Summary'!G56)*(1-G$24)</f>
        <v>18710609.705629472</v>
      </c>
      <c r="H31" s="18">
        <f>('Recoverable Costs Summary'!H32+'Recoverable Costs Summary'!H56)*(1-H$24)</f>
        <v>18760975.286623918</v>
      </c>
      <c r="I31" s="82" t="s">
        <v>174</v>
      </c>
      <c r="L31" s="4"/>
      <c r="O31"/>
    </row>
    <row r="32" spans="2:15" x14ac:dyDescent="0.2">
      <c r="B32" s="15"/>
      <c r="C32" s="15"/>
      <c r="D32" s="15"/>
      <c r="E32" s="15"/>
      <c r="F32" s="15"/>
      <c r="G32" s="15"/>
      <c r="H32" s="15"/>
      <c r="I32" s="7">
        <f>SUM(D28:H31)</f>
        <v>286777922.1783666</v>
      </c>
      <c r="L32" s="4"/>
      <c r="O32"/>
    </row>
    <row r="33" spans="2:15" s="4" customFormat="1" x14ac:dyDescent="0.2">
      <c r="B33" s="20" t="s">
        <v>192</v>
      </c>
      <c r="C33" s="21"/>
      <c r="D33" s="21"/>
      <c r="E33" s="21"/>
      <c r="F33" s="21"/>
      <c r="G33" s="21"/>
      <c r="H33" s="21"/>
      <c r="J33" s="65"/>
      <c r="K33" s="65"/>
      <c r="L33" s="66"/>
      <c r="M33" s="67"/>
      <c r="N33" s="67"/>
      <c r="O33" s="65"/>
    </row>
    <row r="34" spans="2:15" s="4" customFormat="1" x14ac:dyDescent="0.2">
      <c r="B34" s="14"/>
      <c r="C34" s="15"/>
      <c r="D34" s="15"/>
      <c r="E34" s="15"/>
      <c r="F34" s="15"/>
      <c r="G34" s="15"/>
      <c r="H34" s="15"/>
      <c r="J34" s="65"/>
      <c r="K34" s="65"/>
      <c r="L34" s="66"/>
      <c r="M34" s="67"/>
      <c r="N34" s="67"/>
      <c r="O34" s="65"/>
    </row>
    <row r="35" spans="2:15" s="4" customFormat="1" x14ac:dyDescent="0.2">
      <c r="B35" s="15" t="s">
        <v>175</v>
      </c>
      <c r="C35" s="15"/>
      <c r="D35" s="18">
        <f>('Recoverable Costs Summary'!D39+'Recoverable Costs Summary'!D44+'Recoverable Costs Summary'!D50)*D$24</f>
        <v>0</v>
      </c>
      <c r="E35" s="18">
        <f>('Recoverable Costs Summary'!E39+'Recoverable Costs Summary'!E44+'Recoverable Costs Summary'!E50)*E$24</f>
        <v>87981.558260804566</v>
      </c>
      <c r="F35" s="18">
        <f>('Recoverable Costs Summary'!F39+'Recoverable Costs Summary'!F44+'Recoverable Costs Summary'!F50)*F$24</f>
        <v>175481.00746926165</v>
      </c>
      <c r="G35" s="18">
        <f>('Recoverable Costs Summary'!G39+'Recoverable Costs Summary'!G44+'Recoverable Costs Summary'!G50)*G$24</f>
        <v>260089.76416238773</v>
      </c>
      <c r="H35" s="18">
        <f>('Recoverable Costs Summary'!H39+'Recoverable Costs Summary'!H44+'Recoverable Costs Summary'!H50)*H$24</f>
        <v>349666.39936946653</v>
      </c>
    </row>
    <row r="36" spans="2:15" s="4" customFormat="1" x14ac:dyDescent="0.2">
      <c r="B36" s="15" t="s">
        <v>39</v>
      </c>
      <c r="C36" s="15"/>
      <c r="D36" s="18">
        <f>('Recoverable Costs Summary'!D32+'Recoverable Costs Summary'!D56)*D$24</f>
        <v>0</v>
      </c>
      <c r="E36" s="18">
        <f>('Recoverable Costs Summary'!E32+'Recoverable Costs Summary'!E56)*E$24</f>
        <v>259169.79574590418</v>
      </c>
      <c r="F36" s="18">
        <f>('Recoverable Costs Summary'!F32+'Recoverable Costs Summary'!F56)*F$24</f>
        <v>516579.23788435181</v>
      </c>
      <c r="G36" s="18">
        <f>('Recoverable Costs Summary'!G32+'Recoverable Costs Summary'!G56)*G$24</f>
        <v>765217.02089153382</v>
      </c>
      <c r="H36" s="18">
        <f>('Recoverable Costs Summary'!H32+'Recoverable Costs Summary'!H56)*H$24</f>
        <v>1016702.2308835825</v>
      </c>
      <c r="I36" s="82" t="s">
        <v>174</v>
      </c>
    </row>
    <row r="37" spans="2:15" s="4" customFormat="1" x14ac:dyDescent="0.2">
      <c r="B37" s="15"/>
      <c r="C37" s="15"/>
      <c r="D37" s="15"/>
      <c r="E37" s="15"/>
      <c r="F37" s="15"/>
      <c r="G37" s="15"/>
      <c r="H37" s="15"/>
      <c r="I37" s="7">
        <f>SUM(D35:H36)</f>
        <v>3430887.0146672926</v>
      </c>
    </row>
    <row r="38" spans="2:15" x14ac:dyDescent="0.2">
      <c r="L38" s="4"/>
      <c r="O38"/>
    </row>
    <row r="39" spans="2:15" x14ac:dyDescent="0.2">
      <c r="B39" s="20" t="s">
        <v>41</v>
      </c>
      <c r="C39" s="21"/>
      <c r="D39" s="21"/>
      <c r="E39" s="21"/>
      <c r="F39" s="21"/>
      <c r="G39" s="21"/>
      <c r="H39" s="21"/>
      <c r="L39" s="4"/>
      <c r="O39"/>
    </row>
    <row r="40" spans="2:15" x14ac:dyDescent="0.2">
      <c r="B40" s="15"/>
      <c r="C40" s="15"/>
      <c r="D40" s="15"/>
      <c r="E40" s="15"/>
      <c r="F40" s="15"/>
      <c r="G40" s="15"/>
      <c r="H40" s="15"/>
      <c r="L40" s="4"/>
      <c r="O40"/>
    </row>
    <row r="41" spans="2:15" x14ac:dyDescent="0.2">
      <c r="B41" s="15" t="s">
        <v>13</v>
      </c>
      <c r="C41" s="15"/>
      <c r="D41" s="18">
        <f t="shared" ref="D41:H46" si="8">D6*$J6</f>
        <v>132466.81701186244</v>
      </c>
      <c r="E41" s="18">
        <f t="shared" si="8"/>
        <v>132466.81701186244</v>
      </c>
      <c r="F41" s="18">
        <f t="shared" si="8"/>
        <v>132466.81701186244</v>
      </c>
      <c r="G41" s="18">
        <f t="shared" si="8"/>
        <v>132466.81701186244</v>
      </c>
      <c r="H41" s="18">
        <f t="shared" si="8"/>
        <v>132466.81701186244</v>
      </c>
      <c r="L41" s="4"/>
      <c r="O41"/>
    </row>
    <row r="42" spans="2:15" x14ac:dyDescent="0.2">
      <c r="B42" s="15" t="s">
        <v>14</v>
      </c>
      <c r="C42" s="15"/>
      <c r="D42" s="18">
        <f t="shared" si="8"/>
        <v>2521.3639973940662</v>
      </c>
      <c r="E42" s="18">
        <f t="shared" si="8"/>
        <v>2521.3639973940662</v>
      </c>
      <c r="F42" s="18">
        <f t="shared" si="8"/>
        <v>2521.3639973940662</v>
      </c>
      <c r="G42" s="18">
        <f t="shared" si="8"/>
        <v>2521.3639973940662</v>
      </c>
      <c r="H42" s="18">
        <f t="shared" si="8"/>
        <v>2521.3639973940662</v>
      </c>
      <c r="L42" s="4"/>
      <c r="O42"/>
    </row>
    <row r="43" spans="2:15" x14ac:dyDescent="0.2">
      <c r="B43" s="15" t="s">
        <v>15</v>
      </c>
      <c r="C43" s="15"/>
      <c r="D43" s="18">
        <f t="shared" si="8"/>
        <v>14764.138898178559</v>
      </c>
      <c r="E43" s="18">
        <f t="shared" si="8"/>
        <v>14764.138898178559</v>
      </c>
      <c r="F43" s="18">
        <f t="shared" si="8"/>
        <v>14764.138898178559</v>
      </c>
      <c r="G43" s="18">
        <f t="shared" si="8"/>
        <v>14764.138898178559</v>
      </c>
      <c r="H43" s="18">
        <f t="shared" si="8"/>
        <v>14764.138898178559</v>
      </c>
      <c r="L43" s="4"/>
      <c r="O43"/>
    </row>
    <row r="44" spans="2:15" x14ac:dyDescent="0.2">
      <c r="B44" s="15" t="s">
        <v>16</v>
      </c>
      <c r="C44" s="15"/>
      <c r="D44" s="18">
        <f t="shared" si="8"/>
        <v>2629.2300361030429</v>
      </c>
      <c r="E44" s="18">
        <f t="shared" si="8"/>
        <v>2629.2300361030429</v>
      </c>
      <c r="F44" s="18">
        <f t="shared" si="8"/>
        <v>2629.2300361030429</v>
      </c>
      <c r="G44" s="18">
        <f t="shared" si="8"/>
        <v>2629.2300361030429</v>
      </c>
      <c r="H44" s="18">
        <f t="shared" si="8"/>
        <v>2629.2300361030429</v>
      </c>
      <c r="L44" s="4"/>
      <c r="O44"/>
    </row>
    <row r="45" spans="2:15" x14ac:dyDescent="0.2">
      <c r="B45" s="15" t="s">
        <v>17</v>
      </c>
      <c r="C45" s="15"/>
      <c r="D45" s="18">
        <f t="shared" si="8"/>
        <v>40848.07371264149</v>
      </c>
      <c r="E45" s="18">
        <f t="shared" si="8"/>
        <v>40422.878946225472</v>
      </c>
      <c r="F45" s="18">
        <f t="shared" si="8"/>
        <v>40000.71256005863</v>
      </c>
      <c r="G45" s="18">
        <f t="shared" si="8"/>
        <v>39581.557588425312</v>
      </c>
      <c r="H45" s="18">
        <f t="shared" si="8"/>
        <v>39165.363134178449</v>
      </c>
      <c r="L45" s="4"/>
      <c r="O45"/>
    </row>
    <row r="46" spans="2:15" x14ac:dyDescent="0.2">
      <c r="B46" s="15" t="s">
        <v>137</v>
      </c>
      <c r="C46" s="15"/>
      <c r="D46" s="18">
        <f t="shared" si="8"/>
        <v>19279.193991313554</v>
      </c>
      <c r="E46" s="18">
        <f t="shared" si="8"/>
        <v>19279.193991313554</v>
      </c>
      <c r="F46" s="18">
        <f t="shared" si="8"/>
        <v>19279.193991313554</v>
      </c>
      <c r="G46" s="18">
        <f t="shared" si="8"/>
        <v>19279.193991313554</v>
      </c>
      <c r="H46" s="18">
        <f t="shared" si="8"/>
        <v>19279.193991313554</v>
      </c>
      <c r="L46" s="4"/>
      <c r="O46"/>
    </row>
    <row r="47" spans="2:15" x14ac:dyDescent="0.2">
      <c r="B47" s="15"/>
      <c r="C47" s="15"/>
      <c r="D47" s="236">
        <f>SUM(D41:D46)</f>
        <v>212508.81764749315</v>
      </c>
      <c r="E47" s="236">
        <f t="shared" ref="E47:H47" si="9">SUM(E41:E46)</f>
        <v>212083.62288107714</v>
      </c>
      <c r="F47" s="236">
        <f t="shared" si="9"/>
        <v>211661.45649491029</v>
      </c>
      <c r="G47" s="236">
        <f t="shared" si="9"/>
        <v>211242.30152327698</v>
      </c>
      <c r="H47" s="236">
        <f t="shared" si="9"/>
        <v>210826.10706903011</v>
      </c>
      <c r="L47" s="4"/>
      <c r="O47"/>
    </row>
    <row r="48" spans="2:15" x14ac:dyDescent="0.2">
      <c r="B48" s="20" t="s">
        <v>206</v>
      </c>
      <c r="C48" s="21"/>
      <c r="D48" s="21"/>
      <c r="E48" s="21"/>
      <c r="F48" s="21"/>
      <c r="G48" s="21"/>
      <c r="H48" s="21"/>
      <c r="L48" s="4"/>
      <c r="O48"/>
    </row>
    <row r="49" spans="2:15" x14ac:dyDescent="0.2">
      <c r="B49" s="15"/>
      <c r="C49" s="15"/>
      <c r="D49" s="15"/>
      <c r="E49" s="15"/>
      <c r="F49" s="15"/>
      <c r="G49" s="15"/>
      <c r="H49" s="15"/>
      <c r="L49" s="4"/>
      <c r="O49"/>
    </row>
    <row r="50" spans="2:15" x14ac:dyDescent="0.2">
      <c r="B50" s="15" t="s">
        <v>13</v>
      </c>
      <c r="C50" s="15"/>
      <c r="D50" s="19">
        <f t="shared" ref="D50:H55" si="10">D6*$L6</f>
        <v>105340.93333333333</v>
      </c>
      <c r="E50" s="19">
        <f t="shared" si="10"/>
        <v>105340.93333333333</v>
      </c>
      <c r="F50" s="19">
        <f t="shared" si="10"/>
        <v>105340.93333333333</v>
      </c>
      <c r="G50" s="19">
        <f t="shared" si="10"/>
        <v>105340.93333333333</v>
      </c>
      <c r="H50" s="19">
        <f t="shared" si="10"/>
        <v>105340.93333333333</v>
      </c>
      <c r="L50" s="4"/>
      <c r="O50"/>
    </row>
    <row r="51" spans="2:15" x14ac:dyDescent="0.2">
      <c r="B51" s="15" t="s">
        <v>14</v>
      </c>
      <c r="C51" s="15"/>
      <c r="D51" s="19">
        <f t="shared" si="10"/>
        <v>3007.5777777777776</v>
      </c>
      <c r="E51" s="19">
        <f t="shared" si="10"/>
        <v>3007.5777777777776</v>
      </c>
      <c r="F51" s="19">
        <f t="shared" si="10"/>
        <v>3007.5777777777776</v>
      </c>
      <c r="G51" s="19">
        <f t="shared" si="10"/>
        <v>3007.5777777777776</v>
      </c>
      <c r="H51" s="19">
        <f t="shared" si="10"/>
        <v>3007.5777777777776</v>
      </c>
      <c r="L51" s="4"/>
      <c r="O51"/>
    </row>
    <row r="52" spans="2:15" x14ac:dyDescent="0.2">
      <c r="B52" s="15" t="s">
        <v>15</v>
      </c>
      <c r="C52" s="15"/>
      <c r="D52" s="19">
        <f t="shared" si="10"/>
        <v>11740.813333333332</v>
      </c>
      <c r="E52" s="19">
        <f t="shared" si="10"/>
        <v>11740.813333333332</v>
      </c>
      <c r="F52" s="19">
        <f t="shared" si="10"/>
        <v>11740.813333333332</v>
      </c>
      <c r="G52" s="19">
        <f t="shared" si="10"/>
        <v>11740.813333333332</v>
      </c>
      <c r="H52" s="19">
        <f t="shared" si="10"/>
        <v>11740.813333333332</v>
      </c>
      <c r="L52" s="4"/>
      <c r="O52"/>
    </row>
    <row r="53" spans="2:15" x14ac:dyDescent="0.2">
      <c r="B53" s="15" t="s">
        <v>16</v>
      </c>
      <c r="C53" s="15"/>
      <c r="D53" s="19">
        <f t="shared" si="10"/>
        <v>3136.2444444444445</v>
      </c>
      <c r="E53" s="19">
        <f t="shared" si="10"/>
        <v>3136.2444444444445</v>
      </c>
      <c r="F53" s="19">
        <f t="shared" si="10"/>
        <v>3136.2444444444445</v>
      </c>
      <c r="G53" s="19">
        <f t="shared" si="10"/>
        <v>3136.2444444444445</v>
      </c>
      <c r="H53" s="19">
        <f t="shared" si="10"/>
        <v>3136.2444444444445</v>
      </c>
      <c r="L53" s="4"/>
      <c r="O53"/>
    </row>
    <row r="54" spans="2:15" x14ac:dyDescent="0.2">
      <c r="B54" s="15" t="s">
        <v>17</v>
      </c>
      <c r="C54" s="15"/>
      <c r="D54" s="19">
        <f t="shared" si="10"/>
        <v>17834.692592592593</v>
      </c>
      <c r="E54" s="19">
        <f t="shared" si="10"/>
        <v>17649.048148148147</v>
      </c>
      <c r="F54" s="19">
        <f t="shared" si="10"/>
        <v>17464.725925925923</v>
      </c>
      <c r="G54" s="19">
        <f t="shared" si="10"/>
        <v>17281.718518518519</v>
      </c>
      <c r="H54" s="19">
        <f t="shared" si="10"/>
        <v>17100.003703703704</v>
      </c>
      <c r="L54" s="4"/>
      <c r="O54"/>
    </row>
    <row r="55" spans="2:15" x14ac:dyDescent="0.2">
      <c r="B55" s="15" t="s">
        <v>137</v>
      </c>
      <c r="C55" s="15"/>
      <c r="D55" s="19">
        <f t="shared" si="10"/>
        <v>25204.096222222222</v>
      </c>
      <c r="E55" s="19">
        <f t="shared" si="10"/>
        <v>25204.096222222222</v>
      </c>
      <c r="F55" s="19">
        <f t="shared" si="10"/>
        <v>25204.096222222222</v>
      </c>
      <c r="G55" s="19">
        <f t="shared" si="10"/>
        <v>25204.096222222222</v>
      </c>
      <c r="H55" s="19">
        <f t="shared" si="10"/>
        <v>25204.096222222222</v>
      </c>
      <c r="L55" s="4"/>
      <c r="O55"/>
    </row>
    <row r="56" spans="2:15" s="5" customFormat="1" x14ac:dyDescent="0.2">
      <c r="B56" s="14"/>
      <c r="C56" s="14"/>
      <c r="D56" s="236">
        <f>SUM(D50:D55)</f>
        <v>166264.35770370372</v>
      </c>
      <c r="E56" s="236">
        <f>SUM(E50:E55)</f>
        <v>166078.71325925927</v>
      </c>
      <c r="F56" s="236">
        <f>SUM(F50:F55)</f>
        <v>165894.39103703704</v>
      </c>
      <c r="G56" s="236">
        <f>SUM(G50:G55)</f>
        <v>165711.38362962962</v>
      </c>
      <c r="H56" s="236">
        <f>SUM(H50:H55)</f>
        <v>165529.66881481482</v>
      </c>
    </row>
    <row r="57" spans="2:15" s="5" customFormat="1" x14ac:dyDescent="0.2">
      <c r="B57" s="172"/>
      <c r="C57" s="172"/>
      <c r="D57" s="241"/>
      <c r="E57" s="241"/>
      <c r="F57" s="241"/>
      <c r="G57" s="241"/>
      <c r="H57" s="241"/>
    </row>
    <row r="58" spans="2:15" s="5" customFormat="1" x14ac:dyDescent="0.2">
      <c r="B58" s="20" t="s">
        <v>207</v>
      </c>
      <c r="C58" s="21"/>
      <c r="D58" s="21"/>
      <c r="E58" s="21"/>
      <c r="F58" s="21"/>
      <c r="G58" s="21"/>
      <c r="H58" s="21"/>
    </row>
    <row r="59" spans="2:15" s="5" customFormat="1" x14ac:dyDescent="0.2">
      <c r="B59" s="242"/>
      <c r="C59" s="242"/>
      <c r="D59" s="243"/>
      <c r="E59" s="243"/>
      <c r="F59" s="243"/>
      <c r="G59" s="243"/>
      <c r="H59" s="243"/>
    </row>
    <row r="60" spans="2:15" s="5" customFormat="1" x14ac:dyDescent="0.2">
      <c r="B60" s="244" t="s">
        <v>203</v>
      </c>
      <c r="C60" s="242"/>
      <c r="D60" s="243"/>
      <c r="E60" s="245">
        <f>E17*$J17</f>
        <v>903.95416722190794</v>
      </c>
      <c r="F60" s="245">
        <f t="shared" ref="F60:H60" si="11">F17*$J17</f>
        <v>1719.2481613377588</v>
      </c>
      <c r="G60" s="245">
        <f t="shared" si="11"/>
        <v>2768.0923051096661</v>
      </c>
      <c r="H60" s="245">
        <f t="shared" si="11"/>
        <v>3860.4821883355653</v>
      </c>
    </row>
    <row r="61" spans="2:15" s="5" customFormat="1" x14ac:dyDescent="0.2">
      <c r="B61" s="244" t="s">
        <v>204</v>
      </c>
      <c r="C61" s="242"/>
      <c r="D61" s="243"/>
      <c r="E61" s="245">
        <f t="shared" ref="E61:H61" si="12">E18*$J18</f>
        <v>374.1052091896334</v>
      </c>
      <c r="F61" s="245">
        <f t="shared" si="12"/>
        <v>727.78146497641967</v>
      </c>
      <c r="G61" s="245">
        <f t="shared" si="12"/>
        <v>1135.6478951239558</v>
      </c>
      <c r="H61" s="245">
        <f t="shared" si="12"/>
        <v>1567.4173884826723</v>
      </c>
    </row>
    <row r="62" spans="2:15" s="5" customFormat="1" x14ac:dyDescent="0.2">
      <c r="B62" s="244" t="s">
        <v>210</v>
      </c>
      <c r="C62" s="242"/>
      <c r="D62" s="243"/>
      <c r="E62" s="245">
        <f t="shared" ref="E62:H62" si="13">E19*$J19</f>
        <v>162.24635486522737</v>
      </c>
      <c r="F62" s="245">
        <f t="shared" si="13"/>
        <v>324.49270973045475</v>
      </c>
      <c r="G62" s="245">
        <f t="shared" si="13"/>
        <v>486.73906459568207</v>
      </c>
      <c r="H62" s="245">
        <f t="shared" si="13"/>
        <v>648.9854194609095</v>
      </c>
    </row>
    <row r="63" spans="2:15" s="5" customFormat="1" x14ac:dyDescent="0.2">
      <c r="B63" s="244" t="s">
        <v>211</v>
      </c>
      <c r="C63" s="242"/>
      <c r="D63" s="243"/>
      <c r="E63" s="245">
        <f t="shared" ref="E63:H63" si="14">E20*$J20</f>
        <v>3832.772610911607</v>
      </c>
      <c r="F63" s="245">
        <f t="shared" si="14"/>
        <v>7685.4184630294612</v>
      </c>
      <c r="G63" s="245">
        <f t="shared" si="14"/>
        <v>10952.804514169502</v>
      </c>
      <c r="H63" s="245">
        <f t="shared" si="14"/>
        <v>14200.447370397613</v>
      </c>
    </row>
    <row r="64" spans="2:15" s="5" customFormat="1" x14ac:dyDescent="0.2">
      <c r="B64" s="242" t="s">
        <v>209</v>
      </c>
      <c r="C64" s="242"/>
      <c r="D64" s="243"/>
      <c r="E64" s="243">
        <f>SUM(E60:E63)</f>
        <v>5273.0783421883752</v>
      </c>
      <c r="F64" s="243">
        <f t="shared" ref="F64:H64" si="15">SUM(F60:F63)</f>
        <v>10456.940799074095</v>
      </c>
      <c r="G64" s="243">
        <f t="shared" si="15"/>
        <v>15343.283778998806</v>
      </c>
      <c r="H64" s="243">
        <f t="shared" si="15"/>
        <v>20277.332366676761</v>
      </c>
    </row>
    <row r="65" spans="2:15" s="5" customFormat="1" x14ac:dyDescent="0.2">
      <c r="B65" s="172"/>
      <c r="C65" s="172"/>
      <c r="D65" s="241"/>
      <c r="E65" s="241"/>
      <c r="F65" s="241"/>
      <c r="G65" s="241"/>
      <c r="H65" s="241"/>
    </row>
    <row r="66" spans="2:15" s="5" customFormat="1" x14ac:dyDescent="0.2">
      <c r="B66" s="20" t="s">
        <v>208</v>
      </c>
      <c r="C66" s="21"/>
      <c r="D66" s="21"/>
      <c r="E66" s="21"/>
      <c r="F66" s="21"/>
      <c r="G66" s="21"/>
      <c r="H66" s="21"/>
    </row>
    <row r="67" spans="2:15" s="5" customFormat="1" x14ac:dyDescent="0.2">
      <c r="B67" s="242"/>
      <c r="C67" s="242"/>
      <c r="D67" s="243"/>
      <c r="E67" s="243"/>
      <c r="F67" s="243"/>
      <c r="G67" s="243"/>
      <c r="H67" s="243"/>
    </row>
    <row r="68" spans="2:15" s="5" customFormat="1" x14ac:dyDescent="0.2">
      <c r="B68" s="244" t="s">
        <v>203</v>
      </c>
      <c r="C68" s="242"/>
      <c r="D68" s="243"/>
      <c r="E68" s="245">
        <f>E17*$L17</f>
        <v>716.30799999999863</v>
      </c>
      <c r="F68" s="245">
        <f t="shared" ref="F68:H68" si="16">F17*$L17</f>
        <v>1362.3602352941048</v>
      </c>
      <c r="G68" s="245">
        <f t="shared" si="16"/>
        <v>2193.4814117646965</v>
      </c>
      <c r="H68" s="245">
        <f t="shared" si="16"/>
        <v>3059.1089411764683</v>
      </c>
    </row>
    <row r="69" spans="2:15" s="5" customFormat="1" x14ac:dyDescent="0.2">
      <c r="B69" s="244" t="s">
        <v>204</v>
      </c>
      <c r="C69" s="242"/>
      <c r="D69" s="243"/>
      <c r="E69" s="245">
        <f t="shared" ref="E69:H69" si="17">E18*$L18</f>
        <v>444.67058823529402</v>
      </c>
      <c r="F69" s="245">
        <f t="shared" si="17"/>
        <v>865.05882352941114</v>
      </c>
      <c r="G69" s="245">
        <f t="shared" si="17"/>
        <v>1349.8588235294114</v>
      </c>
      <c r="H69" s="245">
        <f t="shared" si="17"/>
        <v>1863.0705882352945</v>
      </c>
    </row>
    <row r="70" spans="2:15" s="5" customFormat="1" x14ac:dyDescent="0.2">
      <c r="B70" s="244" t="s">
        <v>210</v>
      </c>
      <c r="C70" s="242"/>
      <c r="D70" s="243"/>
      <c r="E70" s="245">
        <f t="shared" ref="E70:H70" si="18">E19*$L19</f>
        <v>70.588235294117652</v>
      </c>
      <c r="F70" s="245">
        <f t="shared" si="18"/>
        <v>141.1764705882353</v>
      </c>
      <c r="G70" s="245">
        <f t="shared" si="18"/>
        <v>211.76470588235296</v>
      </c>
      <c r="H70" s="245">
        <f t="shared" si="18"/>
        <v>282.35294117647061</v>
      </c>
    </row>
    <row r="71" spans="2:15" s="5" customFormat="1" x14ac:dyDescent="0.2">
      <c r="B71" s="244" t="s">
        <v>211</v>
      </c>
      <c r="C71" s="242"/>
      <c r="D71" s="243"/>
      <c r="E71" s="245">
        <f t="shared" ref="E71:H71" si="19">E20*$L20</f>
        <v>4992.9663529411755</v>
      </c>
      <c r="F71" s="245">
        <f t="shared" si="19"/>
        <v>10011.821647058821</v>
      </c>
      <c r="G71" s="245">
        <f t="shared" si="19"/>
        <v>14268.256941176458</v>
      </c>
      <c r="H71" s="245">
        <f t="shared" si="19"/>
        <v>18498.972705882356</v>
      </c>
    </row>
    <row r="72" spans="2:15" s="5" customFormat="1" x14ac:dyDescent="0.2">
      <c r="B72" s="242" t="s">
        <v>209</v>
      </c>
      <c r="C72" s="242"/>
      <c r="D72" s="243"/>
      <c r="E72" s="243">
        <f>SUM(E68:E71)</f>
        <v>6224.5331764705861</v>
      </c>
      <c r="F72" s="243">
        <f t="shared" ref="F72:H72" si="20">SUM(F68:F71)</f>
        <v>12380.417176470572</v>
      </c>
      <c r="G72" s="243">
        <f t="shared" si="20"/>
        <v>18023.361882352918</v>
      </c>
      <c r="H72" s="243">
        <f t="shared" si="20"/>
        <v>23703.50517647059</v>
      </c>
    </row>
    <row r="73" spans="2:15" s="5" customFormat="1" x14ac:dyDescent="0.2">
      <c r="B73" s="172"/>
      <c r="C73" s="172"/>
      <c r="D73" s="241"/>
      <c r="E73" s="241"/>
      <c r="F73" s="241"/>
      <c r="G73" s="241"/>
      <c r="H73" s="241"/>
    </row>
    <row r="74" spans="2:15" s="4" customFormat="1" x14ac:dyDescent="0.2">
      <c r="D74" s="7"/>
      <c r="E74" s="7"/>
      <c r="F74" s="7"/>
      <c r="G74" s="7"/>
      <c r="H74" s="7"/>
      <c r="I74" s="65"/>
      <c r="J74" s="65"/>
      <c r="K74" s="65"/>
      <c r="L74" s="65"/>
      <c r="M74" s="65"/>
      <c r="N74" s="65"/>
      <c r="O74" s="65"/>
    </row>
    <row r="75" spans="2:15" s="4" customFormat="1" x14ac:dyDescent="0.2">
      <c r="B75" s="20" t="s">
        <v>193</v>
      </c>
      <c r="C75" s="21"/>
      <c r="D75" s="21"/>
      <c r="E75" s="21"/>
      <c r="F75" s="21"/>
      <c r="G75" s="21"/>
      <c r="H75" s="21"/>
      <c r="I75" s="65"/>
      <c r="J75" s="65"/>
      <c r="K75" s="65"/>
      <c r="L75" s="65"/>
      <c r="M75" s="65"/>
      <c r="N75" s="65"/>
      <c r="O75" s="65"/>
    </row>
    <row r="76" spans="2:15" s="4" customFormat="1" x14ac:dyDescent="0.2">
      <c r="B76" s="15"/>
      <c r="C76" s="15"/>
      <c r="D76" s="15"/>
      <c r="E76" s="15"/>
      <c r="F76" s="15"/>
      <c r="G76" s="15"/>
      <c r="H76" s="15"/>
      <c r="I76" s="65"/>
      <c r="J76" s="65"/>
      <c r="K76" s="65"/>
      <c r="L76" s="65"/>
      <c r="M76" s="65"/>
      <c r="N76" s="65"/>
      <c r="O76" s="65"/>
    </row>
    <row r="77" spans="2:15" s="4" customFormat="1" x14ac:dyDescent="0.2">
      <c r="B77" s="15" t="s">
        <v>13</v>
      </c>
      <c r="C77" s="15"/>
      <c r="D77" s="240">
        <f>(((D41/D$47)*(SUM(D$28:D$30))+((D50/D$56)*D$31))/D6)</f>
        <v>46.179500993479117</v>
      </c>
      <c r="E77" s="16">
        <f t="shared" ref="E77:H77" si="21">(((E41/E$47)*(SUM(E$28:E$30))+((E50/E$56)*E$31))/E6)</f>
        <v>48.737342281020716</v>
      </c>
      <c r="F77" s="16">
        <f t="shared" si="21"/>
        <v>50.944725493310656</v>
      </c>
      <c r="G77" s="16">
        <f t="shared" si="21"/>
        <v>51.926333592228801</v>
      </c>
      <c r="H77" s="16">
        <f t="shared" si="21"/>
        <v>55.865501520503933</v>
      </c>
      <c r="I77" s="65"/>
      <c r="J77" s="257"/>
      <c r="K77" s="65"/>
      <c r="L77" s="65"/>
      <c r="M77" s="65"/>
      <c r="N77" s="65"/>
      <c r="O77" s="65"/>
    </row>
    <row r="78" spans="2:15" s="4" customFormat="1" x14ac:dyDescent="0.2">
      <c r="B78" s="15" t="s">
        <v>14</v>
      </c>
      <c r="C78" s="15"/>
      <c r="D78" s="16">
        <f t="shared" ref="D78:H78" si="22">(((D42/D$47)*(SUM(D$28:D$30))+((D51/D$56)*D$31))/D7)</f>
        <v>54.503517990837565</v>
      </c>
      <c r="E78" s="16">
        <f t="shared" si="22"/>
        <v>57.019098032503379</v>
      </c>
      <c r="F78" s="16">
        <f t="shared" si="22"/>
        <v>59.240381363975935</v>
      </c>
      <c r="G78" s="16">
        <f t="shared" si="22"/>
        <v>60.29009870569606</v>
      </c>
      <c r="H78" s="16">
        <f t="shared" si="22"/>
        <v>64.260986650350787</v>
      </c>
      <c r="I78" s="65"/>
      <c r="J78" s="257"/>
      <c r="K78" s="65"/>
      <c r="L78" s="65"/>
      <c r="M78" s="65"/>
      <c r="N78" s="65"/>
      <c r="O78" s="65"/>
    </row>
    <row r="79" spans="2:15" s="4" customFormat="1" x14ac:dyDescent="0.2">
      <c r="B79" s="15" t="s">
        <v>15</v>
      </c>
      <c r="C79" s="15"/>
      <c r="D79" s="16">
        <f t="shared" ref="D79:H79" si="23">(((D43/D$47)*(SUM(D$28:D$30))+((D52/D$56)*D$31))/D8)</f>
        <v>46.17950099347911</v>
      </c>
      <c r="E79" s="16">
        <f t="shared" si="23"/>
        <v>48.737342281020716</v>
      </c>
      <c r="F79" s="16">
        <f t="shared" si="23"/>
        <v>50.944725493310649</v>
      </c>
      <c r="G79" s="16">
        <f t="shared" si="23"/>
        <v>51.926333592228794</v>
      </c>
      <c r="H79" s="16">
        <f t="shared" si="23"/>
        <v>55.865501520503933</v>
      </c>
      <c r="I79" s="65"/>
      <c r="J79" s="257"/>
      <c r="K79" s="65"/>
      <c r="L79" s="65"/>
      <c r="M79" s="65"/>
      <c r="N79" s="65"/>
      <c r="O79" s="65"/>
    </row>
    <row r="80" spans="2:15" s="4" customFormat="1" x14ac:dyDescent="0.2">
      <c r="B80" s="15" t="s">
        <v>16</v>
      </c>
      <c r="C80" s="15"/>
      <c r="D80" s="16">
        <f t="shared" ref="D80:H80" si="24">(((D44/D$47)*(SUM(D$28:D$30))+((D53/D$56)*D$31))/D9)</f>
        <v>54.503517990837565</v>
      </c>
      <c r="E80" s="16">
        <f t="shared" si="24"/>
        <v>57.019098032503386</v>
      </c>
      <c r="F80" s="16">
        <f t="shared" si="24"/>
        <v>59.240381363975935</v>
      </c>
      <c r="G80" s="16">
        <f t="shared" si="24"/>
        <v>60.290098705696067</v>
      </c>
      <c r="H80" s="16">
        <f t="shared" si="24"/>
        <v>64.260986650350787</v>
      </c>
      <c r="I80" s="65"/>
      <c r="J80" s="257"/>
      <c r="K80" s="65"/>
      <c r="L80" s="65"/>
      <c r="M80" s="65"/>
      <c r="N80" s="65"/>
      <c r="O80" s="65"/>
    </row>
    <row r="81" spans="2:18" s="4" customFormat="1" x14ac:dyDescent="0.2">
      <c r="B81" s="15" t="s">
        <v>17</v>
      </c>
      <c r="C81" s="15"/>
      <c r="D81" s="16">
        <f t="shared" ref="D81:H81" si="25">(((D45/D$47)*(SUM(D$28:D$30))+((D54/D$56)*D$31))/D10)</f>
        <v>17.608873480630546</v>
      </c>
      <c r="E81" s="16">
        <f t="shared" si="25"/>
        <v>18.790917389281049</v>
      </c>
      <c r="F81" s="16">
        <f t="shared" si="25"/>
        <v>19.790319262002868</v>
      </c>
      <c r="G81" s="16">
        <f t="shared" si="25"/>
        <v>20.209313784555956</v>
      </c>
      <c r="H81" s="16">
        <f t="shared" si="25"/>
        <v>21.989948624960139</v>
      </c>
      <c r="I81" s="65"/>
      <c r="J81" s="257"/>
      <c r="K81" s="65"/>
      <c r="L81" s="65"/>
      <c r="M81" s="65"/>
      <c r="N81" s="65"/>
      <c r="O81" s="65"/>
    </row>
    <row r="82" spans="2:18" s="4" customFormat="1" x14ac:dyDescent="0.2">
      <c r="B82" s="15" t="s">
        <v>137</v>
      </c>
      <c r="C82" s="15"/>
      <c r="D82" s="16">
        <f>(((D46/D$47)*(SUM(D$28:D$30))+((D55/D$56)*D$31))/D11)</f>
        <v>51.917416917508689</v>
      </c>
      <c r="E82" s="16">
        <f>(((E46/E$47)*(SUM(E$28:E$30))+((E55/E$56)*E$31))/E11)</f>
        <v>54.201602433259424</v>
      </c>
      <c r="F82" s="16">
        <f>(((F46/F$47)*(SUM(F$28:F$30))+((F55/F$56)*F$31))/F11)</f>
        <v>56.232017432030709</v>
      </c>
      <c r="G82" s="16">
        <f>(((G46/G$47)*(SUM(G$28:G$30))+((G55/G$56)*G$31))/G11)</f>
        <v>57.207703131961274</v>
      </c>
      <c r="H82" s="16">
        <f>(((H46/H$47)*(SUM(H$28:H$30))+((H55/H$56)*H$31))/H11)</f>
        <v>60.839189580884536</v>
      </c>
      <c r="I82" s="65"/>
      <c r="J82" s="257"/>
      <c r="K82" s="65"/>
      <c r="L82" s="65"/>
      <c r="M82" s="65"/>
      <c r="N82" s="65"/>
      <c r="O82" s="65"/>
    </row>
    <row r="83" spans="2:18" s="4" customFormat="1" x14ac:dyDescent="0.2">
      <c r="B83" s="15"/>
      <c r="C83" s="15"/>
      <c r="D83" s="15"/>
      <c r="E83" s="15"/>
      <c r="F83" s="15"/>
      <c r="G83" s="15"/>
      <c r="H83" s="272"/>
      <c r="I83" s="65"/>
      <c r="J83" s="258"/>
      <c r="K83" s="65"/>
      <c r="L83" s="65"/>
      <c r="M83" s="65"/>
      <c r="N83" s="65"/>
      <c r="O83" s="65"/>
    </row>
    <row r="84" spans="2:18" s="4" customFormat="1" x14ac:dyDescent="0.2">
      <c r="D84" s="7"/>
      <c r="E84" s="7"/>
      <c r="F84" s="7"/>
      <c r="G84" s="7"/>
      <c r="H84" s="7"/>
      <c r="I84" s="65"/>
      <c r="J84" s="65"/>
      <c r="K84" s="65"/>
      <c r="L84" s="65"/>
      <c r="M84" s="65"/>
      <c r="N84" s="65"/>
      <c r="O84" s="65"/>
    </row>
    <row r="85" spans="2:18" s="4" customFormat="1" x14ac:dyDescent="0.2">
      <c r="B85" s="20" t="s">
        <v>194</v>
      </c>
      <c r="C85" s="21"/>
      <c r="D85" s="24"/>
      <c r="E85" s="24"/>
      <c r="F85" s="24"/>
      <c r="G85" s="24"/>
      <c r="H85" s="273"/>
      <c r="I85" s="65"/>
      <c r="J85" s="65"/>
      <c r="K85" s="65"/>
      <c r="L85" s="65"/>
      <c r="M85" s="65"/>
      <c r="N85" s="65"/>
      <c r="O85" s="65"/>
    </row>
    <row r="86" spans="2:18" s="4" customFormat="1" x14ac:dyDescent="0.2">
      <c r="B86" s="15"/>
      <c r="C86" s="15"/>
      <c r="D86" s="19"/>
      <c r="E86" s="19"/>
      <c r="F86" s="19"/>
      <c r="G86" s="19"/>
      <c r="H86" s="274"/>
      <c r="I86" s="65"/>
      <c r="J86" s="65"/>
      <c r="K86" s="65"/>
      <c r="L86" s="65"/>
      <c r="M86" s="65"/>
      <c r="N86" s="65"/>
      <c r="O86" s="65"/>
    </row>
    <row r="87" spans="2:18" s="4" customFormat="1" x14ac:dyDescent="0.2">
      <c r="B87" s="15" t="str">
        <f>B17</f>
        <v>Anytime Customers</v>
      </c>
      <c r="C87" s="15"/>
      <c r="D87" s="237"/>
      <c r="E87" s="237">
        <f>(((E60/E$64)*E$35)+((E68/E$72)*E36))/E$17</f>
        <v>14.751231885043181</v>
      </c>
      <c r="F87" s="237">
        <f t="shared" ref="F87:H87" si="26">(((F60/F$64)*F$35)+((F68/F$72)*F36))/F$17</f>
        <v>14.800678604585949</v>
      </c>
      <c r="G87" s="237">
        <f t="shared" si="26"/>
        <v>15.023284851420366</v>
      </c>
      <c r="H87" s="275">
        <f t="shared" si="26"/>
        <v>15.212712444360255</v>
      </c>
      <c r="I87" s="276"/>
      <c r="J87" s="277"/>
      <c r="K87" s="65"/>
      <c r="L87" s="278"/>
      <c r="M87" s="65"/>
      <c r="N87" s="65"/>
      <c r="O87" s="65"/>
    </row>
    <row r="88" spans="2:18" s="4" customFormat="1" x14ac:dyDescent="0.2">
      <c r="B88" s="15" t="str">
        <f>B18</f>
        <v>TOU Customers</v>
      </c>
      <c r="C88" s="15"/>
      <c r="D88" s="237"/>
      <c r="E88" s="237">
        <f>(((E61/E$64)*E35)+((E69/E$72)*E36))/E18</f>
        <v>19.64968183156417</v>
      </c>
      <c r="F88" s="237">
        <f t="shared" ref="F88:H88" si="27">(((F61/F$64)*F35)+((F69/F$72)*F36))/F18</f>
        <v>19.70956229728554</v>
      </c>
      <c r="G88" s="237">
        <f t="shared" si="27"/>
        <v>20.018220449852656</v>
      </c>
      <c r="H88" s="275">
        <f t="shared" si="27"/>
        <v>20.258887103857784</v>
      </c>
      <c r="I88" s="276"/>
      <c r="J88" s="277"/>
      <c r="K88" s="65"/>
      <c r="L88" s="278"/>
      <c r="M88" s="65"/>
      <c r="N88" s="65"/>
      <c r="O88" s="65"/>
    </row>
    <row r="89" spans="2:18" s="4" customFormat="1" x14ac:dyDescent="0.2">
      <c r="B89" s="15" t="str">
        <f>B19</f>
        <v>Controlled Load</v>
      </c>
      <c r="C89" s="15"/>
      <c r="D89" s="237"/>
      <c r="E89" s="237">
        <f>(((E62/E$64)*E35)+((E70/E$72)*E36))/E19</f>
        <v>4.7051316430847328</v>
      </c>
      <c r="F89" s="237">
        <f t="shared" ref="F89:H89" si="28">(((F62/F$64)*F35)+((F70/F$72)*F36))/F19</f>
        <v>4.7233617880602194</v>
      </c>
      <c r="G89" s="237">
        <f t="shared" si="28"/>
        <v>4.7893835314741695</v>
      </c>
      <c r="H89" s="275">
        <f t="shared" si="28"/>
        <v>4.8545946540626561</v>
      </c>
      <c r="I89" s="276"/>
      <c r="J89" s="277"/>
      <c r="K89" s="65"/>
      <c r="L89" s="278"/>
      <c r="M89" s="65"/>
      <c r="N89" s="65"/>
      <c r="O89" s="65"/>
    </row>
    <row r="90" spans="2:18" s="4" customFormat="1" x14ac:dyDescent="0.2">
      <c r="B90" s="15" t="str">
        <f>B20</f>
        <v>Solar Additions (assume single phase 2 element)</v>
      </c>
      <c r="C90" s="15"/>
      <c r="D90" s="237"/>
      <c r="E90" s="237">
        <f>(((E63/E$64)*E$35)+((E71/E$72)*E36))/E$20</f>
        <v>19.215825860823575</v>
      </c>
      <c r="F90" s="237">
        <f t="shared" ref="F90:H90" si="29">(((F63/F$64)*F$35)+((F71/F$72)*F36))/F$20</f>
        <v>19.273203614095792</v>
      </c>
      <c r="G90" s="237">
        <f t="shared" si="29"/>
        <v>19.577439216224793</v>
      </c>
      <c r="H90" s="275">
        <f t="shared" si="29"/>
        <v>19.810491615245734</v>
      </c>
      <c r="I90" s="276"/>
      <c r="J90" s="277"/>
      <c r="K90" s="65"/>
      <c r="L90" s="278"/>
      <c r="M90" s="65"/>
      <c r="N90" s="65"/>
      <c r="O90" s="65"/>
    </row>
    <row r="91" spans="2:18" s="4" customFormat="1" x14ac:dyDescent="0.2">
      <c r="B91" s="15"/>
      <c r="C91" s="15"/>
      <c r="D91" s="19"/>
      <c r="E91" s="19"/>
      <c r="F91" s="19"/>
      <c r="G91" s="19"/>
      <c r="H91" s="274"/>
      <c r="I91" s="276"/>
      <c r="J91" s="279"/>
      <c r="K91" s="65"/>
      <c r="L91" s="280"/>
      <c r="M91" s="65"/>
      <c r="N91" s="65"/>
      <c r="O91" s="65"/>
    </row>
    <row r="92" spans="2:18" s="4" customFormat="1" x14ac:dyDescent="0.2">
      <c r="D92" s="7"/>
      <c r="E92" s="7"/>
      <c r="F92" s="7"/>
      <c r="G92" s="7"/>
      <c r="H92" s="7"/>
      <c r="I92" s="65"/>
      <c r="J92" s="65"/>
      <c r="K92" s="65"/>
      <c r="L92" s="65"/>
      <c r="M92" s="65"/>
      <c r="N92" s="65"/>
      <c r="O92" s="65"/>
    </row>
    <row r="93" spans="2:18" x14ac:dyDescent="0.2">
      <c r="R93" s="246" t="e">
        <f>SUM(#REF!)</f>
        <v>#REF!</v>
      </c>
    </row>
  </sheetData>
  <customSheetViews>
    <customSheetView guid="{935FDB08-2C7A-4709-9BC5-9809E261DD86}" topLeftCell="A68">
      <selection activeCell="E86" sqref="E86:E91"/>
      <pageMargins left="0.7" right="0.7" top="0.75" bottom="0.75" header="0.3" footer="0.3"/>
    </customSheetView>
  </customSheetViews>
  <mergeCells count="1">
    <mergeCell ref="I2:I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O63"/>
  <sheetViews>
    <sheetView zoomScale="90" zoomScaleNormal="90" workbookViewId="0">
      <pane xSplit="3" ySplit="12" topLeftCell="D35" activePane="bottomRight" state="frozen"/>
      <selection pane="topRight" activeCell="D1" sqref="D1"/>
      <selection pane="bottomLeft" activeCell="A10" sqref="A10"/>
      <selection pane="bottomRight" activeCell="I38" sqref="I38"/>
    </sheetView>
  </sheetViews>
  <sheetFormatPr defaultRowHeight="12.75" x14ac:dyDescent="0.2"/>
  <cols>
    <col min="1" max="1" width="1.5703125" style="193" customWidth="1"/>
    <col min="2" max="2" width="39.140625" style="193" customWidth="1"/>
    <col min="3" max="8" width="15.7109375" style="193" customWidth="1"/>
    <col min="9" max="9" width="52.85546875" style="193" bestFit="1" customWidth="1"/>
    <col min="10" max="14" width="12.140625" style="193" customWidth="1"/>
    <col min="15" max="16384" width="9.140625" style="193"/>
  </cols>
  <sheetData>
    <row r="1" spans="2:15" ht="8.25" customHeight="1" x14ac:dyDescent="0.2"/>
    <row r="2" spans="2:15" x14ac:dyDescent="0.2">
      <c r="B2" s="43" t="s">
        <v>71</v>
      </c>
      <c r="C2" s="194"/>
      <c r="D2" s="194"/>
      <c r="E2" s="194"/>
      <c r="F2" s="194"/>
      <c r="G2" s="194"/>
      <c r="H2" s="194"/>
    </row>
    <row r="3" spans="2:15" x14ac:dyDescent="0.2">
      <c r="D3" s="193" t="s">
        <v>169</v>
      </c>
    </row>
    <row r="4" spans="2:15" ht="16.5" customHeight="1" x14ac:dyDescent="0.2">
      <c r="B4" s="193" t="s">
        <v>154</v>
      </c>
      <c r="D4" s="195">
        <f>(1+Inputs!$E$6)</f>
        <v>1.0176000000000001</v>
      </c>
      <c r="E4" s="195"/>
      <c r="F4" s="195"/>
      <c r="G4" s="195"/>
      <c r="H4" s="195"/>
    </row>
    <row r="5" spans="2:15" ht="9" customHeight="1" x14ac:dyDescent="0.2">
      <c r="D5" s="195"/>
      <c r="E5" s="195"/>
      <c r="F5" s="195"/>
      <c r="G5" s="195"/>
      <c r="H5" s="195"/>
    </row>
    <row r="6" spans="2:15" ht="16.5" customHeight="1" x14ac:dyDescent="0.2">
      <c r="B6" s="193" t="s">
        <v>170</v>
      </c>
      <c r="D6" s="195">
        <v>0.24343348353518432</v>
      </c>
      <c r="E6" s="195">
        <v>0.2413413310730291</v>
      </c>
      <c r="F6" s="195">
        <v>0.24181179981816264</v>
      </c>
      <c r="G6" s="195">
        <v>0.24742577380828976</v>
      </c>
      <c r="H6" s="195">
        <v>0.24920478967132281</v>
      </c>
    </row>
    <row r="7" spans="2:15" ht="16.5" customHeight="1" thickBot="1" x14ac:dyDescent="0.25">
      <c r="B7" s="193" t="s">
        <v>171</v>
      </c>
      <c r="D7" s="195">
        <v>0.16907397978544775</v>
      </c>
      <c r="E7" s="195">
        <v>0.17101623285143788</v>
      </c>
      <c r="F7" s="195">
        <v>0.17182512892184174</v>
      </c>
      <c r="G7" s="195">
        <v>0.17540128315743692</v>
      </c>
      <c r="H7" s="195">
        <v>0.17668437409600965</v>
      </c>
    </row>
    <row r="8" spans="2:15" ht="13.5" thickBot="1" x14ac:dyDescent="0.25">
      <c r="B8" s="196" t="s">
        <v>172</v>
      </c>
      <c r="C8" s="44"/>
      <c r="D8" s="214">
        <f>SUM(D6:D7)</f>
        <v>0.41250746332063204</v>
      </c>
      <c r="E8" s="215">
        <f t="shared" ref="E8:H8" si="0">SUM(E6:E7)</f>
        <v>0.41235756392446699</v>
      </c>
      <c r="F8" s="215">
        <f t="shared" si="0"/>
        <v>0.41363692874000435</v>
      </c>
      <c r="G8" s="215">
        <f t="shared" si="0"/>
        <v>0.42282705696572664</v>
      </c>
      <c r="H8" s="216">
        <f t="shared" si="0"/>
        <v>0.42588916376733243</v>
      </c>
      <c r="I8" s="47"/>
    </row>
    <row r="9" spans="2:15" ht="16.5" customHeight="1" thickBot="1" x14ac:dyDescent="0.25">
      <c r="D9" s="217"/>
      <c r="E9" s="218"/>
      <c r="F9" s="218"/>
      <c r="G9" s="218"/>
      <c r="H9" s="219"/>
      <c r="I9" s="197"/>
      <c r="J9" s="197"/>
    </row>
    <row r="10" spans="2:15" ht="16.5" customHeight="1" x14ac:dyDescent="0.2">
      <c r="B10" s="186"/>
      <c r="C10" s="198"/>
      <c r="D10" s="198"/>
      <c r="E10" s="198"/>
      <c r="F10" s="198"/>
      <c r="G10" s="198"/>
      <c r="H10" s="198"/>
    </row>
    <row r="11" spans="2:15" x14ac:dyDescent="0.2">
      <c r="B11" s="186" t="s">
        <v>155</v>
      </c>
      <c r="C11" s="180" t="s">
        <v>8</v>
      </c>
      <c r="D11" s="180" t="s">
        <v>0</v>
      </c>
      <c r="E11" s="180" t="s">
        <v>1</v>
      </c>
      <c r="F11" s="180" t="s">
        <v>12</v>
      </c>
      <c r="G11" s="180" t="s">
        <v>2</v>
      </c>
      <c r="H11" s="180" t="s">
        <v>3</v>
      </c>
      <c r="I11" s="199"/>
      <c r="N11" s="200"/>
      <c r="O11" s="200"/>
    </row>
    <row r="12" spans="2:15" ht="13.5" thickBot="1" x14ac:dyDescent="0.25">
      <c r="B12" s="198"/>
      <c r="C12" s="220"/>
      <c r="D12" s="220" t="s">
        <v>11</v>
      </c>
      <c r="E12" s="220" t="s">
        <v>11</v>
      </c>
      <c r="F12" s="220" t="s">
        <v>11</v>
      </c>
      <c r="G12" s="220" t="s">
        <v>11</v>
      </c>
      <c r="H12" s="220" t="s">
        <v>11</v>
      </c>
    </row>
    <row r="13" spans="2:15" x14ac:dyDescent="0.2">
      <c r="B13" s="181" t="s">
        <v>75</v>
      </c>
      <c r="C13" s="221"/>
      <c r="D13" s="221"/>
      <c r="E13" s="221"/>
      <c r="F13" s="221"/>
      <c r="G13" s="221"/>
      <c r="H13" s="222"/>
    </row>
    <row r="14" spans="2:15" x14ac:dyDescent="0.2">
      <c r="B14" s="201" t="s">
        <v>161</v>
      </c>
      <c r="C14" s="223"/>
      <c r="D14" s="202">
        <f>'Metering AMP'!D24</f>
        <v>6345004.4151999988</v>
      </c>
      <c r="E14" s="202">
        <f>'Metering AMP'!F22</f>
        <v>5446326.8505999995</v>
      </c>
      <c r="F14" s="202">
        <f>'Metering AMP'!H22</f>
        <v>5622813.1005999995</v>
      </c>
      <c r="G14" s="202">
        <f>'Metering AMP'!J22</f>
        <v>7634694.2274399996</v>
      </c>
      <c r="H14" s="203">
        <f>'Metering AMP'!L22</f>
        <v>7497353.3274400001</v>
      </c>
      <c r="I14" s="193" t="s">
        <v>126</v>
      </c>
      <c r="J14" s="200"/>
      <c r="K14" s="200"/>
      <c r="L14" s="200"/>
      <c r="M14" s="204"/>
      <c r="N14" s="204"/>
    </row>
    <row r="15" spans="2:15" x14ac:dyDescent="0.2">
      <c r="B15" s="201" t="s">
        <v>76</v>
      </c>
      <c r="C15" s="223"/>
      <c r="D15" s="205">
        <f>D14*D$8</f>
        <v>2617361.6760723619</v>
      </c>
      <c r="E15" s="205">
        <f t="shared" ref="E15:H15" si="1">E14*E$8</f>
        <v>2245834.0724498304</v>
      </c>
      <c r="F15" s="205">
        <f t="shared" si="1"/>
        <v>2325803.1418112451</v>
      </c>
      <c r="G15" s="205">
        <f t="shared" si="1"/>
        <v>3228155.2910216772</v>
      </c>
      <c r="H15" s="206">
        <f t="shared" si="1"/>
        <v>3193041.539091649</v>
      </c>
      <c r="J15" s="204"/>
      <c r="K15" s="204"/>
      <c r="L15" s="204"/>
      <c r="M15" s="204"/>
      <c r="N15" s="204"/>
    </row>
    <row r="16" spans="2:15" ht="11.25" customHeight="1" x14ac:dyDescent="0.2">
      <c r="B16" s="201" t="s">
        <v>156</v>
      </c>
      <c r="C16" s="223"/>
      <c r="D16" s="202">
        <f>SUM(D14:D15)</f>
        <v>8962366.0912723616</v>
      </c>
      <c r="E16" s="202">
        <f t="shared" ref="E16:H16" si="2">SUM(E14:E15)</f>
        <v>7692160.9230498299</v>
      </c>
      <c r="F16" s="202">
        <f t="shared" si="2"/>
        <v>7948616.2424112447</v>
      </c>
      <c r="G16" s="202">
        <f t="shared" si="2"/>
        <v>10862849.518461676</v>
      </c>
      <c r="H16" s="203">
        <f t="shared" si="2"/>
        <v>10690394.86653165</v>
      </c>
      <c r="J16" s="204"/>
      <c r="K16" s="204"/>
      <c r="L16" s="204"/>
      <c r="M16" s="204"/>
      <c r="N16" s="204"/>
    </row>
    <row r="17" spans="2:14" ht="16.5" customHeight="1" thickBot="1" x14ac:dyDescent="0.25">
      <c r="B17" s="182" t="s">
        <v>156</v>
      </c>
      <c r="C17" s="224"/>
      <c r="D17" s="183">
        <f>D16*Inputs!F$77</f>
        <v>9015351.1255740169</v>
      </c>
      <c r="E17" s="183">
        <f>E16*Inputs!G$77</f>
        <v>7850188.8873085026</v>
      </c>
      <c r="F17" s="183">
        <f>F16*Inputs!H$77</f>
        <v>8232654.2244345583</v>
      </c>
      <c r="G17" s="183">
        <f>G16*Inputs!I$77</f>
        <v>11405082.013376733</v>
      </c>
      <c r="H17" s="183">
        <f>H16*Inputs!J$77</f>
        <v>11366133.741109887</v>
      </c>
      <c r="J17" s="204"/>
      <c r="K17" s="204"/>
      <c r="L17" s="204"/>
      <c r="M17" s="204"/>
      <c r="N17" s="204"/>
    </row>
    <row r="18" spans="2:14" ht="30.75" customHeight="1" x14ac:dyDescent="0.2">
      <c r="B18" s="198" t="s">
        <v>83</v>
      </c>
      <c r="C18" s="207"/>
      <c r="D18" s="207">
        <v>118219344.95706043</v>
      </c>
      <c r="E18" s="207">
        <v>111143386.09909292</v>
      </c>
      <c r="F18" s="207">
        <v>100720968.46157834</v>
      </c>
      <c r="G18" s="207">
        <v>89074846.533069357</v>
      </c>
      <c r="H18" s="207">
        <v>78576890.288360357</v>
      </c>
      <c r="I18" s="197"/>
    </row>
    <row r="19" spans="2:14" ht="14.25" customHeight="1" x14ac:dyDescent="0.2">
      <c r="B19" s="198" t="s">
        <v>77</v>
      </c>
      <c r="C19" s="184">
        <f>Inputs!$F$16</f>
        <v>8.8300000000000003E-2</v>
      </c>
      <c r="D19" s="185"/>
      <c r="E19" s="185"/>
      <c r="F19" s="185"/>
      <c r="G19" s="185"/>
      <c r="H19" s="185"/>
    </row>
    <row r="20" spans="2:14" ht="8.25" customHeight="1" x14ac:dyDescent="0.2">
      <c r="B20" s="198"/>
      <c r="C20" s="198"/>
      <c r="D20" s="198"/>
      <c r="E20" s="198"/>
      <c r="F20" s="198"/>
      <c r="G20" s="198"/>
      <c r="H20" s="198"/>
    </row>
    <row r="21" spans="2:14" x14ac:dyDescent="0.2">
      <c r="B21" s="186" t="s">
        <v>5</v>
      </c>
      <c r="C21" s="187"/>
      <c r="D21" s="187">
        <v>10186470.777178125</v>
      </c>
      <c r="E21" s="187">
        <v>9576764.7417286709</v>
      </c>
      <c r="F21" s="187">
        <v>8678708.2288064416</v>
      </c>
      <c r="G21" s="187">
        <v>7675210.1910250606</v>
      </c>
      <c r="H21" s="187">
        <v>6770644.8295297436</v>
      </c>
      <c r="I21" s="197" t="s">
        <v>224</v>
      </c>
    </row>
    <row r="22" spans="2:14" ht="8.25" customHeight="1" x14ac:dyDescent="0.2">
      <c r="B22" s="198"/>
      <c r="C22" s="207"/>
      <c r="D22" s="207"/>
      <c r="E22" s="207"/>
      <c r="F22" s="207"/>
      <c r="G22" s="207"/>
      <c r="H22" s="207"/>
      <c r="I22" s="197"/>
    </row>
    <row r="23" spans="2:14" x14ac:dyDescent="0.2">
      <c r="B23" s="186" t="s">
        <v>72</v>
      </c>
      <c r="C23" s="187"/>
      <c r="D23" s="187">
        <v>14005079.193519356</v>
      </c>
      <c r="E23" s="187">
        <v>15800633.956665827</v>
      </c>
      <c r="F23" s="187">
        <v>17672645.3877481</v>
      </c>
      <c r="G23" s="187">
        <v>20077480.253628701</v>
      </c>
      <c r="H23" s="187">
        <v>24250888.380725481</v>
      </c>
      <c r="I23" s="197" t="s">
        <v>224</v>
      </c>
    </row>
    <row r="24" spans="2:14" x14ac:dyDescent="0.2">
      <c r="B24" s="186"/>
      <c r="C24" s="187"/>
      <c r="D24" s="187"/>
      <c r="E24" s="187"/>
      <c r="F24" s="187"/>
      <c r="G24" s="187"/>
      <c r="H24" s="187"/>
      <c r="I24" s="197"/>
    </row>
    <row r="25" spans="2:14" x14ac:dyDescent="0.2">
      <c r="B25" s="186" t="s">
        <v>82</v>
      </c>
      <c r="C25" s="187"/>
      <c r="D25" s="207">
        <v>111143386.09909292</v>
      </c>
      <c r="E25" s="207">
        <v>100720968.46157834</v>
      </c>
      <c r="F25" s="207">
        <v>89074846.533069357</v>
      </c>
      <c r="G25" s="207">
        <v>78576890.288360357</v>
      </c>
      <c r="H25" s="207">
        <v>64121440.357728958</v>
      </c>
      <c r="I25" s="197" t="s">
        <v>224</v>
      </c>
    </row>
    <row r="26" spans="2:14" ht="14.25" customHeight="1" x14ac:dyDescent="0.2">
      <c r="B26" s="198"/>
      <c r="C26" s="207"/>
      <c r="D26" s="207"/>
      <c r="E26" s="207"/>
      <c r="F26" s="207"/>
      <c r="G26" s="207"/>
      <c r="H26" s="207"/>
      <c r="I26" s="197"/>
    </row>
    <row r="27" spans="2:14" ht="14.25" customHeight="1" x14ac:dyDescent="0.2">
      <c r="B27" s="186" t="s">
        <v>173</v>
      </c>
      <c r="C27" s="207"/>
      <c r="D27" s="207">
        <v>3535154.3357028258</v>
      </c>
      <c r="E27" s="207">
        <v>4881957.0385934943</v>
      </c>
      <c r="F27" s="207">
        <v>6309740.490825356</v>
      </c>
      <c r="G27" s="207">
        <v>5748057.0657912344</v>
      </c>
      <c r="H27" s="207">
        <v>6699929.8358833417</v>
      </c>
      <c r="I27" s="197" t="s">
        <v>224</v>
      </c>
    </row>
    <row r="28" spans="2:14" ht="14.25" customHeight="1" x14ac:dyDescent="0.2">
      <c r="B28" s="198"/>
      <c r="C28" s="207"/>
      <c r="D28" s="207"/>
      <c r="E28" s="207"/>
      <c r="F28" s="207"/>
      <c r="G28" s="207"/>
      <c r="H28" s="207"/>
      <c r="I28" s="197"/>
    </row>
    <row r="29" spans="2:14" x14ac:dyDescent="0.2">
      <c r="B29" s="208" t="s">
        <v>179</v>
      </c>
      <c r="C29" s="207"/>
      <c r="D29" s="207">
        <v>12995364.503197974</v>
      </c>
      <c r="E29" s="207">
        <v>12995364.503197974</v>
      </c>
      <c r="F29" s="207">
        <v>12995364.503197974</v>
      </c>
      <c r="G29" s="207">
        <v>12995364.503197974</v>
      </c>
      <c r="H29" s="207">
        <v>12995364.503197974</v>
      </c>
      <c r="I29" s="47"/>
    </row>
    <row r="30" spans="2:14" x14ac:dyDescent="0.2">
      <c r="B30" s="208" t="s">
        <v>227</v>
      </c>
      <c r="C30" s="207"/>
      <c r="D30" s="207">
        <f>D29*(Inputs!F$76-1)</f>
        <v>16303.352102985707</v>
      </c>
      <c r="E30" s="207">
        <f>E29*(Inputs!G$76-1)</f>
        <v>117669.10885863024</v>
      </c>
      <c r="F30" s="207">
        <f>F29*(Inputs!H$76-1)</f>
        <v>292243.85317821515</v>
      </c>
      <c r="G30" s="207">
        <f>G29*(Inputs!I$76-1)</f>
        <v>469488.63193919096</v>
      </c>
      <c r="H30" s="207">
        <f>H29*(Inputs!J$76-1)</f>
        <v>648812.87670777645</v>
      </c>
      <c r="I30" s="47"/>
    </row>
    <row r="31" spans="2:14" x14ac:dyDescent="0.2">
      <c r="B31" s="208" t="s">
        <v>78</v>
      </c>
      <c r="C31" s="207"/>
      <c r="D31" s="207">
        <f>SUM(D29:D30)*D$8</f>
        <v>5367410.1005608076</v>
      </c>
      <c r="E31" s="207">
        <f t="shared" ref="E31:H31" si="3">SUM(E29:E30)*E$8</f>
        <v>5407258.5959273148</v>
      </c>
      <c r="F31" s="207">
        <f t="shared" si="3"/>
        <v>5496245.5108314632</v>
      </c>
      <c r="G31" s="207">
        <f t="shared" si="3"/>
        <v>5693304.2236057846</v>
      </c>
      <c r="H31" s="207">
        <f t="shared" si="3"/>
        <v>5810907.2946212124</v>
      </c>
      <c r="I31" s="197"/>
    </row>
    <row r="32" spans="2:14" ht="13.5" thickBot="1" x14ac:dyDescent="0.25">
      <c r="B32" s="182" t="s">
        <v>183</v>
      </c>
      <c r="C32" s="183"/>
      <c r="D32" s="183">
        <f>SUM(D29:D31)</f>
        <v>18379077.955861766</v>
      </c>
      <c r="E32" s="183">
        <f t="shared" ref="E32:H32" si="4">SUM(E29:E31)</f>
        <v>18520292.207983918</v>
      </c>
      <c r="F32" s="183">
        <f t="shared" si="4"/>
        <v>18783853.86720765</v>
      </c>
      <c r="G32" s="183">
        <f t="shared" si="4"/>
        <v>19158157.358742949</v>
      </c>
      <c r="H32" s="183">
        <f t="shared" si="4"/>
        <v>19455084.67452696</v>
      </c>
      <c r="I32" s="226"/>
      <c r="J32" s="227"/>
      <c r="K32" s="228"/>
      <c r="L32" s="226"/>
    </row>
    <row r="33" spans="2:13" x14ac:dyDescent="0.2">
      <c r="B33" s="188"/>
      <c r="C33" s="189"/>
      <c r="D33" s="189"/>
      <c r="E33" s="189"/>
      <c r="F33" s="189"/>
      <c r="G33" s="189"/>
      <c r="H33" s="189"/>
      <c r="I33" s="226"/>
      <c r="J33" s="227"/>
      <c r="K33" s="228"/>
      <c r="L33" s="226"/>
    </row>
    <row r="34" spans="2:13" x14ac:dyDescent="0.2">
      <c r="B34" s="198" t="s">
        <v>221</v>
      </c>
      <c r="C34" s="207"/>
      <c r="D34" s="207">
        <v>68509.552101945272</v>
      </c>
      <c r="E34" s="207">
        <v>64408.9476515719</v>
      </c>
      <c r="F34" s="207">
        <v>58369.029527978091</v>
      </c>
      <c r="G34" s="207">
        <v>51619.959844529956</v>
      </c>
      <c r="H34" s="207">
        <v>45536.266176864454</v>
      </c>
      <c r="I34" s="226" t="s">
        <v>224</v>
      </c>
      <c r="J34" s="227"/>
      <c r="K34" s="228"/>
      <c r="L34" s="226"/>
    </row>
    <row r="35" spans="2:13" x14ac:dyDescent="0.2">
      <c r="B35" s="198"/>
      <c r="C35" s="207"/>
      <c r="D35" s="207"/>
      <c r="E35" s="207"/>
      <c r="F35" s="207"/>
      <c r="G35" s="207"/>
      <c r="H35" s="207"/>
      <c r="I35" s="226"/>
      <c r="J35" s="227"/>
      <c r="K35" s="228"/>
      <c r="L35" s="226"/>
    </row>
    <row r="36" spans="2:13" x14ac:dyDescent="0.2">
      <c r="B36" s="198" t="s">
        <v>222</v>
      </c>
      <c r="C36" s="207"/>
      <c r="D36" s="207">
        <f>'Metering AMP'!D56</f>
        <v>1444530.96</v>
      </c>
      <c r="E36" s="207">
        <f>'Metering AMP'!F56</f>
        <v>1449124.56</v>
      </c>
      <c r="F36" s="207">
        <f>'Metering AMP'!H56</f>
        <v>1432605.96</v>
      </c>
      <c r="G36" s="207">
        <f>'Metering AMP'!J56</f>
        <v>1437648.96</v>
      </c>
      <c r="H36" s="207">
        <f>'Metering AMP'!L56</f>
        <v>1438953.96</v>
      </c>
      <c r="I36" s="226"/>
      <c r="J36" s="227"/>
      <c r="K36" s="228"/>
      <c r="L36" s="226"/>
    </row>
    <row r="37" spans="2:13" x14ac:dyDescent="0.2">
      <c r="B37" s="208" t="s">
        <v>227</v>
      </c>
      <c r="C37" s="207"/>
      <c r="D37" s="207">
        <f>D36*(Inputs!F$76-1)</f>
        <v>1812.2382684032043</v>
      </c>
      <c r="E37" s="207">
        <f>E36*(Inputs!G$76-1)</f>
        <v>13121.386134139817</v>
      </c>
      <c r="F37" s="207">
        <f>F36*(Inputs!H$76-1)</f>
        <v>32216.894395955358</v>
      </c>
      <c r="G37" s="207">
        <f>G36*(Inputs!I$76-1)</f>
        <v>51938.508017462897</v>
      </c>
      <c r="H37" s="207">
        <f>H36*(Inputs!J$76-1)</f>
        <v>71841.913938458456</v>
      </c>
      <c r="I37" s="47"/>
    </row>
    <row r="38" spans="2:13" x14ac:dyDescent="0.2">
      <c r="B38" s="208" t="s">
        <v>78</v>
      </c>
      <c r="C38" s="207"/>
      <c r="D38" s="207">
        <f>SUM(D36:D37)*D$8</f>
        <v>596627.36380874889</v>
      </c>
      <c r="E38" s="207">
        <f t="shared" ref="E38" si="5">SUM(E36:E37)*E$8</f>
        <v>602968.1762063012</v>
      </c>
      <c r="F38" s="207">
        <f t="shared" ref="F38" si="6">SUM(F36:F37)*F$8</f>
        <v>605904.82664050953</v>
      </c>
      <c r="G38" s="207">
        <f t="shared" ref="G38" si="7">SUM(G36:G37)*G$8</f>
        <v>629837.88519485225</v>
      </c>
      <c r="H38" s="207">
        <f t="shared" ref="H38" si="8">SUM(H36:H37)*H$8</f>
        <v>643431.59137478634</v>
      </c>
    </row>
    <row r="39" spans="2:13" ht="13.5" thickBot="1" x14ac:dyDescent="0.25">
      <c r="B39" s="182" t="s">
        <v>187</v>
      </c>
      <c r="C39" s="183"/>
      <c r="D39" s="183">
        <f>SUM(D36:D38)</f>
        <v>2042970.5620771521</v>
      </c>
      <c r="E39" s="183">
        <f t="shared" ref="E39:H39" si="9">SUM(E36:E38)</f>
        <v>2065214.122340441</v>
      </c>
      <c r="F39" s="183">
        <f t="shared" si="9"/>
        <v>2070727.6810364649</v>
      </c>
      <c r="G39" s="183">
        <f t="shared" si="9"/>
        <v>2119425.3532123151</v>
      </c>
      <c r="H39" s="183">
        <f t="shared" si="9"/>
        <v>2154227.4653132446</v>
      </c>
    </row>
    <row r="40" spans="2:13" x14ac:dyDescent="0.2">
      <c r="B40" s="188"/>
      <c r="C40" s="189"/>
      <c r="D40" s="189"/>
      <c r="E40" s="189"/>
      <c r="F40" s="189"/>
      <c r="G40" s="189"/>
      <c r="H40" s="189"/>
    </row>
    <row r="41" spans="2:13" x14ac:dyDescent="0.2">
      <c r="B41" s="198" t="s">
        <v>168</v>
      </c>
      <c r="C41" s="207"/>
      <c r="D41" s="207">
        <f>'Metering AMP'!D51+'Metering AMP'!D63</f>
        <v>1520317.31</v>
      </c>
      <c r="E41" s="207">
        <f>'Metering AMP'!F51+'Metering AMP'!F63</f>
        <v>1815324.97</v>
      </c>
      <c r="F41" s="207">
        <f>'Metering AMP'!H51+'Metering AMP'!H63</f>
        <v>1814658.23</v>
      </c>
      <c r="G41" s="207">
        <f>'Metering AMP'!J51+'Metering AMP'!J63</f>
        <v>1733252.23</v>
      </c>
      <c r="H41" s="207">
        <f>'Metering AMP'!L51+'Metering AMP'!L63</f>
        <v>1762612.23</v>
      </c>
      <c r="I41" s="209"/>
      <c r="K41" s="210"/>
      <c r="M41" s="44"/>
    </row>
    <row r="42" spans="2:13" x14ac:dyDescent="0.2">
      <c r="B42" s="208" t="s">
        <v>227</v>
      </c>
      <c r="C42" s="207"/>
      <c r="D42" s="207">
        <f>D41*(Inputs!F76-1)</f>
        <v>1907.3161362341571</v>
      </c>
      <c r="E42" s="207">
        <f>E41*(Inputs!G76-1)</f>
        <v>16437.220476282437</v>
      </c>
      <c r="F42" s="207">
        <f>F41*(Inputs!H76-1)</f>
        <v>40808.606269278171</v>
      </c>
      <c r="G42" s="207">
        <f>G41*(Inputs!I76-1)</f>
        <v>62617.883328166878</v>
      </c>
      <c r="H42" s="207">
        <f>H41*(Inputs!J76-1)</f>
        <v>88001.033844428443</v>
      </c>
      <c r="I42" s="44"/>
    </row>
    <row r="43" spans="2:13" x14ac:dyDescent="0.2">
      <c r="B43" s="208" t="s">
        <v>78</v>
      </c>
      <c r="C43" s="207"/>
      <c r="D43" s="207">
        <f>SUM(D41:D42)*D$8</f>
        <v>627929.01913165546</v>
      </c>
      <c r="E43" s="207">
        <f t="shared" ref="E43" si="10">SUM(E41:E42)*E$8</f>
        <v>755340.99455374538</v>
      </c>
      <c r="F43" s="207">
        <f t="shared" ref="F43" si="11">SUM(F41:F42)*F$8</f>
        <v>767489.60353335668</v>
      </c>
      <c r="G43" s="207">
        <f t="shared" ref="G43" si="12">SUM(G41:G42)*G$8</f>
        <v>759342.4747112547</v>
      </c>
      <c r="H43" s="207">
        <f t="shared" ref="H43" si="13">SUM(H41:H42)*H$8</f>
        <v>788156.13539543736</v>
      </c>
    </row>
    <row r="44" spans="2:13" s="197" customFormat="1" ht="13.5" thickBot="1" x14ac:dyDescent="0.25">
      <c r="B44" s="190" t="s">
        <v>186</v>
      </c>
      <c r="C44" s="183"/>
      <c r="D44" s="183">
        <f>SUM(D41:D43)</f>
        <v>2150153.6452678898</v>
      </c>
      <c r="E44" s="183">
        <f t="shared" ref="E44:H44" si="14">SUM(E41:E43)</f>
        <v>2587103.1850300278</v>
      </c>
      <c r="F44" s="183">
        <f t="shared" si="14"/>
        <v>2622956.4398026345</v>
      </c>
      <c r="G44" s="183">
        <f t="shared" si="14"/>
        <v>2555212.5880394215</v>
      </c>
      <c r="H44" s="183">
        <f t="shared" si="14"/>
        <v>2638769.3992398656</v>
      </c>
      <c r="I44" s="211"/>
      <c r="K44" s="212"/>
      <c r="M44" s="47"/>
    </row>
    <row r="45" spans="2:13" ht="20.25" customHeight="1" x14ac:dyDescent="0.2">
      <c r="B45" s="198"/>
      <c r="C45" s="207"/>
      <c r="D45" s="207"/>
      <c r="E45" s="207"/>
      <c r="F45" s="207"/>
      <c r="G45" s="207"/>
      <c r="H45" s="207"/>
    </row>
    <row r="46" spans="2:13" x14ac:dyDescent="0.2">
      <c r="B46" s="198" t="s">
        <v>167</v>
      </c>
      <c r="C46" s="207"/>
      <c r="D46" s="207">
        <f>'Metering AMP'!D38</f>
        <v>506029.43805558293</v>
      </c>
      <c r="E46" s="207">
        <f>'Metering AMP'!F38</f>
        <v>509435.11312625825</v>
      </c>
      <c r="F46" s="207">
        <f>'Metering AMP'!H38</f>
        <v>513187.75783001416</v>
      </c>
      <c r="G46" s="207">
        <f>'Metering AMP'!J38</f>
        <v>533582.22828039364</v>
      </c>
      <c r="H46" s="207">
        <f>'Metering AMP'!L38</f>
        <v>537878.52999758685</v>
      </c>
      <c r="I46" s="209"/>
      <c r="K46" s="210"/>
      <c r="M46" s="44"/>
    </row>
    <row r="47" spans="2:13" x14ac:dyDescent="0.2">
      <c r="B47" s="198" t="s">
        <v>166</v>
      </c>
      <c r="C47" s="207"/>
      <c r="D47" s="207">
        <f>'Metering AMP'!D41</f>
        <v>694691.97228555195</v>
      </c>
      <c r="E47" s="207">
        <f>'Metering AMP'!F41</f>
        <v>710861.80412884639</v>
      </c>
      <c r="F47" s="207">
        <f>'Metering AMP'!H41</f>
        <v>727247.91103963321</v>
      </c>
      <c r="G47" s="207">
        <f>'Metering AMP'!J41</f>
        <v>785753.64860070671</v>
      </c>
      <c r="H47" s="207">
        <f>'Metering AMP'!L41</f>
        <v>804057.6229355773</v>
      </c>
      <c r="I47" s="209"/>
      <c r="K47" s="210"/>
      <c r="M47" s="44"/>
    </row>
    <row r="48" spans="2:13" x14ac:dyDescent="0.2">
      <c r="B48" s="208" t="s">
        <v>227</v>
      </c>
      <c r="C48" s="207"/>
      <c r="D48" s="207">
        <f>(D46+D47)*(Inputs!F$76-1)</f>
        <v>1506.3666683276012</v>
      </c>
      <c r="E48" s="207">
        <f>(E46+E47)*(Inputs!G$76-1)</f>
        <v>11049.420796238999</v>
      </c>
      <c r="F48" s="207">
        <f>(F46+F47)*(Inputs!H$76-1)</f>
        <v>27895.308315588525</v>
      </c>
      <c r="G48" s="207">
        <f>(G46+G47)*(Inputs!I$76-1)</f>
        <v>47664.164845300947</v>
      </c>
      <c r="H48" s="207">
        <f>(H46+H47)*(Inputs!J$76-1)</f>
        <v>66998.155806131836</v>
      </c>
      <c r="I48" s="44"/>
    </row>
    <row r="49" spans="2:13" x14ac:dyDescent="0.2">
      <c r="B49" s="208" t="s">
        <v>78</v>
      </c>
      <c r="C49" s="207"/>
      <c r="D49" s="207">
        <f>SUM(D46:D48)*D$8</f>
        <v>495927.93062777584</v>
      </c>
      <c r="E49" s="207">
        <f t="shared" ref="E49:H49" si="15">SUM(E46:E48)*E$8</f>
        <v>507754.97630616522</v>
      </c>
      <c r="F49" s="207">
        <f t="shared" si="15"/>
        <v>524628.53002870956</v>
      </c>
      <c r="G49" s="207">
        <f t="shared" si="15"/>
        <v>578004.60451519967</v>
      </c>
      <c r="H49" s="207">
        <f t="shared" si="15"/>
        <v>600049.8545520833</v>
      </c>
    </row>
    <row r="50" spans="2:13" s="197" customFormat="1" ht="13.5" thickBot="1" x14ac:dyDescent="0.25">
      <c r="B50" s="190" t="s">
        <v>184</v>
      </c>
      <c r="C50" s="183"/>
      <c r="D50" s="183">
        <f>SUM(D46:D49)</f>
        <v>1698155.7076372383</v>
      </c>
      <c r="E50" s="183">
        <f t="shared" ref="E50:H50" si="16">SUM(E46:E49)</f>
        <v>1739101.3143575089</v>
      </c>
      <c r="F50" s="183">
        <f t="shared" si="16"/>
        <v>1792959.5072139455</v>
      </c>
      <c r="G50" s="183">
        <f t="shared" si="16"/>
        <v>1945004.6462416006</v>
      </c>
      <c r="H50" s="183">
        <f t="shared" si="16"/>
        <v>2008984.1632913793</v>
      </c>
      <c r="I50" s="211"/>
      <c r="K50" s="212"/>
      <c r="M50" s="47"/>
    </row>
    <row r="51" spans="2:13" ht="7.5" customHeight="1" x14ac:dyDescent="0.2">
      <c r="B51" s="198"/>
      <c r="C51" s="207"/>
      <c r="D51" s="207"/>
      <c r="E51" s="207"/>
      <c r="F51" s="207"/>
      <c r="G51" s="207"/>
      <c r="H51" s="207"/>
    </row>
    <row r="52" spans="2:13" ht="7.5" customHeight="1" x14ac:dyDescent="0.2">
      <c r="B52" s="198"/>
      <c r="C52" s="207"/>
      <c r="D52" s="207"/>
      <c r="E52" s="207"/>
      <c r="F52" s="207"/>
      <c r="G52" s="207"/>
      <c r="H52" s="207"/>
    </row>
    <row r="53" spans="2:13" x14ac:dyDescent="0.2">
      <c r="B53" s="198" t="s">
        <v>157</v>
      </c>
      <c r="C53" s="207"/>
      <c r="D53" s="207">
        <f>'Check Reads'!$G$4*'Check Reads'!$M$6*'Check Reads'!$L$7</f>
        <v>215481.53867168844</v>
      </c>
      <c r="E53" s="207">
        <f>'Check Reads'!$G$4*'Check Reads'!$M$6*'Check Reads'!$L$7</f>
        <v>215481.53867168844</v>
      </c>
      <c r="F53" s="207">
        <f>'Check Reads'!$G$4*'Check Reads'!$M$6*'Check Reads'!$L$7</f>
        <v>215481.53867168844</v>
      </c>
      <c r="G53" s="207">
        <f>'Check Reads'!$G$4*'Check Reads'!$M$6*'Check Reads'!$L$7</f>
        <v>215481.53867168844</v>
      </c>
      <c r="H53" s="207">
        <f>'Check Reads'!$G$4*'Check Reads'!$M$6*'Check Reads'!$L$7</f>
        <v>215481.53867168844</v>
      </c>
      <c r="I53" s="209"/>
      <c r="K53" s="210"/>
      <c r="M53" s="44"/>
    </row>
    <row r="54" spans="2:13" x14ac:dyDescent="0.2">
      <c r="B54" s="208" t="s">
        <v>227</v>
      </c>
      <c r="C54" s="207"/>
      <c r="D54" s="207">
        <f>D53*(Inputs!F$76-1)</f>
        <v>270.33265560139932</v>
      </c>
      <c r="E54" s="207">
        <f>E53*(Inputs!G$76-1)</f>
        <v>1951.1203879463649</v>
      </c>
      <c r="F54" s="207">
        <f>F53*(Inputs!H$76-1)</f>
        <v>4845.8167629455884</v>
      </c>
      <c r="G54" s="207">
        <f>G53*(Inputs!I$76-1)</f>
        <v>7784.7860884723432</v>
      </c>
      <c r="H54" s="207">
        <f>H53*(Inputs!J$76-1)</f>
        <v>10758.235903932638</v>
      </c>
      <c r="I54" s="44"/>
    </row>
    <row r="55" spans="2:13" x14ac:dyDescent="0.2">
      <c r="B55" s="208" t="s">
        <v>78</v>
      </c>
      <c r="C55" s="207"/>
      <c r="D55" s="207">
        <f>SUM(D53:D54)*D$8</f>
        <v>88999.257147899742</v>
      </c>
      <c r="E55" s="207">
        <f t="shared" ref="E55" si="17">SUM(E53:E54)*E$8</f>
        <v>89660.001607450191</v>
      </c>
      <c r="F55" s="207">
        <f t="shared" ref="F55" si="18">SUM(F53:F54)*F$8</f>
        <v>91135.530619389319</v>
      </c>
      <c r="G55" s="207">
        <f t="shared" ref="G55" si="19">SUM(G53:G54)*G$8</f>
        <v>94403.043017892924</v>
      </c>
      <c r="H55" s="207">
        <f t="shared" ref="H55" si="20">SUM(H53:H54)*H$8</f>
        <v>96353.068404921054</v>
      </c>
    </row>
    <row r="56" spans="2:13" s="197" customFormat="1" ht="13.5" thickBot="1" x14ac:dyDescent="0.25">
      <c r="B56" s="182" t="s">
        <v>185</v>
      </c>
      <c r="C56" s="183"/>
      <c r="D56" s="183">
        <f>SUM(D53:D55)</f>
        <v>304751.12847518956</v>
      </c>
      <c r="E56" s="183">
        <f t="shared" ref="E56:H56" si="21">SUM(E53:E55)</f>
        <v>307092.66066708497</v>
      </c>
      <c r="F56" s="183">
        <f t="shared" si="21"/>
        <v>311462.88605402334</v>
      </c>
      <c r="G56" s="183">
        <f t="shared" si="21"/>
        <v>317669.36777805374</v>
      </c>
      <c r="H56" s="183">
        <f t="shared" si="21"/>
        <v>322592.8429805421</v>
      </c>
      <c r="I56" s="211"/>
      <c r="K56" s="212"/>
      <c r="M56" s="47"/>
    </row>
    <row r="57" spans="2:13" ht="7.5" customHeight="1" x14ac:dyDescent="0.2">
      <c r="B57" s="198"/>
      <c r="C57" s="207"/>
      <c r="D57" s="207"/>
      <c r="E57" s="207"/>
      <c r="F57" s="207"/>
      <c r="G57" s="207"/>
      <c r="H57" s="207"/>
    </row>
    <row r="58" spans="2:13" s="45" customFormat="1" ht="13.5" thickBot="1" x14ac:dyDescent="0.25">
      <c r="B58" s="191" t="s">
        <v>176</v>
      </c>
      <c r="C58" s="192"/>
      <c r="D58" s="192">
        <f>D56+D50+D44+D39+D32</f>
        <v>24575108.999319237</v>
      </c>
      <c r="E58" s="192">
        <f>E56+E50+E44+E39+E32</f>
        <v>25218803.490378983</v>
      </c>
      <c r="F58" s="192">
        <f>F56+F50+F44+F39+F32</f>
        <v>25581960.381314717</v>
      </c>
      <c r="G58" s="192">
        <f>G56+G50+G44+G39+G32</f>
        <v>26095469.314014338</v>
      </c>
      <c r="H58" s="192">
        <f>H56+H50+H44+H39+H32</f>
        <v>26579658.54535199</v>
      </c>
      <c r="I58" s="46"/>
    </row>
    <row r="59" spans="2:13" ht="7.5" customHeight="1" thickTop="1" x14ac:dyDescent="0.2">
      <c r="B59" s="198"/>
      <c r="C59" s="207"/>
      <c r="D59" s="207"/>
      <c r="E59" s="207"/>
      <c r="F59" s="207"/>
      <c r="G59" s="207"/>
      <c r="H59" s="207"/>
    </row>
    <row r="60" spans="2:13" s="45" customFormat="1" ht="13.5" thickBot="1" x14ac:dyDescent="0.25">
      <c r="B60" s="191" t="s">
        <v>177</v>
      </c>
      <c r="C60" s="192"/>
      <c r="D60" s="192">
        <f>D21+D23+D27+D32+D39+D44+D50+D56+D34+D28</f>
        <v>52370322.857821487</v>
      </c>
      <c r="E60" s="192">
        <f t="shared" ref="E60:H60" si="22">E21+E23+E27+E32+E39+E44+E50+E56+E34+E28</f>
        <v>55542568.175018549</v>
      </c>
      <c r="F60" s="192">
        <f t="shared" si="22"/>
        <v>58301423.518222585</v>
      </c>
      <c r="G60" s="192">
        <f t="shared" si="22"/>
        <v>59647836.784303859</v>
      </c>
      <c r="H60" s="192">
        <f t="shared" si="22"/>
        <v>64346657.857667424</v>
      </c>
      <c r="I60" s="46"/>
    </row>
    <row r="61" spans="2:13" ht="8.25" customHeight="1" thickTop="1" x14ac:dyDescent="0.2">
      <c r="C61" s="213"/>
      <c r="D61" s="213"/>
      <c r="E61" s="213"/>
      <c r="F61" s="213"/>
      <c r="G61" s="213"/>
      <c r="H61" s="213"/>
    </row>
    <row r="62" spans="2:13" x14ac:dyDescent="0.2">
      <c r="B62" s="225"/>
      <c r="C62" s="225"/>
      <c r="D62" s="225"/>
      <c r="E62" s="225"/>
      <c r="F62" s="225"/>
      <c r="G62" s="225"/>
      <c r="H62" s="225"/>
    </row>
    <row r="63" spans="2:13" ht="8.25" customHeight="1" x14ac:dyDescent="0.2">
      <c r="B63" s="225"/>
      <c r="C63" s="225"/>
      <c r="D63" s="225"/>
      <c r="E63" s="225"/>
      <c r="F63" s="225"/>
      <c r="G63" s="225"/>
      <c r="H63" s="225"/>
    </row>
  </sheetData>
  <conditionalFormatting sqref="I8">
    <cfRule type="containsText" dxfId="1" priority="2" operator="containsText" text="levers ok">
      <formula>NOT(ISERROR(SEARCH("levers ok",I8)))</formula>
    </cfRule>
    <cfRule type="containsText" dxfId="0" priority="3" operator="containsText" text="check levers">
      <formula>NOT(ISERROR(SEARCH("check levers",I8)))</formula>
    </cfRule>
  </conditionalFormatting>
  <pageMargins left="0.7" right="0.7" top="0.75" bottom="0.75" header="0.3" footer="0.3"/>
  <pageSetup paperSize="9" scale="78"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I54"/>
  <sheetViews>
    <sheetView topLeftCell="A25" zoomScale="110" zoomScaleNormal="110" workbookViewId="0">
      <selection activeCell="I37" sqref="I37"/>
    </sheetView>
  </sheetViews>
  <sheetFormatPr defaultRowHeight="12.75" x14ac:dyDescent="0.2"/>
  <cols>
    <col min="1" max="1" width="45" style="4" bestFit="1" customWidth="1"/>
    <col min="2" max="2" width="0.7109375" style="4" customWidth="1"/>
    <col min="3" max="3" width="12.85546875" style="4" bestFit="1" customWidth="1"/>
    <col min="4" max="4" width="10.28515625" style="4" customWidth="1"/>
    <col min="5" max="5" width="12.5703125" style="4" customWidth="1"/>
    <col min="6" max="6" width="8.85546875" style="4" customWidth="1"/>
    <col min="7" max="8" width="9.140625" style="4"/>
    <col min="9" max="9" width="11.28515625" style="4" bestFit="1" customWidth="1"/>
    <col min="10" max="16384" width="9.140625" style="4"/>
  </cols>
  <sheetData>
    <row r="1" spans="1:9" x14ac:dyDescent="0.2">
      <c r="A1" s="4" t="s">
        <v>79</v>
      </c>
      <c r="E1" s="26"/>
    </row>
    <row r="2" spans="1:9" ht="15.75" x14ac:dyDescent="0.25">
      <c r="A2" s="27" t="s">
        <v>68</v>
      </c>
      <c r="B2" s="28"/>
      <c r="C2" s="29" t="s">
        <v>45</v>
      </c>
    </row>
    <row r="4" spans="1:9" x14ac:dyDescent="0.2">
      <c r="C4" s="69">
        <f>C17+C25</f>
        <v>6888.4868184638381</v>
      </c>
      <c r="D4" s="48"/>
      <c r="E4" s="49"/>
    </row>
    <row r="5" spans="1:9" x14ac:dyDescent="0.2">
      <c r="A5" s="4" t="s">
        <v>46</v>
      </c>
      <c r="C5" s="30">
        <v>849.63116987801118</v>
      </c>
    </row>
    <row r="6" spans="1:9" x14ac:dyDescent="0.2">
      <c r="A6" s="4" t="s">
        <v>47</v>
      </c>
      <c r="C6" s="30">
        <v>2659.2069863060178</v>
      </c>
    </row>
    <row r="7" spans="1:9" x14ac:dyDescent="0.2">
      <c r="A7" s="4" t="s">
        <v>48</v>
      </c>
      <c r="C7" s="30">
        <v>1303.6649011689542</v>
      </c>
    </row>
    <row r="8" spans="1:9" x14ac:dyDescent="0.2">
      <c r="A8" s="4" t="s">
        <v>49</v>
      </c>
      <c r="C8" s="30">
        <v>472.75204437260459</v>
      </c>
    </row>
    <row r="9" spans="1:9" x14ac:dyDescent="0.2">
      <c r="A9" s="4" t="s">
        <v>50</v>
      </c>
      <c r="C9" s="30">
        <v>583.00778519370158</v>
      </c>
      <c r="F9" s="4" t="s">
        <v>51</v>
      </c>
    </row>
    <row r="10" spans="1:9" x14ac:dyDescent="0.2">
      <c r="A10" s="31" t="s">
        <v>52</v>
      </c>
      <c r="C10" s="30">
        <v>129.18515303465509</v>
      </c>
      <c r="D10" s="9">
        <v>0.83865091802141623</v>
      </c>
      <c r="E10" s="3">
        <f>C10*D10</f>
        <v>108.34124718725063</v>
      </c>
      <c r="F10" s="32">
        <f>E10/C17</f>
        <v>1.7161874308910103E-2</v>
      </c>
      <c r="I10" s="7"/>
    </row>
    <row r="11" spans="1:9" x14ac:dyDescent="0.2">
      <c r="A11" s="4" t="s">
        <v>53</v>
      </c>
      <c r="C11" s="30">
        <v>29.818417132002402</v>
      </c>
    </row>
    <row r="12" spans="1:9" x14ac:dyDescent="0.2">
      <c r="A12" s="4" t="s">
        <v>54</v>
      </c>
      <c r="C12" s="30">
        <v>60.789634110310146</v>
      </c>
    </row>
    <row r="13" spans="1:9" x14ac:dyDescent="0.2">
      <c r="A13" s="4" t="s">
        <v>55</v>
      </c>
      <c r="C13" s="30">
        <v>81.208182342088492</v>
      </c>
    </row>
    <row r="14" spans="1:9" x14ac:dyDescent="0.2">
      <c r="A14" s="4" t="s">
        <v>56</v>
      </c>
      <c r="C14" s="30">
        <v>26.138824772553111</v>
      </c>
    </row>
    <row r="15" spans="1:9" x14ac:dyDescent="0.2">
      <c r="A15" s="4" t="s">
        <v>57</v>
      </c>
      <c r="C15" s="30">
        <v>115.38702865025897</v>
      </c>
    </row>
    <row r="16" spans="1:9" x14ac:dyDescent="0.2">
      <c r="A16" s="4" t="s">
        <v>58</v>
      </c>
      <c r="C16" s="30">
        <v>2.1128367321503396</v>
      </c>
    </row>
    <row r="17" spans="1:7" x14ac:dyDescent="0.2">
      <c r="A17" s="33" t="s">
        <v>59</v>
      </c>
      <c r="C17" s="36">
        <f>SUM(C5:C16)</f>
        <v>6312.9029636933083</v>
      </c>
    </row>
    <row r="18" spans="1:7" x14ac:dyDescent="0.2">
      <c r="A18" s="4" t="s">
        <v>60</v>
      </c>
      <c r="C18" s="30">
        <v>116.66853125111037</v>
      </c>
      <c r="D18" s="3">
        <f>C18*$F$10</f>
        <v>2.0022506691367066</v>
      </c>
    </row>
    <row r="19" spans="1:7" x14ac:dyDescent="0.2">
      <c r="A19" s="4" t="s">
        <v>61</v>
      </c>
      <c r="C19" s="30">
        <v>123.94109872378168</v>
      </c>
      <c r="D19" s="3">
        <f t="shared" ref="D19:D24" si="0">C19*$F$10</f>
        <v>2.1270615580057597</v>
      </c>
    </row>
    <row r="20" spans="1:7" x14ac:dyDescent="0.2">
      <c r="A20" s="4" t="s">
        <v>62</v>
      </c>
      <c r="C20" s="30">
        <v>132.24497796131962</v>
      </c>
      <c r="D20" s="3">
        <f t="shared" si="0"/>
        <v>2.2695716897567539</v>
      </c>
    </row>
    <row r="21" spans="1:7" x14ac:dyDescent="0.2">
      <c r="A21" s="4" t="s">
        <v>63</v>
      </c>
      <c r="C21" s="30">
        <v>82.033401044747677</v>
      </c>
      <c r="D21" s="3">
        <f t="shared" si="0"/>
        <v>1.4078469178623743</v>
      </c>
    </row>
    <row r="22" spans="1:7" x14ac:dyDescent="0.2">
      <c r="A22" s="4" t="s">
        <v>54</v>
      </c>
      <c r="C22" s="30">
        <v>97.568645957942294</v>
      </c>
      <c r="D22" s="3">
        <f t="shared" si="0"/>
        <v>1.6744608384207553</v>
      </c>
    </row>
    <row r="23" spans="1:7" x14ac:dyDescent="0.2">
      <c r="A23" s="4" t="s">
        <v>64</v>
      </c>
      <c r="C23" s="30">
        <v>7.9043719029534261</v>
      </c>
      <c r="D23" s="3">
        <f t="shared" si="0"/>
        <v>0.13565383708936726</v>
      </c>
    </row>
    <row r="24" spans="1:7" x14ac:dyDescent="0.2">
      <c r="A24" s="4" t="s">
        <v>65</v>
      </c>
      <c r="C24" s="30">
        <v>15.222827928674832</v>
      </c>
      <c r="D24" s="3">
        <f t="shared" si="0"/>
        <v>0.26125225953808379</v>
      </c>
    </row>
    <row r="25" spans="1:7" x14ac:dyDescent="0.2">
      <c r="A25" s="33" t="s">
        <v>66</v>
      </c>
      <c r="C25" s="34">
        <f>SUM(C18:C24)</f>
        <v>575.58385477053002</v>
      </c>
      <c r="E25" s="3">
        <f>C25*F10</f>
        <v>9.8780977698098038</v>
      </c>
      <c r="F25" s="4" t="s">
        <v>67</v>
      </c>
    </row>
    <row r="27" spans="1:7" x14ac:dyDescent="0.2">
      <c r="E27" s="35">
        <f>SUM(E10:E25)</f>
        <v>118.21934495706043</v>
      </c>
      <c r="G27" s="74"/>
    </row>
    <row r="30" spans="1:7" x14ac:dyDescent="0.2">
      <c r="A30" s="4" t="s">
        <v>220</v>
      </c>
    </row>
    <row r="31" spans="1:7" ht="15.75" x14ac:dyDescent="0.25">
      <c r="A31" s="261" t="s">
        <v>68</v>
      </c>
      <c r="B31" s="262"/>
      <c r="C31" s="263" t="s">
        <v>45</v>
      </c>
    </row>
    <row r="32" spans="1:7" x14ac:dyDescent="0.2">
      <c r="A32" s="264" t="s">
        <v>46</v>
      </c>
      <c r="C32" s="7">
        <v>575.30158631574739</v>
      </c>
    </row>
    <row r="33" spans="1:9" x14ac:dyDescent="0.2">
      <c r="A33" s="264" t="s">
        <v>47</v>
      </c>
      <c r="C33" s="7">
        <v>2401409.4237001622</v>
      </c>
    </row>
    <row r="34" spans="1:9" x14ac:dyDescent="0.2">
      <c r="A34" s="264" t="s">
        <v>48</v>
      </c>
      <c r="C34" s="7">
        <v>961124.16192549234</v>
      </c>
    </row>
    <row r="35" spans="1:9" x14ac:dyDescent="0.2">
      <c r="A35" s="264" t="s">
        <v>49</v>
      </c>
      <c r="C35" s="7">
        <v>304533.86887631897</v>
      </c>
    </row>
    <row r="36" spans="1:9" x14ac:dyDescent="0.2">
      <c r="A36" s="264" t="s">
        <v>50</v>
      </c>
      <c r="C36" s="7">
        <v>472355.72824326187</v>
      </c>
      <c r="F36" s="4" t="s">
        <v>51</v>
      </c>
    </row>
    <row r="37" spans="1:9" x14ac:dyDescent="0.2">
      <c r="A37" s="264" t="s">
        <v>52</v>
      </c>
      <c r="C37" s="7">
        <v>119567.11347917184</v>
      </c>
      <c r="E37" s="3">
        <f>C37*D10</f>
        <v>100275.06948447831</v>
      </c>
      <c r="F37" s="32">
        <f>E37/C44</f>
        <v>2.3113116476612624E-2</v>
      </c>
      <c r="I37" s="7"/>
    </row>
    <row r="38" spans="1:9" x14ac:dyDescent="0.2">
      <c r="A38" s="264" t="s">
        <v>53</v>
      </c>
      <c r="C38" s="7">
        <v>39601.960564778077</v>
      </c>
    </row>
    <row r="39" spans="1:9" x14ac:dyDescent="0.2">
      <c r="A39" s="264" t="s">
        <v>54</v>
      </c>
      <c r="C39" s="7">
        <v>30265.158365645828</v>
      </c>
    </row>
    <row r="40" spans="1:9" x14ac:dyDescent="0.2">
      <c r="A40" s="264" t="s">
        <v>55</v>
      </c>
      <c r="C40" s="7">
        <v>51815.510512066947</v>
      </c>
    </row>
    <row r="41" spans="1:9" x14ac:dyDescent="0.2">
      <c r="A41" s="264" t="s">
        <v>56</v>
      </c>
      <c r="C41" s="7">
        <v>0</v>
      </c>
    </row>
    <row r="42" spans="1:9" x14ac:dyDescent="0.2">
      <c r="A42" s="264" t="s">
        <v>57</v>
      </c>
      <c r="C42" s="7">
        <v>-45387.508281446579</v>
      </c>
    </row>
    <row r="43" spans="1:9" x14ac:dyDescent="0.2">
      <c r="A43" s="264" t="s">
        <v>58</v>
      </c>
      <c r="C43" s="7">
        <v>2587.9530601182701</v>
      </c>
    </row>
    <row r="44" spans="1:9" x14ac:dyDescent="0.2">
      <c r="A44" s="33" t="s">
        <v>59</v>
      </c>
      <c r="C44" s="265">
        <f>SUM(C32:C43)</f>
        <v>4338448.672031885</v>
      </c>
    </row>
    <row r="45" spans="1:9" x14ac:dyDescent="0.2">
      <c r="A45" s="264" t="s">
        <v>60</v>
      </c>
      <c r="C45" s="7">
        <v>67724.583665671962</v>
      </c>
    </row>
    <row r="46" spans="1:9" x14ac:dyDescent="0.2">
      <c r="A46" s="264" t="s">
        <v>61</v>
      </c>
      <c r="C46" s="7">
        <v>47894.567805964005</v>
      </c>
    </row>
    <row r="47" spans="1:9" x14ac:dyDescent="0.2">
      <c r="A47" s="264" t="s">
        <v>62</v>
      </c>
      <c r="C47" s="7">
        <v>217074.67412520578</v>
      </c>
    </row>
    <row r="48" spans="1:9" x14ac:dyDescent="0.2">
      <c r="A48" s="264" t="s">
        <v>63</v>
      </c>
      <c r="C48" s="7">
        <v>76846.649975135806</v>
      </c>
    </row>
    <row r="49" spans="1:6" x14ac:dyDescent="0.2">
      <c r="A49" s="264" t="s">
        <v>54</v>
      </c>
      <c r="C49" s="7">
        <v>98535.504190339168</v>
      </c>
    </row>
    <row r="50" spans="1:6" x14ac:dyDescent="0.2">
      <c r="A50" s="264" t="s">
        <v>64</v>
      </c>
      <c r="C50" s="7">
        <v>6457.5116548859041</v>
      </c>
    </row>
    <row r="51" spans="1:6" x14ac:dyDescent="0.2">
      <c r="A51" s="264" t="s">
        <v>65</v>
      </c>
      <c r="C51" s="7">
        <v>13117.26106804343</v>
      </c>
    </row>
    <row r="52" spans="1:6" x14ac:dyDescent="0.2">
      <c r="A52" s="33" t="s">
        <v>66</v>
      </c>
      <c r="C52" s="34">
        <f>SUM(C45:C51)</f>
        <v>527650.75248524605</v>
      </c>
      <c r="E52" s="3">
        <f>C52*F37</f>
        <v>12195.653301163789</v>
      </c>
      <c r="F52" s="4" t="s">
        <v>67</v>
      </c>
    </row>
    <row r="54" spans="1:6" x14ac:dyDescent="0.2">
      <c r="E54" s="35">
        <f>SUM(E37:E52)</f>
        <v>112470.72278564211</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R66"/>
  <sheetViews>
    <sheetView zoomScale="90" zoomScaleNormal="90" workbookViewId="0">
      <pane xSplit="1" ySplit="1" topLeftCell="B26" activePane="bottomRight" state="frozen"/>
      <selection pane="topRight" activeCell="B1" sqref="B1"/>
      <selection pane="bottomLeft" activeCell="A2" sqref="A2"/>
      <selection pane="bottomRight" activeCell="H41" sqref="H41"/>
    </sheetView>
  </sheetViews>
  <sheetFormatPr defaultRowHeight="12.75" x14ac:dyDescent="0.2"/>
  <cols>
    <col min="1" max="1" width="3.140625" style="87" customWidth="1"/>
    <col min="2" max="2" width="37.85546875" style="87" customWidth="1"/>
    <col min="3" max="3" width="9" style="87" bestFit="1" customWidth="1"/>
    <col min="4" max="4" width="14.28515625" style="87" bestFit="1" customWidth="1"/>
    <col min="5" max="5" width="11" style="87" customWidth="1"/>
    <col min="6" max="6" width="14.28515625" style="87" bestFit="1" customWidth="1"/>
    <col min="7" max="7" width="10.140625" style="87" bestFit="1" customWidth="1"/>
    <col min="8" max="8" width="14.28515625" style="87" bestFit="1" customWidth="1"/>
    <col min="9" max="9" width="9" style="87" bestFit="1" customWidth="1"/>
    <col min="10" max="10" width="14.28515625" style="87" bestFit="1" customWidth="1"/>
    <col min="11" max="11" width="9" style="87" bestFit="1" customWidth="1"/>
    <col min="12" max="12" width="13.140625" style="87" bestFit="1" customWidth="1"/>
    <col min="13" max="13" width="9.140625" style="87" customWidth="1"/>
    <col min="14" max="14" width="16.7109375" style="87" bestFit="1" customWidth="1"/>
    <col min="15" max="16384" width="9.140625" style="87"/>
  </cols>
  <sheetData>
    <row r="1" spans="2:14" x14ac:dyDescent="0.2">
      <c r="B1" s="5" t="s">
        <v>225</v>
      </c>
    </row>
    <row r="2" spans="2:14" x14ac:dyDescent="0.2">
      <c r="B2" s="167" t="s">
        <v>74</v>
      </c>
      <c r="C2" s="168"/>
      <c r="D2" s="168"/>
      <c r="E2" s="168"/>
      <c r="F2" s="168"/>
      <c r="G2" s="168"/>
      <c r="H2" s="168"/>
      <c r="I2" s="168"/>
      <c r="J2" s="168"/>
      <c r="K2" s="168"/>
      <c r="L2" s="168"/>
    </row>
    <row r="3" spans="2:14" ht="13.5" thickBot="1" x14ac:dyDescent="0.25">
      <c r="B3" s="121" t="s">
        <v>118</v>
      </c>
      <c r="C3" s="6"/>
      <c r="D3" s="118"/>
      <c r="E3" s="64" t="s">
        <v>127</v>
      </c>
      <c r="F3" s="118"/>
      <c r="G3" s="6"/>
      <c r="H3" s="118"/>
      <c r="I3" s="6"/>
      <c r="J3" s="118"/>
      <c r="K3" s="6"/>
      <c r="L3" s="118"/>
    </row>
    <row r="4" spans="2:14" ht="13.5" thickBot="1" x14ac:dyDescent="0.25">
      <c r="B4" s="122" t="s">
        <v>119</v>
      </c>
      <c r="C4" s="124" t="s">
        <v>90</v>
      </c>
      <c r="D4" s="125">
        <v>0</v>
      </c>
      <c r="E4" s="126" t="s">
        <v>91</v>
      </c>
      <c r="F4" s="127">
        <v>0</v>
      </c>
      <c r="G4" s="128" t="s">
        <v>92</v>
      </c>
      <c r="H4" s="127">
        <v>0</v>
      </c>
      <c r="I4" s="126" t="s">
        <v>93</v>
      </c>
      <c r="J4" s="127">
        <v>0</v>
      </c>
      <c r="K4" s="126" t="s">
        <v>94</v>
      </c>
      <c r="L4" s="127">
        <v>0</v>
      </c>
    </row>
    <row r="5" spans="2:14" ht="13.5" thickBot="1" x14ac:dyDescent="0.25">
      <c r="B5" s="129" t="s">
        <v>28</v>
      </c>
      <c r="C5" s="132">
        <v>6189.4</v>
      </c>
      <c r="D5" s="131">
        <v>387580.22799999994</v>
      </c>
      <c r="E5" s="132">
        <v>3042</v>
      </c>
      <c r="F5" s="131">
        <v>190490.03999999998</v>
      </c>
      <c r="G5" s="132">
        <v>2840.25</v>
      </c>
      <c r="H5" s="131">
        <v>177856.45499999999</v>
      </c>
      <c r="I5" s="132">
        <v>3347.25</v>
      </c>
      <c r="J5" s="131">
        <v>209604.79499999998</v>
      </c>
      <c r="K5" s="132">
        <v>3687</v>
      </c>
      <c r="L5" s="131">
        <v>230879.94</v>
      </c>
    </row>
    <row r="6" spans="2:14" ht="13.5" thickBot="1" x14ac:dyDescent="0.25">
      <c r="B6" s="129" t="s">
        <v>29</v>
      </c>
      <c r="C6" s="132">
        <v>17366</v>
      </c>
      <c r="D6" s="133">
        <v>1019731.52</v>
      </c>
      <c r="E6" s="132">
        <v>17493</v>
      </c>
      <c r="F6" s="133">
        <v>1027188.96</v>
      </c>
      <c r="G6" s="132">
        <v>58231.5</v>
      </c>
      <c r="H6" s="133">
        <v>3419353.6799999997</v>
      </c>
      <c r="I6" s="132">
        <v>20179.5</v>
      </c>
      <c r="J6" s="133">
        <v>1184940.24</v>
      </c>
      <c r="K6" s="132">
        <v>17432</v>
      </c>
      <c r="L6" s="133">
        <v>1023607.04</v>
      </c>
    </row>
    <row r="7" spans="2:14" ht="13.5" thickBot="1" x14ac:dyDescent="0.25">
      <c r="B7" s="134" t="s">
        <v>30</v>
      </c>
      <c r="C7" s="132">
        <v>1800</v>
      </c>
      <c r="D7" s="133">
        <v>261000</v>
      </c>
      <c r="E7" s="132">
        <v>1800</v>
      </c>
      <c r="F7" s="133">
        <v>261000</v>
      </c>
      <c r="G7" s="132">
        <v>1800</v>
      </c>
      <c r="H7" s="133">
        <v>261000</v>
      </c>
      <c r="I7" s="132">
        <v>1800</v>
      </c>
      <c r="J7" s="133">
        <v>261000</v>
      </c>
      <c r="K7" s="132">
        <v>1800</v>
      </c>
      <c r="L7" s="133">
        <v>261000</v>
      </c>
    </row>
    <row r="8" spans="2:14" ht="13.5" thickBot="1" x14ac:dyDescent="0.25">
      <c r="B8" s="134" t="s">
        <v>120</v>
      </c>
      <c r="C8" s="132">
        <v>3700</v>
      </c>
      <c r="D8" s="133">
        <v>327450</v>
      </c>
      <c r="E8" s="132">
        <v>3600</v>
      </c>
      <c r="F8" s="133">
        <v>318600</v>
      </c>
      <c r="G8" s="132">
        <v>4200</v>
      </c>
      <c r="H8" s="133">
        <v>371700</v>
      </c>
      <c r="I8" s="132">
        <v>3000</v>
      </c>
      <c r="J8" s="133">
        <v>265500</v>
      </c>
      <c r="K8" s="132">
        <v>3400</v>
      </c>
      <c r="L8" s="133">
        <v>300900</v>
      </c>
    </row>
    <row r="9" spans="2:14" ht="13.5" thickBot="1" x14ac:dyDescent="0.25">
      <c r="B9" s="134" t="s">
        <v>121</v>
      </c>
      <c r="C9" s="132">
        <v>2000</v>
      </c>
      <c r="D9" s="135">
        <v>394840</v>
      </c>
      <c r="E9" s="132">
        <v>2500</v>
      </c>
      <c r="F9" s="135">
        <v>493549.99999999994</v>
      </c>
      <c r="G9" s="132">
        <v>2900</v>
      </c>
      <c r="H9" s="135">
        <v>572518</v>
      </c>
      <c r="I9" s="132">
        <v>2400</v>
      </c>
      <c r="J9" s="135">
        <v>473807.99999999994</v>
      </c>
      <c r="K9" s="132">
        <v>2500</v>
      </c>
      <c r="L9" s="135">
        <v>493549.99999999994</v>
      </c>
    </row>
    <row r="10" spans="2:14" ht="13.5" thickBot="1" x14ac:dyDescent="0.25">
      <c r="B10" s="134" t="s">
        <v>32</v>
      </c>
      <c r="C10" s="132">
        <v>110</v>
      </c>
      <c r="D10" s="135">
        <v>23540</v>
      </c>
      <c r="E10" s="132">
        <v>110</v>
      </c>
      <c r="F10" s="135">
        <v>23540</v>
      </c>
      <c r="G10" s="132">
        <v>110</v>
      </c>
      <c r="H10" s="135">
        <v>23540</v>
      </c>
      <c r="I10" s="132">
        <v>110</v>
      </c>
      <c r="J10" s="135">
        <v>23540</v>
      </c>
      <c r="K10" s="132">
        <v>110</v>
      </c>
      <c r="L10" s="135">
        <v>23540</v>
      </c>
    </row>
    <row r="11" spans="2:14" ht="13.5" thickBot="1" x14ac:dyDescent="0.25">
      <c r="B11" s="119"/>
      <c r="C11" s="12"/>
      <c r="D11" s="120"/>
      <c r="E11" s="12"/>
      <c r="F11" s="120"/>
      <c r="G11" s="12"/>
      <c r="H11" s="120"/>
      <c r="I11" s="12"/>
      <c r="J11" s="120"/>
      <c r="K11" s="12"/>
      <c r="L11" s="120"/>
    </row>
    <row r="12" spans="2:14" ht="13.5" thickBot="1" x14ac:dyDescent="0.25">
      <c r="B12" s="119"/>
      <c r="C12" s="12"/>
      <c r="D12" s="120"/>
      <c r="E12" s="12"/>
      <c r="F12" s="120"/>
      <c r="G12" s="12"/>
      <c r="H12" s="120"/>
      <c r="I12" s="12"/>
      <c r="J12" s="120"/>
      <c r="K12" s="12"/>
      <c r="L12" s="120"/>
    </row>
    <row r="13" spans="2:14" ht="13.5" thickBot="1" x14ac:dyDescent="0.25">
      <c r="B13" s="134" t="s">
        <v>81</v>
      </c>
      <c r="C13" s="132">
        <f t="shared" ref="C13:L13" si="0">SUM(C5:C12)</f>
        <v>31165.4</v>
      </c>
      <c r="D13" s="135">
        <f t="shared" si="0"/>
        <v>2414141.7479999997</v>
      </c>
      <c r="E13" s="132">
        <f t="shared" si="0"/>
        <v>28545</v>
      </c>
      <c r="F13" s="135">
        <f t="shared" si="0"/>
        <v>2314369</v>
      </c>
      <c r="G13" s="132">
        <f t="shared" si="0"/>
        <v>70081.75</v>
      </c>
      <c r="H13" s="135">
        <f t="shared" si="0"/>
        <v>4825968.1349999998</v>
      </c>
      <c r="I13" s="132">
        <f t="shared" si="0"/>
        <v>30836.75</v>
      </c>
      <c r="J13" s="135">
        <f t="shared" si="0"/>
        <v>2418393.0349999997</v>
      </c>
      <c r="K13" s="132">
        <f t="shared" si="0"/>
        <v>28929</v>
      </c>
      <c r="L13" s="135">
        <f t="shared" si="0"/>
        <v>2333476.98</v>
      </c>
      <c r="N13" s="118"/>
    </row>
    <row r="14" spans="2:14" x14ac:dyDescent="0.2">
      <c r="C14" s="6"/>
      <c r="D14" s="118"/>
      <c r="E14" s="6"/>
      <c r="F14" s="118"/>
      <c r="G14" s="6"/>
      <c r="H14" s="118"/>
      <c r="I14" s="6"/>
      <c r="J14" s="118"/>
      <c r="K14" s="6"/>
      <c r="L14" s="118"/>
    </row>
    <row r="15" spans="2:14" ht="13.5" thickBot="1" x14ac:dyDescent="0.25">
      <c r="B15" s="121" t="s">
        <v>88</v>
      </c>
      <c r="C15" s="6"/>
      <c r="D15" s="118"/>
      <c r="E15" s="6"/>
      <c r="F15" s="118"/>
      <c r="G15" s="6"/>
      <c r="H15" s="118"/>
      <c r="I15" s="6"/>
      <c r="J15" s="118"/>
      <c r="K15" s="6"/>
      <c r="L15" s="118"/>
    </row>
    <row r="16" spans="2:14" ht="13.5" thickBot="1" x14ac:dyDescent="0.25">
      <c r="B16" s="122" t="s">
        <v>89</v>
      </c>
      <c r="C16" s="123" t="s">
        <v>90</v>
      </c>
      <c r="D16" s="125"/>
      <c r="E16" s="123" t="s">
        <v>91</v>
      </c>
      <c r="F16" s="125"/>
      <c r="G16" s="123" t="s">
        <v>92</v>
      </c>
      <c r="H16" s="125"/>
      <c r="I16" s="123" t="s">
        <v>93</v>
      </c>
      <c r="J16" s="136"/>
      <c r="K16" s="123" t="s">
        <v>94</v>
      </c>
      <c r="L16" s="125"/>
    </row>
    <row r="17" spans="2:14" ht="13.5" thickBot="1" x14ac:dyDescent="0.25">
      <c r="B17" s="129" t="s">
        <v>28</v>
      </c>
      <c r="C17" s="132">
        <v>30520.199999999997</v>
      </c>
      <c r="D17" s="137">
        <v>3835218.9171999996</v>
      </c>
      <c r="E17" s="132">
        <v>30520.199999999997</v>
      </c>
      <c r="F17" s="137">
        <v>4203097.5213155262</v>
      </c>
      <c r="G17" s="132">
        <v>30520.199999999997</v>
      </c>
      <c r="H17" s="137">
        <v>4203097.5213155262</v>
      </c>
      <c r="I17" s="132">
        <v>30520.199999999997</v>
      </c>
      <c r="J17" s="137">
        <v>4131465.0673712045</v>
      </c>
      <c r="K17" s="132">
        <v>30520.200000000004</v>
      </c>
      <c r="L17" s="137">
        <v>3994124.1673712051</v>
      </c>
    </row>
    <row r="18" spans="2:14" ht="13.5" thickBot="1" x14ac:dyDescent="0.25">
      <c r="B18" s="134" t="s">
        <v>122</v>
      </c>
      <c r="C18" s="132">
        <v>0</v>
      </c>
      <c r="D18" s="137">
        <v>0</v>
      </c>
      <c r="E18" s="132">
        <v>0</v>
      </c>
      <c r="F18" s="137">
        <v>0</v>
      </c>
      <c r="G18" s="132">
        <v>0</v>
      </c>
      <c r="H18" s="137">
        <v>0</v>
      </c>
      <c r="I18" s="132">
        <v>0</v>
      </c>
      <c r="J18" s="137">
        <v>0</v>
      </c>
      <c r="K18" s="132">
        <v>0</v>
      </c>
      <c r="L18" s="137">
        <v>0</v>
      </c>
    </row>
    <row r="19" spans="2:14" ht="13.5" thickBot="1" x14ac:dyDescent="0.25">
      <c r="B19" s="134" t="s">
        <v>123</v>
      </c>
      <c r="C19" s="132">
        <v>0</v>
      </c>
      <c r="D19" s="137">
        <v>0</v>
      </c>
      <c r="E19" s="132">
        <v>0</v>
      </c>
      <c r="F19" s="137">
        <v>0</v>
      </c>
      <c r="G19" s="132">
        <v>0</v>
      </c>
      <c r="H19" s="137">
        <v>0</v>
      </c>
      <c r="I19" s="132">
        <v>0</v>
      </c>
      <c r="J19" s="137">
        <v>0</v>
      </c>
      <c r="K19" s="132">
        <v>0</v>
      </c>
      <c r="L19" s="137">
        <v>0</v>
      </c>
    </row>
    <row r="20" spans="2:14" ht="13.5" thickBot="1" x14ac:dyDescent="0.25">
      <c r="B20" s="134" t="s">
        <v>31</v>
      </c>
      <c r="C20" s="132">
        <v>0</v>
      </c>
      <c r="D20" s="135">
        <v>95643.75</v>
      </c>
      <c r="E20" s="132">
        <v>5101</v>
      </c>
      <c r="F20" s="135">
        <v>1243229.3292844731</v>
      </c>
      <c r="G20" s="132">
        <v>5101</v>
      </c>
      <c r="H20" s="135">
        <v>1419715.5792844731</v>
      </c>
      <c r="I20" s="132">
        <v>14513.6</v>
      </c>
      <c r="J20" s="135">
        <v>3503229.1600687951</v>
      </c>
      <c r="K20" s="132">
        <v>14513.6</v>
      </c>
      <c r="L20" s="135">
        <v>3503229.1600687951</v>
      </c>
    </row>
    <row r="21" spans="2:14" ht="13.5" thickBot="1" x14ac:dyDescent="0.25">
      <c r="B21" s="134" t="s">
        <v>32</v>
      </c>
      <c r="C21" s="130"/>
      <c r="D21" s="135"/>
      <c r="E21" s="130"/>
      <c r="F21" s="135"/>
      <c r="G21" s="130"/>
      <c r="H21" s="135"/>
      <c r="I21" s="130"/>
      <c r="J21" s="135"/>
      <c r="K21" s="130"/>
      <c r="L21" s="135"/>
    </row>
    <row r="22" spans="2:14" ht="13.5" thickBot="1" x14ac:dyDescent="0.25">
      <c r="B22" s="138" t="s">
        <v>81</v>
      </c>
      <c r="C22" s="139">
        <f t="shared" ref="C22:L22" si="1">SUM(C17:C21)</f>
        <v>30520.199999999997</v>
      </c>
      <c r="D22" s="140">
        <f t="shared" si="1"/>
        <v>3930862.6671999996</v>
      </c>
      <c r="E22" s="139">
        <f t="shared" si="1"/>
        <v>35621.199999999997</v>
      </c>
      <c r="F22" s="140">
        <f t="shared" si="1"/>
        <v>5446326.8505999995</v>
      </c>
      <c r="G22" s="139">
        <f t="shared" si="1"/>
        <v>35621.199999999997</v>
      </c>
      <c r="H22" s="140">
        <f t="shared" si="1"/>
        <v>5622813.1005999995</v>
      </c>
      <c r="I22" s="139">
        <f t="shared" si="1"/>
        <v>45033.799999999996</v>
      </c>
      <c r="J22" s="140">
        <f t="shared" si="1"/>
        <v>7634694.2274399996</v>
      </c>
      <c r="K22" s="139">
        <f t="shared" si="1"/>
        <v>45033.8</v>
      </c>
      <c r="L22" s="140">
        <f t="shared" si="1"/>
        <v>7497353.3274400001</v>
      </c>
      <c r="N22" s="118"/>
    </row>
    <row r="23" spans="2:14" ht="13.5" thickBot="1" x14ac:dyDescent="0.25">
      <c r="C23" s="6"/>
      <c r="D23" s="118"/>
      <c r="E23" s="6"/>
      <c r="F23" s="118"/>
      <c r="G23" s="6"/>
      <c r="H23" s="118"/>
      <c r="I23" s="6"/>
      <c r="J23" s="118"/>
      <c r="K23" s="6"/>
      <c r="L23" s="118"/>
    </row>
    <row r="24" spans="2:14" ht="13.5" thickBot="1" x14ac:dyDescent="0.25">
      <c r="B24" s="141" t="s">
        <v>95</v>
      </c>
      <c r="C24" s="142">
        <f t="shared" ref="C24:L24" si="2">C22+C13</f>
        <v>61685.599999999999</v>
      </c>
      <c r="D24" s="143">
        <f t="shared" si="2"/>
        <v>6345004.4151999988</v>
      </c>
      <c r="E24" s="142">
        <f t="shared" si="2"/>
        <v>64166.2</v>
      </c>
      <c r="F24" s="143">
        <f t="shared" si="2"/>
        <v>7760695.8505999995</v>
      </c>
      <c r="G24" s="142">
        <f t="shared" si="2"/>
        <v>105702.95</v>
      </c>
      <c r="H24" s="143">
        <f t="shared" si="2"/>
        <v>10448781.235599998</v>
      </c>
      <c r="I24" s="142">
        <f t="shared" si="2"/>
        <v>75870.549999999988</v>
      </c>
      <c r="J24" s="143">
        <f t="shared" si="2"/>
        <v>10053087.26244</v>
      </c>
      <c r="K24" s="142">
        <f t="shared" si="2"/>
        <v>73962.8</v>
      </c>
      <c r="L24" s="143">
        <f t="shared" si="2"/>
        <v>9830830.3074399997</v>
      </c>
      <c r="N24" s="118"/>
    </row>
    <row r="26" spans="2:14" x14ac:dyDescent="0.2">
      <c r="D26" s="251"/>
      <c r="E26" s="251"/>
      <c r="F26" s="251"/>
      <c r="G26" s="251"/>
      <c r="H26" s="251"/>
    </row>
    <row r="27" spans="2:14" x14ac:dyDescent="0.2">
      <c r="D27" s="251"/>
      <c r="E27" s="251"/>
      <c r="F27" s="251"/>
      <c r="G27" s="251"/>
      <c r="H27" s="251"/>
    </row>
    <row r="28" spans="2:14" x14ac:dyDescent="0.2">
      <c r="B28" s="165" t="s">
        <v>164</v>
      </c>
      <c r="C28" s="166"/>
      <c r="D28" s="252"/>
      <c r="E28" s="252"/>
      <c r="F28" s="252"/>
      <c r="G28" s="252"/>
      <c r="H28" s="252"/>
      <c r="I28" s="166"/>
      <c r="J28" s="166"/>
      <c r="K28" s="166"/>
      <c r="L28" s="166"/>
    </row>
    <row r="30" spans="2:14" ht="13.5" thickBot="1" x14ac:dyDescent="0.25">
      <c r="B30" s="121" t="s">
        <v>124</v>
      </c>
      <c r="C30" s="6"/>
      <c r="D30" s="118"/>
      <c r="E30" s="6"/>
      <c r="F30" s="118"/>
      <c r="G30" s="6"/>
      <c r="H30" s="118"/>
      <c r="I30" s="6"/>
      <c r="J30" s="118"/>
      <c r="K30" s="6"/>
      <c r="L30" s="118"/>
    </row>
    <row r="31" spans="2:14" ht="13.5" thickBot="1" x14ac:dyDescent="0.25">
      <c r="B31" s="144" t="s">
        <v>119</v>
      </c>
      <c r="C31" s="145" t="s">
        <v>90</v>
      </c>
      <c r="D31" s="146">
        <v>0</v>
      </c>
      <c r="E31" s="145" t="s">
        <v>91</v>
      </c>
      <c r="F31" s="146">
        <v>0</v>
      </c>
      <c r="G31" s="145" t="s">
        <v>92</v>
      </c>
      <c r="H31" s="146">
        <v>0</v>
      </c>
      <c r="I31" s="145" t="s">
        <v>93</v>
      </c>
      <c r="J31" s="146">
        <v>0</v>
      </c>
      <c r="K31" s="145" t="s">
        <v>94</v>
      </c>
      <c r="L31" s="146">
        <v>0</v>
      </c>
    </row>
    <row r="32" spans="2:14" ht="13.5" thickBot="1" x14ac:dyDescent="0.25">
      <c r="B32" s="147" t="s">
        <v>28</v>
      </c>
      <c r="C32" s="150">
        <v>189.00634074493794</v>
      </c>
      <c r="D32" s="151">
        <v>4252.642666761104</v>
      </c>
      <c r="E32" s="150">
        <v>190.16355952208002</v>
      </c>
      <c r="F32" s="151">
        <v>4278.6800892468009</v>
      </c>
      <c r="G32" s="150">
        <v>190.71355654988645</v>
      </c>
      <c r="H32" s="151">
        <v>4291.0550223724449</v>
      </c>
      <c r="I32" s="150">
        <v>191.22453857826613</v>
      </c>
      <c r="J32" s="151">
        <v>4302.5521180109881</v>
      </c>
      <c r="K32" s="150">
        <v>191.83320063154031</v>
      </c>
      <c r="L32" s="151">
        <v>4316.2470142096572</v>
      </c>
    </row>
    <row r="33" spans="2:18" ht="13.5" thickBot="1" x14ac:dyDescent="0.25">
      <c r="B33" s="147" t="s">
        <v>122</v>
      </c>
      <c r="C33" s="150">
        <v>777.2104475066925</v>
      </c>
      <c r="D33" s="152">
        <v>45637.797477592983</v>
      </c>
      <c r="E33" s="150">
        <v>871.72289324655571</v>
      </c>
      <c r="F33" s="152">
        <v>51187.568291437754</v>
      </c>
      <c r="G33" s="150">
        <v>966.42043255213775</v>
      </c>
      <c r="H33" s="152">
        <v>56748.207799461525</v>
      </c>
      <c r="I33" s="150">
        <v>1292.6806885087815</v>
      </c>
      <c r="J33" s="152">
        <v>75906.210029235648</v>
      </c>
      <c r="K33" s="150">
        <v>1400.2858564281985</v>
      </c>
      <c r="L33" s="152">
        <v>82224.785489463815</v>
      </c>
    </row>
    <row r="34" spans="2:18" ht="13.5" thickBot="1" x14ac:dyDescent="0.25">
      <c r="B34" s="153" t="s">
        <v>123</v>
      </c>
      <c r="C34" s="150">
        <v>2464.852489028151</v>
      </c>
      <c r="D34" s="152">
        <v>357403.61090908188</v>
      </c>
      <c r="E34" s="150">
        <v>2450.3331851768494</v>
      </c>
      <c r="F34" s="152">
        <v>355298.31185064313</v>
      </c>
      <c r="G34" s="150">
        <v>2436.1309594561189</v>
      </c>
      <c r="H34" s="152">
        <v>353238.98912113725</v>
      </c>
      <c r="I34" s="150">
        <v>2422.2388873920368</v>
      </c>
      <c r="J34" s="152">
        <v>351224.63867184531</v>
      </c>
      <c r="K34" s="150">
        <v>2408.6501957300002</v>
      </c>
      <c r="L34" s="152">
        <v>349254.27838085004</v>
      </c>
    </row>
    <row r="35" spans="2:18" ht="13.5" thickBot="1" x14ac:dyDescent="0.25">
      <c r="B35" s="153" t="s">
        <v>120</v>
      </c>
      <c r="C35" s="150">
        <v>248.88038625038138</v>
      </c>
      <c r="D35" s="152">
        <v>23332.536210973256</v>
      </c>
      <c r="E35" s="150">
        <v>260.44853919567009</v>
      </c>
      <c r="F35" s="152">
        <v>24417.050549594071</v>
      </c>
      <c r="G35" s="150">
        <v>271.64271569228617</v>
      </c>
      <c r="H35" s="152">
        <v>25466.50459615183</v>
      </c>
      <c r="I35" s="150">
        <v>284.81056930928565</v>
      </c>
      <c r="J35" s="152">
        <v>26700.990872745529</v>
      </c>
      <c r="K35" s="150">
        <v>293.91188428096092</v>
      </c>
      <c r="L35" s="152">
        <v>27554.239151340087</v>
      </c>
    </row>
    <row r="36" spans="2:18" ht="13.5" thickBot="1" x14ac:dyDescent="0.25">
      <c r="B36" s="155" t="s">
        <v>31</v>
      </c>
      <c r="C36" s="150">
        <v>229.45116946971422</v>
      </c>
      <c r="D36" s="154">
        <v>45298.249876710979</v>
      </c>
      <c r="E36" s="150">
        <v>235.63333580298246</v>
      </c>
      <c r="F36" s="154">
        <v>46518.733154224792</v>
      </c>
      <c r="G36" s="150">
        <v>243.53974940547039</v>
      </c>
      <c r="H36" s="154">
        <v>48079.617327627959</v>
      </c>
      <c r="I36" s="150">
        <v>252.81522311379632</v>
      </c>
      <c r="J36" s="154">
        <v>49910.781347125667</v>
      </c>
      <c r="K36" s="150">
        <v>260.31247662642397</v>
      </c>
      <c r="L36" s="154">
        <v>51390.889135588615</v>
      </c>
    </row>
    <row r="37" spans="2:18" ht="13.5" thickBot="1" x14ac:dyDescent="0.25">
      <c r="B37" s="155" t="s">
        <v>32</v>
      </c>
      <c r="C37" s="150">
        <v>77.497459371428576</v>
      </c>
      <c r="D37" s="154">
        <v>30104.600914462724</v>
      </c>
      <c r="E37" s="150">
        <v>71.396865704057149</v>
      </c>
      <c r="F37" s="154">
        <v>27734.769191111744</v>
      </c>
      <c r="G37" s="150">
        <v>65.292272892102289</v>
      </c>
      <c r="H37" s="154">
        <v>25363.383963263193</v>
      </c>
      <c r="I37" s="150">
        <v>65.739350163181271</v>
      </c>
      <c r="J37" s="154">
        <v>25537.055241430564</v>
      </c>
      <c r="K37" s="150">
        <v>59.56376099539451</v>
      </c>
      <c r="L37" s="154">
        <v>23138.090826134634</v>
      </c>
    </row>
    <row r="38" spans="2:18" ht="13.5" thickBot="1" x14ac:dyDescent="0.25">
      <c r="B38" s="156" t="s">
        <v>33</v>
      </c>
      <c r="C38" s="157">
        <f t="shared" ref="C38:L38" si="3">SUM(C32:C37)</f>
        <v>3986.8982923713061</v>
      </c>
      <c r="D38" s="158">
        <f t="shared" si="3"/>
        <v>506029.43805558293</v>
      </c>
      <c r="E38" s="157">
        <f t="shared" si="3"/>
        <v>4079.6983786481951</v>
      </c>
      <c r="F38" s="158">
        <f t="shared" si="3"/>
        <v>509435.11312625825</v>
      </c>
      <c r="G38" s="157">
        <f t="shared" si="3"/>
        <v>4173.7396865480023</v>
      </c>
      <c r="H38" s="158">
        <f t="shared" si="3"/>
        <v>513187.75783001416</v>
      </c>
      <c r="I38" s="157">
        <f t="shared" si="3"/>
        <v>4509.5092570653478</v>
      </c>
      <c r="J38" s="158">
        <f t="shared" si="3"/>
        <v>533582.22828039364</v>
      </c>
      <c r="K38" s="157">
        <f t="shared" si="3"/>
        <v>4614.5573746925184</v>
      </c>
      <c r="L38" s="158">
        <f t="shared" si="3"/>
        <v>537878.52999758685</v>
      </c>
      <c r="M38" s="40"/>
      <c r="N38" s="269"/>
      <c r="O38" s="40"/>
      <c r="P38" s="40"/>
      <c r="Q38" s="40"/>
      <c r="R38" s="40"/>
    </row>
    <row r="39" spans="2:18" ht="13.5" customHeight="1" thickBot="1" x14ac:dyDescent="0.25">
      <c r="B39" s="159"/>
      <c r="C39" s="161"/>
      <c r="D39" s="160"/>
      <c r="E39" s="161"/>
      <c r="F39" s="160"/>
      <c r="G39" s="161"/>
      <c r="H39" s="160"/>
      <c r="I39" s="161"/>
      <c r="J39" s="160"/>
      <c r="K39" s="161"/>
      <c r="L39" s="160"/>
      <c r="M39" s="40"/>
      <c r="N39" s="270"/>
      <c r="O39" s="40"/>
      <c r="P39" s="271"/>
      <c r="Q39" s="271"/>
      <c r="R39" s="40"/>
    </row>
    <row r="40" spans="2:18" ht="13.5" thickBot="1" x14ac:dyDescent="0.25">
      <c r="B40" s="144" t="s">
        <v>96</v>
      </c>
      <c r="C40" s="145"/>
      <c r="D40" s="146"/>
      <c r="E40" s="145"/>
      <c r="F40" s="146"/>
      <c r="G40" s="145"/>
      <c r="H40" s="146"/>
      <c r="I40" s="145"/>
      <c r="J40" s="146"/>
      <c r="K40" s="145"/>
      <c r="L40" s="146"/>
    </row>
    <row r="41" spans="2:18" ht="13.5" thickBot="1" x14ac:dyDescent="0.25">
      <c r="B41" s="155" t="s">
        <v>226</v>
      </c>
      <c r="C41" s="179">
        <v>3986.8982923713061</v>
      </c>
      <c r="D41" s="154">
        <v>694691.97228555195</v>
      </c>
      <c r="E41" s="179">
        <v>4079.6983786481951</v>
      </c>
      <c r="F41" s="154">
        <v>710861.80412884639</v>
      </c>
      <c r="G41" s="179">
        <v>4173.7396865480023</v>
      </c>
      <c r="H41" s="154">
        <v>727247.91103963321</v>
      </c>
      <c r="I41" s="179">
        <v>4509.5092570653478</v>
      </c>
      <c r="J41" s="154">
        <v>785753.64860070671</v>
      </c>
      <c r="K41" s="179">
        <v>4614.5573746925184</v>
      </c>
      <c r="L41" s="154">
        <v>804057.6229355773</v>
      </c>
      <c r="N41" s="39"/>
    </row>
    <row r="42" spans="2:18" ht="13.5" customHeight="1" x14ac:dyDescent="0.2">
      <c r="B42" s="159"/>
      <c r="C42" s="161"/>
      <c r="D42" s="160"/>
      <c r="E42" s="161"/>
      <c r="F42" s="160"/>
      <c r="G42" s="161"/>
      <c r="H42" s="160"/>
      <c r="I42" s="161"/>
      <c r="J42" s="160"/>
      <c r="K42" s="161"/>
      <c r="L42" s="160"/>
      <c r="M42" s="40"/>
      <c r="N42" s="270"/>
      <c r="O42" s="40"/>
      <c r="P42" s="271"/>
      <c r="Q42" s="271"/>
      <c r="R42" s="40"/>
    </row>
    <row r="43" spans="2:18" x14ac:dyDescent="0.2">
      <c r="B43" s="159"/>
      <c r="C43" s="161"/>
      <c r="D43" s="160"/>
      <c r="E43" s="161"/>
      <c r="F43" s="160"/>
      <c r="G43" s="161"/>
      <c r="H43" s="160"/>
      <c r="I43" s="161"/>
      <c r="J43" s="160"/>
      <c r="K43" s="161"/>
      <c r="L43" s="160"/>
      <c r="M43" s="40"/>
      <c r="N43" s="270"/>
      <c r="O43" s="40"/>
      <c r="P43" s="40"/>
      <c r="Q43" s="40"/>
      <c r="R43" s="40"/>
    </row>
    <row r="44" spans="2:18" ht="13.5" thickBot="1" x14ac:dyDescent="0.25">
      <c r="B44" s="121" t="s">
        <v>98</v>
      </c>
      <c r="C44" s="6"/>
      <c r="D44" s="118"/>
      <c r="E44" s="6"/>
      <c r="F44" s="118"/>
      <c r="G44" s="6"/>
      <c r="H44" s="118"/>
      <c r="I44" s="6"/>
      <c r="J44" s="118"/>
      <c r="K44" s="6"/>
      <c r="L44" s="118"/>
      <c r="M44" s="40"/>
      <c r="N44" s="40"/>
      <c r="O44" s="40"/>
      <c r="P44" s="40"/>
      <c r="Q44" s="40"/>
      <c r="R44" s="40"/>
    </row>
    <row r="45" spans="2:18" ht="13.5" thickBot="1" x14ac:dyDescent="0.25">
      <c r="B45" s="144" t="s">
        <v>97</v>
      </c>
      <c r="C45" s="123" t="s">
        <v>90</v>
      </c>
      <c r="D45" s="125"/>
      <c r="E45" s="123" t="s">
        <v>91</v>
      </c>
      <c r="F45" s="125"/>
      <c r="G45" s="123" t="s">
        <v>92</v>
      </c>
      <c r="H45" s="125"/>
      <c r="I45" s="123" t="s">
        <v>93</v>
      </c>
      <c r="J45" s="136"/>
      <c r="K45" s="123" t="s">
        <v>94</v>
      </c>
      <c r="L45" s="125"/>
      <c r="M45" s="40"/>
      <c r="N45" s="40"/>
      <c r="O45" s="40"/>
      <c r="P45" s="40"/>
      <c r="Q45" s="40"/>
      <c r="R45" s="40"/>
    </row>
    <row r="46" spans="2:18" ht="13.5" thickBot="1" x14ac:dyDescent="0.25">
      <c r="B46" s="147" t="s">
        <v>28</v>
      </c>
      <c r="C46" s="150">
        <v>800</v>
      </c>
      <c r="D46" s="149">
        <v>50096</v>
      </c>
      <c r="E46" s="150">
        <v>0</v>
      </c>
      <c r="F46" s="149">
        <v>0</v>
      </c>
      <c r="G46" s="150">
        <v>1300</v>
      </c>
      <c r="H46" s="149">
        <v>81406</v>
      </c>
      <c r="I46" s="150">
        <v>0</v>
      </c>
      <c r="J46" s="149">
        <v>0</v>
      </c>
      <c r="K46" s="150">
        <v>0</v>
      </c>
      <c r="L46" s="149">
        <v>0</v>
      </c>
      <c r="M46" s="40"/>
      <c r="N46" s="40"/>
      <c r="O46" s="40"/>
      <c r="P46" s="40"/>
      <c r="Q46" s="40"/>
      <c r="R46" s="40"/>
    </row>
    <row r="47" spans="2:18" ht="13.5" thickBot="1" x14ac:dyDescent="0.25">
      <c r="B47" s="147" t="s">
        <v>29</v>
      </c>
      <c r="C47" s="150">
        <v>0</v>
      </c>
      <c r="D47" s="149">
        <v>0</v>
      </c>
      <c r="E47" s="150">
        <v>142</v>
      </c>
      <c r="F47" s="149">
        <v>8338.24</v>
      </c>
      <c r="G47" s="150">
        <v>0</v>
      </c>
      <c r="H47" s="149">
        <v>0</v>
      </c>
      <c r="I47" s="150">
        <v>0</v>
      </c>
      <c r="J47" s="149">
        <v>0</v>
      </c>
      <c r="K47" s="150">
        <v>500</v>
      </c>
      <c r="L47" s="149">
        <v>29360</v>
      </c>
      <c r="M47" s="40"/>
      <c r="N47" s="40"/>
      <c r="O47" s="40"/>
      <c r="P47" s="40"/>
      <c r="Q47" s="40"/>
      <c r="R47" s="40"/>
    </row>
    <row r="48" spans="2:18" ht="13.5" thickBot="1" x14ac:dyDescent="0.25">
      <c r="B48" s="147" t="s">
        <v>30</v>
      </c>
      <c r="C48" s="150">
        <v>0</v>
      </c>
      <c r="D48" s="149">
        <v>0</v>
      </c>
      <c r="E48" s="150">
        <v>431</v>
      </c>
      <c r="F48" s="149">
        <v>62495</v>
      </c>
      <c r="G48" s="150">
        <v>0</v>
      </c>
      <c r="H48" s="149">
        <v>0</v>
      </c>
      <c r="I48" s="150">
        <v>0</v>
      </c>
      <c r="J48" s="149">
        <v>0</v>
      </c>
      <c r="K48" s="150">
        <v>0</v>
      </c>
      <c r="L48" s="149">
        <v>0</v>
      </c>
      <c r="M48" s="40"/>
      <c r="N48" s="40"/>
      <c r="O48" s="40"/>
      <c r="P48" s="40"/>
      <c r="Q48" s="40"/>
      <c r="R48" s="40"/>
    </row>
    <row r="49" spans="2:18" ht="13.5" thickBot="1" x14ac:dyDescent="0.25">
      <c r="B49" s="153" t="s">
        <v>31</v>
      </c>
      <c r="C49" s="150">
        <v>500</v>
      </c>
      <c r="D49" s="149">
        <v>44250</v>
      </c>
      <c r="E49" s="150">
        <v>127</v>
      </c>
      <c r="F49" s="149">
        <v>11239.5</v>
      </c>
      <c r="G49" s="150">
        <v>0</v>
      </c>
      <c r="H49" s="149">
        <v>0</v>
      </c>
      <c r="I49" s="150">
        <v>0</v>
      </c>
      <c r="J49" s="149">
        <v>0</v>
      </c>
      <c r="K49" s="150">
        <v>0</v>
      </c>
      <c r="L49" s="149">
        <v>0</v>
      </c>
      <c r="M49" s="40"/>
      <c r="N49" s="40"/>
      <c r="O49" s="40"/>
      <c r="P49" s="40"/>
      <c r="Q49" s="40"/>
      <c r="R49" s="40"/>
    </row>
    <row r="50" spans="2:18" ht="13.5" thickBot="1" x14ac:dyDescent="0.25">
      <c r="B50" s="153" t="s">
        <v>32</v>
      </c>
      <c r="C50" s="150">
        <v>0</v>
      </c>
      <c r="D50" s="149">
        <v>0</v>
      </c>
      <c r="E50" s="150">
        <v>0</v>
      </c>
      <c r="F50" s="149">
        <v>0</v>
      </c>
      <c r="G50" s="150">
        <v>0</v>
      </c>
      <c r="H50" s="149">
        <v>0</v>
      </c>
      <c r="I50" s="150">
        <v>0</v>
      </c>
      <c r="J50" s="149">
        <v>0</v>
      </c>
      <c r="K50" s="150">
        <v>0</v>
      </c>
      <c r="L50" s="149">
        <v>0</v>
      </c>
      <c r="M50" s="40"/>
      <c r="N50" s="40"/>
      <c r="O50" s="40"/>
      <c r="P50" s="40"/>
      <c r="Q50" s="40"/>
      <c r="R50" s="40"/>
    </row>
    <row r="51" spans="2:18" ht="13.5" thickBot="1" x14ac:dyDescent="0.25">
      <c r="B51" s="156" t="s">
        <v>33</v>
      </c>
      <c r="C51" s="162">
        <f t="shared" ref="C51:I51" si="4">SUM(C46:C50)</f>
        <v>1300</v>
      </c>
      <c r="D51" s="163">
        <f t="shared" si="4"/>
        <v>94346</v>
      </c>
      <c r="E51" s="162">
        <f t="shared" si="4"/>
        <v>700</v>
      </c>
      <c r="F51" s="163">
        <f t="shared" si="4"/>
        <v>82072.740000000005</v>
      </c>
      <c r="G51" s="162">
        <f t="shared" si="4"/>
        <v>1300</v>
      </c>
      <c r="H51" s="163">
        <f t="shared" si="4"/>
        <v>81406</v>
      </c>
      <c r="I51" s="162">
        <f t="shared" si="4"/>
        <v>0</v>
      </c>
      <c r="J51" s="163">
        <v>0</v>
      </c>
      <c r="K51" s="162">
        <f>SUM(K46:K50)</f>
        <v>500</v>
      </c>
      <c r="L51" s="163">
        <f>SUM(L46:L50)</f>
        <v>29360</v>
      </c>
      <c r="M51" s="40"/>
      <c r="N51" s="269"/>
      <c r="O51" s="40"/>
      <c r="P51" s="40"/>
      <c r="Q51" s="40"/>
      <c r="R51" s="40"/>
    </row>
    <row r="52" spans="2:18" ht="13.5" thickBot="1" x14ac:dyDescent="0.25">
      <c r="C52" s="6"/>
      <c r="D52" s="118"/>
      <c r="E52" s="6"/>
      <c r="F52" s="118"/>
      <c r="G52" s="6"/>
      <c r="H52" s="118"/>
      <c r="I52" s="6"/>
      <c r="J52" s="118"/>
      <c r="K52" s="6"/>
      <c r="L52" s="118"/>
      <c r="M52" s="40"/>
      <c r="N52" s="40"/>
      <c r="O52" s="40"/>
      <c r="P52" s="40"/>
      <c r="Q52" s="40"/>
      <c r="R52" s="40"/>
    </row>
    <row r="53" spans="2:18" ht="13.5" thickBot="1" x14ac:dyDescent="0.25">
      <c r="B53" s="144" t="s">
        <v>119</v>
      </c>
      <c r="C53" s="145" t="s">
        <v>90</v>
      </c>
      <c r="D53" s="146">
        <v>0</v>
      </c>
      <c r="E53" s="145" t="s">
        <v>91</v>
      </c>
      <c r="F53" s="146">
        <v>0</v>
      </c>
      <c r="G53" s="145" t="s">
        <v>92</v>
      </c>
      <c r="H53" s="146">
        <v>0</v>
      </c>
      <c r="I53" s="145" t="s">
        <v>93</v>
      </c>
      <c r="J53" s="146">
        <v>0</v>
      </c>
      <c r="K53" s="145" t="s">
        <v>94</v>
      </c>
      <c r="L53" s="146">
        <v>0</v>
      </c>
      <c r="M53" s="40"/>
      <c r="N53" s="40"/>
      <c r="O53" s="40"/>
      <c r="P53" s="40"/>
      <c r="Q53" s="40"/>
      <c r="R53" s="40"/>
    </row>
    <row r="54" spans="2:18" ht="13.5" thickBot="1" x14ac:dyDescent="0.25">
      <c r="B54" s="153" t="s">
        <v>196</v>
      </c>
      <c r="C54" s="150"/>
      <c r="D54" s="149">
        <v>1444530.96</v>
      </c>
      <c r="E54" s="150"/>
      <c r="F54" s="149">
        <v>1449124.56</v>
      </c>
      <c r="G54" s="150"/>
      <c r="H54" s="149">
        <v>1432605.96</v>
      </c>
      <c r="I54" s="150"/>
      <c r="J54" s="149">
        <v>1437648.96</v>
      </c>
      <c r="K54" s="150"/>
      <c r="L54" s="149">
        <v>1438953.96</v>
      </c>
      <c r="M54" s="40"/>
      <c r="N54" s="40"/>
      <c r="O54" s="40"/>
      <c r="P54" s="40"/>
      <c r="Q54" s="40"/>
      <c r="R54" s="40"/>
    </row>
    <row r="55" spans="2:18" ht="13.5" thickBot="1" x14ac:dyDescent="0.25">
      <c r="B55" s="155"/>
      <c r="C55" s="150"/>
      <c r="D55" s="154"/>
      <c r="E55" s="150"/>
      <c r="F55" s="154"/>
      <c r="G55" s="150"/>
      <c r="H55" s="154"/>
      <c r="I55" s="150"/>
      <c r="J55" s="154"/>
      <c r="K55" s="150"/>
      <c r="L55" s="154"/>
      <c r="M55" s="40"/>
      <c r="N55" s="40"/>
      <c r="O55" s="40"/>
      <c r="P55" s="40"/>
      <c r="Q55" s="40"/>
      <c r="R55" s="40"/>
    </row>
    <row r="56" spans="2:18" ht="13.5" thickBot="1" x14ac:dyDescent="0.25">
      <c r="B56" s="156" t="s">
        <v>33</v>
      </c>
      <c r="C56" s="157"/>
      <c r="D56" s="158">
        <f>SUM(D54:D55)</f>
        <v>1444530.96</v>
      </c>
      <c r="E56" s="157">
        <f t="shared" ref="E56:K56" si="5">SUM(E54:E55)</f>
        <v>0</v>
      </c>
      <c r="F56" s="158">
        <f>SUM(F54:F55)</f>
        <v>1449124.56</v>
      </c>
      <c r="G56" s="157">
        <f t="shared" si="5"/>
        <v>0</v>
      </c>
      <c r="H56" s="158">
        <f>SUM(H54:H55)</f>
        <v>1432605.96</v>
      </c>
      <c r="I56" s="157">
        <f t="shared" si="5"/>
        <v>0</v>
      </c>
      <c r="J56" s="158">
        <f>SUM(J54:J55)</f>
        <v>1437648.96</v>
      </c>
      <c r="K56" s="157">
        <f t="shared" si="5"/>
        <v>0</v>
      </c>
      <c r="L56" s="158">
        <f>SUM(L54:L55)</f>
        <v>1438953.96</v>
      </c>
      <c r="M56" s="40"/>
      <c r="N56" s="269"/>
      <c r="O56" s="40"/>
      <c r="P56" s="40"/>
      <c r="Q56" s="40"/>
      <c r="R56" s="40"/>
    </row>
    <row r="57" spans="2:18" ht="13.5" thickBot="1" x14ac:dyDescent="0.25">
      <c r="C57" s="6"/>
      <c r="D57" s="118"/>
      <c r="E57" s="6"/>
      <c r="F57" s="118"/>
      <c r="G57" s="6"/>
      <c r="H57" s="118"/>
      <c r="I57" s="6"/>
      <c r="J57" s="118"/>
      <c r="K57" s="6"/>
      <c r="L57" s="118"/>
      <c r="M57" s="40"/>
      <c r="N57" s="40"/>
      <c r="O57" s="40"/>
      <c r="P57" s="40"/>
      <c r="Q57" s="40"/>
      <c r="R57" s="40"/>
    </row>
    <row r="58" spans="2:18" ht="13.5" thickBot="1" x14ac:dyDescent="0.25">
      <c r="B58" s="144" t="s">
        <v>125</v>
      </c>
      <c r="C58" s="145" t="s">
        <v>90</v>
      </c>
      <c r="D58" s="146"/>
      <c r="E58" s="145" t="s">
        <v>91</v>
      </c>
      <c r="F58" s="146"/>
      <c r="G58" s="145" t="s">
        <v>92</v>
      </c>
      <c r="H58" s="146"/>
      <c r="I58" s="145" t="s">
        <v>93</v>
      </c>
      <c r="J58" s="146"/>
      <c r="K58" s="145" t="s">
        <v>94</v>
      </c>
      <c r="L58" s="146">
        <v>0</v>
      </c>
      <c r="M58" s="40"/>
      <c r="N58" s="40"/>
      <c r="O58" s="40"/>
      <c r="P58" s="40"/>
      <c r="Q58" s="40"/>
      <c r="R58" s="40"/>
    </row>
    <row r="59" spans="2:18" ht="13.5" thickBot="1" x14ac:dyDescent="0.25">
      <c r="B59" s="164" t="s">
        <v>197</v>
      </c>
      <c r="C59" s="148"/>
      <c r="D59" s="149">
        <v>894520.39000000013</v>
      </c>
      <c r="E59" s="148"/>
      <c r="F59" s="149">
        <v>1153487.5900000001</v>
      </c>
      <c r="G59" s="148"/>
      <c r="H59" s="149">
        <v>1153487.5900000001</v>
      </c>
      <c r="I59" s="148"/>
      <c r="J59" s="149">
        <v>1153487.5900000001</v>
      </c>
      <c r="K59" s="148"/>
      <c r="L59" s="149">
        <v>1153487.5900000001</v>
      </c>
      <c r="M59" s="40"/>
      <c r="N59" s="40"/>
      <c r="O59" s="40"/>
      <c r="P59" s="40"/>
      <c r="Q59" s="40"/>
      <c r="R59" s="40"/>
    </row>
    <row r="60" spans="2:18" ht="13.5" thickBot="1" x14ac:dyDescent="0.25">
      <c r="B60" s="164" t="s">
        <v>198</v>
      </c>
      <c r="C60" s="148"/>
      <c r="D60" s="149">
        <v>531450.91999999993</v>
      </c>
      <c r="E60" s="148"/>
      <c r="F60" s="149">
        <v>579764.64</v>
      </c>
      <c r="G60" s="148"/>
      <c r="H60" s="149">
        <v>579764.64</v>
      </c>
      <c r="I60" s="150"/>
      <c r="J60" s="149">
        <v>579764.64</v>
      </c>
      <c r="K60" s="150"/>
      <c r="L60" s="149">
        <v>579764.64</v>
      </c>
      <c r="M60" s="40"/>
      <c r="N60" s="40"/>
      <c r="O60" s="40"/>
      <c r="P60" s="40"/>
      <c r="Q60" s="40"/>
      <c r="R60" s="40"/>
    </row>
    <row r="61" spans="2:18" ht="13.5" thickBot="1" x14ac:dyDescent="0.25">
      <c r="B61" s="164" t="s">
        <v>199</v>
      </c>
      <c r="C61" s="148"/>
      <c r="D61" s="149"/>
      <c r="E61" s="148"/>
      <c r="F61" s="149"/>
      <c r="G61" s="148"/>
      <c r="H61" s="149"/>
      <c r="I61" s="150"/>
      <c r="J61" s="151"/>
      <c r="K61" s="150"/>
      <c r="L61" s="151"/>
      <c r="M61" s="40"/>
      <c r="N61" s="40"/>
      <c r="O61" s="40"/>
      <c r="P61" s="40"/>
      <c r="Q61" s="40"/>
      <c r="R61" s="40"/>
    </row>
    <row r="62" spans="2:18" ht="13.5" thickBot="1" x14ac:dyDescent="0.25">
      <c r="B62" s="164" t="s">
        <v>200</v>
      </c>
      <c r="C62" s="150"/>
      <c r="D62" s="151"/>
      <c r="E62" s="150"/>
      <c r="F62" s="151"/>
      <c r="G62" s="150"/>
      <c r="H62" s="151"/>
      <c r="I62" s="150"/>
      <c r="J62" s="151"/>
      <c r="K62" s="148"/>
      <c r="L62" s="149"/>
      <c r="M62" s="40"/>
      <c r="N62" s="40"/>
      <c r="O62" s="40"/>
      <c r="P62" s="40"/>
      <c r="Q62" s="40"/>
      <c r="R62" s="40"/>
    </row>
    <row r="63" spans="2:18" ht="13.5" thickBot="1" x14ac:dyDescent="0.25">
      <c r="B63" s="156" t="s">
        <v>33</v>
      </c>
      <c r="C63" s="162">
        <v>2800</v>
      </c>
      <c r="D63" s="158">
        <f>SUM(D59:D62)</f>
        <v>1425971.31</v>
      </c>
      <c r="E63" s="162">
        <v>2200</v>
      </c>
      <c r="F63" s="158">
        <f>SUM(F59:F62)</f>
        <v>1733252.23</v>
      </c>
      <c r="G63" s="162">
        <v>2800</v>
      </c>
      <c r="H63" s="158">
        <f>SUM(H59:H62)</f>
        <v>1733252.23</v>
      </c>
      <c r="I63" s="162">
        <v>0</v>
      </c>
      <c r="J63" s="158">
        <f>SUM(J59:J62)</f>
        <v>1733252.23</v>
      </c>
      <c r="K63" s="162">
        <v>1200</v>
      </c>
      <c r="L63" s="158">
        <f>SUM(L59:L62)</f>
        <v>1733252.23</v>
      </c>
      <c r="M63" s="40"/>
      <c r="N63" s="269"/>
      <c r="O63" s="40"/>
      <c r="P63" s="40"/>
      <c r="Q63" s="40"/>
      <c r="R63" s="40"/>
    </row>
    <row r="64" spans="2:18" x14ac:dyDescent="0.2">
      <c r="C64" s="6"/>
      <c r="D64" s="118"/>
      <c r="E64" s="6"/>
      <c r="F64" s="118"/>
      <c r="G64" s="6"/>
      <c r="H64" s="118"/>
      <c r="I64" s="6"/>
      <c r="J64" s="118"/>
      <c r="K64" s="6"/>
      <c r="L64" s="118"/>
      <c r="M64" s="40"/>
      <c r="N64" s="40"/>
      <c r="O64" s="40"/>
      <c r="P64" s="40"/>
      <c r="Q64" s="40"/>
      <c r="R64" s="40"/>
    </row>
    <row r="65" spans="13:18" x14ac:dyDescent="0.2">
      <c r="M65" s="40"/>
      <c r="N65" s="40"/>
      <c r="O65" s="40"/>
      <c r="P65" s="40"/>
      <c r="Q65" s="40"/>
      <c r="R65" s="40"/>
    </row>
    <row r="66" spans="13:18" x14ac:dyDescent="0.2">
      <c r="M66" s="40"/>
      <c r="N66" s="40"/>
      <c r="O66" s="40"/>
      <c r="P66" s="40"/>
      <c r="Q66" s="40"/>
      <c r="R66" s="40"/>
    </row>
  </sheetData>
  <customSheetViews>
    <customSheetView guid="{935FDB08-2C7A-4709-9BC5-9809E261DD86}" topLeftCell="B69">
      <selection activeCell="L111" sqref="L111"/>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X17"/>
  <sheetViews>
    <sheetView zoomScale="90" zoomScaleNormal="90" workbookViewId="0">
      <selection activeCell="J33" sqref="J32:J33"/>
    </sheetView>
  </sheetViews>
  <sheetFormatPr defaultRowHeight="12.75" x14ac:dyDescent="0.2"/>
  <cols>
    <col min="1" max="1" width="1.5703125" customWidth="1"/>
    <col min="2" max="2" width="16" customWidth="1"/>
    <col min="3" max="3" width="12" bestFit="1" customWidth="1"/>
    <col min="4" max="4" width="10.5703125" customWidth="1"/>
    <col min="5" max="5" width="15" bestFit="1" customWidth="1"/>
    <col min="6" max="6" width="10.28515625" bestFit="1" customWidth="1"/>
    <col min="7" max="7" width="12.28515625" bestFit="1" customWidth="1"/>
    <col min="8" max="8" width="10.28515625" bestFit="1" customWidth="1"/>
    <col min="9" max="9" width="12.28515625" bestFit="1" customWidth="1"/>
    <col min="10" max="10" width="10.28515625" bestFit="1" customWidth="1"/>
    <col min="11" max="11" width="15.7109375" customWidth="1"/>
    <col min="12" max="12" width="9.7109375" customWidth="1"/>
    <col min="13" max="13" width="13.28515625" customWidth="1"/>
    <col min="14" max="14" width="10.7109375" customWidth="1"/>
    <col min="15" max="15" width="12" customWidth="1"/>
    <col min="16" max="16" width="10.7109375" customWidth="1"/>
  </cols>
  <sheetData>
    <row r="1" spans="2:24" s="169" customFormat="1" x14ac:dyDescent="0.2">
      <c r="K1" s="174"/>
      <c r="X1" s="171"/>
    </row>
    <row r="2" spans="2:24" s="169" customFormat="1" x14ac:dyDescent="0.2">
      <c r="B2" s="172" t="s">
        <v>158</v>
      </c>
      <c r="P2" s="170"/>
      <c r="X2" s="171"/>
    </row>
    <row r="3" spans="2:24" s="169" customFormat="1" x14ac:dyDescent="0.2">
      <c r="B3" s="169" t="s">
        <v>159</v>
      </c>
      <c r="E3" s="170"/>
      <c r="F3" s="170"/>
      <c r="G3" s="170"/>
      <c r="H3" s="170"/>
      <c r="I3" s="170"/>
      <c r="J3" s="170"/>
      <c r="X3" s="171"/>
    </row>
    <row r="4" spans="2:24" s="169" customFormat="1" x14ac:dyDescent="0.2">
      <c r="E4" s="170"/>
      <c r="F4" s="170" t="s">
        <v>160</v>
      </c>
      <c r="G4" s="170">
        <f>400*12</f>
        <v>4800</v>
      </c>
      <c r="H4" s="170"/>
      <c r="I4" s="170"/>
      <c r="J4" s="170"/>
      <c r="K4" s="286" t="s">
        <v>162</v>
      </c>
      <c r="L4" s="286" t="s">
        <v>163</v>
      </c>
      <c r="M4" s="87"/>
      <c r="N4" s="87"/>
      <c r="P4" s="170"/>
      <c r="X4" s="171"/>
    </row>
    <row r="5" spans="2:24" s="169" customFormat="1" x14ac:dyDescent="0.2">
      <c r="E5" s="170"/>
      <c r="F5" s="170"/>
      <c r="G5" s="170"/>
      <c r="H5" s="170"/>
      <c r="I5" s="170"/>
      <c r="J5" s="170"/>
      <c r="K5" s="286"/>
      <c r="L5" s="286"/>
      <c r="M5" s="87" t="s">
        <v>81</v>
      </c>
      <c r="N5" s="87"/>
      <c r="X5" s="171"/>
    </row>
    <row r="6" spans="2:24" s="169" customFormat="1" x14ac:dyDescent="0.2">
      <c r="E6" s="170"/>
      <c r="F6" s="170"/>
      <c r="G6" s="170"/>
      <c r="H6" s="170"/>
      <c r="I6" s="170"/>
      <c r="J6" s="170"/>
      <c r="K6" s="176">
        <v>70.833974446536843</v>
      </c>
      <c r="L6" s="176">
        <v>18.95</v>
      </c>
      <c r="M6" s="68">
        <f>SUM(K6:L6)</f>
        <v>89.783974446536845</v>
      </c>
      <c r="N6" s="39"/>
    </row>
    <row r="7" spans="2:24" s="169" customFormat="1" x14ac:dyDescent="0.2">
      <c r="C7" s="37"/>
      <c r="D7" s="65"/>
      <c r="E7" s="266"/>
      <c r="F7" s="266"/>
      <c r="G7" s="266"/>
      <c r="H7" s="266"/>
      <c r="I7" s="266"/>
      <c r="J7" s="267"/>
      <c r="K7" s="178" t="s">
        <v>165</v>
      </c>
      <c r="L7" s="87">
        <v>0.5</v>
      </c>
      <c r="M7" s="87"/>
      <c r="N7" s="87"/>
    </row>
    <row r="8" spans="2:24" s="169" customFormat="1" x14ac:dyDescent="0.2">
      <c r="E8" s="170"/>
      <c r="F8" s="170"/>
      <c r="G8" s="170"/>
      <c r="H8" s="170"/>
      <c r="I8" s="170"/>
      <c r="J8" s="170"/>
    </row>
    <row r="9" spans="2:24" s="169" customFormat="1" x14ac:dyDescent="0.2">
      <c r="E9" s="170"/>
      <c r="F9" s="170"/>
      <c r="G9" s="170"/>
      <c r="H9" s="170"/>
      <c r="I9" s="170"/>
      <c r="J9" s="170"/>
      <c r="M9" s="172"/>
      <c r="P9" s="170"/>
    </row>
    <row r="10" spans="2:24" s="169" customFormat="1" x14ac:dyDescent="0.2">
      <c r="E10" s="170"/>
      <c r="F10" s="170"/>
      <c r="G10" s="170"/>
      <c r="H10" s="170"/>
      <c r="I10" s="170"/>
      <c r="J10" s="170"/>
    </row>
    <row r="11" spans="2:24" s="169" customFormat="1" x14ac:dyDescent="0.2"/>
    <row r="12" spans="2:24" x14ac:dyDescent="0.2">
      <c r="M12" s="172"/>
      <c r="N12" s="169"/>
      <c r="O12" s="169"/>
      <c r="P12" s="173"/>
      <c r="Q12" s="169"/>
    </row>
    <row r="13" spans="2:24" x14ac:dyDescent="0.2">
      <c r="M13" s="169"/>
      <c r="N13" s="169"/>
      <c r="O13" s="169"/>
      <c r="P13" s="169"/>
      <c r="Q13" s="169"/>
    </row>
    <row r="14" spans="2:24" x14ac:dyDescent="0.2">
      <c r="M14" s="169"/>
      <c r="N14" s="169"/>
      <c r="O14" s="169"/>
      <c r="P14" s="169"/>
      <c r="Q14" s="169"/>
    </row>
    <row r="15" spans="2:24" x14ac:dyDescent="0.2">
      <c r="F15" s="11"/>
      <c r="G15" s="11"/>
      <c r="H15" s="11"/>
      <c r="I15" s="11"/>
      <c r="M15" s="169"/>
      <c r="N15" s="169"/>
      <c r="O15" s="169"/>
      <c r="P15" s="169"/>
      <c r="Q15" s="169"/>
    </row>
    <row r="17" spans="13:13" x14ac:dyDescent="0.2">
      <c r="M17" s="11"/>
    </row>
  </sheetData>
  <customSheetViews>
    <customSheetView guid="{935FDB08-2C7A-4709-9BC5-9809E261DD86}" topLeftCell="C1">
      <pageMargins left="0.7" right="0.7" top="0.75" bottom="0.75" header="0.3" footer="0.3"/>
    </customSheetView>
  </customSheetViews>
  <mergeCells count="2">
    <mergeCell ref="K4:K5"/>
    <mergeCell ref="L4:L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16"/>
  <sheetViews>
    <sheetView zoomScale="85" zoomScaleNormal="85" workbookViewId="0">
      <selection activeCell="A17" sqref="A17:XFD23"/>
    </sheetView>
  </sheetViews>
  <sheetFormatPr defaultRowHeight="12.75" x14ac:dyDescent="0.2"/>
  <cols>
    <col min="1" max="1" width="35.85546875" customWidth="1"/>
    <col min="2" max="2" width="6.5703125" customWidth="1"/>
    <col min="3" max="3" width="16" customWidth="1"/>
    <col min="4" max="4" width="6.5703125" customWidth="1"/>
    <col min="5" max="5" width="12.28515625" customWidth="1"/>
    <col min="6" max="6" width="8.140625" customWidth="1"/>
    <col min="7" max="7" width="12.7109375" customWidth="1"/>
    <col min="8" max="8" width="11.85546875" customWidth="1"/>
    <col min="9" max="9" width="11.5703125" customWidth="1"/>
    <col min="10" max="11" width="10" customWidth="1"/>
    <col min="12" max="12" width="10.42578125" bestFit="1" customWidth="1"/>
    <col min="13" max="13" width="8.85546875" bestFit="1" customWidth="1"/>
    <col min="14" max="14" width="2.5703125" bestFit="1" customWidth="1"/>
  </cols>
  <sheetData>
    <row r="1" spans="1:15" ht="15.75" x14ac:dyDescent="0.25">
      <c r="A1" s="51" t="s">
        <v>99</v>
      </c>
      <c r="B1" s="53"/>
      <c r="C1" s="53"/>
      <c r="D1" s="57"/>
      <c r="E1" s="57"/>
      <c r="F1" s="57"/>
      <c r="G1" s="57"/>
      <c r="H1" s="57"/>
      <c r="I1" s="57"/>
      <c r="J1" s="57"/>
      <c r="K1" s="57"/>
      <c r="L1" s="57"/>
      <c r="M1" s="57"/>
      <c r="N1" s="57"/>
    </row>
    <row r="2" spans="1:15" ht="14.25" customHeight="1" x14ac:dyDescent="0.2">
      <c r="A2" s="62"/>
      <c r="B2" s="52"/>
      <c r="C2" s="52"/>
      <c r="D2" s="52"/>
      <c r="E2" s="52"/>
      <c r="F2" s="52"/>
      <c r="G2" s="52"/>
      <c r="H2" s="287" t="s">
        <v>140</v>
      </c>
      <c r="I2" s="289" t="s">
        <v>139</v>
      </c>
      <c r="J2" s="287" t="s">
        <v>100</v>
      </c>
      <c r="K2" s="287" t="s">
        <v>101</v>
      </c>
      <c r="L2" s="287" t="s">
        <v>102</v>
      </c>
      <c r="M2" s="52"/>
      <c r="N2" s="52"/>
      <c r="O2" s="52"/>
    </row>
    <row r="3" spans="1:15" ht="46.5" customHeight="1" x14ac:dyDescent="0.2">
      <c r="A3" s="62"/>
      <c r="B3" s="52"/>
      <c r="C3" s="52"/>
      <c r="D3" s="52"/>
      <c r="E3" s="52"/>
      <c r="F3" s="52"/>
      <c r="G3" s="52"/>
      <c r="H3" s="288">
        <v>0</v>
      </c>
      <c r="I3" s="290">
        <v>0</v>
      </c>
      <c r="J3" s="288">
        <v>0</v>
      </c>
      <c r="K3" s="288">
        <v>0</v>
      </c>
      <c r="L3" s="288">
        <v>0</v>
      </c>
      <c r="M3" s="52"/>
      <c r="N3" s="52"/>
      <c r="O3" s="52"/>
    </row>
    <row r="4" spans="1:15" ht="14.25" customHeight="1" x14ac:dyDescent="0.2">
      <c r="A4" s="62"/>
      <c r="B4" s="52"/>
      <c r="C4" s="287" t="s">
        <v>142</v>
      </c>
      <c r="D4" s="52"/>
      <c r="E4" s="52"/>
      <c r="F4" s="52"/>
      <c r="G4" s="287" t="s">
        <v>103</v>
      </c>
      <c r="H4" s="268">
        <v>1.0725</v>
      </c>
      <c r="I4" s="60">
        <f>AVERAGE('Recoverable Costs Summary'!D8:H8)</f>
        <v>0.41744363534363249</v>
      </c>
      <c r="J4" s="70">
        <v>6.1775609756097749E-2</v>
      </c>
      <c r="K4" s="72">
        <v>0.3</v>
      </c>
      <c r="L4" s="52"/>
      <c r="M4" s="52"/>
      <c r="N4" s="52"/>
      <c r="O4" s="52"/>
    </row>
    <row r="5" spans="1:15" ht="15" x14ac:dyDescent="0.25">
      <c r="A5" s="62"/>
      <c r="B5" s="54"/>
      <c r="C5" s="288"/>
      <c r="D5" s="54" t="s">
        <v>27</v>
      </c>
      <c r="E5" s="54" t="s">
        <v>104</v>
      </c>
      <c r="F5" s="54" t="s">
        <v>27</v>
      </c>
      <c r="G5" s="288">
        <v>0</v>
      </c>
      <c r="H5" s="59"/>
      <c r="I5" s="52"/>
      <c r="J5" s="52"/>
      <c r="K5" s="52"/>
      <c r="L5" s="52"/>
      <c r="M5" s="52"/>
      <c r="N5" s="52"/>
      <c r="O5" s="52"/>
    </row>
    <row r="6" spans="1:15" ht="15" x14ac:dyDescent="0.25">
      <c r="A6" s="62" t="s">
        <v>105</v>
      </c>
      <c r="B6" s="56"/>
      <c r="C6" s="55">
        <v>22.5</v>
      </c>
      <c r="D6" s="56">
        <v>1</v>
      </c>
      <c r="E6" s="52"/>
      <c r="F6" s="56"/>
      <c r="G6" s="58">
        <f>D6*C6+E6*F6</f>
        <v>22.5</v>
      </c>
      <c r="H6" s="55">
        <f>G6*$H$4</f>
        <v>24.131250000000001</v>
      </c>
      <c r="I6" s="55">
        <f>H6*(1+$I$4)</f>
        <v>34.204686725386033</v>
      </c>
      <c r="J6" s="55">
        <f>I6*(1+$J$4/2)</f>
        <v>35.261194414874552</v>
      </c>
      <c r="K6" s="55">
        <f>(J6-I6)*$K$4</f>
        <v>0.31695230684655584</v>
      </c>
      <c r="L6" s="61">
        <f>SUM(J6:K6)</f>
        <v>35.578146721721112</v>
      </c>
      <c r="M6" s="73"/>
      <c r="N6" s="52"/>
      <c r="O6" s="52"/>
    </row>
    <row r="7" spans="1:15" ht="15" x14ac:dyDescent="0.25">
      <c r="A7" s="62" t="s">
        <v>106</v>
      </c>
      <c r="B7" s="55"/>
      <c r="C7" s="78">
        <v>85</v>
      </c>
      <c r="D7" s="56">
        <v>1</v>
      </c>
      <c r="E7" s="52"/>
      <c r="F7" s="56"/>
      <c r="G7" s="58">
        <f>D7*C7+E7*F7</f>
        <v>85</v>
      </c>
      <c r="H7" s="55">
        <f t="shared" ref="H7:H11" si="0">G7*$H$4</f>
        <v>91.162499999999994</v>
      </c>
      <c r="I7" s="55">
        <f t="shared" ref="I7:I11" si="1">H7*(1+$I$4)</f>
        <v>129.21770540701388</v>
      </c>
      <c r="J7" s="55">
        <f t="shared" ref="J7:J11" si="2">I7*(1+$J$4/2)</f>
        <v>133.20895667841495</v>
      </c>
      <c r="K7" s="55">
        <f t="shared" ref="K7:K11" si="3">(J7-I7)*$K$4</f>
        <v>1.1973753814203205</v>
      </c>
      <c r="L7" s="61">
        <f t="shared" ref="L7:L11" si="4">SUM(J7:K7)</f>
        <v>134.40633205983528</v>
      </c>
      <c r="M7" s="73"/>
      <c r="N7" s="52"/>
      <c r="O7" s="52"/>
    </row>
    <row r="8" spans="1:15" ht="15.75" customHeight="1" x14ac:dyDescent="0.25">
      <c r="A8" s="62" t="s">
        <v>84</v>
      </c>
      <c r="B8" s="56"/>
      <c r="C8" s="52">
        <v>58.72</v>
      </c>
      <c r="D8" s="56">
        <v>0.5</v>
      </c>
      <c r="E8" s="52">
        <v>66.52</v>
      </c>
      <c r="F8" s="56">
        <v>0.5</v>
      </c>
      <c r="G8" s="58">
        <f t="shared" ref="G8:G11" si="5">D8*C8+E8*F8</f>
        <v>62.62</v>
      </c>
      <c r="H8" s="55">
        <f t="shared" si="0"/>
        <v>67.159949999999995</v>
      </c>
      <c r="I8" s="55">
        <f t="shared" si="1"/>
        <v>95.19544367749657</v>
      </c>
      <c r="J8" s="55">
        <f t="shared" si="2"/>
        <v>98.135821967086386</v>
      </c>
      <c r="K8" s="55">
        <f t="shared" si="3"/>
        <v>0.8821134868769448</v>
      </c>
      <c r="L8" s="61">
        <f t="shared" si="4"/>
        <v>99.017935453963332</v>
      </c>
      <c r="M8" s="73"/>
      <c r="N8" s="52"/>
      <c r="O8" s="52"/>
    </row>
    <row r="9" spans="1:15" ht="15" x14ac:dyDescent="0.25">
      <c r="A9" s="62" t="s">
        <v>85</v>
      </c>
      <c r="B9" s="56"/>
      <c r="C9" s="52">
        <v>141.74</v>
      </c>
      <c r="D9" s="56">
        <v>0.5</v>
      </c>
      <c r="E9" s="52">
        <v>152.80000000000001</v>
      </c>
      <c r="F9" s="56">
        <v>0.5</v>
      </c>
      <c r="G9" s="58">
        <f t="shared" si="5"/>
        <v>147.27000000000001</v>
      </c>
      <c r="H9" s="55">
        <f t="shared" si="0"/>
        <v>157.94707500000001</v>
      </c>
      <c r="I9" s="55">
        <f t="shared" si="1"/>
        <v>223.88107617989337</v>
      </c>
      <c r="J9" s="55">
        <f t="shared" si="2"/>
        <v>230.79627117682554</v>
      </c>
      <c r="K9" s="55">
        <f t="shared" si="3"/>
        <v>2.0745584990796515</v>
      </c>
      <c r="L9" s="61">
        <f t="shared" si="4"/>
        <v>232.87082967590518</v>
      </c>
      <c r="M9" s="73"/>
      <c r="N9" s="52"/>
      <c r="O9" s="52"/>
    </row>
    <row r="10" spans="1:15" ht="15" x14ac:dyDescent="0.25">
      <c r="A10" s="62" t="s">
        <v>86</v>
      </c>
      <c r="B10" s="56"/>
      <c r="C10" s="52">
        <v>197.42</v>
      </c>
      <c r="D10" s="56">
        <v>0.5</v>
      </c>
      <c r="E10" s="52">
        <v>215.01</v>
      </c>
      <c r="F10" s="56">
        <v>0.5</v>
      </c>
      <c r="G10" s="58">
        <f t="shared" si="5"/>
        <v>206.21499999999997</v>
      </c>
      <c r="H10" s="55">
        <f t="shared" si="0"/>
        <v>221.16558749999999</v>
      </c>
      <c r="I10" s="55">
        <f t="shared" si="1"/>
        <v>313.4897543589102</v>
      </c>
      <c r="J10" s="55">
        <f t="shared" si="2"/>
        <v>323.17276472281571</v>
      </c>
      <c r="K10" s="55">
        <f t="shared" si="3"/>
        <v>2.9049031091716526</v>
      </c>
      <c r="L10" s="61">
        <f t="shared" si="4"/>
        <v>326.07766783198736</v>
      </c>
      <c r="M10" s="73"/>
      <c r="N10" s="52"/>
      <c r="O10" s="52"/>
    </row>
    <row r="11" spans="1:15" ht="15" x14ac:dyDescent="0.25">
      <c r="A11" s="62" t="s">
        <v>87</v>
      </c>
      <c r="B11" s="56"/>
      <c r="C11" s="52">
        <v>293.61</v>
      </c>
      <c r="D11" s="56">
        <v>1</v>
      </c>
      <c r="E11" s="52"/>
      <c r="F11" s="56"/>
      <c r="G11" s="58">
        <f t="shared" si="5"/>
        <v>293.61</v>
      </c>
      <c r="H11" s="55">
        <f t="shared" si="0"/>
        <v>314.896725</v>
      </c>
      <c r="I11" s="55">
        <f t="shared" si="1"/>
        <v>446.34835864180411</v>
      </c>
      <c r="J11" s="55">
        <f t="shared" si="2"/>
        <v>460.13507965116958</v>
      </c>
      <c r="K11" s="55">
        <f t="shared" si="3"/>
        <v>4.1360163028096393</v>
      </c>
      <c r="L11" s="61">
        <f t="shared" si="4"/>
        <v>464.27109595397923</v>
      </c>
      <c r="M11" s="73"/>
      <c r="N11" s="52"/>
      <c r="O11" s="52"/>
    </row>
    <row r="12" spans="1:15" ht="14.25" x14ac:dyDescent="0.2">
      <c r="A12" s="62"/>
      <c r="B12" s="52"/>
      <c r="C12" s="52"/>
      <c r="D12" s="56"/>
      <c r="E12" s="52"/>
      <c r="F12" s="52"/>
      <c r="G12" s="52"/>
      <c r="H12" s="52"/>
      <c r="I12" s="52"/>
      <c r="J12" s="52"/>
      <c r="K12" s="52"/>
      <c r="L12" s="52"/>
      <c r="M12" s="52"/>
      <c r="N12" s="52"/>
      <c r="O12" s="52"/>
    </row>
    <row r="13" spans="1:15" ht="14.25" x14ac:dyDescent="0.2">
      <c r="A13" s="62"/>
      <c r="B13" s="52"/>
      <c r="C13" s="52"/>
      <c r="D13" s="52"/>
      <c r="E13" s="52"/>
      <c r="F13" s="52"/>
      <c r="G13" s="52"/>
      <c r="H13" s="52"/>
      <c r="I13" s="52"/>
      <c r="J13" s="52"/>
      <c r="K13" s="52"/>
      <c r="L13" s="52"/>
      <c r="M13" s="52"/>
      <c r="N13" s="52"/>
      <c r="O13" s="52"/>
    </row>
    <row r="14" spans="1:15" ht="14.25" x14ac:dyDescent="0.2">
      <c r="A14" s="175" t="s">
        <v>107</v>
      </c>
      <c r="B14" s="52"/>
      <c r="C14" s="52"/>
      <c r="D14" s="52"/>
      <c r="E14" s="52"/>
      <c r="F14" s="52"/>
      <c r="G14" s="52"/>
      <c r="H14" s="52"/>
      <c r="I14" s="52"/>
      <c r="J14" s="52"/>
      <c r="K14" s="52"/>
      <c r="L14" s="52"/>
      <c r="M14" s="52"/>
      <c r="N14" s="52"/>
      <c r="O14" s="52"/>
    </row>
    <row r="15" spans="1:15" ht="14.25" x14ac:dyDescent="0.2">
      <c r="A15" s="175" t="s">
        <v>108</v>
      </c>
      <c r="B15" s="52"/>
      <c r="C15" s="52"/>
      <c r="D15" s="52"/>
      <c r="E15" s="52"/>
      <c r="F15" s="52"/>
      <c r="G15" s="52"/>
      <c r="H15" s="52"/>
      <c r="I15" s="52"/>
      <c r="J15" s="52"/>
      <c r="K15" s="52"/>
      <c r="L15" s="52"/>
      <c r="M15" s="52"/>
      <c r="N15" s="52"/>
      <c r="O15" s="52"/>
    </row>
    <row r="16" spans="1:15" ht="14.25" x14ac:dyDescent="0.2">
      <c r="A16" s="62"/>
      <c r="B16" s="52"/>
      <c r="C16" s="52"/>
      <c r="D16" s="52"/>
      <c r="E16" s="52"/>
      <c r="F16" s="52"/>
      <c r="G16" s="52"/>
      <c r="H16" s="52"/>
      <c r="I16" s="52"/>
      <c r="J16" s="71"/>
      <c r="K16" s="52"/>
      <c r="L16" s="52"/>
      <c r="M16" s="52"/>
      <c r="N16" s="52"/>
      <c r="O16" s="52"/>
    </row>
  </sheetData>
  <mergeCells count="7">
    <mergeCell ref="C4:C5"/>
    <mergeCell ref="L2:L3"/>
    <mergeCell ref="G4:G5"/>
    <mergeCell ref="H2:H3"/>
    <mergeCell ref="I2:I3"/>
    <mergeCell ref="J2:J3"/>
    <mergeCell ref="K2:K3"/>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147A0DDDD8764C80300D4204AB680A" ma:contentTypeVersion="0" ma:contentTypeDescription="Create a new document." ma:contentTypeScope="" ma:versionID="d0adda5341aa951b34e712b66b93f5d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190E4CE-0E6C-46E3-8F85-E55EC8FBCBAA}"/>
</file>

<file path=customXml/itemProps2.xml><?xml version="1.0" encoding="utf-8"?>
<ds:datastoreItem xmlns:ds="http://schemas.openxmlformats.org/officeDocument/2006/customXml" ds:itemID="{BCA35B7A-C26C-4373-96DA-9BEFD0C22CF5}"/>
</file>

<file path=customXml/itemProps3.xml><?xml version="1.0" encoding="utf-8"?>
<ds:datastoreItem xmlns:ds="http://schemas.openxmlformats.org/officeDocument/2006/customXml" ds:itemID="{F1699FEF-9246-4C47-8F58-F70E39A8CA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Inputs</vt:lpstr>
      <vt:lpstr>Pricing Summary</vt:lpstr>
      <vt:lpstr>Price Build Up</vt:lpstr>
      <vt:lpstr>Recoverable Costs Summary</vt:lpstr>
      <vt:lpstr>RFM</vt:lpstr>
      <vt:lpstr>Metering AMP</vt:lpstr>
      <vt:lpstr>Check Reads</vt:lpstr>
      <vt:lpstr>New Meter Pricing</vt:lpstr>
    </vt:vector>
  </TitlesOfParts>
  <Company>Essential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Gerard Fogarty</dc:creator>
  <cp:lastModifiedBy>Catherine Gordon</cp:lastModifiedBy>
  <cp:lastPrinted>2014-02-09T22:38:42Z</cp:lastPrinted>
  <dcterms:created xsi:type="dcterms:W3CDTF">2013-06-17T04:35:42Z</dcterms:created>
  <dcterms:modified xsi:type="dcterms:W3CDTF">2014-05-16T00:37:56Z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0x0101003A147A0DDDD8764C80300D4204AB680A</vt:lpwstr>
  </property>
</Properties>
</file>