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sharedStrings.xml" ContentType="application/vnd.openxmlformats-officedocument.spreadsheetml.sharedStrings+xml"/>
  <Override PartName="/xl/worksheets/sheet3.xml" ContentType="application/vnd.openxmlformats-officedocument.spreadsheetml.worksheet+xml"/>
  <Override PartName="/xl/worksheets/sheet2.xml" ContentType="application/vnd.openxmlformats-officedocument.spreadsheetml.worksheet+xml"/>
  <Override PartName="/xl/styles.xml" ContentType="application/vnd.openxmlformats-officedocument.spreadsheetml.styles+xml"/>
  <Override PartName="/xl/worksheets/sheet1.xml" ContentType="application/vnd.openxmlformats-officedocument.spreadsheetml.worksheet+xml"/>
  <Override PartName="/xl/worksheets/sheet10.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autoCompressPictures="0" defaultThemeVersion="124226"/>
  <bookViews>
    <workbookView xWindow="-720" yWindow="615" windowWidth="19320" windowHeight="11640" tabRatio="906" activeTab="1"/>
  </bookViews>
  <sheets>
    <sheet name="ReadMeFirst" sheetId="18" r:id="rId1"/>
    <sheet name="Summary" sheetId="8" r:id="rId2"/>
    <sheet name="InputSheets --&gt;" sheetId="16" r:id="rId3"/>
    <sheet name="GlobalInputs" sheetId="17" r:id="rId4"/>
    <sheet name="ServiceDescription" sheetId="19" r:id="rId5"/>
    <sheet name="ServiceHistory" sheetId="13" r:id="rId6"/>
    <sheet name="ServiceProjections" sheetId="12" r:id="rId7"/>
    <sheet name="OutputSheets --&gt;" sheetId="15" r:id="rId8"/>
    <sheet name="FeeConstruction" sheetId="11" r:id="rId9"/>
    <sheet name="CheckSheet" sheetId="20" r:id="rId10"/>
  </sheets>
  <definedNames>
    <definedName name="_xlnm.Print_Area" localSheetId="8">FeeConstruction!#REF!</definedName>
    <definedName name="_xlnm.Print_Area" localSheetId="1">Summary!#REF!</definedName>
    <definedName name="_xlnm.Print_Titles" localSheetId="6">ServiceProjections!#REF!</definedName>
    <definedName name="TM1REBUILDOPTION">1</definedName>
  </definedNames>
  <calcPr calcId="145621" concurrentCalc="0"/>
</workbook>
</file>

<file path=xl/calcChain.xml><?xml version="1.0" encoding="utf-8"?>
<calcChain xmlns="http://schemas.openxmlformats.org/spreadsheetml/2006/main">
  <c r="L121" i="12" l="1"/>
  <c r="S19" i="11"/>
  <c r="G96" i="12"/>
  <c r="H42" i="12"/>
  <c r="I42" i="12"/>
  <c r="J19" i="11"/>
  <c r="AA19" i="11"/>
  <c r="AF19" i="11"/>
  <c r="L122" i="12"/>
  <c r="S20" i="11"/>
  <c r="G97" i="12"/>
  <c r="H43" i="12"/>
  <c r="I43" i="12"/>
  <c r="J20" i="11"/>
  <c r="AA20" i="11"/>
  <c r="AF20" i="11"/>
  <c r="L123" i="12"/>
  <c r="S21" i="11"/>
  <c r="G98" i="12"/>
  <c r="H44" i="12"/>
  <c r="I44" i="12"/>
  <c r="J21" i="11"/>
  <c r="AA21" i="11"/>
  <c r="AF21" i="11"/>
  <c r="L124" i="12"/>
  <c r="S22" i="11"/>
  <c r="G99" i="12"/>
  <c r="H45" i="12"/>
  <c r="I45" i="12"/>
  <c r="J22" i="11"/>
  <c r="AA22" i="11"/>
  <c r="AF22" i="11"/>
  <c r="L125" i="12"/>
  <c r="S23" i="11"/>
  <c r="G100" i="12"/>
  <c r="H46" i="12"/>
  <c r="I46" i="12"/>
  <c r="J23" i="11"/>
  <c r="AA23" i="11"/>
  <c r="AF23" i="11"/>
  <c r="K121" i="12"/>
  <c r="R19" i="11"/>
  <c r="AE19" i="11"/>
  <c r="K122" i="12"/>
  <c r="R20" i="11"/>
  <c r="AE20" i="11"/>
  <c r="K123" i="12"/>
  <c r="R21" i="11"/>
  <c r="AE21" i="11"/>
  <c r="K124" i="12"/>
  <c r="R22" i="11"/>
  <c r="AE22" i="11"/>
  <c r="K125" i="12"/>
  <c r="R23" i="11"/>
  <c r="AE23" i="11"/>
  <c r="J121" i="12"/>
  <c r="Q19" i="11"/>
  <c r="AD19" i="11"/>
  <c r="J122" i="12"/>
  <c r="Q20" i="11"/>
  <c r="AD20" i="11"/>
  <c r="J123" i="12"/>
  <c r="Q21" i="11"/>
  <c r="AD21" i="11"/>
  <c r="J124" i="12"/>
  <c r="Q22" i="11"/>
  <c r="AD22" i="11"/>
  <c r="J125" i="12"/>
  <c r="Q23" i="11"/>
  <c r="AD23" i="11"/>
  <c r="I121" i="12"/>
  <c r="P19" i="11"/>
  <c r="AC19" i="11"/>
  <c r="I122" i="12"/>
  <c r="P20" i="11"/>
  <c r="AC20" i="11"/>
  <c r="I123" i="12"/>
  <c r="P21" i="11"/>
  <c r="AC21" i="11"/>
  <c r="I124" i="12"/>
  <c r="P22" i="11"/>
  <c r="AC22" i="11"/>
  <c r="I125" i="12"/>
  <c r="P23" i="11"/>
  <c r="AC23" i="11"/>
  <c r="H121" i="12"/>
  <c r="O19" i="11"/>
  <c r="AB19" i="11"/>
  <c r="H122" i="12"/>
  <c r="O20" i="11"/>
  <c r="AB20" i="11"/>
  <c r="H123" i="12"/>
  <c r="O21" i="11"/>
  <c r="AB21" i="11"/>
  <c r="H124" i="12"/>
  <c r="O22" i="11"/>
  <c r="AB22" i="11"/>
  <c r="H125" i="12"/>
  <c r="O23" i="11"/>
  <c r="AB23" i="11"/>
  <c r="J8" i="11"/>
  <c r="J85" i="12"/>
  <c r="K8" i="11"/>
  <c r="L8" i="11"/>
  <c r="G85" i="12"/>
  <c r="AA8" i="11"/>
  <c r="H85" i="12"/>
  <c r="AH8" i="11"/>
  <c r="AO8" i="11"/>
  <c r="AP8" i="11"/>
  <c r="H34" i="12"/>
  <c r="I34" i="12"/>
  <c r="J9" i="11"/>
  <c r="J86" i="12"/>
  <c r="K9" i="11"/>
  <c r="L9" i="11"/>
  <c r="G86" i="12"/>
  <c r="AA9" i="11"/>
  <c r="H86" i="12"/>
  <c r="AH9" i="11"/>
  <c r="AO9" i="11"/>
  <c r="AP9" i="11"/>
  <c r="AJ8" i="11"/>
  <c r="AJ9" i="11"/>
  <c r="AK8" i="11"/>
  <c r="AK9" i="11"/>
  <c r="AL8" i="11"/>
  <c r="AL9" i="11"/>
  <c r="AM8" i="11"/>
  <c r="AM9" i="11"/>
  <c r="AB8" i="11"/>
  <c r="AB9" i="11"/>
  <c r="AE8" i="11"/>
  <c r="AE9" i="11"/>
  <c r="AF8" i="11"/>
  <c r="AF9" i="11"/>
  <c r="AT8" i="11"/>
  <c r="AT9" i="11"/>
  <c r="AS8" i="11"/>
  <c r="AS9" i="11"/>
  <c r="AD8" i="11"/>
  <c r="AD9" i="11"/>
  <c r="AC8" i="11"/>
  <c r="AC9" i="11"/>
  <c r="AQ8" i="11"/>
  <c r="AQ9" i="11"/>
  <c r="AR8" i="11"/>
  <c r="AR9" i="11"/>
  <c r="AI8" i="11"/>
  <c r="AI9" i="11"/>
  <c r="J102" i="12"/>
  <c r="K25" i="11"/>
  <c r="L25" i="11"/>
  <c r="G102" i="12"/>
  <c r="AA25" i="11"/>
  <c r="H102" i="12"/>
  <c r="AH25" i="11"/>
  <c r="AO25" i="11"/>
  <c r="G55" i="12"/>
  <c r="H55" i="12"/>
  <c r="N25" i="11"/>
  <c r="S25" i="11"/>
  <c r="AT25" i="11"/>
  <c r="R25" i="11"/>
  <c r="AS25" i="11"/>
  <c r="Q25" i="11"/>
  <c r="AR25" i="11"/>
  <c r="P25" i="11"/>
  <c r="AQ25" i="11"/>
  <c r="O25" i="11"/>
  <c r="AP25" i="11"/>
  <c r="AM25" i="11"/>
  <c r="AL25" i="11"/>
  <c r="AK25" i="11"/>
  <c r="AJ25" i="11"/>
  <c r="AI25" i="11"/>
  <c r="AF25" i="11"/>
  <c r="AE25" i="11"/>
  <c r="AD25" i="11"/>
  <c r="AC25" i="11"/>
  <c r="AB25" i="11"/>
  <c r="G53" i="12"/>
  <c r="H53" i="12"/>
  <c r="N17" i="11"/>
  <c r="S17" i="11"/>
  <c r="G94" i="12"/>
  <c r="AA17" i="11"/>
  <c r="AF17" i="11"/>
  <c r="R17" i="11"/>
  <c r="AE17" i="11"/>
  <c r="Q17" i="11"/>
  <c r="AD17" i="11"/>
  <c r="P17" i="11"/>
  <c r="AC17" i="11"/>
  <c r="O17" i="11"/>
  <c r="AB17" i="11"/>
  <c r="H92" i="12"/>
  <c r="AH15" i="11"/>
  <c r="AM15" i="11"/>
  <c r="AL15" i="11"/>
  <c r="AK15" i="11"/>
  <c r="AJ15" i="11"/>
  <c r="AI15" i="11"/>
  <c r="G92" i="12"/>
  <c r="AA15" i="11"/>
  <c r="AF15" i="11"/>
  <c r="AE15" i="11"/>
  <c r="AD15" i="11"/>
  <c r="AC15" i="11"/>
  <c r="AB15" i="11"/>
  <c r="H36" i="12"/>
  <c r="I36" i="12"/>
  <c r="J11" i="11"/>
  <c r="G153" i="12"/>
  <c r="G88" i="12"/>
  <c r="H153" i="12"/>
  <c r="H88" i="12"/>
  <c r="I88" i="12"/>
  <c r="J88" i="12"/>
  <c r="K11" i="11"/>
  <c r="L11" i="11"/>
  <c r="AA11" i="11"/>
  <c r="AH11" i="11"/>
  <c r="AO11" i="11"/>
  <c r="S11" i="11"/>
  <c r="AT11" i="11"/>
  <c r="R11" i="11"/>
  <c r="AS11" i="11"/>
  <c r="Q11" i="11"/>
  <c r="AR11" i="11"/>
  <c r="P11" i="11"/>
  <c r="AQ11" i="11"/>
  <c r="O11" i="11"/>
  <c r="AP11" i="11"/>
  <c r="AM11" i="11"/>
  <c r="AL11" i="11"/>
  <c r="AK11" i="11"/>
  <c r="AJ11" i="11"/>
  <c r="AI11" i="11"/>
  <c r="AF11" i="11"/>
  <c r="AE11" i="11"/>
  <c r="AD11" i="11"/>
  <c r="AC11" i="11"/>
  <c r="AB11" i="11"/>
  <c r="P6" i="11"/>
  <c r="P13" i="11"/>
  <c r="Q6" i="11"/>
  <c r="Q13" i="11"/>
  <c r="R6" i="11"/>
  <c r="R13" i="11"/>
  <c r="S6" i="11"/>
  <c r="S13" i="11"/>
  <c r="H96" i="12"/>
  <c r="AH19" i="11"/>
  <c r="AJ19" i="11"/>
  <c r="H97" i="12"/>
  <c r="AH20" i="11"/>
  <c r="AJ20" i="11"/>
  <c r="H98" i="12"/>
  <c r="AH21" i="11"/>
  <c r="AJ21" i="11"/>
  <c r="H99" i="12"/>
  <c r="AH22" i="11"/>
  <c r="AJ22" i="11"/>
  <c r="H100" i="12"/>
  <c r="AH23" i="11"/>
  <c r="AJ23" i="11"/>
  <c r="AK19" i="11"/>
  <c r="AK20" i="11"/>
  <c r="AK21" i="11"/>
  <c r="AK22" i="11"/>
  <c r="AK23" i="11"/>
  <c r="AL19" i="11"/>
  <c r="AL20" i="11"/>
  <c r="AL21" i="11"/>
  <c r="AL22" i="11"/>
  <c r="AL23" i="11"/>
  <c r="AM19" i="11"/>
  <c r="AM20" i="11"/>
  <c r="AM21" i="11"/>
  <c r="AM22" i="11"/>
  <c r="AM23" i="11"/>
  <c r="J96" i="12"/>
  <c r="K19" i="11"/>
  <c r="L19" i="11"/>
  <c r="AO19" i="11"/>
  <c r="AQ19" i="11"/>
  <c r="J97" i="12"/>
  <c r="K20" i="11"/>
  <c r="L20" i="11"/>
  <c r="AO20" i="11"/>
  <c r="AQ20" i="11"/>
  <c r="J98" i="12"/>
  <c r="K21" i="11"/>
  <c r="L21" i="11"/>
  <c r="AO21" i="11"/>
  <c r="AQ21" i="11"/>
  <c r="J99" i="12"/>
  <c r="K22" i="11"/>
  <c r="L22" i="11"/>
  <c r="AO22" i="11"/>
  <c r="AQ22" i="11"/>
  <c r="J100" i="12"/>
  <c r="K23" i="11"/>
  <c r="L23" i="11"/>
  <c r="AO23" i="11"/>
  <c r="AQ23" i="11"/>
  <c r="AR19" i="11"/>
  <c r="AR20" i="11"/>
  <c r="AR21" i="11"/>
  <c r="AR22" i="11"/>
  <c r="AR23" i="11"/>
  <c r="AS19" i="11"/>
  <c r="AS20" i="11"/>
  <c r="AS21" i="11"/>
  <c r="AS22" i="11"/>
  <c r="AS23" i="11"/>
  <c r="AT19" i="11"/>
  <c r="AT20" i="11"/>
  <c r="AT21" i="11"/>
  <c r="AT22" i="11"/>
  <c r="AT23" i="11"/>
  <c r="AP19" i="11"/>
  <c r="AP20" i="11"/>
  <c r="AP21" i="11"/>
  <c r="AP22" i="11"/>
  <c r="AP23" i="11"/>
  <c r="AI19" i="11"/>
  <c r="AI20" i="11"/>
  <c r="AI21" i="11"/>
  <c r="AI22" i="11"/>
  <c r="AI23" i="11"/>
  <c r="O6" i="11"/>
  <c r="O13" i="11"/>
  <c r="G90" i="12"/>
  <c r="H40" i="12"/>
  <c r="I40" i="12"/>
  <c r="J13" i="11"/>
  <c r="AA13" i="11"/>
  <c r="AC13" i="11"/>
  <c r="AD13" i="11"/>
  <c r="AE13" i="11"/>
  <c r="AF13" i="11"/>
  <c r="H90" i="12"/>
  <c r="AH13" i="11"/>
  <c r="AJ13" i="11"/>
  <c r="AK13" i="11"/>
  <c r="AL13" i="11"/>
  <c r="AM13" i="11"/>
  <c r="J90" i="12"/>
  <c r="K13" i="11"/>
  <c r="L13" i="11"/>
  <c r="AO13" i="11"/>
  <c r="AQ13" i="11"/>
  <c r="AR13" i="11"/>
  <c r="AS13" i="11"/>
  <c r="AT13" i="11"/>
  <c r="AP13" i="11"/>
  <c r="AI13" i="11"/>
  <c r="AB13" i="11"/>
  <c r="J92" i="12"/>
  <c r="K15" i="11"/>
  <c r="L15" i="11"/>
  <c r="AO15" i="11"/>
  <c r="AT15" i="11"/>
  <c r="AR15" i="11"/>
  <c r="AP15" i="11"/>
  <c r="AS15" i="11"/>
  <c r="AQ15" i="11"/>
  <c r="H94" i="12"/>
  <c r="AH17" i="11"/>
  <c r="AJ17" i="11"/>
  <c r="AM17" i="11"/>
  <c r="AK17" i="11"/>
  <c r="AI17" i="11"/>
  <c r="AL17" i="11"/>
  <c r="J94" i="12"/>
  <c r="K17" i="11"/>
  <c r="L17" i="11"/>
  <c r="AO17" i="11"/>
  <c r="AP17" i="11"/>
  <c r="AT17" i="11"/>
  <c r="AS17" i="11"/>
  <c r="AR17" i="11"/>
  <c r="AQ17" i="11"/>
  <c r="Y8" i="11"/>
  <c r="Y9" i="11"/>
  <c r="Y11" i="11"/>
  <c r="Y13" i="11"/>
  <c r="Y15" i="11"/>
  <c r="Y17" i="11"/>
  <c r="Y19" i="11"/>
  <c r="Y20" i="11"/>
  <c r="Y21" i="11"/>
  <c r="Y22" i="11"/>
  <c r="Y23" i="11"/>
  <c r="Y25" i="11"/>
  <c r="Y26" i="11"/>
  <c r="X8" i="11"/>
  <c r="X9" i="11"/>
  <c r="X11" i="11"/>
  <c r="X13" i="11"/>
  <c r="X15" i="11"/>
  <c r="X17" i="11"/>
  <c r="X19" i="11"/>
  <c r="X20" i="11"/>
  <c r="X21" i="11"/>
  <c r="X22" i="11"/>
  <c r="X23" i="11"/>
  <c r="X25" i="11"/>
  <c r="X26" i="11"/>
  <c r="W8" i="11"/>
  <c r="W9" i="11"/>
  <c r="W11" i="11"/>
  <c r="W13" i="11"/>
  <c r="W15" i="11"/>
  <c r="W17" i="11"/>
  <c r="W19" i="11"/>
  <c r="W20" i="11"/>
  <c r="W21" i="11"/>
  <c r="W22" i="11"/>
  <c r="W23" i="11"/>
  <c r="W25" i="11"/>
  <c r="W26" i="11"/>
  <c r="V8" i="11"/>
  <c r="V9" i="11"/>
  <c r="V11" i="11"/>
  <c r="V13" i="11"/>
  <c r="V15" i="11"/>
  <c r="V17" i="11"/>
  <c r="V19" i="11"/>
  <c r="V20" i="11"/>
  <c r="V21" i="11"/>
  <c r="V22" i="11"/>
  <c r="V23" i="11"/>
  <c r="V25" i="11"/>
  <c r="V26" i="11"/>
  <c r="U8" i="11"/>
  <c r="U9" i="11"/>
  <c r="U11" i="11"/>
  <c r="U13" i="11"/>
  <c r="U15" i="11"/>
  <c r="U17" i="11"/>
  <c r="U19" i="11"/>
  <c r="U20" i="11"/>
  <c r="U21" i="11"/>
  <c r="U22" i="11"/>
  <c r="U23" i="11"/>
  <c r="U25" i="11"/>
  <c r="U26" i="11"/>
  <c r="J155" i="12"/>
  <c r="I155" i="12"/>
  <c r="Y6" i="11"/>
  <c r="AF6" i="11"/>
  <c r="AM6" i="11"/>
  <c r="AT6" i="11"/>
  <c r="X6" i="11"/>
  <c r="AE6" i="11"/>
  <c r="AL6" i="11"/>
  <c r="AS6" i="11"/>
  <c r="W6" i="11"/>
  <c r="AD6" i="11"/>
  <c r="AK6" i="11"/>
  <c r="AR6" i="11"/>
  <c r="V6" i="11"/>
  <c r="AC6" i="11"/>
  <c r="AJ6" i="11"/>
  <c r="AQ6" i="11"/>
  <c r="U6" i="11"/>
  <c r="AB6" i="11"/>
  <c r="AI6" i="11"/>
  <c r="AP6" i="11"/>
  <c r="G51" i="12"/>
  <c r="H51" i="12"/>
  <c r="I100" i="12"/>
  <c r="I99" i="12"/>
  <c r="I98" i="12"/>
  <c r="I97" i="12"/>
  <c r="I96" i="12"/>
  <c r="I94" i="12"/>
  <c r="I92" i="12"/>
  <c r="I90" i="12"/>
  <c r="I86" i="12"/>
  <c r="I85" i="12"/>
  <c r="K57" i="13"/>
  <c r="J57" i="13"/>
  <c r="I57" i="13"/>
  <c r="H57" i="13"/>
  <c r="G57" i="13"/>
  <c r="H108" i="12"/>
  <c r="I33" i="12"/>
  <c r="H64" i="13"/>
  <c r="H109" i="12"/>
  <c r="H38" i="12"/>
  <c r="I38" i="12"/>
  <c r="H75" i="13"/>
  <c r="I108" i="12"/>
  <c r="I109" i="12"/>
  <c r="J108" i="12"/>
  <c r="J109" i="12"/>
  <c r="K108" i="12"/>
  <c r="K109" i="12"/>
  <c r="L108" i="12"/>
  <c r="L109" i="12"/>
  <c r="I153" i="12"/>
  <c r="J153" i="12"/>
  <c r="H8" i="11"/>
  <c r="J21" i="8"/>
  <c r="H9" i="11"/>
  <c r="J22" i="8"/>
  <c r="H11" i="11"/>
  <c r="J24" i="8"/>
  <c r="H13" i="11"/>
  <c r="J26" i="8"/>
  <c r="H15" i="11"/>
  <c r="J28" i="8"/>
  <c r="H17" i="11"/>
  <c r="J30" i="8"/>
  <c r="H19" i="11"/>
  <c r="J32" i="8"/>
  <c r="H20" i="11"/>
  <c r="J33" i="8"/>
  <c r="H21" i="11"/>
  <c r="J34" i="8"/>
  <c r="H22" i="11"/>
  <c r="J35" i="8"/>
  <c r="H23" i="11"/>
  <c r="J36" i="8"/>
  <c r="H25" i="11"/>
  <c r="J38" i="8"/>
  <c r="F21" i="8"/>
  <c r="I21" i="8"/>
  <c r="F22" i="8"/>
  <c r="I22" i="8"/>
  <c r="F24" i="8"/>
  <c r="I24" i="8"/>
  <c r="F26" i="8"/>
  <c r="I26" i="8"/>
  <c r="F28" i="8"/>
  <c r="I28" i="8"/>
  <c r="F30" i="8"/>
  <c r="I30" i="8"/>
  <c r="F32" i="8"/>
  <c r="I32" i="8"/>
  <c r="F33" i="8"/>
  <c r="I33" i="8"/>
  <c r="F34" i="8"/>
  <c r="I34" i="8"/>
  <c r="F35" i="8"/>
  <c r="I35" i="8"/>
  <c r="F36" i="8"/>
  <c r="I36" i="8"/>
  <c r="F38" i="8"/>
  <c r="I38" i="8"/>
  <c r="G21" i="8"/>
  <c r="G22" i="8"/>
  <c r="G24" i="8"/>
  <c r="G26" i="8"/>
  <c r="G32" i="8"/>
  <c r="G33" i="8"/>
  <c r="G34" i="8"/>
  <c r="G35" i="8"/>
  <c r="G36" i="8"/>
  <c r="G38" i="8"/>
  <c r="C6" i="13"/>
  <c r="C82" i="13"/>
  <c r="D7" i="12"/>
  <c r="C7" i="11"/>
  <c r="C20" i="8"/>
  <c r="D83" i="13"/>
  <c r="E8" i="12"/>
  <c r="D8" i="11"/>
  <c r="D21" i="8"/>
  <c r="D84" i="13"/>
  <c r="E9" i="12"/>
  <c r="D9" i="11"/>
  <c r="D22" i="8"/>
  <c r="C9" i="13"/>
  <c r="C85" i="13"/>
  <c r="D10" i="12"/>
  <c r="C10" i="11"/>
  <c r="C23" i="8"/>
  <c r="D10" i="13"/>
  <c r="D86" i="13"/>
  <c r="E11" i="12"/>
  <c r="D11" i="11"/>
  <c r="D24" i="8"/>
  <c r="C11" i="13"/>
  <c r="C87" i="13"/>
  <c r="D12" i="12"/>
  <c r="D12" i="13"/>
  <c r="D88" i="13"/>
  <c r="E13" i="12"/>
  <c r="C13" i="13"/>
  <c r="C89" i="13"/>
  <c r="D14" i="12"/>
  <c r="C12" i="11"/>
  <c r="C25" i="8"/>
  <c r="D14" i="13"/>
  <c r="D90" i="13"/>
  <c r="E15" i="12"/>
  <c r="D13" i="11"/>
  <c r="D26" i="8"/>
  <c r="C15" i="13"/>
  <c r="C91" i="13"/>
  <c r="D16" i="12"/>
  <c r="C14" i="11"/>
  <c r="C27" i="8"/>
  <c r="D16" i="13"/>
  <c r="D92" i="13"/>
  <c r="E17" i="12"/>
  <c r="D15" i="11"/>
  <c r="D28" i="8"/>
  <c r="C17" i="13"/>
  <c r="C40" i="13"/>
  <c r="D18" i="12"/>
  <c r="C16" i="11"/>
  <c r="C29" i="8"/>
  <c r="D94" i="13"/>
  <c r="E19" i="12"/>
  <c r="C19" i="13"/>
  <c r="C95" i="13"/>
  <c r="D20" i="12"/>
  <c r="C18" i="11"/>
  <c r="C31" i="8"/>
  <c r="D96" i="13"/>
  <c r="E21" i="12"/>
  <c r="D19" i="11"/>
  <c r="D32" i="8"/>
  <c r="D97" i="13"/>
  <c r="E22" i="12"/>
  <c r="D20" i="11"/>
  <c r="D33" i="8"/>
  <c r="D98" i="13"/>
  <c r="E23" i="12"/>
  <c r="D21" i="11"/>
  <c r="D34" i="8"/>
  <c r="D99" i="13"/>
  <c r="E24" i="12"/>
  <c r="D22" i="11"/>
  <c r="D35" i="8"/>
  <c r="D100" i="13"/>
  <c r="E25" i="12"/>
  <c r="D23" i="11"/>
  <c r="D36" i="8"/>
  <c r="C25" i="13"/>
  <c r="C101" i="13"/>
  <c r="D26" i="12"/>
  <c r="C24" i="11"/>
  <c r="C37" i="8"/>
  <c r="D26" i="13"/>
  <c r="D102" i="13"/>
  <c r="E27" i="12"/>
  <c r="D25" i="11"/>
  <c r="D38" i="8"/>
  <c r="F8" i="11"/>
  <c r="F9" i="11"/>
  <c r="F13" i="11"/>
  <c r="F15" i="11"/>
  <c r="C10" i="8"/>
  <c r="C9" i="8"/>
  <c r="C8" i="8"/>
  <c r="C7" i="8"/>
  <c r="E69" i="12"/>
  <c r="E117" i="12"/>
  <c r="D68" i="12"/>
  <c r="D116" i="12"/>
  <c r="E65" i="12"/>
  <c r="E113" i="12"/>
  <c r="D64" i="12"/>
  <c r="D112" i="12"/>
  <c r="E63" i="12"/>
  <c r="E111" i="12"/>
  <c r="D152" i="12"/>
  <c r="D62" i="12"/>
  <c r="D110" i="12"/>
  <c r="C151" i="12"/>
  <c r="D78" i="12"/>
  <c r="D126" i="12"/>
  <c r="C144" i="12"/>
  <c r="D72" i="12"/>
  <c r="D120" i="12"/>
  <c r="C142" i="12"/>
  <c r="D70" i="12"/>
  <c r="D118" i="12"/>
  <c r="C140" i="12"/>
  <c r="C138" i="12"/>
  <c r="D66" i="12"/>
  <c r="D114" i="12"/>
  <c r="C136" i="12"/>
  <c r="C134" i="12"/>
  <c r="C132" i="12"/>
  <c r="G127" i="12"/>
  <c r="G121" i="12"/>
  <c r="G122" i="12"/>
  <c r="G123" i="12"/>
  <c r="G124" i="12"/>
  <c r="G125" i="12"/>
  <c r="G119" i="12"/>
  <c r="G117" i="12"/>
  <c r="G115" i="12"/>
  <c r="G113" i="12"/>
  <c r="G111" i="12"/>
  <c r="D59" i="12"/>
  <c r="D107" i="12"/>
  <c r="E60" i="12"/>
  <c r="E108" i="12"/>
  <c r="E61" i="12"/>
  <c r="E109" i="12"/>
  <c r="E67" i="12"/>
  <c r="E115" i="12"/>
  <c r="E73" i="12"/>
  <c r="E121" i="12"/>
  <c r="E74" i="12"/>
  <c r="E122" i="12"/>
  <c r="E75" i="12"/>
  <c r="E123" i="12"/>
  <c r="E76" i="12"/>
  <c r="E124" i="12"/>
  <c r="E77" i="12"/>
  <c r="E125" i="12"/>
  <c r="E79" i="12"/>
  <c r="E127" i="12"/>
  <c r="D84" i="12"/>
  <c r="E85" i="12"/>
  <c r="E86" i="12"/>
  <c r="D87" i="12"/>
  <c r="E88" i="12"/>
  <c r="D89" i="12"/>
  <c r="E90" i="12"/>
  <c r="D91" i="12"/>
  <c r="E92" i="12"/>
  <c r="D95" i="12"/>
  <c r="E96" i="12"/>
  <c r="E97" i="12"/>
  <c r="E98" i="12"/>
  <c r="E99" i="12"/>
  <c r="E100" i="12"/>
  <c r="D101" i="12"/>
  <c r="E102" i="12"/>
  <c r="H73" i="12"/>
  <c r="H74" i="12"/>
  <c r="H75" i="12"/>
  <c r="H76" i="12"/>
  <c r="H77" i="12"/>
  <c r="E55" i="12"/>
  <c r="D54" i="12"/>
  <c r="G42" i="12"/>
  <c r="G43" i="12"/>
  <c r="G44" i="12"/>
  <c r="G45" i="12"/>
  <c r="G46" i="12"/>
  <c r="E46" i="12"/>
  <c r="E45" i="12"/>
  <c r="E44" i="12"/>
  <c r="E43" i="12"/>
  <c r="E42" i="12"/>
  <c r="D41" i="12"/>
  <c r="D52" i="12"/>
  <c r="E51" i="12"/>
  <c r="D50" i="12"/>
  <c r="G40" i="12"/>
  <c r="E40" i="12"/>
  <c r="D39" i="12"/>
  <c r="G38" i="12"/>
  <c r="G36" i="12"/>
  <c r="E38" i="12"/>
  <c r="D37" i="12"/>
  <c r="E36" i="12"/>
  <c r="D35" i="12"/>
  <c r="E34" i="12"/>
  <c r="E33" i="12"/>
  <c r="C55" i="13"/>
  <c r="D112" i="13"/>
  <c r="D122" i="13"/>
  <c r="C44" i="13"/>
  <c r="C56" i="13"/>
  <c r="D113" i="13"/>
  <c r="D123" i="13"/>
  <c r="C76" i="13"/>
  <c r="D71" i="13"/>
  <c r="D72" i="13"/>
  <c r="D73" i="13"/>
  <c r="D74" i="13"/>
  <c r="D75" i="13"/>
  <c r="D63" i="13"/>
  <c r="D64" i="13"/>
  <c r="D5" i="19"/>
  <c r="D6" i="19"/>
  <c r="D7" i="19"/>
  <c r="D8" i="19"/>
  <c r="D9" i="19"/>
  <c r="C70" i="13"/>
  <c r="C54" i="13"/>
  <c r="C69" i="13"/>
  <c r="C53" i="13"/>
  <c r="C52" i="13"/>
  <c r="C67" i="13"/>
  <c r="C51" i="13"/>
  <c r="C66" i="13"/>
  <c r="C50" i="13"/>
  <c r="C65" i="13"/>
  <c r="C49" i="13"/>
  <c r="C62" i="13"/>
  <c r="C130" i="12"/>
  <c r="C42" i="13"/>
  <c r="C38" i="13"/>
  <c r="C36" i="13"/>
  <c r="C34" i="13"/>
  <c r="C32" i="13"/>
  <c r="C30" i="13"/>
  <c r="E5" i="20"/>
  <c r="D2" i="19"/>
  <c r="H105" i="13"/>
  <c r="I105" i="13"/>
  <c r="J105" i="13"/>
  <c r="K105" i="13"/>
  <c r="G105" i="13"/>
  <c r="G109" i="12"/>
  <c r="G108" i="12"/>
  <c r="H53" i="8"/>
  <c r="I53" i="8"/>
  <c r="J53" i="8"/>
  <c r="K53" i="8"/>
  <c r="G53" i="8"/>
  <c r="F2" i="18"/>
  <c r="A3" i="19"/>
  <c r="A3" i="17"/>
  <c r="F3" i="8"/>
  <c r="E4" i="11"/>
  <c r="F2" i="12"/>
  <c r="F2" i="13"/>
  <c r="F2" i="17"/>
  <c r="E2" i="20"/>
  <c r="H44" i="8"/>
  <c r="I44" i="8"/>
  <c r="J44" i="8"/>
  <c r="K44" i="8"/>
  <c r="G44" i="8"/>
  <c r="H114" i="13"/>
  <c r="H48" i="8"/>
  <c r="H124" i="13"/>
  <c r="H49" i="8"/>
  <c r="I114" i="13"/>
  <c r="I48" i="8"/>
  <c r="I124" i="13"/>
  <c r="I49" i="8"/>
  <c r="I50" i="8"/>
  <c r="J114" i="13"/>
  <c r="J48" i="8"/>
  <c r="J124" i="13"/>
  <c r="J49" i="8"/>
  <c r="K114" i="13"/>
  <c r="K48" i="8"/>
  <c r="K124" i="13"/>
  <c r="K49" i="8"/>
  <c r="K50" i="8"/>
  <c r="G114" i="13"/>
  <c r="G48" i="8"/>
  <c r="G124" i="13"/>
  <c r="G49" i="8"/>
  <c r="D108" i="13"/>
  <c r="D118" i="13"/>
  <c r="D109" i="13"/>
  <c r="D119" i="13"/>
  <c r="D110" i="13"/>
  <c r="D120" i="13"/>
  <c r="D107" i="13"/>
  <c r="D117" i="13"/>
  <c r="H46" i="8"/>
  <c r="I46" i="8"/>
  <c r="J46" i="8"/>
  <c r="K46" i="8"/>
  <c r="G46" i="8"/>
  <c r="C14" i="8"/>
  <c r="C6" i="8"/>
  <c r="A3" i="8"/>
  <c r="I106" i="12"/>
  <c r="J106" i="12"/>
  <c r="K106" i="12"/>
  <c r="L106" i="12"/>
  <c r="H106" i="12"/>
  <c r="G34" i="12"/>
  <c r="G33" i="12"/>
  <c r="A3" i="11"/>
  <c r="H79" i="12"/>
  <c r="H71" i="12"/>
  <c r="H69" i="12"/>
  <c r="H67" i="12"/>
  <c r="H65" i="12"/>
  <c r="H63" i="12"/>
  <c r="H61" i="12"/>
  <c r="H60" i="12"/>
  <c r="D32" i="12"/>
  <c r="A3" i="12"/>
  <c r="C68" i="13"/>
  <c r="A1" i="19"/>
  <c r="G48" i="13"/>
  <c r="H48" i="13"/>
  <c r="I48" i="13"/>
  <c r="J48" i="13"/>
  <c r="K48" i="13"/>
  <c r="A3" i="13"/>
  <c r="A1" i="18"/>
  <c r="D111" i="13"/>
  <c r="D121" i="13"/>
  <c r="D17" i="11"/>
  <c r="D30" i="8"/>
  <c r="E71" i="12"/>
  <c r="E53" i="12"/>
  <c r="D93" i="12"/>
  <c r="E119" i="12"/>
  <c r="E94" i="12"/>
  <c r="G57" i="8"/>
  <c r="I57" i="8"/>
  <c r="G55" i="8"/>
  <c r="K55" i="8"/>
  <c r="G28" i="8"/>
  <c r="J57" i="8"/>
  <c r="I55" i="8"/>
  <c r="J55" i="8"/>
  <c r="G30" i="8"/>
  <c r="K57" i="8"/>
  <c r="H57" i="8"/>
  <c r="G50" i="8"/>
  <c r="J50" i="8"/>
  <c r="H50" i="8"/>
  <c r="H55" i="8"/>
  <c r="H58" i="8"/>
  <c r="K58" i="8"/>
  <c r="I58" i="8"/>
  <c r="G58" i="8"/>
  <c r="J58" i="8"/>
  <c r="G59" i="8"/>
  <c r="K59" i="8"/>
  <c r="J59" i="8"/>
  <c r="J60" i="8"/>
  <c r="G60" i="8"/>
  <c r="K60" i="8"/>
  <c r="I59" i="8"/>
  <c r="I60" i="8"/>
  <c r="H59" i="8"/>
  <c r="H60" i="8"/>
</calcChain>
</file>

<file path=xl/sharedStrings.xml><?xml version="1.0" encoding="utf-8"?>
<sst xmlns="http://schemas.openxmlformats.org/spreadsheetml/2006/main" count="325" uniqueCount="190">
  <si>
    <t>Description</t>
  </si>
  <si>
    <t>2014-2019 Pricing Methodology for Service (Summary)</t>
  </si>
  <si>
    <t>2009/10</t>
  </si>
  <si>
    <t>2010/11</t>
  </si>
  <si>
    <t>2011/12</t>
  </si>
  <si>
    <t>2012/13</t>
  </si>
  <si>
    <t>2013/14</t>
  </si>
  <si>
    <t>2014/15</t>
  </si>
  <si>
    <t>2015/16</t>
  </si>
  <si>
    <t>2016/17</t>
  </si>
  <si>
    <t>2017/18</t>
  </si>
  <si>
    <t>2018/19</t>
  </si>
  <si>
    <t>This worksheet left blank intentionally</t>
  </si>
  <si>
    <t>Revenue</t>
  </si>
  <si>
    <t/>
  </si>
  <si>
    <t>Ancillary Network Services Pricing Model</t>
  </si>
  <si>
    <t>Global Inputs Sheet</t>
  </si>
  <si>
    <t>Model Description</t>
  </si>
  <si>
    <t>AER service category</t>
  </si>
  <si>
    <t>Business name</t>
  </si>
  <si>
    <t>Essential Energy</t>
  </si>
  <si>
    <t>Basic identification inputs</t>
  </si>
  <si>
    <t>Fixed inputs</t>
  </si>
  <si>
    <t>Historical periods</t>
  </si>
  <si>
    <t>Forecast periods</t>
  </si>
  <si>
    <t>Labour rate inputs</t>
  </si>
  <si>
    <t>Loaded ordinary time labour rates - for regulatory period</t>
  </si>
  <si>
    <t>R1</t>
  </si>
  <si>
    <t>Administration</t>
  </si>
  <si>
    <t>$ / hour</t>
  </si>
  <si>
    <t>R2a</t>
  </si>
  <si>
    <t>Indoor technical officer</t>
  </si>
  <si>
    <t>R2b</t>
  </si>
  <si>
    <t>Outdoor technical officer</t>
  </si>
  <si>
    <t>R3</t>
  </si>
  <si>
    <t>Engineering Officer</t>
  </si>
  <si>
    <t>R4</t>
  </si>
  <si>
    <t>Field Worker</t>
  </si>
  <si>
    <t>Sources</t>
  </si>
  <si>
    <t>Historical revenues</t>
  </si>
  <si>
    <t>$</t>
  </si>
  <si>
    <t>Historical costs</t>
  </si>
  <si>
    <t>Historical volumes - services</t>
  </si>
  <si>
    <t>Historical volumes - hours / service</t>
  </si>
  <si>
    <t># for class</t>
  </si>
  <si>
    <t>Fee construction inputs</t>
  </si>
  <si>
    <t>Proposed fee basis</t>
  </si>
  <si>
    <t>/ application</t>
  </si>
  <si>
    <t>/ hour</t>
  </si>
  <si>
    <t>Standard hours for / application fees</t>
  </si>
  <si>
    <t>Historical</t>
  </si>
  <si>
    <t>average</t>
  </si>
  <si>
    <t>Expected service volumes</t>
  </si>
  <si>
    <t>Code</t>
  </si>
  <si>
    <t>Service descriptions</t>
  </si>
  <si>
    <t>Proposed services</t>
  </si>
  <si>
    <t>Short name</t>
  </si>
  <si>
    <t>Full name name</t>
  </si>
  <si>
    <t>Service description</t>
  </si>
  <si>
    <t xml:space="preserve">In order to derive unit rates for this ancillary network service, the following methodology was used:      
-  The business units that provide this ancillary network service provided estimates for the amount of time taken to carry out the various tasks and which employee positions carried out these tasks.      
-  For each employee position an average hourly rate ($2013/14) was calculated and multiplied by the applicable hours to determine the unit cost for each task. The unit cost of all tasks were then totalled to derive the overall unit rate for this service.     
-  The forecast unit rate was applied to the volumes forecast for the 2014 - 2019 regulatory period for this ancillary network service to calculate an estimate for direct operating expenditure for this ancillary network service.   
Overheads were applied to the direct costs based on our Cost Allocation Methodology (CAM).          </t>
  </si>
  <si>
    <t>Historical prices</t>
  </si>
  <si>
    <t>Service History Inputs Sheet</t>
  </si>
  <si>
    <t>Service Projections Inputs Sheet</t>
  </si>
  <si>
    <t>Fee Construction Sheet</t>
  </si>
  <si>
    <t>Proposed fee descriptions</t>
  </si>
  <si>
    <t>Standard hrs</t>
  </si>
  <si>
    <t>Rate</t>
  </si>
  <si>
    <t>Fee</t>
  </si>
  <si>
    <t>standard</t>
  </si>
  <si>
    <t>AER current</t>
  </si>
  <si>
    <t>Proposed</t>
  </si>
  <si>
    <t>Standard</t>
  </si>
  <si>
    <t>Proposed fees</t>
  </si>
  <si>
    <t>Current fees</t>
  </si>
  <si>
    <t>Applicable hourly rates selection</t>
  </si>
  <si>
    <t>Hrs / service</t>
  </si>
  <si>
    <t>Summary</t>
  </si>
  <si>
    <t>Current fee</t>
  </si>
  <si>
    <t>Proposed fee</t>
  </si>
  <si>
    <t>Basis</t>
  </si>
  <si>
    <t>Fee methodology</t>
  </si>
  <si>
    <t>Historical and projected revenue and costs</t>
  </si>
  <si>
    <t>Historical financial information</t>
  </si>
  <si>
    <t>Direct costs</t>
  </si>
  <si>
    <t>Indirect costs</t>
  </si>
  <si>
    <t>Projected financial information</t>
  </si>
  <si>
    <t>Check Sheet</t>
  </si>
  <si>
    <t>Sum of checks</t>
  </si>
  <si>
    <t>It is best to work with the model locked - via Protection under the Tools tab.  This way you can't overwrite logic cells in error.</t>
  </si>
  <si>
    <t xml:space="preserve">Cells intended for input on the Inputs sheet are unlocked using Cell, Protection under the Format tab.  All other cells in the model are locked </t>
  </si>
  <si>
    <t>- but it is not activated until Protection is used to lock each sheet.</t>
  </si>
  <si>
    <t>The model has a Check Sheet.  How it works is that checks can be added that are designed to produce a zero result - if the check is passed.</t>
  </si>
  <si>
    <t>D5 on the Check Sheet summs the checks - and an IF formula at the top of each page of the model alerts users to any failed tests.</t>
  </si>
  <si>
    <r>
      <t>The</t>
    </r>
    <r>
      <rPr>
        <b/>
        <sz val="10"/>
        <color indexed="8"/>
        <rFont val="Arial"/>
        <family val="2"/>
      </rPr>
      <t xml:space="preserve"> only</t>
    </r>
    <r>
      <rPr>
        <sz val="11"/>
        <color theme="1"/>
        <rFont val="Calibri"/>
        <family val="2"/>
        <scheme val="minor"/>
      </rPr>
      <t xml:space="preserve"> place for inputs is the various Inputs sheets in cells shaded</t>
    </r>
  </si>
  <si>
    <t>Cells shaded</t>
  </si>
  <si>
    <t xml:space="preserve">  are for a description of the source of inputs shown to the left.  The description should be sufficiently</t>
  </si>
  <si>
    <t>detailed to allow someone to track back to the source and check it.</t>
  </si>
  <si>
    <t>Direct</t>
  </si>
  <si>
    <t>Indirect</t>
  </si>
  <si>
    <t>Finance</t>
  </si>
  <si>
    <t>Loaded</t>
  </si>
  <si>
    <t>all in 2013/14 $</t>
  </si>
  <si>
    <t>costs</t>
  </si>
  <si>
    <t>charge</t>
  </si>
  <si>
    <t>rate</t>
  </si>
  <si>
    <t>Selected hourly rate data</t>
  </si>
  <si>
    <t>13/14 rate</t>
  </si>
  <si>
    <t>Proposed fees (2013/14 $)</t>
  </si>
  <si>
    <t>Reg. per.</t>
  </si>
  <si>
    <t>Projected revenue (2013/14 $)</t>
  </si>
  <si>
    <t>Projected direct cost (2013/14 $)</t>
  </si>
  <si>
    <t>$ / service</t>
  </si>
  <si>
    <t>Projected indirect cost (2013/14 $)</t>
  </si>
  <si>
    <t>2013/14 $</t>
  </si>
  <si>
    <t>nominal $</t>
  </si>
  <si>
    <t>All historical data is presented in nominal $s.  All projections are presented in 2013/14 $.  This presentation is required by Appendix E</t>
  </si>
  <si>
    <t>(paras 1.9 and 1.10) of the Regulatory Information Notice issued to Essential on 7 March 2014.</t>
  </si>
  <si>
    <t>Allocation</t>
  </si>
  <si>
    <t>Management estimates</t>
  </si>
  <si>
    <t>of historical volumes</t>
  </si>
  <si>
    <t>Current AER</t>
  </si>
  <si>
    <t>Management estimate</t>
  </si>
  <si>
    <t>of historical hours / service</t>
  </si>
  <si>
    <t>Summary description</t>
  </si>
  <si>
    <t>Historical revenue has been sourced from Essential Energy's General Ledger</t>
  </si>
  <si>
    <t xml:space="preserve">Proposed </t>
  </si>
  <si>
    <t xml:space="preserve">The proposed fee basis is consistent with the current design fee structure being applied. </t>
  </si>
  <si>
    <t>The historical average has been determined by an internal review of the time involved for each division of work in the fee structure.</t>
  </si>
  <si>
    <t>Forecast volumes are based on internal business estimates of past work load.</t>
  </si>
  <si>
    <t>Historical staffing</t>
  </si>
  <si>
    <t>Staff involved with service</t>
  </si>
  <si>
    <t>Projected staffing</t>
  </si>
  <si>
    <t>This model has been prepared to develop proposed Field Related ANS prices for the regulatory period 2014/15 to 2018/19.</t>
  </si>
  <si>
    <t>Field related services</t>
  </si>
  <si>
    <t>17 - Ancillary Metering Services</t>
  </si>
  <si>
    <t>18 - Off-peak conversion</t>
  </si>
  <si>
    <t>19 - Rectification works</t>
  </si>
  <si>
    <t>21 - Temp supply</t>
  </si>
  <si>
    <t>28 - Attendance (Statutory)</t>
  </si>
  <si>
    <t>17 - Ancillary metering services
For example, special meter reading for types 5 and 6 meters; testing for type 5 and 6 meters; franchise CT meter install; customer requested meter accuracy testing; types 5–7 non-standard metering data services; replacement or removal of a type 5 or 6 meter instigated by a customer switching to a non-type 5 or 6 meter that is not covered by any other fee.</t>
  </si>
  <si>
    <t>18 - The alteration of the off-peak metering equipment at a customer’s premises for the purpose of changing the hours of the metering equipment’s operation.  A charge for this service may be levied for each occasion that the service is provided.</t>
  </si>
  <si>
    <t>19 - Rectification works 
Includes rectification of illegal connections, provision of service crew/additional crew, fitting of tiger tails, high load escorts.</t>
  </si>
  <si>
    <t>21 - The provision of an MG (Motor Generator) connected to the network or a direct distributor and/or use of HV Live Line Techniques when required to maintain a continued but temporary supply to otherwise impacted customers during contestable connection works.  Service is in conjunction with but in addition to access permits and clearance to work.</t>
  </si>
  <si>
    <t>28 - Recovery of costs associated with gaining access to a customer premises under statutory law, in order to carry out necessary DNSP functions.
This task normally involves a meter technician returning to a customer’s premises to undertake a service for a second time due to customer dissent during previous visits.</t>
  </si>
  <si>
    <t>AMS - Meter Test</t>
  </si>
  <si>
    <t>Ancillary Metering Services - Meter Test</t>
  </si>
  <si>
    <t>Ancillary Metering Services - Franchise (CT) Meter Install</t>
  </si>
  <si>
    <t>Add/Remove Meter</t>
  </si>
  <si>
    <t>Off Peak Conversion Fee</t>
  </si>
  <si>
    <t>Rectification Works - includes rectification of illegal connections, provision of service crew/additional crew, fitting of tiger tails.</t>
  </si>
  <si>
    <t>Rectification Works - High Load Escorts</t>
  </si>
  <si>
    <t>Temporary Supply</t>
  </si>
  <si>
    <t>Services to supply and connect temporary supply to one or more customers.</t>
  </si>
  <si>
    <t>Attendance (statutory)</t>
  </si>
  <si>
    <t>Attendance at customer' premises to perform a statutory right where access is prevented.</t>
  </si>
  <si>
    <t>First Meter</t>
  </si>
  <si>
    <t>Each Additional Meter</t>
  </si>
  <si>
    <t>n.a</t>
  </si>
  <si>
    <t>Install and remove HV LL Links</t>
  </si>
  <si>
    <t>Break and remake HV bonds</t>
  </si>
  <si>
    <t>Break and remake LV bonds</t>
  </si>
  <si>
    <t>Connect and disconnect generator to OH mains</t>
  </si>
  <si>
    <t>Connect and disconnect MG to LV board in Kiosk</t>
  </si>
  <si>
    <t>Additional costs</t>
  </si>
  <si>
    <t>Per Unit</t>
  </si>
  <si>
    <t>Indirect Costs</t>
  </si>
  <si>
    <t>Finance Charge</t>
  </si>
  <si>
    <t>Loaded cost rates</t>
  </si>
  <si>
    <t>Stores - CT Meter</t>
  </si>
  <si>
    <t>Per hour</t>
  </si>
  <si>
    <t>Rectification Works - General</t>
  </si>
  <si>
    <t>Estimated average hours for per hour fees</t>
  </si>
  <si>
    <t xml:space="preserve">Finance </t>
  </si>
  <si>
    <t>Charge</t>
  </si>
  <si>
    <t>Standard/Estimated hrs per service</t>
  </si>
  <si>
    <t>AMS - Franchise CT Meter Install</t>
  </si>
  <si>
    <t>Estimated staff required to provide each service</t>
  </si>
  <si>
    <t>Estimated hours per service are based on the assessment of subject matter experts who are familiar with the work practices involved in providing each service.</t>
  </si>
  <si>
    <t>Historical costs have been derived from the estimated hours above and the appropriate  historical labour rate for each service</t>
  </si>
  <si>
    <t>Indirect costs include divisional and corporate overheads at the appropriate historical rate.</t>
  </si>
  <si>
    <t>This represents the cost of the Current Transformer meter</t>
  </si>
  <si>
    <t>Projected finance cost (2013/14 $)</t>
  </si>
  <si>
    <t>Finance Costs</t>
  </si>
  <si>
    <t xml:space="preserve">These labour rates are based on 2013/14 base year, and escalated in line with Essential Energy's forecast real wage movement over the regulatory period. An average rate for the 2015-2019 regulatory period has then been calculated, to allow a single rate for pricing. The average rate includes forecast Labour Oncosts and Plant Recovery in line with Essential Energy's costing methodology.
The indirect costs consist of forecast divisional and corporate overheads, averaged for the regulatory period. The finance charge represents financing costs over the time period between provision of the service and receipt of payment.
</t>
  </si>
  <si>
    <t>High Load Escorts</t>
  </si>
  <si>
    <t>Rectificaion works General</t>
  </si>
  <si>
    <t>Materials</t>
  </si>
  <si>
    <t>Ancillary Network Services Labour Rates Model</t>
  </si>
  <si>
    <t>n.a.</t>
  </si>
  <si>
    <t>As the costs associated with these services was included in Standard Control and any shortfall recovered through tariff revenue, Essential Energy only has accurate accounting records for the revenue received from these services historically, not the costs.
These historical estimates have been derived from business records where available, and the knowledge of subject matter experts.</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</si>
</sst>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3" formatCode="_-* #,##0.00_-;\-* #,##0.00_-;_-* &quot;-&quot;??_-;_-@_-"/>
    <numFmt numFmtId="164" formatCode="_(&quot;$&quot;* #,##0.00_);_(&quot;$&quot;* \(#,##0.00\);_(&quot;$&quot;* &quot;-&quot;??_);_(@_)"/>
    <numFmt numFmtId="165" formatCode="_(* #,##0.00_);_(* \(#,##0.00\);_(* &quot;-&quot;??_);_(@_)"/>
    <numFmt numFmtId="166" formatCode="#,##0\ ;\(#,##0\);\-\ "/>
    <numFmt numFmtId="167" formatCode="0.0%"/>
    <numFmt numFmtId="168" formatCode="_(* #,##0_);_(* \(#,##0\);_(* &quot;-&quot;??_);_(@_)"/>
    <numFmt numFmtId="169" formatCode="_(* #,##0.0_);_(* \(#,##0.0\);_(* &quot;-&quot;??_);_(@_)"/>
    <numFmt numFmtId="170" formatCode="_-* #,##0_-;\-* #,##0_-;_-* &quot;-&quot;??_-;_-@_-"/>
    <numFmt numFmtId="171" formatCode="_-* #,##0.0000_-;\-* #,##0.0000_-;_-* &quot;-&quot;??_-;_-@_-"/>
  </numFmts>
  <fonts count="20" x14ac:knownFonts="1">
    <font>
      <sz val="11"/>
      <color theme="1"/>
      <name val="Calibri"/>
      <family val="2"/>
      <scheme val="minor"/>
    </font>
    <font>
      <sz val="10"/>
      <color theme="1"/>
      <name val="Arial"/>
      <family val="2"/>
    </font>
    <font>
      <sz val="11"/>
      <color theme="1"/>
      <name val="Calibri"/>
      <family val="2"/>
      <scheme val="minor"/>
    </font>
    <font>
      <b/>
      <sz val="11"/>
      <color theme="1"/>
      <name val="Calibri"/>
      <family val="2"/>
      <scheme val="minor"/>
    </font>
    <font>
      <sz val="10"/>
      <name val="Arial"/>
      <family val="2"/>
    </font>
    <font>
      <sz val="11"/>
      <color theme="1"/>
      <name val="Arial"/>
      <family val="2"/>
    </font>
    <font>
      <b/>
      <sz val="12"/>
      <color theme="1"/>
      <name val="Calibri"/>
      <family val="2"/>
      <scheme val="minor"/>
    </font>
    <font>
      <u/>
      <sz val="11"/>
      <color theme="10"/>
      <name val="Calibri"/>
      <family val="2"/>
      <scheme val="minor"/>
    </font>
    <font>
      <u/>
      <sz val="11"/>
      <color theme="11"/>
      <name val="Calibri"/>
      <family val="2"/>
      <scheme val="minor"/>
    </font>
    <font>
      <b/>
      <sz val="10"/>
      <color theme="1"/>
      <name val="Arial"/>
      <family val="2"/>
    </font>
    <font>
      <b/>
      <sz val="11"/>
      <color theme="1"/>
      <name val="Arial"/>
      <family val="2"/>
    </font>
    <font>
      <sz val="11"/>
      <color theme="0" tint="-0.499984740745262"/>
      <name val="Calibri"/>
      <family val="2"/>
      <scheme val="minor"/>
    </font>
    <font>
      <sz val="10"/>
      <color rgb="FFFF0000"/>
      <name val="Arial"/>
      <family val="2"/>
    </font>
    <font>
      <b/>
      <sz val="10"/>
      <color indexed="8"/>
      <name val="Arial"/>
      <family val="2"/>
    </font>
    <font>
      <sz val="11"/>
      <color rgb="FFFF0000"/>
      <name val="Arial"/>
      <family val="2"/>
    </font>
    <font>
      <b/>
      <sz val="14"/>
      <color theme="1"/>
      <name val="Arial"/>
      <family val="2"/>
    </font>
    <font>
      <sz val="11"/>
      <color indexed="8"/>
      <name val="Calibri"/>
      <family val="2"/>
    </font>
    <font>
      <sz val="11"/>
      <color indexed="8"/>
      <name val="Arial"/>
      <family val="2"/>
    </font>
    <font>
      <sz val="10"/>
      <color indexed="8"/>
      <name val="Arial"/>
      <family val="2"/>
    </font>
    <font>
      <sz val="9"/>
      <color theme="1"/>
      <name val="Arial"/>
      <family val="2"/>
    </font>
  </fonts>
  <fills count="9">
    <fill>
      <patternFill patternType="none"/>
    </fill>
    <fill>
      <patternFill patternType="gray125"/>
    </fill>
    <fill>
      <patternFill patternType="solid">
        <fgColor theme="6" tint="0.39997558519241921"/>
        <bgColor indexed="64"/>
      </patternFill>
    </fill>
    <fill>
      <patternFill patternType="solid">
        <fgColor rgb="FFFFFFCC"/>
      </patternFill>
    </fill>
    <fill>
      <patternFill patternType="solid">
        <fgColor theme="9" tint="0.59999389629810485"/>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3" tint="0.59999389629810485"/>
        <bgColor indexed="64"/>
      </patternFill>
    </fill>
  </fills>
  <borders count="15">
    <border>
      <left/>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style="thin">
        <color theme="0"/>
      </top>
      <bottom/>
      <diagonal/>
    </border>
    <border>
      <left style="thin">
        <color theme="0"/>
      </left>
      <right style="thin">
        <color theme="0"/>
      </right>
      <top style="thin">
        <color theme="0"/>
      </top>
      <bottom style="thin">
        <color theme="0"/>
      </bottom>
      <diagonal/>
    </border>
  </borders>
  <cellStyleXfs count="494">
    <xf numFmtId="0" fontId="0" fillId="0" borderId="0"/>
    <xf numFmtId="9" fontId="2" fillId="0" borderId="0" applyFont="0" applyFill="0" applyBorder="0" applyAlignment="0" applyProtection="0"/>
    <xf numFmtId="165" fontId="2" fillId="0" borderId="0" applyFont="0" applyFill="0" applyBorder="0" applyAlignment="0" applyProtection="0"/>
    <xf numFmtId="164" fontId="2" fillId="0" borderId="0" applyFont="0" applyFill="0" applyBorder="0" applyAlignment="0" applyProtection="0"/>
    <xf numFmtId="0" fontId="4" fillId="0" borderId="0"/>
    <xf numFmtId="0" fontId="5" fillId="0" borderId="0"/>
    <xf numFmtId="0" fontId="1" fillId="0" borderId="0"/>
    <xf numFmtId="9" fontId="5" fillId="0" borderId="0" applyFont="0" applyFill="0" applyBorder="0" applyAlignment="0" applyProtection="0"/>
    <xf numFmtId="9" fontId="1" fillId="0" borderId="0" applyFont="0" applyFill="0" applyBorder="0" applyAlignment="0" applyProtection="0"/>
    <xf numFmtId="165" fontId="4" fillId="0" borderId="0" applyFont="0" applyFill="0" applyBorder="0" applyAlignment="0" applyProtection="0"/>
    <xf numFmtId="165" fontId="5" fillId="0" borderId="0" applyFont="0" applyFill="0" applyBorder="0" applyAlignment="0" applyProtection="0"/>
    <xf numFmtId="0" fontId="4" fillId="0" borderId="0"/>
    <xf numFmtId="0" fontId="1" fillId="0" borderId="0"/>
    <xf numFmtId="0" fontId="2" fillId="3" borderId="12" applyNumberFormat="0" applyFont="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16" fillId="0" borderId="0"/>
    <xf numFmtId="0" fontId="17" fillId="0" borderId="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cellStyleXfs>
  <cellXfs count="214">
    <xf numFmtId="0" fontId="0" fillId="0" borderId="0" xfId="0"/>
    <xf numFmtId="0" fontId="3" fillId="0" borderId="0" xfId="0" applyFont="1"/>
    <xf numFmtId="0" fontId="0" fillId="0" borderId="0" xfId="0" applyFill="1"/>
    <xf numFmtId="0" fontId="0" fillId="0" borderId="0" xfId="0" applyAlignment="1">
      <alignment horizontal="left"/>
    </xf>
    <xf numFmtId="0" fontId="0" fillId="0" borderId="0" xfId="0" applyFont="1"/>
    <xf numFmtId="0" fontId="6" fillId="0" borderId="0" xfId="0" applyFont="1"/>
    <xf numFmtId="0" fontId="1" fillId="0" borderId="0" xfId="0" applyFont="1" applyAlignment="1">
      <alignment vertical="center"/>
    </xf>
    <xf numFmtId="166" fontId="1" fillId="0" borderId="0" xfId="0" applyNumberFormat="1" applyFont="1" applyAlignment="1">
      <alignment vertical="center"/>
    </xf>
    <xf numFmtId="0" fontId="1" fillId="0" borderId="0" xfId="0" applyFont="1" applyAlignment="1">
      <alignment horizontal="left" vertical="center"/>
    </xf>
    <xf numFmtId="0" fontId="1" fillId="0" borderId="9" xfId="0" applyFont="1" applyBorder="1" applyAlignment="1">
      <alignment vertical="center"/>
    </xf>
    <xf numFmtId="0" fontId="1" fillId="0" borderId="9" xfId="0" applyFont="1" applyBorder="1" applyAlignment="1">
      <alignment horizontal="center" vertical="center"/>
    </xf>
    <xf numFmtId="0" fontId="1" fillId="0" borderId="5" xfId="0" applyFont="1" applyBorder="1" applyAlignment="1">
      <alignment vertical="center"/>
    </xf>
    <xf numFmtId="0" fontId="1" fillId="0" borderId="0" xfId="0" applyFont="1" applyBorder="1" applyAlignment="1">
      <alignment vertical="center"/>
    </xf>
    <xf numFmtId="0" fontId="1" fillId="0" borderId="6" xfId="0" applyFont="1" applyBorder="1" applyAlignment="1">
      <alignment vertical="center"/>
    </xf>
    <xf numFmtId="0" fontId="1" fillId="0" borderId="0" xfId="0" applyFont="1" applyAlignment="1">
      <alignment horizontal="center" vertical="center"/>
    </xf>
    <xf numFmtId="0" fontId="1" fillId="0" borderId="0" xfId="0" applyFont="1"/>
    <xf numFmtId="0" fontId="9" fillId="0" borderId="0" xfId="0" applyFont="1"/>
    <xf numFmtId="0" fontId="10" fillId="0" borderId="0" xfId="0" applyFont="1"/>
    <xf numFmtId="0" fontId="1" fillId="2" borderId="0" xfId="0" applyFont="1" applyFill="1" applyAlignment="1">
      <alignment vertical="top" wrapText="1"/>
    </xf>
    <xf numFmtId="169" fontId="1" fillId="0" borderId="0" xfId="0" applyNumberFormat="1" applyFont="1" applyAlignment="1">
      <alignment vertical="center"/>
    </xf>
    <xf numFmtId="0" fontId="1" fillId="0" borderId="0" xfId="0" applyFont="1" applyAlignment="1">
      <alignment vertical="top" wrapText="1"/>
    </xf>
    <xf numFmtId="0" fontId="9" fillId="0" borderId="0" xfId="0" applyFont="1" applyAlignment="1">
      <alignment vertical="top" wrapText="1"/>
    </xf>
    <xf numFmtId="168" fontId="1" fillId="0" borderId="0" xfId="0" applyNumberFormat="1" applyFont="1" applyAlignment="1">
      <alignment vertical="center"/>
    </xf>
    <xf numFmtId="165" fontId="1" fillId="0" borderId="0" xfId="2" applyFont="1" applyAlignment="1">
      <alignment vertical="center"/>
    </xf>
    <xf numFmtId="168" fontId="1" fillId="0" borderId="0" xfId="2" applyNumberFormat="1" applyFont="1" applyAlignment="1">
      <alignment vertical="center"/>
    </xf>
    <xf numFmtId="0" fontId="1" fillId="0" borderId="0" xfId="0" applyFont="1" applyBorder="1" applyAlignment="1">
      <alignment horizontal="center" vertical="center"/>
    </xf>
    <xf numFmtId="0" fontId="0" fillId="0" borderId="9" xfId="0" applyBorder="1" applyAlignment="1">
      <alignment horizontal="left"/>
    </xf>
    <xf numFmtId="0" fontId="0" fillId="0" borderId="0" xfId="0" applyAlignment="1">
      <alignment horizontal="left" vertical="top" wrapText="1"/>
    </xf>
    <xf numFmtId="0" fontId="1" fillId="0" borderId="0" xfId="0" applyFont="1" applyAlignment="1">
      <alignment vertical="top"/>
    </xf>
    <xf numFmtId="0" fontId="0" fillId="0" borderId="0" xfId="0" applyAlignment="1">
      <alignment horizontal="left" vertical="top"/>
    </xf>
    <xf numFmtId="0" fontId="1" fillId="0" borderId="8" xfId="0" applyFont="1" applyBorder="1" applyAlignment="1">
      <alignment horizontal="center" vertical="center"/>
    </xf>
    <xf numFmtId="170" fontId="1" fillId="0" borderId="5" xfId="0" applyNumberFormat="1" applyFont="1" applyBorder="1" applyAlignment="1">
      <alignment vertical="center"/>
    </xf>
    <xf numFmtId="0" fontId="1" fillId="0" borderId="4" xfId="0" applyFont="1" applyBorder="1" applyAlignment="1">
      <alignment vertical="center"/>
    </xf>
    <xf numFmtId="0" fontId="1" fillId="0" borderId="11" xfId="0" applyFont="1" applyBorder="1" applyAlignment="1">
      <alignment vertical="center"/>
    </xf>
    <xf numFmtId="0" fontId="1" fillId="0" borderId="7" xfId="0" applyFont="1" applyBorder="1" applyAlignment="1">
      <alignment vertical="center"/>
    </xf>
    <xf numFmtId="0" fontId="1" fillId="0" borderId="8" xfId="0" applyFont="1" applyBorder="1" applyAlignment="1">
      <alignment vertical="center"/>
    </xf>
    <xf numFmtId="0" fontId="1" fillId="0" borderId="10" xfId="0" applyFont="1" applyBorder="1" applyAlignment="1">
      <alignment vertical="center"/>
    </xf>
    <xf numFmtId="0" fontId="1" fillId="0" borderId="10" xfId="0" applyFont="1" applyBorder="1" applyAlignment="1">
      <alignment horizontal="center" vertical="center"/>
    </xf>
    <xf numFmtId="165" fontId="1" fillId="0" borderId="6" xfId="2" applyFont="1" applyBorder="1" applyAlignment="1">
      <alignment vertical="center"/>
    </xf>
    <xf numFmtId="165" fontId="1" fillId="0" borderId="0" xfId="2" applyFont="1" applyBorder="1" applyAlignment="1">
      <alignment vertical="center"/>
    </xf>
    <xf numFmtId="165" fontId="1" fillId="0" borderId="7" xfId="2" applyFont="1" applyBorder="1" applyAlignment="1">
      <alignment vertical="center"/>
    </xf>
    <xf numFmtId="165" fontId="1" fillId="0" borderId="0" xfId="0" applyNumberFormat="1" applyFont="1" applyBorder="1" applyAlignment="1">
      <alignment vertical="center"/>
    </xf>
    <xf numFmtId="165" fontId="1" fillId="0" borderId="7" xfId="0" applyNumberFormat="1" applyFont="1" applyBorder="1" applyAlignment="1">
      <alignment vertical="center"/>
    </xf>
    <xf numFmtId="170" fontId="1" fillId="0" borderId="0" xfId="0" applyNumberFormat="1" applyFont="1" applyBorder="1" applyAlignment="1">
      <alignment vertical="center"/>
    </xf>
    <xf numFmtId="170" fontId="1" fillId="0" borderId="7" xfId="0" applyNumberFormat="1" applyFont="1" applyBorder="1" applyAlignment="1">
      <alignment vertical="center"/>
    </xf>
    <xf numFmtId="168" fontId="1" fillId="0" borderId="0" xfId="2" applyNumberFormat="1" applyFont="1" applyBorder="1" applyAlignment="1">
      <alignment vertical="center"/>
    </xf>
    <xf numFmtId="168" fontId="1" fillId="0" borderId="7" xfId="2" applyNumberFormat="1" applyFont="1" applyBorder="1" applyAlignment="1">
      <alignment vertical="center"/>
    </xf>
    <xf numFmtId="170" fontId="1" fillId="0" borderId="6" xfId="0" applyNumberFormat="1" applyFont="1" applyBorder="1" applyAlignment="1">
      <alignment vertical="center"/>
    </xf>
    <xf numFmtId="170" fontId="1" fillId="0" borderId="4" xfId="0" applyNumberFormat="1" applyFont="1" applyBorder="1" applyAlignment="1">
      <alignment vertical="center"/>
    </xf>
    <xf numFmtId="170" fontId="1" fillId="0" borderId="11" xfId="0" applyNumberFormat="1" applyFont="1" applyBorder="1" applyAlignment="1">
      <alignment vertical="center"/>
    </xf>
    <xf numFmtId="165" fontId="1" fillId="0" borderId="6" xfId="0" applyNumberFormat="1" applyFont="1" applyBorder="1" applyAlignment="1">
      <alignment vertical="center"/>
    </xf>
    <xf numFmtId="0" fontId="0" fillId="0" borderId="0" xfId="0" applyAlignment="1">
      <alignment horizontal="center"/>
    </xf>
    <xf numFmtId="0" fontId="11" fillId="0" borderId="0" xfId="0" applyFont="1" applyAlignment="1">
      <alignment horizontal="center"/>
    </xf>
    <xf numFmtId="0" fontId="11" fillId="0" borderId="0" xfId="0" applyFont="1"/>
    <xf numFmtId="0" fontId="0" fillId="0" borderId="0" xfId="0" applyBorder="1"/>
    <xf numFmtId="0" fontId="0" fillId="0" borderId="0" xfId="0" applyBorder="1" applyAlignment="1">
      <alignment horizontal="center"/>
    </xf>
    <xf numFmtId="0" fontId="11" fillId="0" borderId="0" xfId="0" applyFont="1" applyBorder="1"/>
    <xf numFmtId="165" fontId="0" fillId="0" borderId="0" xfId="2" applyFont="1" applyBorder="1"/>
    <xf numFmtId="2" fontId="11" fillId="0" borderId="0" xfId="0" applyNumberFormat="1" applyFont="1" applyBorder="1"/>
    <xf numFmtId="0" fontId="0" fillId="0" borderId="9" xfId="0" applyBorder="1"/>
    <xf numFmtId="0" fontId="0" fillId="8" borderId="0" xfId="0" applyFill="1"/>
    <xf numFmtId="0" fontId="0" fillId="8" borderId="4" xfId="0" applyFill="1" applyBorder="1"/>
    <xf numFmtId="0" fontId="0" fillId="8" borderId="5" xfId="0" applyFill="1" applyBorder="1"/>
    <xf numFmtId="0" fontId="0" fillId="8" borderId="11" xfId="0" applyFill="1" applyBorder="1"/>
    <xf numFmtId="0" fontId="0" fillId="0" borderId="9" xfId="0" applyBorder="1" applyAlignment="1">
      <alignment horizontal="center"/>
    </xf>
    <xf numFmtId="0" fontId="11" fillId="0" borderId="9" xfId="0" applyFont="1" applyBorder="1" applyAlignment="1">
      <alignment horizontal="center"/>
    </xf>
    <xf numFmtId="0" fontId="0" fillId="0" borderId="0" xfId="0" applyBorder="1" applyAlignment="1">
      <alignment vertical="top" wrapText="1"/>
    </xf>
    <xf numFmtId="0" fontId="0" fillId="8" borderId="8" xfId="0" applyFill="1" applyBorder="1"/>
    <xf numFmtId="0" fontId="0" fillId="8" borderId="6" xfId="0" applyFill="1" applyBorder="1"/>
    <xf numFmtId="0" fontId="0" fillId="8" borderId="7" xfId="0" applyFill="1" applyBorder="1"/>
    <xf numFmtId="0" fontId="0" fillId="8" borderId="9" xfId="0" applyFill="1" applyBorder="1" applyAlignment="1">
      <alignment vertical="top" wrapText="1"/>
    </xf>
    <xf numFmtId="0" fontId="0" fillId="8" borderId="10" xfId="0" applyFill="1" applyBorder="1"/>
    <xf numFmtId="0" fontId="0" fillId="8" borderId="5" xfId="0" applyFill="1" applyBorder="1" applyAlignment="1">
      <alignment vertical="top" wrapText="1"/>
    </xf>
    <xf numFmtId="0" fontId="0" fillId="8" borderId="9" xfId="0" applyFill="1" applyBorder="1"/>
    <xf numFmtId="168" fontId="0" fillId="0" borderId="0" xfId="2" applyNumberFormat="1" applyFont="1"/>
    <xf numFmtId="168" fontId="0" fillId="0" borderId="5" xfId="0" applyNumberFormat="1" applyBorder="1"/>
    <xf numFmtId="0" fontId="11" fillId="0" borderId="9" xfId="0" applyFont="1" applyBorder="1"/>
    <xf numFmtId="168" fontId="11" fillId="0" borderId="0" xfId="2" applyNumberFormat="1" applyFont="1"/>
    <xf numFmtId="168" fontId="11" fillId="0" borderId="5" xfId="0" applyNumberFormat="1" applyFont="1" applyBorder="1"/>
    <xf numFmtId="0" fontId="0" fillId="0" borderId="0" xfId="0" applyProtection="1">
      <protection locked="0"/>
    </xf>
    <xf numFmtId="0" fontId="10" fillId="0" borderId="0" xfId="0" applyFont="1" applyProtection="1">
      <protection locked="0"/>
    </xf>
    <xf numFmtId="0" fontId="12" fillId="0" borderId="0" xfId="0" applyFont="1" applyAlignment="1" applyProtection="1">
      <alignment horizontal="center"/>
      <protection locked="0"/>
    </xf>
    <xf numFmtId="171" fontId="1" fillId="0" borderId="0" xfId="2" applyNumberFormat="1" applyFont="1" applyProtection="1">
      <protection locked="0"/>
    </xf>
    <xf numFmtId="165" fontId="0" fillId="0" borderId="2" xfId="0" applyNumberFormat="1" applyBorder="1" applyProtection="1">
      <protection locked="0"/>
    </xf>
    <xf numFmtId="0" fontId="0" fillId="0" borderId="2" xfId="0" applyBorder="1" applyProtection="1">
      <protection locked="0"/>
    </xf>
    <xf numFmtId="0" fontId="0" fillId="0" borderId="3" xfId="0" applyBorder="1" applyProtection="1">
      <protection locked="0"/>
    </xf>
    <xf numFmtId="165" fontId="0" fillId="0" borderId="0" xfId="0" applyNumberFormat="1" applyProtection="1">
      <protection locked="0"/>
    </xf>
    <xf numFmtId="171" fontId="0" fillId="0" borderId="2" xfId="0" applyNumberFormat="1" applyBorder="1" applyProtection="1">
      <protection locked="0"/>
    </xf>
    <xf numFmtId="0" fontId="0" fillId="0" borderId="1" xfId="0" applyBorder="1" applyProtection="1">
      <protection locked="0"/>
    </xf>
    <xf numFmtId="0" fontId="0" fillId="4" borderId="0" xfId="0" applyFill="1"/>
    <xf numFmtId="0" fontId="0" fillId="0" borderId="0" xfId="0" quotePrefix="1"/>
    <xf numFmtId="165" fontId="1" fillId="4" borderId="0" xfId="2" applyNumberFormat="1" applyFont="1" applyFill="1" applyAlignment="1" applyProtection="1">
      <alignment vertical="center"/>
      <protection locked="0"/>
    </xf>
    <xf numFmtId="0" fontId="1" fillId="0" borderId="0" xfId="0" applyFont="1" applyProtection="1"/>
    <xf numFmtId="0" fontId="1" fillId="0" borderId="0" xfId="0" applyFont="1" applyAlignment="1" applyProtection="1">
      <alignment vertical="top" wrapText="1"/>
    </xf>
    <xf numFmtId="0" fontId="1" fillId="0" borderId="0" xfId="0" applyFont="1" applyAlignment="1" applyProtection="1">
      <alignment vertical="center"/>
    </xf>
    <xf numFmtId="0" fontId="10" fillId="0" borderId="0" xfId="0" applyFont="1" applyProtection="1"/>
    <xf numFmtId="0" fontId="9" fillId="0" borderId="0" xfId="0" applyFont="1" applyProtection="1"/>
    <xf numFmtId="0" fontId="12" fillId="0" borderId="0" xfId="0" applyFont="1" applyAlignment="1" applyProtection="1">
      <alignment horizontal="center"/>
    </xf>
    <xf numFmtId="0" fontId="9" fillId="0" borderId="0" xfId="0" applyFont="1" applyAlignment="1" applyProtection="1">
      <alignment vertical="top" wrapText="1"/>
    </xf>
    <xf numFmtId="0" fontId="1" fillId="2" borderId="0" xfId="0" applyFont="1" applyFill="1" applyAlignment="1" applyProtection="1">
      <alignment vertical="top" wrapText="1"/>
    </xf>
    <xf numFmtId="165" fontId="1" fillId="0" borderId="0" xfId="0" applyNumberFormat="1" applyFont="1" applyAlignment="1" applyProtection="1">
      <alignment vertical="center"/>
    </xf>
    <xf numFmtId="0" fontId="1" fillId="0" borderId="9" xfId="0" applyFont="1" applyBorder="1" applyAlignment="1" applyProtection="1">
      <alignment vertical="center"/>
    </xf>
    <xf numFmtId="0" fontId="1" fillId="0" borderId="9" xfId="0" applyFont="1" applyBorder="1" applyAlignment="1" applyProtection="1">
      <alignment horizontal="center" vertical="center"/>
    </xf>
    <xf numFmtId="168" fontId="1" fillId="0" borderId="5" xfId="0" applyNumberFormat="1" applyFont="1" applyBorder="1" applyAlignment="1" applyProtection="1">
      <alignment vertical="center"/>
    </xf>
    <xf numFmtId="169" fontId="1" fillId="0" borderId="0" xfId="0" applyNumberFormat="1" applyFont="1" applyAlignment="1" applyProtection="1">
      <alignment vertical="center"/>
    </xf>
    <xf numFmtId="0" fontId="1" fillId="0" borderId="0" xfId="0" applyFont="1" applyFill="1" applyBorder="1" applyAlignment="1" applyProtection="1">
      <alignment vertical="top" wrapText="1"/>
    </xf>
    <xf numFmtId="0" fontId="1" fillId="0" borderId="0" xfId="0" applyFont="1" applyBorder="1" applyAlignment="1" applyProtection="1">
      <alignment vertical="center"/>
    </xf>
    <xf numFmtId="0" fontId="1" fillId="0" borderId="0" xfId="0" applyFont="1" applyBorder="1" applyAlignment="1" applyProtection="1">
      <alignment horizontal="center" vertical="center"/>
    </xf>
    <xf numFmtId="168" fontId="1" fillId="4" borderId="0" xfId="2" applyNumberFormat="1" applyFont="1" applyFill="1" applyAlignment="1" applyProtection="1">
      <alignment vertical="center"/>
      <protection locked="0"/>
    </xf>
    <xf numFmtId="167" fontId="1" fillId="4" borderId="0" xfId="1" applyNumberFormat="1" applyFont="1" applyFill="1" applyAlignment="1" applyProtection="1">
      <alignment vertical="center"/>
      <protection locked="0"/>
    </xf>
    <xf numFmtId="169" fontId="1" fillId="4" borderId="0" xfId="2" applyNumberFormat="1" applyFont="1" applyFill="1" applyAlignment="1" applyProtection="1">
      <alignment vertical="center"/>
      <protection locked="0"/>
    </xf>
    <xf numFmtId="0" fontId="1" fillId="4" borderId="0" xfId="0" applyFont="1" applyFill="1" applyAlignment="1" applyProtection="1">
      <alignment horizontal="left" vertical="center"/>
      <protection locked="0"/>
    </xf>
    <xf numFmtId="169" fontId="1" fillId="4" borderId="0" xfId="0" applyNumberFormat="1" applyFont="1" applyFill="1" applyAlignment="1" applyProtection="1">
      <alignment vertical="center"/>
      <protection locked="0"/>
    </xf>
    <xf numFmtId="0" fontId="1" fillId="4" borderId="0" xfId="0" applyFont="1" applyFill="1" applyAlignment="1" applyProtection="1">
      <alignment horizontal="center" vertical="center"/>
      <protection locked="0"/>
    </xf>
    <xf numFmtId="0" fontId="1" fillId="4" borderId="0" xfId="0" applyFont="1" applyFill="1" applyAlignment="1" applyProtection="1">
      <alignment vertical="top"/>
      <protection locked="0"/>
    </xf>
    <xf numFmtId="0" fontId="1" fillId="0" borderId="0" xfId="0" applyFont="1" applyAlignment="1" applyProtection="1">
      <alignment vertical="top"/>
    </xf>
    <xf numFmtId="0" fontId="0" fillId="7" borderId="0" xfId="0" applyFill="1"/>
    <xf numFmtId="0" fontId="5" fillId="4" borderId="4" xfId="0" applyFont="1" applyFill="1" applyBorder="1" applyAlignment="1" applyProtection="1">
      <alignment vertical="top"/>
      <protection locked="0"/>
    </xf>
    <xf numFmtId="0" fontId="5" fillId="4" borderId="5" xfId="0" applyFont="1" applyFill="1" applyBorder="1" applyAlignment="1" applyProtection="1">
      <alignment vertical="top"/>
      <protection locked="0"/>
    </xf>
    <xf numFmtId="0" fontId="5" fillId="4" borderId="6" xfId="0" applyFont="1" applyFill="1" applyBorder="1" applyAlignment="1" applyProtection="1">
      <alignment vertical="top"/>
      <protection locked="0"/>
    </xf>
    <xf numFmtId="0" fontId="5" fillId="4" borderId="9" xfId="0" applyFont="1" applyFill="1" applyBorder="1" applyAlignment="1" applyProtection="1">
      <alignment horizontal="center" vertical="top"/>
      <protection locked="0"/>
    </xf>
    <xf numFmtId="0" fontId="5" fillId="4" borderId="10" xfId="0" applyFont="1" applyFill="1" applyBorder="1" applyAlignment="1" applyProtection="1">
      <alignment horizontal="center" vertical="top"/>
      <protection locked="0"/>
    </xf>
    <xf numFmtId="0" fontId="5" fillId="4" borderId="0" xfId="0" applyFont="1" applyFill="1" applyBorder="1" applyAlignment="1" applyProtection="1">
      <alignment vertical="top"/>
      <protection locked="0"/>
    </xf>
    <xf numFmtId="0" fontId="5" fillId="4" borderId="8" xfId="0" applyFont="1" applyFill="1" applyBorder="1" applyAlignment="1" applyProtection="1">
      <alignment vertical="top"/>
      <protection locked="0"/>
    </xf>
    <xf numFmtId="0" fontId="5" fillId="4" borderId="9" xfId="0" applyFont="1" applyFill="1" applyBorder="1" applyAlignment="1" applyProtection="1">
      <alignment vertical="top"/>
      <protection locked="0"/>
    </xf>
    <xf numFmtId="0" fontId="5" fillId="0" borderId="0" xfId="0" applyFont="1"/>
    <xf numFmtId="0" fontId="14" fillId="0" borderId="0" xfId="0" applyFont="1" applyAlignment="1" applyProtection="1">
      <alignment horizontal="center"/>
      <protection locked="0"/>
    </xf>
    <xf numFmtId="0" fontId="5" fillId="2" borderId="0" xfId="0" applyFont="1" applyFill="1" applyAlignment="1">
      <alignment vertical="top" wrapText="1"/>
    </xf>
    <xf numFmtId="0" fontId="5" fillId="5" borderId="0" xfId="0" applyFont="1" applyFill="1" applyAlignment="1">
      <alignment horizontal="center"/>
    </xf>
    <xf numFmtId="165" fontId="5" fillId="4" borderId="0" xfId="2" applyFont="1" applyFill="1" applyBorder="1" applyAlignment="1" applyProtection="1">
      <alignment vertical="top"/>
      <protection locked="0"/>
    </xf>
    <xf numFmtId="165" fontId="5" fillId="4" borderId="7" xfId="2" applyFont="1" applyFill="1" applyBorder="1" applyAlignment="1" applyProtection="1">
      <alignment vertical="top"/>
      <protection locked="0"/>
    </xf>
    <xf numFmtId="165" fontId="5" fillId="4" borderId="9" xfId="2" applyFont="1" applyFill="1" applyBorder="1" applyAlignment="1" applyProtection="1">
      <alignment vertical="top"/>
      <protection locked="0"/>
    </xf>
    <xf numFmtId="165" fontId="5" fillId="4" borderId="10" xfId="2" applyFont="1" applyFill="1" applyBorder="1" applyAlignment="1" applyProtection="1">
      <alignment vertical="top"/>
      <protection locked="0"/>
    </xf>
    <xf numFmtId="0" fontId="15" fillId="0" borderId="0" xfId="0" applyFont="1"/>
    <xf numFmtId="0" fontId="5" fillId="4" borderId="5" xfId="0" applyFont="1" applyFill="1" applyBorder="1" applyAlignment="1" applyProtection="1">
      <alignment horizontal="center" vertical="top"/>
      <protection locked="0"/>
    </xf>
    <xf numFmtId="0" fontId="5" fillId="4" borderId="11" xfId="0" applyFont="1" applyFill="1" applyBorder="1" applyAlignment="1" applyProtection="1">
      <alignment horizontal="center" vertical="top"/>
      <protection locked="0"/>
    </xf>
    <xf numFmtId="0" fontId="1" fillId="0" borderId="9" xfId="0" applyFont="1" applyBorder="1" applyAlignment="1">
      <alignment horizontal="right" vertical="center"/>
    </xf>
    <xf numFmtId="0" fontId="5" fillId="0" borderId="9" xfId="0" applyFont="1" applyFill="1" applyBorder="1" applyAlignment="1" applyProtection="1">
      <alignment horizontal="center" vertical="top"/>
      <protection locked="0"/>
    </xf>
    <xf numFmtId="0" fontId="5" fillId="0" borderId="0" xfId="0" applyFont="1" applyFill="1" applyBorder="1" applyAlignment="1" applyProtection="1">
      <alignment horizontal="center" vertical="top"/>
      <protection locked="0"/>
    </xf>
    <xf numFmtId="0" fontId="1" fillId="0" borderId="9" xfId="0" applyFont="1" applyBorder="1" applyAlignment="1" applyProtection="1">
      <alignment horizontal="right" vertical="center"/>
    </xf>
    <xf numFmtId="0" fontId="11" fillId="0" borderId="9" xfId="0" applyFont="1" applyBorder="1" applyAlignment="1">
      <alignment horizontal="right"/>
    </xf>
    <xf numFmtId="0" fontId="0" fillId="0" borderId="9" xfId="0" applyBorder="1" applyAlignment="1">
      <alignment horizontal="right"/>
    </xf>
    <xf numFmtId="165" fontId="1" fillId="0" borderId="0" xfId="0" applyNumberFormat="1" applyFont="1" applyAlignment="1" applyProtection="1">
      <alignment vertical="center"/>
    </xf>
    <xf numFmtId="168" fontId="18" fillId="0" borderId="0" xfId="470" applyNumberFormat="1" applyFont="1" applyAlignment="1">
      <alignment vertical="center"/>
    </xf>
    <xf numFmtId="165" fontId="1" fillId="0" borderId="9" xfId="0" applyNumberFormat="1" applyFont="1" applyBorder="1" applyAlignment="1" applyProtection="1">
      <alignment vertical="center"/>
    </xf>
    <xf numFmtId="0" fontId="1" fillId="0" borderId="0" xfId="0" applyFont="1" applyAlignment="1" applyProtection="1">
      <alignment horizontal="center" vertical="center"/>
    </xf>
    <xf numFmtId="169" fontId="1" fillId="4" borderId="0" xfId="2" applyNumberFormat="1" applyFont="1" applyFill="1" applyBorder="1" applyAlignment="1" applyProtection="1">
      <alignment vertical="center"/>
      <protection locked="0"/>
    </xf>
    <xf numFmtId="169" fontId="1" fillId="0" borderId="0" xfId="0" applyNumberFormat="1" applyFont="1" applyBorder="1" applyAlignment="1" applyProtection="1">
      <alignment vertical="center"/>
    </xf>
    <xf numFmtId="0" fontId="19" fillId="0" borderId="9" xfId="0" applyFont="1" applyFill="1" applyBorder="1" applyAlignment="1" applyProtection="1">
      <alignment horizontal="center" vertical="top"/>
      <protection locked="0"/>
    </xf>
    <xf numFmtId="0" fontId="5" fillId="4" borderId="0" xfId="0" applyFont="1" applyFill="1" applyProtection="1">
      <protection locked="0"/>
    </xf>
    <xf numFmtId="0" fontId="1" fillId="7" borderId="1" xfId="0" applyFont="1" applyFill="1" applyBorder="1" applyAlignment="1" applyProtection="1">
      <alignment vertical="top" wrapText="1"/>
      <protection locked="0"/>
    </xf>
    <xf numFmtId="165" fontId="1" fillId="0" borderId="0" xfId="2" applyNumberFormat="1" applyFont="1" applyFill="1" applyAlignment="1" applyProtection="1">
      <alignment vertical="center"/>
      <protection locked="0"/>
    </xf>
    <xf numFmtId="0" fontId="0" fillId="0" borderId="13" xfId="0" applyFill="1" applyBorder="1" applyAlignment="1">
      <alignment horizontal="left" vertical="top" wrapText="1"/>
    </xf>
    <xf numFmtId="0" fontId="0" fillId="0" borderId="0" xfId="0"/>
    <xf numFmtId="0" fontId="0" fillId="0" borderId="0" xfId="0" applyAlignment="1">
      <alignment horizontal="left"/>
    </xf>
    <xf numFmtId="0" fontId="1" fillId="7" borderId="0" xfId="0" applyFont="1" applyFill="1" applyBorder="1" applyAlignment="1" applyProtection="1">
      <alignment vertical="top" wrapText="1"/>
      <protection locked="0"/>
    </xf>
    <xf numFmtId="168" fontId="1" fillId="0" borderId="0" xfId="2" applyNumberFormat="1" applyFont="1" applyFill="1" applyAlignment="1" applyProtection="1">
      <alignment vertical="center"/>
      <protection locked="0"/>
    </xf>
    <xf numFmtId="167" fontId="1" fillId="0" borderId="0" xfId="1" applyNumberFormat="1" applyFont="1" applyFill="1" applyAlignment="1" applyProtection="1">
      <alignment vertical="center"/>
      <protection locked="0"/>
    </xf>
    <xf numFmtId="3" fontId="1" fillId="4" borderId="14" xfId="0" applyNumberFormat="1" applyFont="1" applyFill="1" applyBorder="1"/>
    <xf numFmtId="167" fontId="1" fillId="0" borderId="0" xfId="0" applyNumberFormat="1" applyFont="1" applyAlignment="1" applyProtection="1">
      <alignment vertical="center"/>
    </xf>
    <xf numFmtId="169" fontId="1" fillId="0" borderId="0" xfId="2" applyNumberFormat="1" applyFont="1" applyFill="1" applyBorder="1" applyAlignment="1" applyProtection="1">
      <alignment vertical="center"/>
      <protection locked="0"/>
    </xf>
    <xf numFmtId="0" fontId="1" fillId="0" borderId="0" xfId="0" applyFont="1" applyFill="1" applyAlignment="1" applyProtection="1">
      <alignment vertical="center"/>
    </xf>
    <xf numFmtId="169" fontId="1" fillId="0" borderId="0" xfId="2" applyNumberFormat="1" applyFont="1" applyFill="1" applyAlignment="1" applyProtection="1">
      <alignment vertical="center"/>
      <protection locked="0"/>
    </xf>
    <xf numFmtId="0" fontId="1" fillId="0" borderId="0" xfId="0" applyFont="1" applyFill="1" applyAlignment="1" applyProtection="1">
      <alignment horizontal="left" vertical="center"/>
      <protection locked="0"/>
    </xf>
    <xf numFmtId="0" fontId="1" fillId="4" borderId="0" xfId="0" applyFont="1" applyFill="1" applyAlignment="1">
      <alignment horizontal="left" vertical="center"/>
    </xf>
    <xf numFmtId="165" fontId="1" fillId="0" borderId="0" xfId="2" applyFont="1" applyFill="1" applyAlignment="1">
      <alignment vertical="center"/>
    </xf>
    <xf numFmtId="169" fontId="1" fillId="0" borderId="0" xfId="0" applyNumberFormat="1" applyFont="1" applyFill="1" applyAlignment="1">
      <alignment vertical="center"/>
    </xf>
    <xf numFmtId="169" fontId="1" fillId="0" borderId="0" xfId="0" applyNumberFormat="1" applyFont="1" applyFill="1" applyAlignment="1" applyProtection="1">
      <alignment vertical="center"/>
      <protection locked="0"/>
    </xf>
    <xf numFmtId="0" fontId="1" fillId="0" borderId="0" xfId="0" applyFont="1" applyFill="1" applyAlignment="1" applyProtection="1">
      <alignment horizontal="center" vertical="center"/>
      <protection locked="0"/>
    </xf>
    <xf numFmtId="0" fontId="1" fillId="0" borderId="0" xfId="0" applyFont="1" applyFill="1" applyAlignment="1">
      <alignment vertical="center"/>
    </xf>
    <xf numFmtId="0" fontId="1" fillId="4" borderId="0" xfId="0" applyFont="1" applyFill="1" applyAlignment="1">
      <alignment horizontal="center" vertical="center"/>
    </xf>
    <xf numFmtId="165" fontId="1" fillId="0" borderId="0" xfId="2" applyNumberFormat="1" applyFont="1" applyAlignment="1">
      <alignment vertical="center"/>
    </xf>
    <xf numFmtId="165" fontId="1" fillId="0" borderId="0" xfId="0" applyNumberFormat="1" applyFont="1" applyAlignment="1">
      <alignment vertical="center"/>
    </xf>
    <xf numFmtId="168" fontId="1" fillId="0" borderId="0" xfId="2" applyNumberFormat="1" applyFont="1" applyFill="1" applyAlignment="1">
      <alignment vertical="center"/>
    </xf>
    <xf numFmtId="10" fontId="1" fillId="4" borderId="0" xfId="0" applyNumberFormat="1" applyFont="1" applyFill="1" applyAlignment="1">
      <alignment vertical="center"/>
    </xf>
    <xf numFmtId="0" fontId="0" fillId="0" borderId="0" xfId="0" applyFill="1" applyBorder="1" applyAlignment="1"/>
    <xf numFmtId="0" fontId="1" fillId="4" borderId="0" xfId="0" applyFont="1" applyFill="1" applyAlignment="1">
      <alignment vertical="center"/>
    </xf>
    <xf numFmtId="0" fontId="1" fillId="0" borderId="0" xfId="0" applyFont="1" applyFill="1" applyBorder="1" applyAlignment="1" applyProtection="1">
      <alignment vertical="top" wrapText="1"/>
      <protection locked="0"/>
    </xf>
    <xf numFmtId="2" fontId="1" fillId="0" borderId="0" xfId="0" applyNumberFormat="1" applyFont="1" applyFill="1" applyAlignment="1">
      <alignment vertical="center"/>
    </xf>
    <xf numFmtId="2" fontId="1" fillId="0" borderId="0" xfId="0" applyNumberFormat="1" applyFont="1" applyAlignment="1">
      <alignment vertical="center"/>
    </xf>
    <xf numFmtId="3" fontId="1" fillId="4" borderId="0" xfId="0" applyNumberFormat="1" applyFont="1" applyFill="1" applyBorder="1"/>
    <xf numFmtId="2" fontId="1" fillId="0" borderId="6" xfId="0" applyNumberFormat="1" applyFont="1" applyBorder="1" applyAlignment="1">
      <alignment horizontal="right" vertical="center"/>
    </xf>
    <xf numFmtId="2" fontId="1" fillId="0" borderId="6" xfId="0" applyNumberFormat="1" applyFont="1" applyBorder="1" applyAlignment="1">
      <alignment vertical="center"/>
    </xf>
    <xf numFmtId="165" fontId="0" fillId="0" borderId="0" xfId="0" applyNumberFormat="1" applyBorder="1"/>
    <xf numFmtId="165" fontId="11" fillId="0" borderId="0" xfId="0" applyNumberFormat="1" applyFont="1" applyBorder="1"/>
    <xf numFmtId="43" fontId="1" fillId="0" borderId="0" xfId="0" applyNumberFormat="1" applyFont="1" applyAlignment="1">
      <alignment vertical="center"/>
    </xf>
    <xf numFmtId="0" fontId="1" fillId="0" borderId="8" xfId="0" applyFont="1" applyBorder="1" applyAlignment="1">
      <alignment horizontal="center" vertical="center" wrapText="1"/>
    </xf>
    <xf numFmtId="43" fontId="1" fillId="0" borderId="6" xfId="0" applyNumberFormat="1" applyFont="1" applyBorder="1" applyAlignment="1">
      <alignment vertical="center"/>
    </xf>
    <xf numFmtId="0" fontId="1" fillId="0" borderId="8" xfId="0" applyFont="1" applyBorder="1" applyAlignment="1">
      <alignment horizontal="left" vertical="center"/>
    </xf>
    <xf numFmtId="0" fontId="0" fillId="0" borderId="0" xfId="0" applyBorder="1" applyAlignment="1">
      <alignment vertical="top" wrapText="1"/>
    </xf>
    <xf numFmtId="0" fontId="0" fillId="0" borderId="0" xfId="0" applyBorder="1" applyAlignment="1">
      <alignment horizontal="center"/>
    </xf>
    <xf numFmtId="0" fontId="11" fillId="0" borderId="0" xfId="0" applyFont="1" applyBorder="1" applyAlignment="1">
      <alignment horizontal="center"/>
    </xf>
    <xf numFmtId="0" fontId="5" fillId="7" borderId="1" xfId="0" applyFont="1" applyFill="1" applyBorder="1" applyAlignment="1" applyProtection="1">
      <alignment horizontal="left" vertical="top" wrapText="1"/>
      <protection locked="0"/>
    </xf>
    <xf numFmtId="0" fontId="5" fillId="7" borderId="2" xfId="0" applyFont="1" applyFill="1" applyBorder="1" applyAlignment="1" applyProtection="1">
      <alignment horizontal="left" vertical="top" wrapText="1"/>
      <protection locked="0"/>
    </xf>
    <xf numFmtId="0" fontId="5" fillId="7" borderId="3" xfId="0" applyFont="1" applyFill="1" applyBorder="1" applyAlignment="1" applyProtection="1">
      <alignment horizontal="left" vertical="top" wrapText="1"/>
      <protection locked="0"/>
    </xf>
    <xf numFmtId="0" fontId="5" fillId="4" borderId="0" xfId="0" applyFont="1" applyFill="1" applyProtection="1">
      <protection locked="0"/>
    </xf>
    <xf numFmtId="0" fontId="5" fillId="4" borderId="0" xfId="0" applyFont="1" applyFill="1" applyAlignment="1" applyProtection="1">
      <alignment vertical="top" wrapText="1"/>
      <protection locked="0"/>
    </xf>
    <xf numFmtId="0" fontId="0" fillId="4" borderId="0" xfId="0" applyFill="1" applyAlignment="1" applyProtection="1">
      <alignment horizontal="left" vertical="top" wrapText="1"/>
      <protection locked="0"/>
    </xf>
    <xf numFmtId="0" fontId="1" fillId="7" borderId="1" xfId="0" applyFont="1" applyFill="1" applyBorder="1" applyAlignment="1" applyProtection="1">
      <alignment horizontal="left" vertical="top" wrapText="1"/>
      <protection locked="0"/>
    </xf>
    <xf numFmtId="0" fontId="1" fillId="7" borderId="2" xfId="0" applyFont="1" applyFill="1" applyBorder="1" applyAlignment="1" applyProtection="1">
      <alignment horizontal="left" vertical="top" wrapText="1"/>
      <protection locked="0"/>
    </xf>
    <xf numFmtId="0" fontId="1" fillId="7" borderId="3" xfId="0" applyFont="1" applyFill="1" applyBorder="1" applyAlignment="1" applyProtection="1">
      <alignment horizontal="left" vertical="top" wrapText="1"/>
      <protection locked="0"/>
    </xf>
    <xf numFmtId="0" fontId="1" fillId="0" borderId="0" xfId="0" applyFont="1" applyAlignment="1" applyProtection="1">
      <alignment horizontal="center" vertical="center"/>
    </xf>
    <xf numFmtId="0" fontId="1" fillId="7" borderId="1" xfId="0" applyFont="1" applyFill="1" applyBorder="1" applyAlignment="1" applyProtection="1">
      <alignment vertical="top" wrapText="1"/>
      <protection locked="0"/>
    </xf>
    <xf numFmtId="0" fontId="1" fillId="7" borderId="2" xfId="0" applyFont="1" applyFill="1" applyBorder="1" applyAlignment="1" applyProtection="1">
      <alignment vertical="top" wrapText="1"/>
      <protection locked="0"/>
    </xf>
    <xf numFmtId="0" fontId="1" fillId="7" borderId="3" xfId="0" applyFont="1" applyFill="1" applyBorder="1" applyAlignment="1" applyProtection="1">
      <alignment vertical="top" wrapText="1"/>
      <protection locked="0"/>
    </xf>
    <xf numFmtId="0" fontId="1" fillId="0" borderId="9" xfId="0" applyFont="1" applyBorder="1" applyAlignment="1" applyProtection="1">
      <alignment horizontal="center" vertical="center"/>
    </xf>
    <xf numFmtId="0" fontId="0" fillId="0" borderId="2" xfId="0" applyBorder="1" applyAlignment="1"/>
    <xf numFmtId="0" fontId="0" fillId="0" borderId="3" xfId="0" applyBorder="1" applyAlignment="1"/>
    <xf numFmtId="0" fontId="1" fillId="7" borderId="1" xfId="0" applyFont="1" applyFill="1" applyBorder="1" applyAlignment="1" applyProtection="1">
      <alignment horizontal="center" vertical="top" wrapText="1"/>
      <protection locked="0"/>
    </xf>
    <xf numFmtId="0" fontId="1" fillId="7" borderId="2" xfId="0" applyFont="1" applyFill="1" applyBorder="1" applyAlignment="1" applyProtection="1">
      <alignment horizontal="center" vertical="top" wrapText="1"/>
      <protection locked="0"/>
    </xf>
    <xf numFmtId="0" fontId="1" fillId="7" borderId="3" xfId="0" applyFont="1" applyFill="1" applyBorder="1" applyAlignment="1" applyProtection="1">
      <alignment horizontal="center" vertical="top" wrapText="1"/>
      <protection locked="0"/>
    </xf>
    <xf numFmtId="0" fontId="1" fillId="6" borderId="4" xfId="0" applyFont="1" applyFill="1" applyBorder="1" applyAlignment="1">
      <alignment horizontal="center" vertical="center"/>
    </xf>
    <xf numFmtId="0" fontId="1" fillId="6" borderId="5" xfId="0" applyFont="1" applyFill="1" applyBorder="1" applyAlignment="1">
      <alignment horizontal="center" vertical="center"/>
    </xf>
    <xf numFmtId="0" fontId="1" fillId="6" borderId="11" xfId="0" applyFont="1" applyFill="1" applyBorder="1" applyAlignment="1">
      <alignment horizontal="center" vertical="center"/>
    </xf>
  </cellXfs>
  <cellStyles count="494">
    <cellStyle name="Comma" xfId="2" builtinId="3"/>
    <cellStyle name="Comma 2" xfId="9"/>
    <cellStyle name="Comma 3" xfId="10"/>
    <cellStyle name="Currency 2" xfId="3"/>
    <cellStyle name="Followed Hyperlink" xfId="15" builtinId="9" hidden="1"/>
    <cellStyle name="Followed Hyperlink" xfId="17" builtinId="9" hidden="1"/>
    <cellStyle name="Followed Hyperlink" xfId="19" builtinId="9" hidden="1"/>
    <cellStyle name="Followed Hyperlink" xfId="21" builtinId="9" hidden="1"/>
    <cellStyle name="Followed Hyperlink" xfId="23" builtinId="9" hidden="1"/>
    <cellStyle name="Followed Hyperlink" xfId="25" builtinId="9" hidden="1"/>
    <cellStyle name="Followed Hyperlink" xfId="27" builtinId="9" hidden="1"/>
    <cellStyle name="Followed Hyperlink" xfId="29" builtinId="9" hidden="1"/>
    <cellStyle name="Followed Hyperlink" xfId="31" builtinId="9" hidden="1"/>
    <cellStyle name="Followed Hyperlink" xfId="33" builtinId="9" hidden="1"/>
    <cellStyle name="Followed Hyperlink" xfId="35" builtinId="9" hidden="1"/>
    <cellStyle name="Followed Hyperlink" xfId="37" builtinId="9" hidden="1"/>
    <cellStyle name="Followed Hyperlink" xfId="39" builtinId="9" hidden="1"/>
    <cellStyle name="Followed Hyperlink" xfId="41" builtinId="9" hidden="1"/>
    <cellStyle name="Followed Hyperlink" xfId="43" builtinId="9" hidden="1"/>
    <cellStyle name="Followed Hyperlink" xfId="45" builtinId="9" hidden="1"/>
    <cellStyle name="Followed Hyperlink" xfId="47" builtinId="9" hidden="1"/>
    <cellStyle name="Followed Hyperlink" xfId="49" builtinId="9" hidden="1"/>
    <cellStyle name="Followed Hyperlink" xfId="51" builtinId="9" hidden="1"/>
    <cellStyle name="Followed Hyperlink" xfId="53" builtinId="9" hidden="1"/>
    <cellStyle name="Followed Hyperlink" xfId="55" builtinId="9" hidden="1"/>
    <cellStyle name="Followed Hyperlink" xfId="57" builtinId="9" hidden="1"/>
    <cellStyle name="Followed Hyperlink" xfId="59" builtinId="9" hidden="1"/>
    <cellStyle name="Followed Hyperlink" xfId="61" builtinId="9" hidden="1"/>
    <cellStyle name="Followed Hyperlink" xfId="63" builtinId="9" hidden="1"/>
    <cellStyle name="Followed Hyperlink" xfId="65" builtinId="9" hidden="1"/>
    <cellStyle name="Followed Hyperlink" xfId="67" builtinId="9" hidden="1"/>
    <cellStyle name="Followed Hyperlink" xfId="69" builtinId="9" hidden="1"/>
    <cellStyle name="Followed Hyperlink" xfId="71" builtinId="9" hidden="1"/>
    <cellStyle name="Followed Hyperlink" xfId="73" builtinId="9" hidden="1"/>
    <cellStyle name="Followed Hyperlink" xfId="75" builtinId="9" hidden="1"/>
    <cellStyle name="Followed Hyperlink" xfId="77" builtinId="9" hidden="1"/>
    <cellStyle name="Followed Hyperlink" xfId="79" builtinId="9" hidden="1"/>
    <cellStyle name="Followed Hyperlink" xfId="81" builtinId="9" hidden="1"/>
    <cellStyle name="Followed Hyperlink" xfId="83" builtinId="9" hidden="1"/>
    <cellStyle name="Followed Hyperlink" xfId="85" builtinId="9" hidden="1"/>
    <cellStyle name="Followed Hyperlink" xfId="87" builtinId="9" hidden="1"/>
    <cellStyle name="Followed Hyperlink" xfId="89" builtinId="9" hidden="1"/>
    <cellStyle name="Followed Hyperlink" xfId="91" builtinId="9" hidden="1"/>
    <cellStyle name="Followed Hyperlink" xfId="93" builtinId="9" hidden="1"/>
    <cellStyle name="Followed Hyperlink" xfId="95" builtinId="9" hidden="1"/>
    <cellStyle name="Followed Hyperlink" xfId="97" builtinId="9" hidden="1"/>
    <cellStyle name="Followed Hyperlink" xfId="99" builtinId="9" hidden="1"/>
    <cellStyle name="Followed Hyperlink" xfId="101" builtinId="9" hidden="1"/>
    <cellStyle name="Followed Hyperlink" xfId="103" builtinId="9" hidden="1"/>
    <cellStyle name="Followed Hyperlink" xfId="105" builtinId="9" hidden="1"/>
    <cellStyle name="Followed Hyperlink" xfId="107" builtinId="9" hidden="1"/>
    <cellStyle name="Followed Hyperlink" xfId="109" builtinId="9" hidden="1"/>
    <cellStyle name="Followed Hyperlink" xfId="111" builtinId="9" hidden="1"/>
    <cellStyle name="Followed Hyperlink" xfId="113" builtinId="9" hidden="1"/>
    <cellStyle name="Followed Hyperlink" xfId="115" builtinId="9" hidden="1"/>
    <cellStyle name="Followed Hyperlink" xfId="117" builtinId="9" hidden="1"/>
    <cellStyle name="Followed Hyperlink" xfId="119" builtinId="9" hidden="1"/>
    <cellStyle name="Followed Hyperlink" xfId="121" builtinId="9" hidden="1"/>
    <cellStyle name="Followed Hyperlink" xfId="123" builtinId="9" hidden="1"/>
    <cellStyle name="Followed Hyperlink" xfId="125" builtinId="9" hidden="1"/>
    <cellStyle name="Followed Hyperlink" xfId="127" builtinId="9" hidden="1"/>
    <cellStyle name="Followed Hyperlink" xfId="129" builtinId="9" hidden="1"/>
    <cellStyle name="Followed Hyperlink" xfId="131" builtinId="9" hidden="1"/>
    <cellStyle name="Followed Hyperlink" xfId="133" builtinId="9" hidden="1"/>
    <cellStyle name="Followed Hyperlink" xfId="135" builtinId="9" hidden="1"/>
    <cellStyle name="Followed Hyperlink" xfId="137" builtinId="9" hidden="1"/>
    <cellStyle name="Followed Hyperlink" xfId="139" builtinId="9" hidden="1"/>
    <cellStyle name="Followed Hyperlink" xfId="141" builtinId="9" hidden="1"/>
    <cellStyle name="Followed Hyperlink" xfId="143" builtinId="9" hidden="1"/>
    <cellStyle name="Followed Hyperlink" xfId="145" builtinId="9" hidden="1"/>
    <cellStyle name="Followed Hyperlink" xfId="147" builtinId="9" hidden="1"/>
    <cellStyle name="Followed Hyperlink" xfId="149" builtinId="9" hidden="1"/>
    <cellStyle name="Followed Hyperlink" xfId="151" builtinId="9" hidden="1"/>
    <cellStyle name="Followed Hyperlink" xfId="153" builtinId="9" hidden="1"/>
    <cellStyle name="Followed Hyperlink" xfId="155" builtinId="9" hidden="1"/>
    <cellStyle name="Followed Hyperlink" xfId="157" builtinId="9" hidden="1"/>
    <cellStyle name="Followed Hyperlink" xfId="159" builtinId="9" hidden="1"/>
    <cellStyle name="Followed Hyperlink" xfId="161" builtinId="9" hidden="1"/>
    <cellStyle name="Followed Hyperlink" xfId="163" builtinId="9" hidden="1"/>
    <cellStyle name="Followed Hyperlink" xfId="165" builtinId="9" hidden="1"/>
    <cellStyle name="Followed Hyperlink" xfId="167" builtinId="9" hidden="1"/>
    <cellStyle name="Followed Hyperlink" xfId="169" builtinId="9" hidden="1"/>
    <cellStyle name="Followed Hyperlink" xfId="171" builtinId="9" hidden="1"/>
    <cellStyle name="Followed Hyperlink" xfId="173" builtinId="9" hidden="1"/>
    <cellStyle name="Followed Hyperlink" xfId="175" builtinId="9" hidden="1"/>
    <cellStyle name="Followed Hyperlink" xfId="177" builtinId="9" hidden="1"/>
    <cellStyle name="Followed Hyperlink" xfId="179" builtinId="9" hidden="1"/>
    <cellStyle name="Followed Hyperlink" xfId="181" builtinId="9" hidden="1"/>
    <cellStyle name="Followed Hyperlink" xfId="183" builtinId="9" hidden="1"/>
    <cellStyle name="Followed Hyperlink" xfId="185" builtinId="9" hidden="1"/>
    <cellStyle name="Followed Hyperlink" xfId="187" builtinId="9" hidden="1"/>
    <cellStyle name="Followed Hyperlink" xfId="189" builtinId="9" hidden="1"/>
    <cellStyle name="Followed Hyperlink" xfId="191" builtinId="9" hidden="1"/>
    <cellStyle name="Followed Hyperlink" xfId="193" builtinId="9" hidden="1"/>
    <cellStyle name="Followed Hyperlink" xfId="195" builtinId="9" hidden="1"/>
    <cellStyle name="Followed Hyperlink" xfId="197" builtinId="9" hidden="1"/>
    <cellStyle name="Followed Hyperlink" xfId="199" builtinId="9" hidden="1"/>
    <cellStyle name="Followed Hyperlink" xfId="201" builtinId="9" hidden="1"/>
    <cellStyle name="Followed Hyperlink" xfId="203" builtinId="9" hidden="1"/>
    <cellStyle name="Followed Hyperlink" xfId="205" builtinId="9" hidden="1"/>
    <cellStyle name="Followed Hyperlink" xfId="207" builtinId="9" hidden="1"/>
    <cellStyle name="Followed Hyperlink" xfId="209" builtinId="9" hidden="1"/>
    <cellStyle name="Followed Hyperlink" xfId="211" builtinId="9" hidden="1"/>
    <cellStyle name="Followed Hyperlink" xfId="213" builtinId="9" hidden="1"/>
    <cellStyle name="Followed Hyperlink" xfId="215" builtinId="9" hidden="1"/>
    <cellStyle name="Followed Hyperlink" xfId="217" builtinId="9" hidden="1"/>
    <cellStyle name="Followed Hyperlink" xfId="219" builtinId="9" hidden="1"/>
    <cellStyle name="Followed Hyperlink" xfId="221" builtinId="9" hidden="1"/>
    <cellStyle name="Followed Hyperlink" xfId="223" builtinId="9" hidden="1"/>
    <cellStyle name="Followed Hyperlink" xfId="225" builtinId="9" hidden="1"/>
    <cellStyle name="Followed Hyperlink" xfId="227" builtinId="9" hidden="1"/>
    <cellStyle name="Followed Hyperlink" xfId="229" builtinId="9" hidden="1"/>
    <cellStyle name="Followed Hyperlink" xfId="231" builtinId="9" hidden="1"/>
    <cellStyle name="Followed Hyperlink" xfId="233" builtinId="9" hidden="1"/>
    <cellStyle name="Followed Hyperlink" xfId="235" builtinId="9" hidden="1"/>
    <cellStyle name="Followed Hyperlink" xfId="237" builtinId="9" hidden="1"/>
    <cellStyle name="Followed Hyperlink" xfId="239" builtinId="9" hidden="1"/>
    <cellStyle name="Followed Hyperlink" xfId="241" builtinId="9" hidden="1"/>
    <cellStyle name="Followed Hyperlink" xfId="243" builtinId="9" hidden="1"/>
    <cellStyle name="Followed Hyperlink" xfId="245" builtinId="9" hidden="1"/>
    <cellStyle name="Followed Hyperlink" xfId="247" builtinId="9" hidden="1"/>
    <cellStyle name="Followed Hyperlink" xfId="249" builtinId="9" hidden="1"/>
    <cellStyle name="Followed Hyperlink" xfId="251" builtinId="9" hidden="1"/>
    <cellStyle name="Followed Hyperlink" xfId="253" builtinId="9" hidden="1"/>
    <cellStyle name="Followed Hyperlink" xfId="255" builtinId="9" hidden="1"/>
    <cellStyle name="Followed Hyperlink" xfId="257" builtinId="9" hidden="1"/>
    <cellStyle name="Followed Hyperlink" xfId="259" builtinId="9" hidden="1"/>
    <cellStyle name="Followed Hyperlink" xfId="261" builtinId="9" hidden="1"/>
    <cellStyle name="Followed Hyperlink" xfId="263" builtinId="9" hidden="1"/>
    <cellStyle name="Followed Hyperlink" xfId="265" builtinId="9" hidden="1"/>
    <cellStyle name="Followed Hyperlink" xfId="267" builtinId="9" hidden="1"/>
    <cellStyle name="Followed Hyperlink" xfId="269" builtinId="9" hidden="1"/>
    <cellStyle name="Followed Hyperlink" xfId="271" builtinId="9" hidden="1"/>
    <cellStyle name="Followed Hyperlink" xfId="273" builtinId="9" hidden="1"/>
    <cellStyle name="Followed Hyperlink" xfId="275" builtinId="9" hidden="1"/>
    <cellStyle name="Followed Hyperlink" xfId="277" builtinId="9" hidden="1"/>
    <cellStyle name="Followed Hyperlink" xfId="279" builtinId="9" hidden="1"/>
    <cellStyle name="Followed Hyperlink" xfId="281" builtinId="9" hidden="1"/>
    <cellStyle name="Followed Hyperlink" xfId="283" builtinId="9" hidden="1"/>
    <cellStyle name="Followed Hyperlink" xfId="285" builtinId="9" hidden="1"/>
    <cellStyle name="Followed Hyperlink" xfId="287" builtinId="9" hidden="1"/>
    <cellStyle name="Followed Hyperlink" xfId="289" builtinId="9" hidden="1"/>
    <cellStyle name="Followed Hyperlink" xfId="291" builtinId="9" hidden="1"/>
    <cellStyle name="Followed Hyperlink" xfId="293" builtinId="9" hidden="1"/>
    <cellStyle name="Followed Hyperlink" xfId="295" builtinId="9" hidden="1"/>
    <cellStyle name="Followed Hyperlink" xfId="297" builtinId="9" hidden="1"/>
    <cellStyle name="Followed Hyperlink" xfId="299" builtinId="9" hidden="1"/>
    <cellStyle name="Followed Hyperlink" xfId="301" builtinId="9" hidden="1"/>
    <cellStyle name="Followed Hyperlink" xfId="303" builtinId="9" hidden="1"/>
    <cellStyle name="Followed Hyperlink" xfId="305" builtinId="9" hidden="1"/>
    <cellStyle name="Followed Hyperlink" xfId="307" builtinId="9" hidden="1"/>
    <cellStyle name="Followed Hyperlink" xfId="309" builtinId="9" hidden="1"/>
    <cellStyle name="Followed Hyperlink" xfId="311" builtinId="9" hidden="1"/>
    <cellStyle name="Followed Hyperlink" xfId="313" builtinId="9" hidden="1"/>
    <cellStyle name="Followed Hyperlink" xfId="315" builtinId="9" hidden="1"/>
    <cellStyle name="Followed Hyperlink" xfId="317" builtinId="9" hidden="1"/>
    <cellStyle name="Followed Hyperlink" xfId="319" builtinId="9" hidden="1"/>
    <cellStyle name="Followed Hyperlink" xfId="321" builtinId="9" hidden="1"/>
    <cellStyle name="Followed Hyperlink" xfId="323" builtinId="9" hidden="1"/>
    <cellStyle name="Followed Hyperlink" xfId="325" builtinId="9" hidden="1"/>
    <cellStyle name="Followed Hyperlink" xfId="327" builtinId="9" hidden="1"/>
    <cellStyle name="Followed Hyperlink" xfId="329" builtinId="9" hidden="1"/>
    <cellStyle name="Followed Hyperlink" xfId="331" builtinId="9" hidden="1"/>
    <cellStyle name="Followed Hyperlink" xfId="333" builtinId="9" hidden="1"/>
    <cellStyle name="Followed Hyperlink" xfId="335" builtinId="9" hidden="1"/>
    <cellStyle name="Followed Hyperlink" xfId="337" builtinId="9" hidden="1"/>
    <cellStyle name="Followed Hyperlink" xfId="339" builtinId="9" hidden="1"/>
    <cellStyle name="Followed Hyperlink" xfId="341" builtinId="9" hidden="1"/>
    <cellStyle name="Followed Hyperlink" xfId="343" builtinId="9" hidden="1"/>
    <cellStyle name="Followed Hyperlink" xfId="345" builtinId="9" hidden="1"/>
    <cellStyle name="Followed Hyperlink" xfId="347" builtinId="9" hidden="1"/>
    <cellStyle name="Followed Hyperlink" xfId="349" builtinId="9" hidden="1"/>
    <cellStyle name="Followed Hyperlink" xfId="351" builtinId="9" hidden="1"/>
    <cellStyle name="Followed Hyperlink" xfId="353" builtinId="9" hidden="1"/>
    <cellStyle name="Followed Hyperlink" xfId="355" builtinId="9" hidden="1"/>
    <cellStyle name="Followed Hyperlink" xfId="357" builtinId="9" hidden="1"/>
    <cellStyle name="Followed Hyperlink" xfId="359" builtinId="9" hidden="1"/>
    <cellStyle name="Followed Hyperlink" xfId="361" builtinId="9" hidden="1"/>
    <cellStyle name="Followed Hyperlink" xfId="363" builtinId="9" hidden="1"/>
    <cellStyle name="Followed Hyperlink" xfId="365" builtinId="9" hidden="1"/>
    <cellStyle name="Followed Hyperlink" xfId="367" builtinId="9" hidden="1"/>
    <cellStyle name="Followed Hyperlink" xfId="369" builtinId="9" hidden="1"/>
    <cellStyle name="Followed Hyperlink" xfId="371" builtinId="9" hidden="1"/>
    <cellStyle name="Followed Hyperlink" xfId="373" builtinId="9" hidden="1"/>
    <cellStyle name="Followed Hyperlink" xfId="375" builtinId="9" hidden="1"/>
    <cellStyle name="Followed Hyperlink" xfId="377" builtinId="9" hidden="1"/>
    <cellStyle name="Followed Hyperlink" xfId="379" builtinId="9" hidden="1"/>
    <cellStyle name="Followed Hyperlink" xfId="381" builtinId="9" hidden="1"/>
    <cellStyle name="Followed Hyperlink" xfId="383" builtinId="9" hidden="1"/>
    <cellStyle name="Followed Hyperlink" xfId="385" builtinId="9" hidden="1"/>
    <cellStyle name="Followed Hyperlink" xfId="387" builtinId="9" hidden="1"/>
    <cellStyle name="Followed Hyperlink" xfId="389" builtinId="9" hidden="1"/>
    <cellStyle name="Followed Hyperlink" xfId="391" builtinId="9" hidden="1"/>
    <cellStyle name="Followed Hyperlink" xfId="393" builtinId="9" hidden="1"/>
    <cellStyle name="Followed Hyperlink" xfId="395" builtinId="9" hidden="1"/>
    <cellStyle name="Followed Hyperlink" xfId="397" builtinId="9" hidden="1"/>
    <cellStyle name="Followed Hyperlink" xfId="399" builtinId="9" hidden="1"/>
    <cellStyle name="Followed Hyperlink" xfId="401" builtinId="9" hidden="1"/>
    <cellStyle name="Followed Hyperlink" xfId="403" builtinId="9" hidden="1"/>
    <cellStyle name="Followed Hyperlink" xfId="405" builtinId="9" hidden="1"/>
    <cellStyle name="Followed Hyperlink" xfId="407" builtinId="9" hidden="1"/>
    <cellStyle name="Followed Hyperlink" xfId="409" builtinId="9" hidden="1"/>
    <cellStyle name="Followed Hyperlink" xfId="411" builtinId="9" hidden="1"/>
    <cellStyle name="Followed Hyperlink" xfId="413" builtinId="9" hidden="1"/>
    <cellStyle name="Followed Hyperlink" xfId="415" builtinId="9" hidden="1"/>
    <cellStyle name="Followed Hyperlink" xfId="417" builtinId="9" hidden="1"/>
    <cellStyle name="Followed Hyperlink" xfId="419" builtinId="9" hidden="1"/>
    <cellStyle name="Followed Hyperlink" xfId="421" builtinId="9" hidden="1"/>
    <cellStyle name="Followed Hyperlink" xfId="423" builtinId="9" hidden="1"/>
    <cellStyle name="Followed Hyperlink" xfId="425" builtinId="9" hidden="1"/>
    <cellStyle name="Followed Hyperlink" xfId="427" builtinId="9" hidden="1"/>
    <cellStyle name="Followed Hyperlink" xfId="429" builtinId="9" hidden="1"/>
    <cellStyle name="Followed Hyperlink" xfId="431" builtinId="9" hidden="1"/>
    <cellStyle name="Followed Hyperlink" xfId="433" builtinId="9" hidden="1"/>
    <cellStyle name="Followed Hyperlink" xfId="435" builtinId="9" hidden="1"/>
    <cellStyle name="Followed Hyperlink" xfId="437" builtinId="9" hidden="1"/>
    <cellStyle name="Followed Hyperlink" xfId="439" builtinId="9" hidden="1"/>
    <cellStyle name="Followed Hyperlink" xfId="441" builtinId="9" hidden="1"/>
    <cellStyle name="Followed Hyperlink" xfId="443" builtinId="9" hidden="1"/>
    <cellStyle name="Followed Hyperlink" xfId="445" builtinId="9" hidden="1"/>
    <cellStyle name="Followed Hyperlink" xfId="447" builtinId="9" hidden="1"/>
    <cellStyle name="Followed Hyperlink" xfId="449" builtinId="9" hidden="1"/>
    <cellStyle name="Followed Hyperlink" xfId="451" builtinId="9" hidden="1"/>
    <cellStyle name="Followed Hyperlink" xfId="453" builtinId="9" hidden="1"/>
    <cellStyle name="Followed Hyperlink" xfId="455" builtinId="9" hidden="1"/>
    <cellStyle name="Followed Hyperlink" xfId="457" builtinId="9" hidden="1"/>
    <cellStyle name="Followed Hyperlink" xfId="459" builtinId="9" hidden="1"/>
    <cellStyle name="Followed Hyperlink" xfId="461" builtinId="9" hidden="1"/>
    <cellStyle name="Followed Hyperlink" xfId="463" builtinId="9" hidden="1"/>
    <cellStyle name="Followed Hyperlink" xfId="465" builtinId="9" hidden="1"/>
    <cellStyle name="Followed Hyperlink" xfId="467" builtinId="9" hidden="1"/>
    <cellStyle name="Followed Hyperlink" xfId="469" builtinId="9" hidden="1"/>
    <cellStyle name="Followed Hyperlink" xfId="473" builtinId="9" hidden="1"/>
    <cellStyle name="Followed Hyperlink" xfId="475" builtinId="9" hidden="1"/>
    <cellStyle name="Followed Hyperlink" xfId="477" builtinId="9" hidden="1"/>
    <cellStyle name="Followed Hyperlink" xfId="479" builtinId="9" hidden="1"/>
    <cellStyle name="Followed Hyperlink" xfId="481" builtinId="9" hidden="1"/>
    <cellStyle name="Followed Hyperlink" xfId="483" builtinId="9" hidden="1"/>
    <cellStyle name="Followed Hyperlink" xfId="485" builtinId="9" hidden="1"/>
    <cellStyle name="Followed Hyperlink" xfId="487" builtinId="9" hidden="1"/>
    <cellStyle name="Followed Hyperlink" xfId="489" builtinId="9" hidden="1"/>
    <cellStyle name="Followed Hyperlink" xfId="491" builtinId="9" hidden="1"/>
    <cellStyle name="Followed Hyperlink" xfId="493" builtinId="9" hidden="1"/>
    <cellStyle name="Hyperlink" xfId="14" builtinId="8" hidden="1"/>
    <cellStyle name="Hyperlink" xfId="16" builtinId="8" hidden="1"/>
    <cellStyle name="Hyperlink" xfId="18" builtinId="8" hidden="1"/>
    <cellStyle name="Hyperlink" xfId="20" builtinId="8" hidden="1"/>
    <cellStyle name="Hyperlink" xfId="22" builtinId="8" hidden="1"/>
    <cellStyle name="Hyperlink" xfId="24" builtinId="8" hidden="1"/>
    <cellStyle name="Hyperlink" xfId="26" builtinId="8" hidden="1"/>
    <cellStyle name="Hyperlink" xfId="28" builtinId="8" hidden="1"/>
    <cellStyle name="Hyperlink" xfId="30" builtinId="8" hidden="1"/>
    <cellStyle name="Hyperlink" xfId="32" builtinId="8" hidden="1"/>
    <cellStyle name="Hyperlink" xfId="34" builtinId="8" hidden="1"/>
    <cellStyle name="Hyperlink" xfId="36" builtinId="8" hidden="1"/>
    <cellStyle name="Hyperlink" xfId="38" builtinId="8" hidden="1"/>
    <cellStyle name="Hyperlink" xfId="40" builtinId="8" hidden="1"/>
    <cellStyle name="Hyperlink" xfId="42" builtinId="8" hidden="1"/>
    <cellStyle name="Hyperlink" xfId="44" builtinId="8" hidden="1"/>
    <cellStyle name="Hyperlink" xfId="46" builtinId="8" hidden="1"/>
    <cellStyle name="Hyperlink" xfId="48" builtinId="8" hidden="1"/>
    <cellStyle name="Hyperlink" xfId="50" builtinId="8" hidden="1"/>
    <cellStyle name="Hyperlink" xfId="52" builtinId="8" hidden="1"/>
    <cellStyle name="Hyperlink" xfId="54" builtinId="8" hidden="1"/>
    <cellStyle name="Hyperlink" xfId="56" builtinId="8" hidden="1"/>
    <cellStyle name="Hyperlink" xfId="58" builtinId="8" hidden="1"/>
    <cellStyle name="Hyperlink" xfId="60" builtinId="8" hidden="1"/>
    <cellStyle name="Hyperlink" xfId="62" builtinId="8" hidden="1"/>
    <cellStyle name="Hyperlink" xfId="64" builtinId="8" hidden="1"/>
    <cellStyle name="Hyperlink" xfId="66" builtinId="8" hidden="1"/>
    <cellStyle name="Hyperlink" xfId="68" builtinId="8" hidden="1"/>
    <cellStyle name="Hyperlink" xfId="70" builtinId="8" hidden="1"/>
    <cellStyle name="Hyperlink" xfId="72" builtinId="8" hidden="1"/>
    <cellStyle name="Hyperlink" xfId="74" builtinId="8" hidden="1"/>
    <cellStyle name="Hyperlink" xfId="76" builtinId="8" hidden="1"/>
    <cellStyle name="Hyperlink" xfId="78" builtinId="8" hidden="1"/>
    <cellStyle name="Hyperlink" xfId="80" builtinId="8" hidden="1"/>
    <cellStyle name="Hyperlink" xfId="82" builtinId="8" hidden="1"/>
    <cellStyle name="Hyperlink" xfId="84" builtinId="8" hidden="1"/>
    <cellStyle name="Hyperlink" xfId="86" builtinId="8" hidden="1"/>
    <cellStyle name="Hyperlink" xfId="88" builtinId="8" hidden="1"/>
    <cellStyle name="Hyperlink" xfId="90" builtinId="8" hidden="1"/>
    <cellStyle name="Hyperlink" xfId="92" builtinId="8" hidden="1"/>
    <cellStyle name="Hyperlink" xfId="94" builtinId="8" hidden="1"/>
    <cellStyle name="Hyperlink" xfId="96" builtinId="8" hidden="1"/>
    <cellStyle name="Hyperlink" xfId="98" builtinId="8" hidden="1"/>
    <cellStyle name="Hyperlink" xfId="100" builtinId="8" hidden="1"/>
    <cellStyle name="Hyperlink" xfId="102" builtinId="8" hidden="1"/>
    <cellStyle name="Hyperlink" xfId="104" builtinId="8" hidden="1"/>
    <cellStyle name="Hyperlink" xfId="106" builtinId="8" hidden="1"/>
    <cellStyle name="Hyperlink" xfId="108" builtinId="8" hidden="1"/>
    <cellStyle name="Hyperlink" xfId="110" builtinId="8" hidden="1"/>
    <cellStyle name="Hyperlink" xfId="112" builtinId="8" hidden="1"/>
    <cellStyle name="Hyperlink" xfId="114" builtinId="8" hidden="1"/>
    <cellStyle name="Hyperlink" xfId="116" builtinId="8" hidden="1"/>
    <cellStyle name="Hyperlink" xfId="118" builtinId="8" hidden="1"/>
    <cellStyle name="Hyperlink" xfId="120" builtinId="8" hidden="1"/>
    <cellStyle name="Hyperlink" xfId="122" builtinId="8" hidden="1"/>
    <cellStyle name="Hyperlink" xfId="124" builtinId="8" hidden="1"/>
    <cellStyle name="Hyperlink" xfId="126" builtinId="8" hidden="1"/>
    <cellStyle name="Hyperlink" xfId="128" builtinId="8" hidden="1"/>
    <cellStyle name="Hyperlink" xfId="130" builtinId="8" hidden="1"/>
    <cellStyle name="Hyperlink" xfId="132" builtinId="8" hidden="1"/>
    <cellStyle name="Hyperlink" xfId="134" builtinId="8" hidden="1"/>
    <cellStyle name="Hyperlink" xfId="136" builtinId="8" hidden="1"/>
    <cellStyle name="Hyperlink" xfId="138" builtinId="8" hidden="1"/>
    <cellStyle name="Hyperlink" xfId="140" builtinId="8" hidden="1"/>
    <cellStyle name="Hyperlink" xfId="142" builtinId="8" hidden="1"/>
    <cellStyle name="Hyperlink" xfId="144" builtinId="8" hidden="1"/>
    <cellStyle name="Hyperlink" xfId="146" builtinId="8" hidden="1"/>
    <cellStyle name="Hyperlink" xfId="148" builtinId="8" hidden="1"/>
    <cellStyle name="Hyperlink" xfId="150" builtinId="8" hidden="1"/>
    <cellStyle name="Hyperlink" xfId="152" builtinId="8" hidden="1"/>
    <cellStyle name="Hyperlink" xfId="154" builtinId="8" hidden="1"/>
    <cellStyle name="Hyperlink" xfId="156" builtinId="8" hidden="1"/>
    <cellStyle name="Hyperlink" xfId="158" builtinId="8" hidden="1"/>
    <cellStyle name="Hyperlink" xfId="160" builtinId="8" hidden="1"/>
    <cellStyle name="Hyperlink" xfId="162" builtinId="8" hidden="1"/>
    <cellStyle name="Hyperlink" xfId="164" builtinId="8" hidden="1"/>
    <cellStyle name="Hyperlink" xfId="166" builtinId="8" hidden="1"/>
    <cellStyle name="Hyperlink" xfId="168" builtinId="8" hidden="1"/>
    <cellStyle name="Hyperlink" xfId="170" builtinId="8" hidden="1"/>
    <cellStyle name="Hyperlink" xfId="172" builtinId="8" hidden="1"/>
    <cellStyle name="Hyperlink" xfId="174" builtinId="8" hidden="1"/>
    <cellStyle name="Hyperlink" xfId="176" builtinId="8" hidden="1"/>
    <cellStyle name="Hyperlink" xfId="178" builtinId="8" hidden="1"/>
    <cellStyle name="Hyperlink" xfId="180" builtinId="8" hidden="1"/>
    <cellStyle name="Hyperlink" xfId="182" builtinId="8" hidden="1"/>
    <cellStyle name="Hyperlink" xfId="184" builtinId="8" hidden="1"/>
    <cellStyle name="Hyperlink" xfId="186" builtinId="8" hidden="1"/>
    <cellStyle name="Hyperlink" xfId="188" builtinId="8" hidden="1"/>
    <cellStyle name="Hyperlink" xfId="190" builtinId="8" hidden="1"/>
    <cellStyle name="Hyperlink" xfId="192" builtinId="8" hidden="1"/>
    <cellStyle name="Hyperlink" xfId="194" builtinId="8" hidden="1"/>
    <cellStyle name="Hyperlink" xfId="196" builtinId="8" hidden="1"/>
    <cellStyle name="Hyperlink" xfId="198" builtinId="8" hidden="1"/>
    <cellStyle name="Hyperlink" xfId="200" builtinId="8" hidden="1"/>
    <cellStyle name="Hyperlink" xfId="202" builtinId="8" hidden="1"/>
    <cellStyle name="Hyperlink" xfId="204" builtinId="8" hidden="1"/>
    <cellStyle name="Hyperlink" xfId="206" builtinId="8" hidden="1"/>
    <cellStyle name="Hyperlink" xfId="208" builtinId="8" hidden="1"/>
    <cellStyle name="Hyperlink" xfId="210" builtinId="8" hidden="1"/>
    <cellStyle name="Hyperlink" xfId="212" builtinId="8" hidden="1"/>
    <cellStyle name="Hyperlink" xfId="214" builtinId="8" hidden="1"/>
    <cellStyle name="Hyperlink" xfId="216" builtinId="8" hidden="1"/>
    <cellStyle name="Hyperlink" xfId="218" builtinId="8" hidden="1"/>
    <cellStyle name="Hyperlink" xfId="220" builtinId="8" hidden="1"/>
    <cellStyle name="Hyperlink" xfId="222" builtinId="8" hidden="1"/>
    <cellStyle name="Hyperlink" xfId="224" builtinId="8" hidden="1"/>
    <cellStyle name="Hyperlink" xfId="226" builtinId="8" hidden="1"/>
    <cellStyle name="Hyperlink" xfId="228" builtinId="8" hidden="1"/>
    <cellStyle name="Hyperlink" xfId="230" builtinId="8" hidden="1"/>
    <cellStyle name="Hyperlink" xfId="232" builtinId="8" hidden="1"/>
    <cellStyle name="Hyperlink" xfId="234" builtinId="8" hidden="1"/>
    <cellStyle name="Hyperlink" xfId="236" builtinId="8" hidden="1"/>
    <cellStyle name="Hyperlink" xfId="238" builtinId="8" hidden="1"/>
    <cellStyle name="Hyperlink" xfId="240" builtinId="8" hidden="1"/>
    <cellStyle name="Hyperlink" xfId="242" builtinId="8" hidden="1"/>
    <cellStyle name="Hyperlink" xfId="244" builtinId="8" hidden="1"/>
    <cellStyle name="Hyperlink" xfId="246" builtinId="8" hidden="1"/>
    <cellStyle name="Hyperlink" xfId="248" builtinId="8" hidden="1"/>
    <cellStyle name="Hyperlink" xfId="250" builtinId="8" hidden="1"/>
    <cellStyle name="Hyperlink" xfId="252" builtinId="8" hidden="1"/>
    <cellStyle name="Hyperlink" xfId="254" builtinId="8" hidden="1"/>
    <cellStyle name="Hyperlink" xfId="256" builtinId="8" hidden="1"/>
    <cellStyle name="Hyperlink" xfId="258" builtinId="8" hidden="1"/>
    <cellStyle name="Hyperlink" xfId="260" builtinId="8" hidden="1"/>
    <cellStyle name="Hyperlink" xfId="262" builtinId="8" hidden="1"/>
    <cellStyle name="Hyperlink" xfId="264" builtinId="8" hidden="1"/>
    <cellStyle name="Hyperlink" xfId="266" builtinId="8" hidden="1"/>
    <cellStyle name="Hyperlink" xfId="268" builtinId="8" hidden="1"/>
    <cellStyle name="Hyperlink" xfId="270" builtinId="8" hidden="1"/>
    <cellStyle name="Hyperlink" xfId="272" builtinId="8" hidden="1"/>
    <cellStyle name="Hyperlink" xfId="274" builtinId="8" hidden="1"/>
    <cellStyle name="Hyperlink" xfId="276" builtinId="8" hidden="1"/>
    <cellStyle name="Hyperlink" xfId="278" builtinId="8" hidden="1"/>
    <cellStyle name="Hyperlink" xfId="280" builtinId="8" hidden="1"/>
    <cellStyle name="Hyperlink" xfId="282" builtinId="8" hidden="1"/>
    <cellStyle name="Hyperlink" xfId="284" builtinId="8" hidden="1"/>
    <cellStyle name="Hyperlink" xfId="286" builtinId="8" hidden="1"/>
    <cellStyle name="Hyperlink" xfId="288" builtinId="8" hidden="1"/>
    <cellStyle name="Hyperlink" xfId="290" builtinId="8" hidden="1"/>
    <cellStyle name="Hyperlink" xfId="292" builtinId="8" hidden="1"/>
    <cellStyle name="Hyperlink" xfId="294" builtinId="8" hidden="1"/>
    <cellStyle name="Hyperlink" xfId="296" builtinId="8" hidden="1"/>
    <cellStyle name="Hyperlink" xfId="298" builtinId="8" hidden="1"/>
    <cellStyle name="Hyperlink" xfId="300" builtinId="8" hidden="1"/>
    <cellStyle name="Hyperlink" xfId="302" builtinId="8" hidden="1"/>
    <cellStyle name="Hyperlink" xfId="304" builtinId="8" hidden="1"/>
    <cellStyle name="Hyperlink" xfId="306" builtinId="8" hidden="1"/>
    <cellStyle name="Hyperlink" xfId="308" builtinId="8" hidden="1"/>
    <cellStyle name="Hyperlink" xfId="310" builtinId="8" hidden="1"/>
    <cellStyle name="Hyperlink" xfId="312" builtinId="8" hidden="1"/>
    <cellStyle name="Hyperlink" xfId="314" builtinId="8" hidden="1"/>
    <cellStyle name="Hyperlink" xfId="316" builtinId="8" hidden="1"/>
    <cellStyle name="Hyperlink" xfId="318" builtinId="8" hidden="1"/>
    <cellStyle name="Hyperlink" xfId="320" builtinId="8" hidden="1"/>
    <cellStyle name="Hyperlink" xfId="322" builtinId="8" hidden="1"/>
    <cellStyle name="Hyperlink" xfId="324" builtinId="8" hidden="1"/>
    <cellStyle name="Hyperlink" xfId="326" builtinId="8" hidden="1"/>
    <cellStyle name="Hyperlink" xfId="328" builtinId="8" hidden="1"/>
    <cellStyle name="Hyperlink" xfId="330" builtinId="8" hidden="1"/>
    <cellStyle name="Hyperlink" xfId="332" builtinId="8" hidden="1"/>
    <cellStyle name="Hyperlink" xfId="334" builtinId="8" hidden="1"/>
    <cellStyle name="Hyperlink" xfId="336" builtinId="8" hidden="1"/>
    <cellStyle name="Hyperlink" xfId="338" builtinId="8" hidden="1"/>
    <cellStyle name="Hyperlink" xfId="340" builtinId="8" hidden="1"/>
    <cellStyle name="Hyperlink" xfId="342" builtinId="8" hidden="1"/>
    <cellStyle name="Hyperlink" xfId="344" builtinId="8" hidden="1"/>
    <cellStyle name="Hyperlink" xfId="346" builtinId="8" hidden="1"/>
    <cellStyle name="Hyperlink" xfId="348" builtinId="8" hidden="1"/>
    <cellStyle name="Hyperlink" xfId="350" builtinId="8" hidden="1"/>
    <cellStyle name="Hyperlink" xfId="352" builtinId="8" hidden="1"/>
    <cellStyle name="Hyperlink" xfId="354" builtinId="8" hidden="1"/>
    <cellStyle name="Hyperlink" xfId="356" builtinId="8" hidden="1"/>
    <cellStyle name="Hyperlink" xfId="358" builtinId="8" hidden="1"/>
    <cellStyle name="Hyperlink" xfId="360" builtinId="8" hidden="1"/>
    <cellStyle name="Hyperlink" xfId="362" builtinId="8" hidden="1"/>
    <cellStyle name="Hyperlink" xfId="364" builtinId="8" hidden="1"/>
    <cellStyle name="Hyperlink" xfId="366" builtinId="8" hidden="1"/>
    <cellStyle name="Hyperlink" xfId="368" builtinId="8" hidden="1"/>
    <cellStyle name="Hyperlink" xfId="370" builtinId="8" hidden="1"/>
    <cellStyle name="Hyperlink" xfId="372" builtinId="8" hidden="1"/>
    <cellStyle name="Hyperlink" xfId="374" builtinId="8" hidden="1"/>
    <cellStyle name="Hyperlink" xfId="376" builtinId="8" hidden="1"/>
    <cellStyle name="Hyperlink" xfId="378" builtinId="8" hidden="1"/>
    <cellStyle name="Hyperlink" xfId="380" builtinId="8" hidden="1"/>
    <cellStyle name="Hyperlink" xfId="382" builtinId="8" hidden="1"/>
    <cellStyle name="Hyperlink" xfId="384" builtinId="8" hidden="1"/>
    <cellStyle name="Hyperlink" xfId="386" builtinId="8" hidden="1"/>
    <cellStyle name="Hyperlink" xfId="388" builtinId="8" hidden="1"/>
    <cellStyle name="Hyperlink" xfId="390" builtinId="8" hidden="1"/>
    <cellStyle name="Hyperlink" xfId="392" builtinId="8" hidden="1"/>
    <cellStyle name="Hyperlink" xfId="394" builtinId="8" hidden="1"/>
    <cellStyle name="Hyperlink" xfId="396" builtinId="8" hidden="1"/>
    <cellStyle name="Hyperlink" xfId="398" builtinId="8" hidden="1"/>
    <cellStyle name="Hyperlink" xfId="400" builtinId="8" hidden="1"/>
    <cellStyle name="Hyperlink" xfId="402" builtinId="8" hidden="1"/>
    <cellStyle name="Hyperlink" xfId="404" builtinId="8" hidden="1"/>
    <cellStyle name="Hyperlink" xfId="406" builtinId="8" hidden="1"/>
    <cellStyle name="Hyperlink" xfId="408" builtinId="8" hidden="1"/>
    <cellStyle name="Hyperlink" xfId="410" builtinId="8" hidden="1"/>
    <cellStyle name="Hyperlink" xfId="412" builtinId="8" hidden="1"/>
    <cellStyle name="Hyperlink" xfId="414" builtinId="8" hidden="1"/>
    <cellStyle name="Hyperlink" xfId="416" builtinId="8" hidden="1"/>
    <cellStyle name="Hyperlink" xfId="418" builtinId="8" hidden="1"/>
    <cellStyle name="Hyperlink" xfId="420" builtinId="8" hidden="1"/>
    <cellStyle name="Hyperlink" xfId="422" builtinId="8" hidden="1"/>
    <cellStyle name="Hyperlink" xfId="424" builtinId="8" hidden="1"/>
    <cellStyle name="Hyperlink" xfId="426" builtinId="8" hidden="1"/>
    <cellStyle name="Hyperlink" xfId="428" builtinId="8" hidden="1"/>
    <cellStyle name="Hyperlink" xfId="430" builtinId="8" hidden="1"/>
    <cellStyle name="Hyperlink" xfId="432" builtinId="8" hidden="1"/>
    <cellStyle name="Hyperlink" xfId="434" builtinId="8" hidden="1"/>
    <cellStyle name="Hyperlink" xfId="436" builtinId="8" hidden="1"/>
    <cellStyle name="Hyperlink" xfId="438" builtinId="8" hidden="1"/>
    <cellStyle name="Hyperlink" xfId="440" builtinId="8" hidden="1"/>
    <cellStyle name="Hyperlink" xfId="442" builtinId="8" hidden="1"/>
    <cellStyle name="Hyperlink" xfId="444" builtinId="8" hidden="1"/>
    <cellStyle name="Hyperlink" xfId="446" builtinId="8" hidden="1"/>
    <cellStyle name="Hyperlink" xfId="448" builtinId="8" hidden="1"/>
    <cellStyle name="Hyperlink" xfId="450" builtinId="8" hidden="1"/>
    <cellStyle name="Hyperlink" xfId="452" builtinId="8" hidden="1"/>
    <cellStyle name="Hyperlink" xfId="454" builtinId="8" hidden="1"/>
    <cellStyle name="Hyperlink" xfId="456" builtinId="8" hidden="1"/>
    <cellStyle name="Hyperlink" xfId="458" builtinId="8" hidden="1"/>
    <cellStyle name="Hyperlink" xfId="460" builtinId="8" hidden="1"/>
    <cellStyle name="Hyperlink" xfId="462" builtinId="8" hidden="1"/>
    <cellStyle name="Hyperlink" xfId="464" builtinId="8" hidden="1"/>
    <cellStyle name="Hyperlink" xfId="466" builtinId="8" hidden="1"/>
    <cellStyle name="Hyperlink" xfId="468" builtinId="8" hidden="1"/>
    <cellStyle name="Hyperlink" xfId="472" builtinId="8" hidden="1"/>
    <cellStyle name="Hyperlink" xfId="474" builtinId="8" hidden="1"/>
    <cellStyle name="Hyperlink" xfId="476" builtinId="8" hidden="1"/>
    <cellStyle name="Hyperlink" xfId="478" builtinId="8" hidden="1"/>
    <cellStyle name="Hyperlink" xfId="480" builtinId="8" hidden="1"/>
    <cellStyle name="Hyperlink" xfId="482" builtinId="8" hidden="1"/>
    <cellStyle name="Hyperlink" xfId="484" builtinId="8" hidden="1"/>
    <cellStyle name="Hyperlink" xfId="486" builtinId="8" hidden="1"/>
    <cellStyle name="Hyperlink" xfId="488" builtinId="8" hidden="1"/>
    <cellStyle name="Hyperlink" xfId="490" builtinId="8" hidden="1"/>
    <cellStyle name="Hyperlink" xfId="492" builtinId="8" hidden="1"/>
    <cellStyle name="Normal" xfId="0" builtinId="0"/>
    <cellStyle name="Normal 2" xfId="4"/>
    <cellStyle name="Normal 2 2" xfId="5"/>
    <cellStyle name="Normal 2 2 2" xfId="11"/>
    <cellStyle name="Normal 2 2_ServiceHistory" xfId="471"/>
    <cellStyle name="Normal 3" xfId="6"/>
    <cellStyle name="Normal 4" xfId="12"/>
    <cellStyle name="Normal_ServiceHistory" xfId="470"/>
    <cellStyle name="Note 2" xfId="13"/>
    <cellStyle name="Percent" xfId="1" builtinId="5"/>
    <cellStyle name="Percent 2" xfId="7"/>
    <cellStyle name="Percent 3" xfId="8"/>
  </cellStyles>
  <dxfs count="0"/>
  <tableStyles count="0" defaultTableStyle="TableStyleMedium9" defaultPivotStyle="PivotStyleLight16"/>
  <colors>
    <mruColors>
      <color rgb="FF0065A6"/>
      <color rgb="FF76AD1C"/>
      <color rgb="FF13294B"/>
      <color rgb="FF209AD2"/>
      <color rgb="FFACDCF2"/>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zoomScale="90" zoomScaleNormal="90" zoomScalePageLayoutView="125" workbookViewId="0">
      <selection activeCell="B5" sqref="B5"/>
    </sheetView>
  </sheetViews>
  <sheetFormatPr defaultColWidth="11.42578125" defaultRowHeight="15" x14ac:dyDescent="0.25"/>
  <cols>
    <col min="1" max="3" width="2.28515625" customWidth="1"/>
  </cols>
  <sheetData>
    <row r="1" spans="1:9" x14ac:dyDescent="0.25">
      <c r="A1" t="str">
        <f>GlobalInputs!A1</f>
        <v>Ancillary Network Services Pricing Model</v>
      </c>
    </row>
    <row r="2" spans="1:9" ht="15.75" x14ac:dyDescent="0.25">
      <c r="A2" s="5" t="s">
        <v>17</v>
      </c>
      <c r="F2" s="81" t="str">
        <f>IF(ROUND($E$8,6)=0,"ok","Problem - review CheckSheet")</f>
        <v>ok</v>
      </c>
    </row>
    <row r="4" spans="1:9" x14ac:dyDescent="0.25">
      <c r="B4" t="s">
        <v>132</v>
      </c>
    </row>
    <row r="6" spans="1:9" x14ac:dyDescent="0.25">
      <c r="B6" t="s">
        <v>115</v>
      </c>
    </row>
    <row r="7" spans="1:9" x14ac:dyDescent="0.25">
      <c r="B7" t="s">
        <v>116</v>
      </c>
    </row>
    <row r="9" spans="1:9" x14ac:dyDescent="0.25">
      <c r="B9" t="s">
        <v>93</v>
      </c>
      <c r="I9" s="89"/>
    </row>
    <row r="10" spans="1:9" x14ac:dyDescent="0.25">
      <c r="B10" t="s">
        <v>88</v>
      </c>
    </row>
    <row r="11" spans="1:9" x14ac:dyDescent="0.25">
      <c r="B11" t="s">
        <v>89</v>
      </c>
    </row>
    <row r="12" spans="1:9" x14ac:dyDescent="0.25">
      <c r="B12" s="90" t="s">
        <v>90</v>
      </c>
    </row>
    <row r="14" spans="1:9" x14ac:dyDescent="0.25">
      <c r="B14" t="s">
        <v>94</v>
      </c>
      <c r="E14" s="116"/>
      <c r="F14" t="s">
        <v>95</v>
      </c>
    </row>
    <row r="15" spans="1:9" x14ac:dyDescent="0.25">
      <c r="B15" t="s">
        <v>96</v>
      </c>
      <c r="E15" s="2"/>
    </row>
    <row r="17" spans="2:2" x14ac:dyDescent="0.25">
      <c r="B17" t="s">
        <v>91</v>
      </c>
    </row>
    <row r="18" spans="2:2" x14ac:dyDescent="0.25">
      <c r="B18" t="s">
        <v>92</v>
      </c>
    </row>
  </sheetData>
  <pageMargins left="0.75" right="0.75" top="1" bottom="1" header="0.5" footer="0.5"/>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5" tint="0.59999389629810485"/>
  </sheetPr>
  <dimension ref="A1:G57"/>
  <sheetViews>
    <sheetView zoomScale="150" zoomScaleNormal="150" zoomScalePageLayoutView="150" workbookViewId="0">
      <selection activeCell="G8" sqref="G8:G10"/>
    </sheetView>
  </sheetViews>
  <sheetFormatPr defaultColWidth="10.85546875" defaultRowHeight="15" x14ac:dyDescent="0.25"/>
  <cols>
    <col min="1" max="1" width="2.7109375" style="79" customWidth="1"/>
    <col min="2" max="3" width="2" style="79" customWidth="1"/>
    <col min="4" max="4" width="36" style="79" customWidth="1"/>
    <col min="5" max="5" width="10.85546875" style="79"/>
    <col min="6" max="6" width="3.85546875" style="79" customWidth="1"/>
    <col min="7" max="16384" width="10.85546875" style="79"/>
  </cols>
  <sheetData>
    <row r="1" spans="1:7" x14ac:dyDescent="0.25">
      <c r="A1" s="79" t="s">
        <v>187</v>
      </c>
    </row>
    <row r="2" spans="1:7" x14ac:dyDescent="0.25">
      <c r="A2" s="80" t="s">
        <v>86</v>
      </c>
      <c r="E2" s="81" t="str">
        <f>IF(ROUND($E$5,6)=0,"ok","Problem - review CheckSheet")</f>
        <v>ok</v>
      </c>
    </row>
    <row r="5" spans="1:7" x14ac:dyDescent="0.25">
      <c r="B5" s="79" t="s">
        <v>87</v>
      </c>
      <c r="E5" s="82">
        <f>SUM(E8:E57)</f>
        <v>0</v>
      </c>
    </row>
    <row r="7" spans="1:7" x14ac:dyDescent="0.25">
      <c r="E7" s="88"/>
    </row>
    <row r="8" spans="1:7" x14ac:dyDescent="0.25">
      <c r="E8" s="87"/>
      <c r="G8" s="86"/>
    </row>
    <row r="9" spans="1:7" x14ac:dyDescent="0.25">
      <c r="E9" s="83"/>
      <c r="G9" s="86"/>
    </row>
    <row r="10" spans="1:7" x14ac:dyDescent="0.25">
      <c r="E10" s="83"/>
      <c r="G10" s="86"/>
    </row>
    <row r="11" spans="1:7" x14ac:dyDescent="0.25">
      <c r="E11" s="84"/>
    </row>
    <row r="12" spans="1:7" x14ac:dyDescent="0.25">
      <c r="E12" s="84"/>
    </row>
    <row r="13" spans="1:7" x14ac:dyDescent="0.25">
      <c r="E13" s="84"/>
    </row>
    <row r="14" spans="1:7" x14ac:dyDescent="0.25">
      <c r="E14" s="84"/>
    </row>
    <row r="15" spans="1:7" x14ac:dyDescent="0.25">
      <c r="E15" s="84"/>
    </row>
    <row r="16" spans="1:7" x14ac:dyDescent="0.25">
      <c r="E16" s="84"/>
    </row>
    <row r="17" spans="5:5" x14ac:dyDescent="0.25">
      <c r="E17" s="84"/>
    </row>
    <row r="18" spans="5:5" x14ac:dyDescent="0.25">
      <c r="E18" s="84"/>
    </row>
    <row r="19" spans="5:5" x14ac:dyDescent="0.25">
      <c r="E19" s="84"/>
    </row>
    <row r="20" spans="5:5" x14ac:dyDescent="0.25">
      <c r="E20" s="84"/>
    </row>
    <row r="21" spans="5:5" x14ac:dyDescent="0.25">
      <c r="E21" s="84"/>
    </row>
    <row r="22" spans="5:5" x14ac:dyDescent="0.25">
      <c r="E22" s="84"/>
    </row>
    <row r="23" spans="5:5" x14ac:dyDescent="0.25">
      <c r="E23" s="84"/>
    </row>
    <row r="24" spans="5:5" x14ac:dyDescent="0.25">
      <c r="E24" s="84"/>
    </row>
    <row r="25" spans="5:5" x14ac:dyDescent="0.25">
      <c r="E25" s="84"/>
    </row>
    <row r="26" spans="5:5" x14ac:dyDescent="0.25">
      <c r="E26" s="84"/>
    </row>
    <row r="27" spans="5:5" x14ac:dyDescent="0.25">
      <c r="E27" s="84"/>
    </row>
    <row r="28" spans="5:5" x14ac:dyDescent="0.25">
      <c r="E28" s="84"/>
    </row>
    <row r="29" spans="5:5" x14ac:dyDescent="0.25">
      <c r="E29" s="84"/>
    </row>
    <row r="30" spans="5:5" x14ac:dyDescent="0.25">
      <c r="E30" s="84"/>
    </row>
    <row r="31" spans="5:5" x14ac:dyDescent="0.25">
      <c r="E31" s="84"/>
    </row>
    <row r="32" spans="5:5" x14ac:dyDescent="0.25">
      <c r="E32" s="84"/>
    </row>
    <row r="33" spans="5:5" x14ac:dyDescent="0.25">
      <c r="E33" s="84"/>
    </row>
    <row r="34" spans="5:5" x14ac:dyDescent="0.25">
      <c r="E34" s="84"/>
    </row>
    <row r="35" spans="5:5" x14ac:dyDescent="0.25">
      <c r="E35" s="84"/>
    </row>
    <row r="36" spans="5:5" x14ac:dyDescent="0.25">
      <c r="E36" s="84"/>
    </row>
    <row r="37" spans="5:5" x14ac:dyDescent="0.25">
      <c r="E37" s="84"/>
    </row>
    <row r="38" spans="5:5" x14ac:dyDescent="0.25">
      <c r="E38" s="84"/>
    </row>
    <row r="39" spans="5:5" x14ac:dyDescent="0.25">
      <c r="E39" s="84"/>
    </row>
    <row r="40" spans="5:5" x14ac:dyDescent="0.25">
      <c r="E40" s="84"/>
    </row>
    <row r="41" spans="5:5" x14ac:dyDescent="0.25">
      <c r="E41" s="84"/>
    </row>
    <row r="42" spans="5:5" x14ac:dyDescent="0.25">
      <c r="E42" s="84"/>
    </row>
    <row r="43" spans="5:5" x14ac:dyDescent="0.25">
      <c r="E43" s="84"/>
    </row>
    <row r="44" spans="5:5" x14ac:dyDescent="0.25">
      <c r="E44" s="84"/>
    </row>
    <row r="45" spans="5:5" x14ac:dyDescent="0.25">
      <c r="E45" s="84"/>
    </row>
    <row r="46" spans="5:5" x14ac:dyDescent="0.25">
      <c r="E46" s="84"/>
    </row>
    <row r="47" spans="5:5" x14ac:dyDescent="0.25">
      <c r="E47" s="84"/>
    </row>
    <row r="48" spans="5:5" x14ac:dyDescent="0.25">
      <c r="E48" s="84"/>
    </row>
    <row r="49" spans="5:5" x14ac:dyDescent="0.25">
      <c r="E49" s="84"/>
    </row>
    <row r="50" spans="5:5" x14ac:dyDescent="0.25">
      <c r="E50" s="84"/>
    </row>
    <row r="51" spans="5:5" x14ac:dyDescent="0.25">
      <c r="E51" s="84"/>
    </row>
    <row r="52" spans="5:5" x14ac:dyDescent="0.25">
      <c r="E52" s="84"/>
    </row>
    <row r="53" spans="5:5" x14ac:dyDescent="0.25">
      <c r="E53" s="84"/>
    </row>
    <row r="54" spans="5:5" x14ac:dyDescent="0.25">
      <c r="E54" s="84"/>
    </row>
    <row r="55" spans="5:5" x14ac:dyDescent="0.25">
      <c r="E55" s="84"/>
    </row>
    <row r="56" spans="5:5" x14ac:dyDescent="0.25">
      <c r="E56" s="84"/>
    </row>
    <row r="57" spans="5:5" x14ac:dyDescent="0.25">
      <c r="E57" s="85"/>
    </row>
  </sheetData>
  <pageMargins left="0.75" right="0.75" top="1" bottom="1" header="0.5" footer="0.5"/>
  <pageSetup paperSize="9" orientation="portrait" horizontalDpi="4294967292" verticalDpi="429496729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6" tint="-0.249977111117893"/>
    <pageSetUpPr fitToPage="1"/>
  </sheetPr>
  <dimension ref="A1:L61"/>
  <sheetViews>
    <sheetView tabSelected="1" zoomScale="90" zoomScaleNormal="90" zoomScalePageLayoutView="125" workbookViewId="0">
      <selection activeCell="C29" sqref="C29"/>
    </sheetView>
  </sheetViews>
  <sheetFormatPr defaultColWidth="9.140625" defaultRowHeight="15" x14ac:dyDescent="0.25"/>
  <cols>
    <col min="1" max="4" width="2.28515625" customWidth="1"/>
    <col min="5" max="5" width="33.140625" customWidth="1"/>
    <col min="6" max="6" width="12.5703125" bestFit="1" customWidth="1"/>
    <col min="7" max="8" width="11.140625" bestFit="1" customWidth="1"/>
    <col min="9" max="9" width="12.5703125" bestFit="1" customWidth="1"/>
    <col min="10" max="11" width="11.140625" bestFit="1" customWidth="1"/>
    <col min="12" max="12" width="2.85546875" customWidth="1"/>
    <col min="13" max="20" width="10.42578125" customWidth="1"/>
  </cols>
  <sheetData>
    <row r="1" spans="1:12" x14ac:dyDescent="0.25">
      <c r="A1" s="15" t="s">
        <v>15</v>
      </c>
    </row>
    <row r="2" spans="1:12" x14ac:dyDescent="0.25">
      <c r="A2" s="17" t="s">
        <v>76</v>
      </c>
    </row>
    <row r="3" spans="1:12" x14ac:dyDescent="0.25">
      <c r="A3" s="6" t="str">
        <f>GlobalInputs!G12</f>
        <v>Field related services</v>
      </c>
      <c r="F3" s="81" t="str">
        <f>IF(ROUND($E$5,6)=0,"ok","Problem - review CheckSheet")</f>
        <v>ok</v>
      </c>
    </row>
    <row r="5" spans="1:12" x14ac:dyDescent="0.25">
      <c r="B5" s="61" t="s">
        <v>58</v>
      </c>
      <c r="C5" s="62"/>
      <c r="D5" s="62"/>
      <c r="E5" s="62"/>
      <c r="F5" s="62"/>
      <c r="G5" s="62"/>
      <c r="H5" s="62"/>
      <c r="I5" s="62"/>
      <c r="J5" s="62"/>
      <c r="K5" s="62"/>
      <c r="L5" s="63"/>
    </row>
    <row r="6" spans="1:12" ht="81" customHeight="1" x14ac:dyDescent="0.25">
      <c r="B6" s="68"/>
      <c r="C6" s="189" t="str">
        <f>ServiceDescription!C12</f>
        <v>17 - Ancillary metering services
For example, special meter reading for types 5 and 6 meters; testing for type 5 and 6 meters; franchise CT meter install; customer requested meter accuracy testing; types 5–7 non-standard metering data services; replacement or removal of a type 5 or 6 meter instigated by a customer switching to a non-type 5 or 6 meter that is not covered by any other fee.</v>
      </c>
      <c r="D6" s="189"/>
      <c r="E6" s="189"/>
      <c r="F6" s="189"/>
      <c r="G6" s="189"/>
      <c r="H6" s="189"/>
      <c r="I6" s="189"/>
      <c r="J6" s="189"/>
      <c r="K6" s="189"/>
      <c r="L6" s="69"/>
    </row>
    <row r="7" spans="1:12" s="153" customFormat="1" ht="49.5" customHeight="1" x14ac:dyDescent="0.25">
      <c r="B7" s="68"/>
      <c r="C7" s="189" t="str">
        <f>ServiceDescription!C13</f>
        <v>18 - The alteration of the off-peak metering equipment at a customer’s premises for the purpose of changing the hours of the metering equipment’s operation.  A charge for this service may be levied for each occasion that the service is provided.</v>
      </c>
      <c r="D7" s="189"/>
      <c r="E7" s="189"/>
      <c r="F7" s="189"/>
      <c r="G7" s="189"/>
      <c r="H7" s="189"/>
      <c r="I7" s="189"/>
      <c r="J7" s="189"/>
      <c r="K7" s="189"/>
      <c r="L7" s="69"/>
    </row>
    <row r="8" spans="1:12" s="153" customFormat="1" ht="49.5" customHeight="1" x14ac:dyDescent="0.25">
      <c r="B8" s="68"/>
      <c r="C8" s="189" t="str">
        <f>ServiceDescription!C14</f>
        <v>19 - Rectification works 
Includes rectification of illegal connections, provision of service crew/additional crew, fitting of tiger tails, high load escorts.</v>
      </c>
      <c r="D8" s="189"/>
      <c r="E8" s="189"/>
      <c r="F8" s="189"/>
      <c r="G8" s="189"/>
      <c r="H8" s="189"/>
      <c r="I8" s="189"/>
      <c r="J8" s="189"/>
      <c r="K8" s="189"/>
      <c r="L8" s="69"/>
    </row>
    <row r="9" spans="1:12" s="153" customFormat="1" ht="68.25" customHeight="1" x14ac:dyDescent="0.25">
      <c r="B9" s="68"/>
      <c r="C9" s="189" t="str">
        <f>ServiceDescription!C15</f>
        <v>21 - The provision of an MG (Motor Generator) connected to the network or a direct distributor and/or use of HV Live Line Techniques when required to maintain a continued but temporary supply to otherwise impacted customers during contestable connection works.  Service is in conjunction with but in addition to access permits and clearance to work.</v>
      </c>
      <c r="D9" s="189"/>
      <c r="E9" s="189"/>
      <c r="F9" s="189"/>
      <c r="G9" s="189"/>
      <c r="H9" s="189"/>
      <c r="I9" s="189"/>
      <c r="J9" s="189"/>
      <c r="K9" s="189"/>
      <c r="L9" s="69"/>
    </row>
    <row r="10" spans="1:12" s="153" customFormat="1" ht="81.75" customHeight="1" x14ac:dyDescent="0.25">
      <c r="B10" s="68"/>
      <c r="C10" s="189" t="str">
        <f>ServiceDescription!C16</f>
        <v>28 - Recovery of costs associated with gaining access to a customer premises under statutory law, in order to carry out necessary DNSP functions.
This task normally involves a meter technician returning to a customer’s premises to undertake a service for a second time due to customer dissent during previous visits.</v>
      </c>
      <c r="D10" s="189"/>
      <c r="E10" s="189"/>
      <c r="F10" s="189"/>
      <c r="G10" s="189"/>
      <c r="H10" s="189"/>
      <c r="I10" s="189"/>
      <c r="J10" s="189"/>
      <c r="K10" s="189"/>
      <c r="L10" s="69"/>
    </row>
    <row r="11" spans="1:12" ht="14.1" customHeight="1" x14ac:dyDescent="0.25">
      <c r="B11" s="67"/>
      <c r="C11" s="70"/>
      <c r="D11" s="70"/>
      <c r="E11" s="70"/>
      <c r="F11" s="70"/>
      <c r="G11" s="70"/>
      <c r="H11" s="70"/>
      <c r="I11" s="70"/>
      <c r="J11" s="70"/>
      <c r="K11" s="70"/>
      <c r="L11" s="71"/>
    </row>
    <row r="12" spans="1:12" ht="14.1" customHeight="1" x14ac:dyDescent="0.25">
      <c r="B12" s="54"/>
      <c r="C12" s="66"/>
      <c r="D12" s="66"/>
      <c r="E12" s="66"/>
      <c r="F12" s="66"/>
      <c r="G12" s="66"/>
      <c r="H12" s="66"/>
      <c r="I12" s="66"/>
      <c r="J12" s="66"/>
      <c r="K12" s="66"/>
    </row>
    <row r="13" spans="1:12" ht="14.1" customHeight="1" x14ac:dyDescent="0.25">
      <c r="B13" s="61" t="s">
        <v>80</v>
      </c>
      <c r="C13" s="72"/>
      <c r="D13" s="72"/>
      <c r="E13" s="72"/>
      <c r="F13" s="72"/>
      <c r="G13" s="72"/>
      <c r="H13" s="72"/>
      <c r="I13" s="72"/>
      <c r="J13" s="72"/>
      <c r="K13" s="72"/>
      <c r="L13" s="63"/>
    </row>
    <row r="14" spans="1:12" ht="155.25" customHeight="1" x14ac:dyDescent="0.25">
      <c r="B14" s="68"/>
      <c r="C14" s="189" t="str">
        <f>ServiceDescription!C19</f>
        <v xml:space="preserve">In order to derive unit rates for this ancillary network service, the following methodology was used:      
-  The business units that provide this ancillary network service provided estimates for the amount of time taken to carry out the various tasks and which employee positions carried out these tasks.      
-  For each employee position an average hourly rate ($2013/14) was calculated and multiplied by the applicable hours to determine the unit cost for each task. The unit cost of all tasks were then totalled to derive the overall unit rate for this service.     
-  The forecast unit rate was applied to the volumes forecast for the 2014 - 2019 regulatory period for this ancillary network service to calculate an estimate for direct operating expenditure for this ancillary network service.   
Overheads were applied to the direct costs based on our Cost Allocation Methodology (CAM).          </v>
      </c>
      <c r="D14" s="189"/>
      <c r="E14" s="189"/>
      <c r="F14" s="189"/>
      <c r="G14" s="189"/>
      <c r="H14" s="189"/>
      <c r="I14" s="189"/>
      <c r="J14" s="189"/>
      <c r="K14" s="189"/>
      <c r="L14" s="69"/>
    </row>
    <row r="15" spans="1:12" ht="14.1" customHeight="1" x14ac:dyDescent="0.25">
      <c r="B15" s="67"/>
      <c r="C15" s="70"/>
      <c r="D15" s="70"/>
      <c r="E15" s="70"/>
      <c r="F15" s="70"/>
      <c r="G15" s="70"/>
      <c r="H15" s="70"/>
      <c r="I15" s="70"/>
      <c r="J15" s="70"/>
      <c r="K15" s="70"/>
      <c r="L15" s="71"/>
    </row>
    <row r="16" spans="1:12" ht="14.1" customHeight="1" x14ac:dyDescent="0.25">
      <c r="B16" s="54"/>
      <c r="C16" s="66"/>
      <c r="D16" s="66"/>
      <c r="E16" s="66"/>
      <c r="F16" s="66"/>
      <c r="G16" s="66"/>
      <c r="H16" s="66"/>
      <c r="I16" s="66"/>
      <c r="J16" s="66"/>
      <c r="K16" s="66"/>
    </row>
    <row r="17" spans="2:12" x14ac:dyDescent="0.25">
      <c r="B17" s="61" t="s">
        <v>72</v>
      </c>
      <c r="C17" s="62"/>
      <c r="D17" s="62"/>
      <c r="E17" s="62"/>
      <c r="F17" s="62"/>
      <c r="G17" s="62"/>
      <c r="H17" s="62"/>
      <c r="I17" s="62"/>
      <c r="J17" s="62"/>
      <c r="K17" s="62"/>
      <c r="L17" s="63"/>
    </row>
    <row r="18" spans="2:12" x14ac:dyDescent="0.25">
      <c r="B18" s="68"/>
      <c r="C18" s="54"/>
      <c r="D18" s="54"/>
      <c r="E18" s="54"/>
      <c r="F18" s="190" t="s">
        <v>78</v>
      </c>
      <c r="G18" s="190"/>
      <c r="H18" s="54"/>
      <c r="I18" s="191" t="s">
        <v>77</v>
      </c>
      <c r="J18" s="191"/>
      <c r="K18" s="55"/>
      <c r="L18" s="69"/>
    </row>
    <row r="19" spans="2:12" x14ac:dyDescent="0.25">
      <c r="B19" s="68"/>
      <c r="C19" s="59"/>
      <c r="D19" s="59"/>
      <c r="E19" s="59"/>
      <c r="F19" s="64" t="s">
        <v>79</v>
      </c>
      <c r="G19" s="64" t="s">
        <v>113</v>
      </c>
      <c r="H19" s="64"/>
      <c r="I19" s="65" t="s">
        <v>79</v>
      </c>
      <c r="J19" s="65" t="s">
        <v>67</v>
      </c>
      <c r="K19" s="55"/>
      <c r="L19" s="69"/>
    </row>
    <row r="20" spans="2:12" x14ac:dyDescent="0.25">
      <c r="B20" s="68"/>
      <c r="C20" s="54" t="str">
        <f>FeeConstruction!C7</f>
        <v>AMS - Meter Test</v>
      </c>
      <c r="D20" s="54"/>
      <c r="E20" s="54"/>
      <c r="F20" s="54"/>
      <c r="G20" s="54"/>
      <c r="H20" s="54"/>
      <c r="I20" s="56"/>
      <c r="J20" s="56"/>
      <c r="K20" s="54"/>
      <c r="L20" s="69"/>
    </row>
    <row r="21" spans="2:12" x14ac:dyDescent="0.25">
      <c r="B21" s="68"/>
      <c r="C21" s="54"/>
      <c r="D21" s="54" t="str">
        <f>FeeConstruction!D8</f>
        <v>First Meter</v>
      </c>
      <c r="E21" s="54"/>
      <c r="F21" s="54" t="str">
        <f>ServiceProjections!G8</f>
        <v>/ application</v>
      </c>
      <c r="G21" s="57">
        <f>FeeConstruction!L8</f>
        <v>442.03922321190697</v>
      </c>
      <c r="H21" s="54"/>
      <c r="I21" s="56" t="str">
        <f t="shared" ref="I21:I38" si="0">F21</f>
        <v>/ application</v>
      </c>
      <c r="J21" s="58">
        <f>FeeConstruction!H8</f>
        <v>73</v>
      </c>
      <c r="K21" s="54"/>
      <c r="L21" s="69"/>
    </row>
    <row r="22" spans="2:12" x14ac:dyDescent="0.25">
      <c r="B22" s="68"/>
      <c r="C22" s="54"/>
      <c r="D22" s="54" t="str">
        <f>FeeConstruction!D9</f>
        <v>Each Additional Meter</v>
      </c>
      <c r="E22" s="54"/>
      <c r="F22" s="54" t="str">
        <f>ServiceProjections!G9</f>
        <v>/ application</v>
      </c>
      <c r="G22" s="57">
        <f>FeeConstruction!L9</f>
        <v>325.02884059699045</v>
      </c>
      <c r="H22" s="54"/>
      <c r="I22" s="56" t="str">
        <f t="shared" si="0"/>
        <v>/ application</v>
      </c>
      <c r="J22" s="58">
        <f>FeeConstruction!H9</f>
        <v>73</v>
      </c>
      <c r="K22" s="54"/>
      <c r="L22" s="69"/>
    </row>
    <row r="23" spans="2:12" x14ac:dyDescent="0.25">
      <c r="B23" s="68"/>
      <c r="C23" s="54" t="str">
        <f>FeeConstruction!C10</f>
        <v>AMS - Franchise CT Meter Install</v>
      </c>
      <c r="D23" s="54"/>
      <c r="E23" s="54"/>
      <c r="F23" s="54"/>
      <c r="G23" s="57"/>
      <c r="H23" s="54"/>
      <c r="I23" s="56"/>
      <c r="J23" s="58"/>
      <c r="K23" s="54"/>
      <c r="L23" s="69"/>
    </row>
    <row r="24" spans="2:12" x14ac:dyDescent="0.25">
      <c r="B24" s="68"/>
      <c r="C24" s="54"/>
      <c r="D24" s="54" t="str">
        <f>FeeConstruction!D11</f>
        <v>AMS - Franchise CT Meter Install</v>
      </c>
      <c r="E24" s="54"/>
      <c r="F24" s="54" t="str">
        <f>ServiceProjections!G11</f>
        <v>/ application</v>
      </c>
      <c r="G24" s="57">
        <f>FeeConstruction!L11</f>
        <v>1111.3041967871195</v>
      </c>
      <c r="H24" s="54"/>
      <c r="I24" s="56" t="str">
        <f t="shared" si="0"/>
        <v>/ application</v>
      </c>
      <c r="J24" s="58" t="str">
        <f>FeeConstruction!H11</f>
        <v>n.a.</v>
      </c>
      <c r="K24" s="54"/>
      <c r="L24" s="69"/>
    </row>
    <row r="25" spans="2:12" x14ac:dyDescent="0.25">
      <c r="B25" s="68"/>
      <c r="C25" s="54" t="str">
        <f>FeeConstruction!C12</f>
        <v>Off Peak Conversion Fee</v>
      </c>
      <c r="D25" s="54"/>
      <c r="E25" s="54"/>
      <c r="F25" s="54"/>
      <c r="G25" s="57"/>
      <c r="H25" s="54"/>
      <c r="I25" s="56"/>
      <c r="J25" s="58"/>
      <c r="K25" s="54"/>
      <c r="L25" s="69"/>
    </row>
    <row r="26" spans="2:12" x14ac:dyDescent="0.25">
      <c r="B26" s="68"/>
      <c r="C26" s="54"/>
      <c r="D26" s="54" t="str">
        <f>FeeConstruction!D13</f>
        <v>Off Peak Conversion Fee</v>
      </c>
      <c r="E26" s="54"/>
      <c r="F26" s="54" t="str">
        <f>ServiceProjections!G15</f>
        <v>/ application</v>
      </c>
      <c r="G26" s="57">
        <f>FeeConstruction!L13</f>
        <v>80.17378068059098</v>
      </c>
      <c r="H26" s="54"/>
      <c r="I26" s="56" t="str">
        <f t="shared" si="0"/>
        <v>/ application</v>
      </c>
      <c r="J26" s="58">
        <f>FeeConstruction!H13</f>
        <v>59</v>
      </c>
      <c r="K26" s="54"/>
      <c r="L26" s="69"/>
    </row>
    <row r="27" spans="2:12" x14ac:dyDescent="0.25">
      <c r="B27" s="68"/>
      <c r="C27" s="54" t="str">
        <f>FeeConstruction!C14</f>
        <v>Rectification Works - General</v>
      </c>
      <c r="D27" s="54"/>
      <c r="E27" s="54"/>
      <c r="F27" s="54"/>
      <c r="G27" s="183"/>
      <c r="H27" s="54"/>
      <c r="I27" s="56"/>
      <c r="J27" s="184"/>
      <c r="K27" s="54"/>
      <c r="L27" s="69"/>
    </row>
    <row r="28" spans="2:12" x14ac:dyDescent="0.25">
      <c r="B28" s="68"/>
      <c r="C28" s="54"/>
      <c r="D28" s="54" t="str">
        <f>FeeConstruction!D15</f>
        <v>Rectification Works - General</v>
      </c>
      <c r="E28" s="54"/>
      <c r="F28" s="54" t="str">
        <f>ServiceProjections!G17</f>
        <v>/ hour</v>
      </c>
      <c r="G28" s="57">
        <f>FeeConstruction!L15</f>
        <v>363.77965228029433</v>
      </c>
      <c r="H28" s="54"/>
      <c r="I28" s="56" t="str">
        <f t="shared" si="0"/>
        <v>/ hour</v>
      </c>
      <c r="J28" s="58">
        <f>FeeConstruction!H15</f>
        <v>221</v>
      </c>
      <c r="K28" s="54"/>
      <c r="L28" s="69"/>
    </row>
    <row r="29" spans="2:12" x14ac:dyDescent="0.25">
      <c r="B29" s="68"/>
      <c r="C29" s="54" t="str">
        <f>FeeConstruction!C16</f>
        <v>High Load Escorts</v>
      </c>
      <c r="D29" s="54"/>
      <c r="E29" s="54"/>
      <c r="F29" s="54"/>
      <c r="G29" s="57"/>
      <c r="H29" s="54"/>
      <c r="I29" s="56"/>
      <c r="J29" s="58"/>
      <c r="K29" s="54"/>
      <c r="L29" s="69"/>
    </row>
    <row r="30" spans="2:12" x14ac:dyDescent="0.25">
      <c r="B30" s="68"/>
      <c r="C30" s="54"/>
      <c r="D30" s="54" t="str">
        <f>FeeConstruction!D17</f>
        <v>High Load Escorts</v>
      </c>
      <c r="E30" s="54"/>
      <c r="F30" s="54" t="str">
        <f>ServiceProjections!G19</f>
        <v>/ hour</v>
      </c>
      <c r="G30" s="57">
        <f>FeeConstruction!L17</f>
        <v>171.03001364014716</v>
      </c>
      <c r="H30" s="54"/>
      <c r="I30" s="56" t="str">
        <f t="shared" si="0"/>
        <v>/ hour</v>
      </c>
      <c r="J30" s="58" t="str">
        <f>FeeConstruction!H17</f>
        <v>n.a.</v>
      </c>
      <c r="K30" s="54"/>
      <c r="L30" s="69"/>
    </row>
    <row r="31" spans="2:12" x14ac:dyDescent="0.25">
      <c r="B31" s="68"/>
      <c r="C31" s="54" t="str">
        <f>FeeConstruction!C18</f>
        <v>Temporary Supply</v>
      </c>
      <c r="D31" s="54"/>
      <c r="E31" s="54"/>
      <c r="F31" s="54"/>
      <c r="G31" s="183"/>
      <c r="H31" s="54"/>
      <c r="I31" s="56"/>
      <c r="J31" s="184"/>
      <c r="K31" s="54"/>
      <c r="L31" s="69"/>
    </row>
    <row r="32" spans="2:12" x14ac:dyDescent="0.25">
      <c r="B32" s="68"/>
      <c r="C32" s="54"/>
      <c r="D32" s="54" t="str">
        <f>FeeConstruction!D19</f>
        <v>Install and remove HV LL Links</v>
      </c>
      <c r="E32" s="54"/>
      <c r="F32" s="54" t="str">
        <f>ServiceProjections!G21</f>
        <v>/ application</v>
      </c>
      <c r="G32" s="57">
        <f>FeeConstruction!L19</f>
        <v>3420.6002728029434</v>
      </c>
      <c r="H32" s="54"/>
      <c r="I32" s="56" t="str">
        <f t="shared" si="0"/>
        <v>/ application</v>
      </c>
      <c r="J32" s="58" t="str">
        <f>FeeConstruction!H19</f>
        <v>n.a.</v>
      </c>
      <c r="K32" s="54"/>
      <c r="L32" s="69"/>
    </row>
    <row r="33" spans="2:12" x14ac:dyDescent="0.25">
      <c r="B33" s="68"/>
      <c r="C33" s="54"/>
      <c r="D33" s="54" t="str">
        <f>FeeConstruction!D20</f>
        <v>Break and remake HV bonds</v>
      </c>
      <c r="E33" s="54"/>
      <c r="F33" s="54" t="str">
        <f>ServiceProjections!G22</f>
        <v>/ application</v>
      </c>
      <c r="G33" s="183">
        <f>FeeConstruction!L20</f>
        <v>2565.4502046022076</v>
      </c>
      <c r="H33" s="54"/>
      <c r="I33" s="56" t="str">
        <f t="shared" si="0"/>
        <v>/ application</v>
      </c>
      <c r="J33" s="58" t="str">
        <f>FeeConstruction!H20</f>
        <v>n.a.</v>
      </c>
      <c r="K33" s="54"/>
      <c r="L33" s="69"/>
    </row>
    <row r="34" spans="2:12" x14ac:dyDescent="0.25">
      <c r="B34" s="68"/>
      <c r="C34" s="54"/>
      <c r="D34" s="54" t="str">
        <f>FeeConstruction!D21</f>
        <v>Break and remake LV bonds</v>
      </c>
      <c r="E34" s="54"/>
      <c r="F34" s="54" t="str">
        <f>ServiceProjections!G23</f>
        <v>/ application</v>
      </c>
      <c r="G34" s="183">
        <f>FeeConstruction!L21</f>
        <v>2052.3601636817657</v>
      </c>
      <c r="H34" s="54"/>
      <c r="I34" s="56" t="str">
        <f t="shared" si="0"/>
        <v>/ application</v>
      </c>
      <c r="J34" s="184" t="str">
        <f>FeeConstruction!H21</f>
        <v>n.a.</v>
      </c>
      <c r="K34" s="54"/>
      <c r="L34" s="69"/>
    </row>
    <row r="35" spans="2:12" x14ac:dyDescent="0.25">
      <c r="B35" s="68"/>
      <c r="C35" s="54"/>
      <c r="D35" s="54" t="str">
        <f>FeeConstruction!D22</f>
        <v>Connect and disconnect generator to OH mains</v>
      </c>
      <c r="E35" s="54"/>
      <c r="F35" s="54" t="str">
        <f>ServiceProjections!G24</f>
        <v>/ application</v>
      </c>
      <c r="G35" s="57">
        <f>FeeConstruction!L22</f>
        <v>2052.3601636817657</v>
      </c>
      <c r="H35" s="54"/>
      <c r="I35" s="56" t="str">
        <f t="shared" si="0"/>
        <v>/ application</v>
      </c>
      <c r="J35" s="58" t="str">
        <f>FeeConstruction!H22</f>
        <v>n.a.</v>
      </c>
      <c r="K35" s="54"/>
      <c r="L35" s="69"/>
    </row>
    <row r="36" spans="2:12" x14ac:dyDescent="0.25">
      <c r="B36" s="68"/>
      <c r="C36" s="54"/>
      <c r="D36" s="54" t="str">
        <f>FeeConstruction!D23</f>
        <v>Connect and disconnect MG to LV board in Kiosk</v>
      </c>
      <c r="E36" s="54"/>
      <c r="F36" s="54" t="str">
        <f>ServiceProjections!G25</f>
        <v>/ application</v>
      </c>
      <c r="G36" s="57">
        <f>FeeConstruction!L23</f>
        <v>1368.2401091211773</v>
      </c>
      <c r="H36" s="54"/>
      <c r="I36" s="56" t="str">
        <f t="shared" si="0"/>
        <v>/ application</v>
      </c>
      <c r="J36" s="58" t="str">
        <f>FeeConstruction!H23</f>
        <v>n.a.</v>
      </c>
      <c r="K36" s="54"/>
      <c r="L36" s="69"/>
    </row>
    <row r="37" spans="2:12" x14ac:dyDescent="0.25">
      <c r="B37" s="68"/>
      <c r="C37" s="54" t="str">
        <f>FeeConstruction!C24</f>
        <v>Attendance (statutory)</v>
      </c>
      <c r="D37" s="54"/>
      <c r="E37" s="54"/>
      <c r="F37" s="54"/>
      <c r="G37" s="183"/>
      <c r="H37" s="54"/>
      <c r="I37" s="56"/>
      <c r="J37" s="184"/>
      <c r="K37" s="54"/>
      <c r="L37" s="69"/>
    </row>
    <row r="38" spans="2:12" x14ac:dyDescent="0.25">
      <c r="B38" s="68"/>
      <c r="C38" s="54"/>
      <c r="D38" s="54" t="str">
        <f>FeeConstruction!D25</f>
        <v>Attendance (statutory)</v>
      </c>
      <c r="E38" s="54"/>
      <c r="F38" s="54" t="str">
        <f>ServiceProjections!G27</f>
        <v>/ hour</v>
      </c>
      <c r="G38" s="57">
        <f>FeeConstruction!L25</f>
        <v>130.01153623879617</v>
      </c>
      <c r="H38" s="54"/>
      <c r="I38" s="56" t="str">
        <f t="shared" si="0"/>
        <v>/ hour</v>
      </c>
      <c r="J38" s="58" t="str">
        <f>FeeConstruction!H25</f>
        <v>n.a.</v>
      </c>
      <c r="K38" s="54"/>
      <c r="L38" s="69"/>
    </row>
    <row r="39" spans="2:12" x14ac:dyDescent="0.25">
      <c r="B39" s="67"/>
      <c r="C39" s="73"/>
      <c r="D39" s="73"/>
      <c r="E39" s="73"/>
      <c r="F39" s="73"/>
      <c r="G39" s="73"/>
      <c r="H39" s="73"/>
      <c r="I39" s="73"/>
      <c r="J39" s="73"/>
      <c r="K39" s="73"/>
      <c r="L39" s="71"/>
    </row>
    <row r="41" spans="2:12" x14ac:dyDescent="0.25">
      <c r="B41" s="60" t="s">
        <v>81</v>
      </c>
      <c r="C41" s="60"/>
      <c r="D41" s="60"/>
      <c r="E41" s="60"/>
      <c r="F41" s="60"/>
      <c r="G41" s="60"/>
      <c r="H41" s="60"/>
      <c r="I41" s="60"/>
      <c r="J41" s="60"/>
      <c r="K41" s="60"/>
      <c r="L41" s="60"/>
    </row>
    <row r="42" spans="2:12" x14ac:dyDescent="0.25">
      <c r="B42" s="60"/>
      <c r="L42" s="60"/>
    </row>
    <row r="43" spans="2:12" x14ac:dyDescent="0.25">
      <c r="B43" s="60"/>
      <c r="C43" s="53" t="s">
        <v>82</v>
      </c>
      <c r="D43" s="53"/>
      <c r="E43" s="53"/>
      <c r="F43" s="53"/>
      <c r="G43" s="53"/>
      <c r="H43" s="53"/>
      <c r="I43" s="53"/>
      <c r="J43" s="53"/>
      <c r="K43" s="53"/>
      <c r="L43" s="60"/>
    </row>
    <row r="44" spans="2:12" x14ac:dyDescent="0.25">
      <c r="B44" s="60"/>
      <c r="C44" s="53"/>
      <c r="D44" s="76"/>
      <c r="E44" s="140" t="s">
        <v>114</v>
      </c>
      <c r="F44" s="76"/>
      <c r="G44" s="65" t="str">
        <f>GlobalInputs!G15</f>
        <v>2009/10</v>
      </c>
      <c r="H44" s="65" t="str">
        <f>GlobalInputs!H15</f>
        <v>2010/11</v>
      </c>
      <c r="I44" s="65" t="str">
        <f>GlobalInputs!I15</f>
        <v>2011/12</v>
      </c>
      <c r="J44" s="65" t="str">
        <f>GlobalInputs!J15</f>
        <v>2012/13</v>
      </c>
      <c r="K44" s="65" t="str">
        <f>GlobalInputs!K15</f>
        <v>2013/14</v>
      </c>
      <c r="L44" s="60"/>
    </row>
    <row r="45" spans="2:12" x14ac:dyDescent="0.25">
      <c r="B45" s="60"/>
      <c r="C45" s="53"/>
      <c r="D45" s="53"/>
      <c r="E45" s="53"/>
      <c r="F45" s="53"/>
      <c r="G45" s="52"/>
      <c r="H45" s="52"/>
      <c r="I45" s="52"/>
      <c r="J45" s="52"/>
      <c r="K45" s="52"/>
      <c r="L45" s="60"/>
    </row>
    <row r="46" spans="2:12" x14ac:dyDescent="0.25">
      <c r="B46" s="60"/>
      <c r="C46" s="53"/>
      <c r="D46" s="53" t="s">
        <v>13</v>
      </c>
      <c r="E46" s="53"/>
      <c r="F46" s="53" t="s">
        <v>40</v>
      </c>
      <c r="G46" s="77">
        <f>ServiceHistory!G57</f>
        <v>58553.279999999999</v>
      </c>
      <c r="H46" s="77">
        <f>ServiceHistory!H57</f>
        <v>51284.7</v>
      </c>
      <c r="I46" s="77">
        <f>ServiceHistory!I57</f>
        <v>55734.78</v>
      </c>
      <c r="J46" s="77">
        <f>ServiceHistory!J57</f>
        <v>57846.600000000006</v>
      </c>
      <c r="K46" s="77">
        <f>ServiceHistory!K57</f>
        <v>43953.152000000002</v>
      </c>
      <c r="L46" s="60"/>
    </row>
    <row r="47" spans="2:12" x14ac:dyDescent="0.25">
      <c r="B47" s="60"/>
      <c r="C47" s="53"/>
      <c r="D47" s="53"/>
      <c r="E47" s="53"/>
      <c r="F47" s="53"/>
      <c r="G47" s="53"/>
      <c r="H47" s="53"/>
      <c r="I47" s="53"/>
      <c r="J47" s="53"/>
      <c r="K47" s="53"/>
      <c r="L47" s="60"/>
    </row>
    <row r="48" spans="2:12" x14ac:dyDescent="0.25">
      <c r="B48" s="60"/>
      <c r="C48" s="53"/>
      <c r="D48" s="53" t="s">
        <v>83</v>
      </c>
      <c r="E48" s="53"/>
      <c r="F48" s="53" t="s">
        <v>40</v>
      </c>
      <c r="G48" s="77">
        <f>ServiceHistory!G114</f>
        <v>3288924.8773726323</v>
      </c>
      <c r="H48" s="77">
        <f>ServiceHistory!H114</f>
        <v>3346089.0526026613</v>
      </c>
      <c r="I48" s="77">
        <f>ServiceHistory!I114</f>
        <v>3264462.0724584134</v>
      </c>
      <c r="J48" s="77">
        <f>ServiceHistory!J114</f>
        <v>3486631.3439348657</v>
      </c>
      <c r="K48" s="77">
        <f>ServiceHistory!K114</f>
        <v>2979641.1392316171</v>
      </c>
      <c r="L48" s="60"/>
    </row>
    <row r="49" spans="2:12" x14ac:dyDescent="0.25">
      <c r="B49" s="60"/>
      <c r="C49" s="53"/>
      <c r="D49" s="53" t="s">
        <v>84</v>
      </c>
      <c r="E49" s="53"/>
      <c r="F49" s="53"/>
      <c r="G49" s="77">
        <f>ServiceHistory!G124</f>
        <v>1940427.6787679279</v>
      </c>
      <c r="H49" s="77">
        <f>ServiceHistory!H124</f>
        <v>1701374.9588708046</v>
      </c>
      <c r="I49" s="77">
        <f>ServiceHistory!I124</f>
        <v>1664242.2409466498</v>
      </c>
      <c r="J49" s="77">
        <f>ServiceHistory!J124</f>
        <v>1610081.2876280881</v>
      </c>
      <c r="K49" s="77">
        <f>ServiceHistory!K124</f>
        <v>1508220.0613152036</v>
      </c>
      <c r="L49" s="60"/>
    </row>
    <row r="50" spans="2:12" x14ac:dyDescent="0.25">
      <c r="B50" s="60"/>
      <c r="C50" s="53"/>
      <c r="D50" s="53"/>
      <c r="E50" s="53"/>
      <c r="F50" s="53" t="s">
        <v>40</v>
      </c>
      <c r="G50" s="78">
        <f>SUM(G48:G49)</f>
        <v>5229352.5561405607</v>
      </c>
      <c r="H50" s="78">
        <f t="shared" ref="H50:K50" si="1">SUM(H48:H49)</f>
        <v>5047464.0114734657</v>
      </c>
      <c r="I50" s="78">
        <f t="shared" si="1"/>
        <v>4928704.313405063</v>
      </c>
      <c r="J50" s="78">
        <f t="shared" si="1"/>
        <v>5096712.6315629538</v>
      </c>
      <c r="K50" s="78">
        <f t="shared" si="1"/>
        <v>4487861.2005468206</v>
      </c>
      <c r="L50" s="60"/>
    </row>
    <row r="51" spans="2:12" x14ac:dyDescent="0.25">
      <c r="B51" s="60"/>
      <c r="L51" s="60"/>
    </row>
    <row r="52" spans="2:12" x14ac:dyDescent="0.25">
      <c r="B52" s="60"/>
      <c r="C52" t="s">
        <v>85</v>
      </c>
      <c r="L52" s="60"/>
    </row>
    <row r="53" spans="2:12" x14ac:dyDescent="0.25">
      <c r="B53" s="60"/>
      <c r="D53" s="59"/>
      <c r="E53" s="141" t="s">
        <v>101</v>
      </c>
      <c r="F53" s="59"/>
      <c r="G53" s="64" t="str">
        <f>GlobalInputs!G16</f>
        <v>2014/15</v>
      </c>
      <c r="H53" s="64" t="str">
        <f>GlobalInputs!H16</f>
        <v>2015/16</v>
      </c>
      <c r="I53" s="64" t="str">
        <f>GlobalInputs!I16</f>
        <v>2016/17</v>
      </c>
      <c r="J53" s="64" t="str">
        <f>GlobalInputs!J16</f>
        <v>2017/18</v>
      </c>
      <c r="K53" s="64" t="str">
        <f>GlobalInputs!K16</f>
        <v>2018/19</v>
      </c>
      <c r="L53" s="60"/>
    </row>
    <row r="54" spans="2:12" x14ac:dyDescent="0.25">
      <c r="B54" s="60"/>
      <c r="G54" s="51"/>
      <c r="H54" s="51"/>
      <c r="I54" s="51"/>
      <c r="J54" s="51"/>
      <c r="K54" s="51"/>
      <c r="L54" s="60"/>
    </row>
    <row r="55" spans="2:12" x14ac:dyDescent="0.25">
      <c r="B55" s="60"/>
      <c r="D55" t="s">
        <v>13</v>
      </c>
      <c r="F55" t="s">
        <v>40</v>
      </c>
      <c r="G55" s="74">
        <f>SUM(FeeConstruction!U8:U25)</f>
        <v>3614331.2964689904</v>
      </c>
      <c r="H55" s="74">
        <f>SUM(FeeConstruction!V8:V25)</f>
        <v>3614331.2964689904</v>
      </c>
      <c r="I55" s="74">
        <f>SUM(FeeConstruction!W8:W25)</f>
        <v>3614331.2964689904</v>
      </c>
      <c r="J55" s="74">
        <f>SUM(FeeConstruction!X8:X25)</f>
        <v>3614331.2964689904</v>
      </c>
      <c r="K55" s="74">
        <f>SUM(FeeConstruction!Y8:Y25)</f>
        <v>3614331.2964689904</v>
      </c>
      <c r="L55" s="60"/>
    </row>
    <row r="56" spans="2:12" x14ac:dyDescent="0.25">
      <c r="B56" s="60"/>
      <c r="L56" s="60"/>
    </row>
    <row r="57" spans="2:12" x14ac:dyDescent="0.25">
      <c r="B57" s="60"/>
      <c r="D57" t="s">
        <v>83</v>
      </c>
      <c r="F57" t="s">
        <v>40</v>
      </c>
      <c r="G57" s="74">
        <f>SUM(FeeConstruction!AB8:AB25)</f>
        <v>2493278.4665318932</v>
      </c>
      <c r="H57" s="74">
        <f>SUM(FeeConstruction!AC8:AC25)</f>
        <v>2493278.4665318932</v>
      </c>
      <c r="I57" s="74">
        <f>SUM(FeeConstruction!AD8:AD25)</f>
        <v>2493278.4665318932</v>
      </c>
      <c r="J57" s="74">
        <f>SUM(FeeConstruction!AE8:AE25)</f>
        <v>2493278.4665318932</v>
      </c>
      <c r="K57" s="74">
        <f>SUM(FeeConstruction!AF8:AF25)</f>
        <v>2493278.4665318932</v>
      </c>
      <c r="L57" s="60"/>
    </row>
    <row r="58" spans="2:12" x14ac:dyDescent="0.25">
      <c r="B58" s="60"/>
      <c r="D58" t="s">
        <v>84</v>
      </c>
      <c r="G58" s="74">
        <f>SUM(FeeConstruction!AI8:AI25)</f>
        <v>1039099.7588092126</v>
      </c>
      <c r="H58" s="74">
        <f>SUM(FeeConstruction!AJ8:AJ25)</f>
        <v>1039099.7588092126</v>
      </c>
      <c r="I58" s="74">
        <f>SUM(FeeConstruction!AK8:AK25)</f>
        <v>1039099.7588092126</v>
      </c>
      <c r="J58" s="74">
        <f>SUM(FeeConstruction!AL8:AL25)</f>
        <v>1039099.7588092126</v>
      </c>
      <c r="K58" s="74">
        <f>SUM(FeeConstruction!AM8:AM25)</f>
        <v>1039099.7588092126</v>
      </c>
      <c r="L58" s="60"/>
    </row>
    <row r="59" spans="2:12" s="153" customFormat="1" x14ac:dyDescent="0.25">
      <c r="B59" s="60"/>
      <c r="D59" s="153" t="s">
        <v>182</v>
      </c>
      <c r="G59" s="74">
        <f>SUM(FeeConstruction!AP8:AP25)</f>
        <v>81953.071127884366</v>
      </c>
      <c r="H59" s="74">
        <f>SUM(FeeConstruction!AQ8:AQ25)</f>
        <v>81953.071127884366</v>
      </c>
      <c r="I59" s="74">
        <f>SUM(FeeConstruction!AR8:AR25)</f>
        <v>81953.071127884366</v>
      </c>
      <c r="J59" s="74">
        <f>SUM(FeeConstruction!AS8:AS25)</f>
        <v>81953.071127884366</v>
      </c>
      <c r="K59" s="74">
        <f>SUM(FeeConstruction!AT8:AT25)</f>
        <v>81953.071127884366</v>
      </c>
      <c r="L59" s="60"/>
    </row>
    <row r="60" spans="2:12" x14ac:dyDescent="0.25">
      <c r="B60" s="60"/>
      <c r="F60" t="s">
        <v>40</v>
      </c>
      <c r="G60" s="75">
        <f>SUM(G57:G59)</f>
        <v>3614331.2964689904</v>
      </c>
      <c r="H60" s="75">
        <f t="shared" ref="H60:K60" si="2">SUM(H57:H59)</f>
        <v>3614331.2964689904</v>
      </c>
      <c r="I60" s="75">
        <f t="shared" si="2"/>
        <v>3614331.2964689904</v>
      </c>
      <c r="J60" s="75">
        <f t="shared" si="2"/>
        <v>3614331.2964689904</v>
      </c>
      <c r="K60" s="75">
        <f t="shared" si="2"/>
        <v>3614331.2964689904</v>
      </c>
      <c r="L60" s="60"/>
    </row>
    <row r="61" spans="2:12" x14ac:dyDescent="0.25">
      <c r="B61" s="60"/>
      <c r="C61" s="60"/>
      <c r="D61" s="60"/>
      <c r="E61" s="60"/>
      <c r="F61" s="60"/>
      <c r="G61" s="60"/>
      <c r="H61" s="60"/>
      <c r="I61" s="60"/>
      <c r="J61" s="60"/>
      <c r="K61" s="60"/>
      <c r="L61" s="60"/>
    </row>
  </sheetData>
  <mergeCells count="8">
    <mergeCell ref="C14:K14"/>
    <mergeCell ref="C6:K6"/>
    <mergeCell ref="F18:G18"/>
    <mergeCell ref="I18:J18"/>
    <mergeCell ref="C7:K7"/>
    <mergeCell ref="C8:K8"/>
    <mergeCell ref="C9:K9"/>
    <mergeCell ref="C10:K10"/>
  </mergeCells>
  <pageMargins left="0.39370078740157483" right="0.39370078740157483" top="0.39370078740157483" bottom="0.39370078740157483" header="0.19685039370078741" footer="0.19685039370078741"/>
  <pageSetup paperSize="9" scale="62" orientation="portrait" r:id="rId1"/>
  <headerFooter>
    <oddFooter>&amp;C&amp;F&amp;R&amp;A</oddFooter>
  </headerFooter>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9" tint="-0.249977111117893"/>
  </sheetPr>
  <dimension ref="A1:E3"/>
  <sheetViews>
    <sheetView workbookViewId="0"/>
  </sheetViews>
  <sheetFormatPr defaultColWidth="0" defaultRowHeight="15" customHeight="1" zeroHeight="1" x14ac:dyDescent="0.25"/>
  <cols>
    <col min="1" max="1" width="2.42578125" customWidth="1"/>
    <col min="2" max="5" width="9.140625" customWidth="1"/>
    <col min="6" max="16384" width="9.140625" hidden="1"/>
  </cols>
  <sheetData>
    <row r="1" spans="2:2" x14ac:dyDescent="0.25"/>
    <row r="2" spans="2:2" x14ac:dyDescent="0.25">
      <c r="B2" s="1" t="s">
        <v>12</v>
      </c>
    </row>
    <row r="3" spans="2:2" x14ac:dyDescent="0.25"/>
  </sheetData>
  <pageMargins left="0.70866141732283472" right="0.70866141732283472" top="0.74803149606299213" bottom="0.74803149606299213" header="0.31496062992125984" footer="0.31496062992125984"/>
  <pageSetup paperSize="9" orientation="portrait"/>
  <headerFooter>
    <oddFooter>&amp;C&amp;F&amp;R&amp;A</oddFooter>
  </headerFooter>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9" tint="0.59999389629810485"/>
  </sheetPr>
  <dimension ref="A1:M30"/>
  <sheetViews>
    <sheetView zoomScale="90" zoomScaleNormal="90" zoomScalePageLayoutView="125" workbookViewId="0">
      <selection activeCell="M19" sqref="M19:M30"/>
    </sheetView>
  </sheetViews>
  <sheetFormatPr defaultColWidth="10.85546875" defaultRowHeight="12.95" customHeight="1" x14ac:dyDescent="0.2"/>
  <cols>
    <col min="1" max="4" width="2.28515625" style="125" customWidth="1"/>
    <col min="5" max="5" width="39.28515625" style="125" customWidth="1"/>
    <col min="6" max="11" width="10.85546875" style="125"/>
    <col min="12" max="12" width="2.7109375" style="125" customWidth="1"/>
    <col min="13" max="13" width="45.85546875" style="125" customWidth="1"/>
    <col min="14" max="16384" width="10.85546875" style="125"/>
  </cols>
  <sheetData>
    <row r="1" spans="1:13" ht="12.95" customHeight="1" x14ac:dyDescent="0.2">
      <c r="A1" s="125" t="s">
        <v>15</v>
      </c>
    </row>
    <row r="2" spans="1:13" ht="18" customHeight="1" x14ac:dyDescent="0.25">
      <c r="A2" s="133" t="s">
        <v>16</v>
      </c>
      <c r="F2" s="126" t="str">
        <f>IF(ROUND($E$6,6)=0,"ok","Problem - review CheckSheet")</f>
        <v>ok</v>
      </c>
    </row>
    <row r="3" spans="1:13" ht="12.95" customHeight="1" x14ac:dyDescent="0.2">
      <c r="A3" s="125" t="str">
        <f>G12</f>
        <v>Field related services</v>
      </c>
      <c r="F3" s="126"/>
    </row>
    <row r="5" spans="1:13" ht="12.95" customHeight="1" x14ac:dyDescent="0.2">
      <c r="B5" s="125" t="s">
        <v>21</v>
      </c>
    </row>
    <row r="6" spans="1:13" ht="12.95" customHeight="1" x14ac:dyDescent="0.2">
      <c r="C6" s="125" t="s">
        <v>19</v>
      </c>
      <c r="G6" s="195" t="s">
        <v>20</v>
      </c>
      <c r="H6" s="195"/>
      <c r="M6" s="127" t="s">
        <v>38</v>
      </c>
    </row>
    <row r="7" spans="1:13" ht="12.95" customHeight="1" x14ac:dyDescent="0.2">
      <c r="C7" s="125" t="s">
        <v>18</v>
      </c>
      <c r="G7" s="195" t="s">
        <v>134</v>
      </c>
      <c r="H7" s="195"/>
      <c r="I7" s="195"/>
      <c r="J7" s="195"/>
      <c r="K7" s="195"/>
    </row>
    <row r="8" spans="1:13" ht="12.95" customHeight="1" x14ac:dyDescent="0.2">
      <c r="G8" s="149" t="s">
        <v>135</v>
      </c>
      <c r="H8" s="149"/>
      <c r="I8" s="149"/>
      <c r="J8" s="149"/>
      <c r="K8" s="149"/>
    </row>
    <row r="9" spans="1:13" ht="12.95" customHeight="1" x14ac:dyDescent="0.2">
      <c r="G9" s="149" t="s">
        <v>136</v>
      </c>
      <c r="H9" s="149"/>
      <c r="I9" s="149"/>
      <c r="J9" s="149"/>
      <c r="K9" s="149"/>
    </row>
    <row r="10" spans="1:13" ht="12.95" customHeight="1" x14ac:dyDescent="0.2">
      <c r="G10" s="149" t="s">
        <v>137</v>
      </c>
      <c r="H10" s="149"/>
      <c r="I10" s="149"/>
      <c r="J10" s="149"/>
      <c r="K10" s="149"/>
    </row>
    <row r="11" spans="1:13" ht="12.95" customHeight="1" x14ac:dyDescent="0.2">
      <c r="G11" s="149" t="s">
        <v>138</v>
      </c>
      <c r="H11" s="149"/>
      <c r="I11" s="149"/>
      <c r="J11" s="149"/>
      <c r="K11" s="149"/>
    </row>
    <row r="12" spans="1:13" ht="12.95" customHeight="1" x14ac:dyDescent="0.2">
      <c r="C12" s="125" t="s">
        <v>123</v>
      </c>
      <c r="G12" s="196" t="s">
        <v>133</v>
      </c>
      <c r="H12" s="196"/>
      <c r="I12" s="196"/>
    </row>
    <row r="14" spans="1:13" ht="12.95" customHeight="1" x14ac:dyDescent="0.2">
      <c r="B14" s="125" t="s">
        <v>22</v>
      </c>
    </row>
    <row r="15" spans="1:13" ht="12.95" customHeight="1" x14ac:dyDescent="0.2">
      <c r="C15" s="125" t="s">
        <v>23</v>
      </c>
      <c r="G15" s="128" t="s">
        <v>2</v>
      </c>
      <c r="H15" s="128" t="s">
        <v>3</v>
      </c>
      <c r="I15" s="128" t="s">
        <v>4</v>
      </c>
      <c r="J15" s="128" t="s">
        <v>5</v>
      </c>
      <c r="K15" s="128" t="s">
        <v>6</v>
      </c>
    </row>
    <row r="16" spans="1:13" ht="12.95" customHeight="1" x14ac:dyDescent="0.2">
      <c r="C16" s="125" t="s">
        <v>24</v>
      </c>
      <c r="G16" s="128" t="s">
        <v>7</v>
      </c>
      <c r="H16" s="128" t="s">
        <v>8</v>
      </c>
      <c r="I16" s="128" t="s">
        <v>9</v>
      </c>
      <c r="J16" s="128" t="s">
        <v>10</v>
      </c>
      <c r="K16" s="128" t="s">
        <v>11</v>
      </c>
    </row>
    <row r="18" spans="2:13" ht="12.95" customHeight="1" x14ac:dyDescent="0.2">
      <c r="B18" s="125" t="s">
        <v>25</v>
      </c>
    </row>
    <row r="19" spans="2:13" ht="12.95" customHeight="1" x14ac:dyDescent="0.2">
      <c r="B19" s="117" t="s">
        <v>26</v>
      </c>
      <c r="C19" s="118"/>
      <c r="D19" s="118"/>
      <c r="E19" s="118"/>
      <c r="F19" s="118"/>
      <c r="G19" s="134" t="s">
        <v>97</v>
      </c>
      <c r="H19" s="134" t="s">
        <v>98</v>
      </c>
      <c r="I19" s="134" t="s">
        <v>99</v>
      </c>
      <c r="J19" s="135" t="s">
        <v>100</v>
      </c>
      <c r="M19" s="192" t="s">
        <v>183</v>
      </c>
    </row>
    <row r="20" spans="2:13" ht="12.95" customHeight="1" x14ac:dyDescent="0.2">
      <c r="B20" s="119"/>
      <c r="C20" s="120"/>
      <c r="D20" s="120"/>
      <c r="E20" s="120" t="s">
        <v>101</v>
      </c>
      <c r="F20" s="120"/>
      <c r="G20" s="120" t="s">
        <v>102</v>
      </c>
      <c r="H20" s="120" t="s">
        <v>102</v>
      </c>
      <c r="I20" s="120" t="s">
        <v>103</v>
      </c>
      <c r="J20" s="121" t="s">
        <v>104</v>
      </c>
      <c r="M20" s="193"/>
    </row>
    <row r="21" spans="2:13" ht="12.95" customHeight="1" x14ac:dyDescent="0.2">
      <c r="B21" s="119"/>
      <c r="C21" s="122" t="s">
        <v>27</v>
      </c>
      <c r="D21" s="122"/>
      <c r="E21" s="122" t="s">
        <v>28</v>
      </c>
      <c r="F21" s="122" t="s">
        <v>29</v>
      </c>
      <c r="G21" s="129">
        <v>78.184626490066336</v>
      </c>
      <c r="H21" s="129">
        <v>32.590000000000003</v>
      </c>
      <c r="I21" s="129">
        <v>2.4500000000000002</v>
      </c>
      <c r="J21" s="130">
        <v>113.22462649006634</v>
      </c>
      <c r="M21" s="193"/>
    </row>
    <row r="22" spans="2:13" ht="12.95" customHeight="1" x14ac:dyDescent="0.2">
      <c r="B22" s="119"/>
      <c r="C22" s="122" t="s">
        <v>30</v>
      </c>
      <c r="D22" s="122"/>
      <c r="E22" s="122" t="s">
        <v>31</v>
      </c>
      <c r="F22" s="122"/>
      <c r="G22" s="129">
        <v>99.160031683948517</v>
      </c>
      <c r="H22" s="129">
        <v>41.33</v>
      </c>
      <c r="I22" s="129">
        <v>3.1</v>
      </c>
      <c r="J22" s="130">
        <v>143.59003168394852</v>
      </c>
      <c r="M22" s="193"/>
    </row>
    <row r="23" spans="2:13" ht="12.95" customHeight="1" x14ac:dyDescent="0.2">
      <c r="B23" s="119"/>
      <c r="C23" s="122" t="s">
        <v>32</v>
      </c>
      <c r="D23" s="122"/>
      <c r="E23" s="122" t="s">
        <v>33</v>
      </c>
      <c r="F23" s="122"/>
      <c r="G23" s="129">
        <v>118.11003168394852</v>
      </c>
      <c r="H23" s="129">
        <v>49.227195871359022</v>
      </c>
      <c r="I23" s="129">
        <v>3.6927860848396072</v>
      </c>
      <c r="J23" s="130">
        <v>171.03001364014716</v>
      </c>
      <c r="M23" s="193"/>
    </row>
    <row r="24" spans="2:13" ht="12.95" customHeight="1" x14ac:dyDescent="0.2">
      <c r="B24" s="119"/>
      <c r="C24" s="122" t="s">
        <v>34</v>
      </c>
      <c r="D24" s="122"/>
      <c r="E24" s="122" t="s">
        <v>35</v>
      </c>
      <c r="F24" s="122"/>
      <c r="G24" s="129">
        <v>132.85725843654632</v>
      </c>
      <c r="H24" s="129">
        <v>55.367195871359023</v>
      </c>
      <c r="I24" s="129">
        <v>4.1527860848396072</v>
      </c>
      <c r="J24" s="130">
        <v>192.37724039274497</v>
      </c>
      <c r="M24" s="193"/>
    </row>
    <row r="25" spans="2:13" ht="12.95" customHeight="1" x14ac:dyDescent="0.2">
      <c r="B25" s="119"/>
      <c r="C25" s="122" t="s">
        <v>36</v>
      </c>
      <c r="D25" s="122"/>
      <c r="E25" s="122" t="s">
        <v>37</v>
      </c>
      <c r="F25" s="122"/>
      <c r="G25" s="129">
        <v>89.78155428259754</v>
      </c>
      <c r="H25" s="129">
        <v>37.417195871359027</v>
      </c>
      <c r="I25" s="129">
        <v>2.8127860848396073</v>
      </c>
      <c r="J25" s="130">
        <v>130.01153623879617</v>
      </c>
      <c r="M25" s="193"/>
    </row>
    <row r="26" spans="2:13" ht="12.95" customHeight="1" x14ac:dyDescent="0.2">
      <c r="B26" s="119"/>
      <c r="C26" s="122" t="s">
        <v>14</v>
      </c>
      <c r="D26" s="122"/>
      <c r="E26" s="122" t="s">
        <v>14</v>
      </c>
      <c r="F26" s="122"/>
      <c r="G26" s="129">
        <v>0</v>
      </c>
      <c r="H26" s="129">
        <v>0</v>
      </c>
      <c r="I26" s="129">
        <v>0</v>
      </c>
      <c r="J26" s="130">
        <v>0</v>
      </c>
      <c r="M26" s="193"/>
    </row>
    <row r="27" spans="2:13" ht="12.95" customHeight="1" x14ac:dyDescent="0.2">
      <c r="B27" s="119"/>
      <c r="C27" s="122" t="s">
        <v>14</v>
      </c>
      <c r="D27" s="122"/>
      <c r="E27" s="122" t="s">
        <v>14</v>
      </c>
      <c r="F27" s="122"/>
      <c r="G27" s="129">
        <v>0</v>
      </c>
      <c r="H27" s="129">
        <v>0</v>
      </c>
      <c r="I27" s="129">
        <v>0</v>
      </c>
      <c r="J27" s="130">
        <v>0</v>
      </c>
      <c r="M27" s="193"/>
    </row>
    <row r="28" spans="2:13" ht="12.95" customHeight="1" x14ac:dyDescent="0.2">
      <c r="B28" s="119"/>
      <c r="C28" s="122" t="s">
        <v>14</v>
      </c>
      <c r="D28" s="122"/>
      <c r="E28" s="122" t="s">
        <v>14</v>
      </c>
      <c r="F28" s="122"/>
      <c r="G28" s="129">
        <v>0</v>
      </c>
      <c r="H28" s="129">
        <v>0</v>
      </c>
      <c r="I28" s="129">
        <v>0</v>
      </c>
      <c r="J28" s="130">
        <v>0</v>
      </c>
      <c r="M28" s="193"/>
    </row>
    <row r="29" spans="2:13" ht="12.95" customHeight="1" x14ac:dyDescent="0.2">
      <c r="B29" s="119"/>
      <c r="C29" s="122" t="s">
        <v>14</v>
      </c>
      <c r="D29" s="122"/>
      <c r="E29" s="122" t="s">
        <v>14</v>
      </c>
      <c r="F29" s="122"/>
      <c r="G29" s="129">
        <v>0</v>
      </c>
      <c r="H29" s="129">
        <v>0</v>
      </c>
      <c r="I29" s="129">
        <v>0</v>
      </c>
      <c r="J29" s="130">
        <v>0</v>
      </c>
      <c r="M29" s="193"/>
    </row>
    <row r="30" spans="2:13" ht="64.5" customHeight="1" x14ac:dyDescent="0.2">
      <c r="B30" s="123"/>
      <c r="C30" s="124" t="s">
        <v>14</v>
      </c>
      <c r="D30" s="124"/>
      <c r="E30" s="124" t="s">
        <v>14</v>
      </c>
      <c r="F30" s="124"/>
      <c r="G30" s="131">
        <v>0</v>
      </c>
      <c r="H30" s="131">
        <v>0</v>
      </c>
      <c r="I30" s="131">
        <v>0</v>
      </c>
      <c r="J30" s="132">
        <v>0</v>
      </c>
      <c r="M30" s="194"/>
    </row>
  </sheetData>
  <mergeCells count="4">
    <mergeCell ref="M19:M30"/>
    <mergeCell ref="G6:H6"/>
    <mergeCell ref="G7:K7"/>
    <mergeCell ref="G12:I12"/>
  </mergeCells>
  <pageMargins left="0.75" right="0.75" top="1" bottom="1" header="0.5" footer="0.5"/>
  <pageSetup paperSize="9" orientation="portrait" horizontalDpi="4294967292" verticalDpi="4294967292"/>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9" tint="0.59999389629810485"/>
  </sheetPr>
  <dimension ref="A1:N46"/>
  <sheetViews>
    <sheetView topLeftCell="A18" zoomScale="90" zoomScaleNormal="90" zoomScalePageLayoutView="125" workbookViewId="0">
      <selection activeCell="C34" sqref="C34"/>
    </sheetView>
  </sheetViews>
  <sheetFormatPr defaultColWidth="9.140625" defaultRowHeight="15" x14ac:dyDescent="0.25"/>
  <cols>
    <col min="1" max="1" width="2.28515625" customWidth="1"/>
    <col min="2" max="2" width="2.28515625" style="3" customWidth="1"/>
    <col min="3" max="3" width="36.28515625" style="3" bestFit="1" customWidth="1"/>
    <col min="4" max="4" width="39.140625" style="3" customWidth="1"/>
    <col min="5" max="5" width="46.7109375" style="3" customWidth="1"/>
    <col min="6" max="6" width="9.140625" style="3" customWidth="1"/>
    <col min="7" max="7" width="9.140625" customWidth="1"/>
  </cols>
  <sheetData>
    <row r="1" spans="1:14" x14ac:dyDescent="0.25">
      <c r="A1" t="str">
        <f>GlobalInputs!A1</f>
        <v>Ancillary Network Services Pricing Model</v>
      </c>
    </row>
    <row r="2" spans="1:14" ht="15.75" x14ac:dyDescent="0.25">
      <c r="A2" s="5" t="s">
        <v>54</v>
      </c>
      <c r="B2"/>
      <c r="C2"/>
      <c r="D2" s="81" t="str">
        <f>IF(ROUND(CheckSheet!E5,6)=0,"ok","Problem - review CheckSheet")</f>
        <v>ok</v>
      </c>
      <c r="E2"/>
      <c r="F2"/>
    </row>
    <row r="3" spans="1:14" x14ac:dyDescent="0.25">
      <c r="A3" s="4" t="str">
        <f>GlobalInputs!G12</f>
        <v>Field related services</v>
      </c>
      <c r="B3"/>
      <c r="C3"/>
      <c r="D3" s="81"/>
      <c r="E3"/>
      <c r="F3"/>
    </row>
    <row r="5" spans="1:14" x14ac:dyDescent="0.25">
      <c r="B5" s="15" t="s">
        <v>18</v>
      </c>
      <c r="D5" s="3" t="str">
        <f>GlobalInputs!G7</f>
        <v>17 - Ancillary Metering Services</v>
      </c>
    </row>
    <row r="6" spans="1:14" x14ac:dyDescent="0.25">
      <c r="B6" s="15"/>
      <c r="D6" s="3" t="str">
        <f>GlobalInputs!G8</f>
        <v>18 - Off-peak conversion</v>
      </c>
    </row>
    <row r="7" spans="1:14" x14ac:dyDescent="0.25">
      <c r="B7" s="15"/>
      <c r="D7" s="3" t="str">
        <f>GlobalInputs!G9</f>
        <v>19 - Rectification works</v>
      </c>
      <c r="E7" s="152"/>
      <c r="F7" s="152"/>
      <c r="G7" s="152"/>
      <c r="H7" s="152"/>
      <c r="I7" s="152"/>
      <c r="J7" s="152"/>
      <c r="K7" s="152"/>
      <c r="L7" s="152"/>
      <c r="M7" s="152"/>
      <c r="N7" s="152"/>
    </row>
    <row r="8" spans="1:14" x14ac:dyDescent="0.25">
      <c r="B8" s="15"/>
      <c r="D8" s="3" t="str">
        <f>GlobalInputs!G10</f>
        <v>21 - Temp supply</v>
      </c>
    </row>
    <row r="9" spans="1:14" x14ac:dyDescent="0.25">
      <c r="B9" s="15"/>
      <c r="D9" s="3" t="str">
        <f>GlobalInputs!G11</f>
        <v>28 - Attendance (Statutory)</v>
      </c>
    </row>
    <row r="10" spans="1:14" x14ac:dyDescent="0.25">
      <c r="B10" s="15"/>
    </row>
    <row r="11" spans="1:14" x14ac:dyDescent="0.25">
      <c r="B11" s="15" t="s">
        <v>58</v>
      </c>
    </row>
    <row r="12" spans="1:14" ht="63" customHeight="1" x14ac:dyDescent="0.25">
      <c r="B12" s="15"/>
      <c r="C12" s="197" t="s">
        <v>139</v>
      </c>
      <c r="D12" s="197"/>
      <c r="E12" s="197"/>
    </row>
    <row r="13" spans="1:14" ht="33.75" customHeight="1" x14ac:dyDescent="0.25">
      <c r="B13" s="15"/>
      <c r="C13" s="197" t="s">
        <v>140</v>
      </c>
      <c r="D13" s="197"/>
      <c r="E13" s="197"/>
    </row>
    <row r="14" spans="1:14" ht="36.75" customHeight="1" x14ac:dyDescent="0.25">
      <c r="B14" s="15"/>
      <c r="C14" s="197" t="s">
        <v>141</v>
      </c>
      <c r="D14" s="197"/>
      <c r="E14" s="197"/>
    </row>
    <row r="15" spans="1:14" ht="52.5" customHeight="1" x14ac:dyDescent="0.25">
      <c r="B15" s="15"/>
      <c r="C15" s="197" t="s">
        <v>142</v>
      </c>
      <c r="D15" s="197"/>
      <c r="E15" s="197"/>
    </row>
    <row r="16" spans="1:14" ht="80.25" customHeight="1" x14ac:dyDescent="0.25">
      <c r="B16" s="15"/>
      <c r="C16" s="197" t="s">
        <v>143</v>
      </c>
      <c r="D16" s="197"/>
      <c r="E16" s="197"/>
    </row>
    <row r="17" spans="2:5" x14ac:dyDescent="0.25">
      <c r="B17" s="15"/>
    </row>
    <row r="18" spans="2:5" x14ac:dyDescent="0.25">
      <c r="B18" s="15" t="s">
        <v>1</v>
      </c>
    </row>
    <row r="19" spans="2:5" ht="126" customHeight="1" x14ac:dyDescent="0.25">
      <c r="B19" s="15"/>
      <c r="C19" s="197" t="s">
        <v>59</v>
      </c>
      <c r="D19" s="197"/>
      <c r="E19" s="197"/>
    </row>
    <row r="20" spans="2:5" x14ac:dyDescent="0.25">
      <c r="B20" s="15"/>
    </row>
    <row r="21" spans="2:5" x14ac:dyDescent="0.25">
      <c r="B21" s="3" t="s">
        <v>55</v>
      </c>
    </row>
    <row r="22" spans="2:5" x14ac:dyDescent="0.25">
      <c r="C22" s="26" t="s">
        <v>56</v>
      </c>
      <c r="D22" s="26" t="s">
        <v>57</v>
      </c>
      <c r="E22" s="26"/>
    </row>
    <row r="24" spans="2:5" ht="14.1" customHeight="1" x14ac:dyDescent="0.25">
      <c r="C24" s="114" t="s">
        <v>144</v>
      </c>
      <c r="D24" s="197" t="s">
        <v>145</v>
      </c>
      <c r="E24" s="197"/>
    </row>
    <row r="25" spans="2:5" x14ac:dyDescent="0.25">
      <c r="C25" s="28"/>
      <c r="D25" s="197"/>
      <c r="E25" s="197"/>
    </row>
    <row r="26" spans="2:5" ht="14.1" customHeight="1" x14ac:dyDescent="0.25">
      <c r="C26" s="114" t="s">
        <v>175</v>
      </c>
      <c r="D26" s="197" t="s">
        <v>146</v>
      </c>
      <c r="E26" s="197"/>
    </row>
    <row r="27" spans="2:5" x14ac:dyDescent="0.25">
      <c r="C27" s="115"/>
      <c r="D27" s="197"/>
      <c r="E27" s="197"/>
    </row>
    <row r="28" spans="2:5" ht="14.1" customHeight="1" x14ac:dyDescent="0.25">
      <c r="C28" s="114" t="s">
        <v>147</v>
      </c>
      <c r="D28" s="197" t="s">
        <v>147</v>
      </c>
      <c r="E28" s="197"/>
    </row>
    <row r="29" spans="2:5" x14ac:dyDescent="0.25">
      <c r="C29" s="28"/>
      <c r="D29" s="197"/>
      <c r="E29" s="197"/>
    </row>
    <row r="30" spans="2:5" ht="14.1" customHeight="1" x14ac:dyDescent="0.25">
      <c r="C30" s="114" t="s">
        <v>148</v>
      </c>
      <c r="D30" s="197" t="s">
        <v>148</v>
      </c>
      <c r="E30" s="197"/>
    </row>
    <row r="31" spans="2:5" x14ac:dyDescent="0.25">
      <c r="C31" s="28"/>
      <c r="D31" s="197"/>
      <c r="E31" s="197"/>
    </row>
    <row r="32" spans="2:5" ht="14.1" customHeight="1" x14ac:dyDescent="0.25">
      <c r="C32" s="114" t="s">
        <v>170</v>
      </c>
      <c r="D32" s="197" t="s">
        <v>149</v>
      </c>
      <c r="E32" s="197"/>
    </row>
    <row r="33" spans="2:6" x14ac:dyDescent="0.25">
      <c r="C33" s="28"/>
      <c r="D33" s="197"/>
      <c r="E33" s="197"/>
    </row>
    <row r="34" spans="2:6" ht="14.1" customHeight="1" x14ac:dyDescent="0.25">
      <c r="C34" s="114" t="s">
        <v>184</v>
      </c>
      <c r="D34" s="197" t="s">
        <v>150</v>
      </c>
      <c r="E34" s="197"/>
    </row>
    <row r="35" spans="2:6" x14ac:dyDescent="0.25">
      <c r="C35" s="28"/>
      <c r="D35" s="197"/>
      <c r="E35" s="197"/>
    </row>
    <row r="36" spans="2:6" ht="14.1" customHeight="1" x14ac:dyDescent="0.25">
      <c r="C36" s="114" t="s">
        <v>151</v>
      </c>
      <c r="D36" s="197" t="s">
        <v>152</v>
      </c>
      <c r="E36" s="197"/>
    </row>
    <row r="37" spans="2:6" x14ac:dyDescent="0.25">
      <c r="C37" s="28"/>
      <c r="D37" s="197"/>
      <c r="E37" s="197"/>
    </row>
    <row r="38" spans="2:6" s="153" customFormat="1" ht="14.1" customHeight="1" x14ac:dyDescent="0.25">
      <c r="B38" s="154"/>
      <c r="C38" s="114" t="s">
        <v>153</v>
      </c>
      <c r="D38" s="197" t="s">
        <v>154</v>
      </c>
      <c r="E38" s="197"/>
      <c r="F38" s="154"/>
    </row>
    <row r="39" spans="2:6" s="153" customFormat="1" x14ac:dyDescent="0.25">
      <c r="B39" s="154"/>
      <c r="C39" s="28"/>
      <c r="D39" s="197"/>
      <c r="E39" s="197"/>
      <c r="F39" s="154"/>
    </row>
    <row r="40" spans="2:6" x14ac:dyDescent="0.25">
      <c r="C40" s="29"/>
      <c r="D40" s="27"/>
      <c r="E40" s="27"/>
    </row>
    <row r="41" spans="2:6" x14ac:dyDescent="0.25">
      <c r="C41" s="29"/>
      <c r="D41" s="27"/>
      <c r="E41" s="27"/>
    </row>
    <row r="42" spans="2:6" x14ac:dyDescent="0.25">
      <c r="C42" s="29"/>
      <c r="D42" s="27"/>
      <c r="E42" s="27"/>
    </row>
    <row r="43" spans="2:6" x14ac:dyDescent="0.25">
      <c r="C43" s="29"/>
      <c r="D43" s="27"/>
      <c r="E43" s="27"/>
    </row>
    <row r="44" spans="2:6" x14ac:dyDescent="0.25">
      <c r="C44" s="29"/>
      <c r="D44" s="27"/>
      <c r="E44" s="27"/>
    </row>
    <row r="45" spans="2:6" x14ac:dyDescent="0.25">
      <c r="D45" s="27"/>
      <c r="E45" s="27"/>
    </row>
    <row r="46" spans="2:6" x14ac:dyDescent="0.25">
      <c r="D46" s="27"/>
      <c r="E46" s="27"/>
    </row>
  </sheetData>
  <mergeCells count="14">
    <mergeCell ref="C12:E12"/>
    <mergeCell ref="C19:E19"/>
    <mergeCell ref="D24:E25"/>
    <mergeCell ref="D26:E27"/>
    <mergeCell ref="D28:E29"/>
    <mergeCell ref="C13:E13"/>
    <mergeCell ref="C14:E14"/>
    <mergeCell ref="C15:E15"/>
    <mergeCell ref="C16:E16"/>
    <mergeCell ref="D38:E39"/>
    <mergeCell ref="D30:E31"/>
    <mergeCell ref="D32:E33"/>
    <mergeCell ref="D34:E35"/>
    <mergeCell ref="D36:E37"/>
  </mergeCells>
  <pageMargins left="0.75" right="0.75" top="1" bottom="1" header="0.5" footer="0.5"/>
  <pageSetup paperSize="9" orientation="portrait" horizontalDpi="4294967292" verticalDpi="429496729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9" tint="0.59999389629810485"/>
    <pageSetUpPr fitToPage="1"/>
  </sheetPr>
  <dimension ref="A1:O124"/>
  <sheetViews>
    <sheetView zoomScale="90" zoomScaleNormal="90" zoomScalePageLayoutView="125" workbookViewId="0">
      <pane xSplit="5" ySplit="4" topLeftCell="F60" activePane="bottomRight" state="frozenSplit"/>
      <selection pane="topRight" activeCell="F1" sqref="F1"/>
      <selection pane="bottomLeft" activeCell="A4" sqref="A4"/>
      <selection pane="bottomRight" activeCell="N62" sqref="N62:N77"/>
    </sheetView>
  </sheetViews>
  <sheetFormatPr defaultColWidth="9.140625" defaultRowHeight="14.1" customHeight="1" x14ac:dyDescent="0.25"/>
  <cols>
    <col min="1" max="3" width="2.140625" style="94" customWidth="1"/>
    <col min="4" max="4" width="1.85546875" style="94" customWidth="1"/>
    <col min="5" max="5" width="42.140625" style="94" customWidth="1"/>
    <col min="6" max="12" width="10.85546875" style="94" customWidth="1"/>
    <col min="13" max="13" width="2.42578125" style="94" customWidth="1"/>
    <col min="14" max="14" width="48.85546875" style="93" customWidth="1"/>
    <col min="15" max="15" width="4.85546875" style="94" customWidth="1"/>
    <col min="16" max="18" width="9.140625" style="94" customWidth="1"/>
    <col min="19" max="16384" width="9.140625" style="94"/>
  </cols>
  <sheetData>
    <row r="1" spans="1:15" ht="14.1" customHeight="1" x14ac:dyDescent="0.2">
      <c r="A1" s="92" t="s">
        <v>15</v>
      </c>
      <c r="B1" s="92"/>
      <c r="C1" s="92"/>
      <c r="D1" s="92"/>
      <c r="E1" s="92"/>
      <c r="F1" s="92"/>
      <c r="G1" s="92"/>
      <c r="H1" s="92"/>
      <c r="I1" s="92"/>
      <c r="J1" s="92"/>
      <c r="K1" s="92"/>
      <c r="L1" s="92"/>
      <c r="M1" s="92"/>
      <c r="O1" s="92"/>
    </row>
    <row r="2" spans="1:15" ht="14.1" customHeight="1" x14ac:dyDescent="0.25">
      <c r="A2" s="95" t="s">
        <v>61</v>
      </c>
      <c r="B2" s="96"/>
      <c r="C2" s="96"/>
      <c r="D2" s="96"/>
      <c r="E2" s="96"/>
      <c r="F2" s="97" t="str">
        <f>IF(ROUND($E$5,6)=0,"ok","Problem - review CheckSheet")</f>
        <v>ok</v>
      </c>
      <c r="G2" s="96"/>
      <c r="H2" s="96"/>
      <c r="I2" s="96"/>
      <c r="J2" s="96"/>
      <c r="K2" s="96"/>
      <c r="L2" s="96"/>
      <c r="M2" s="96"/>
      <c r="N2" s="98"/>
      <c r="O2" s="96"/>
    </row>
    <row r="3" spans="1:15" ht="14.1" customHeight="1" x14ac:dyDescent="0.25">
      <c r="A3" s="94" t="str">
        <f>GlobalInputs!G12</f>
        <v>Field related services</v>
      </c>
      <c r="N3" s="99" t="s">
        <v>38</v>
      </c>
    </row>
    <row r="5" spans="1:15" ht="14.1" customHeight="1" x14ac:dyDescent="0.25">
      <c r="B5" s="94" t="s">
        <v>60</v>
      </c>
    </row>
    <row r="6" spans="1:15" ht="14.1" customHeight="1" x14ac:dyDescent="0.25">
      <c r="C6" s="94" t="str">
        <f>ServiceDescription!C24</f>
        <v>AMS - Meter Test</v>
      </c>
    </row>
    <row r="7" spans="1:15" ht="14.1" customHeight="1" x14ac:dyDescent="0.25">
      <c r="D7" s="94" t="s">
        <v>155</v>
      </c>
      <c r="F7" s="94" t="s">
        <v>40</v>
      </c>
      <c r="G7" s="91">
        <v>73</v>
      </c>
    </row>
    <row r="8" spans="1:15" ht="14.1" customHeight="1" x14ac:dyDescent="0.25">
      <c r="D8" s="94" t="s">
        <v>156</v>
      </c>
      <c r="G8" s="91">
        <v>73</v>
      </c>
    </row>
    <row r="9" spans="1:15" ht="14.1" customHeight="1" x14ac:dyDescent="0.25">
      <c r="C9" s="94" t="str">
        <f>ServiceDescription!C26</f>
        <v>AMS - Franchise CT Meter Install</v>
      </c>
      <c r="G9" s="100"/>
    </row>
    <row r="10" spans="1:15" ht="14.1" customHeight="1" x14ac:dyDescent="0.25">
      <c r="D10" s="94" t="str">
        <f>C9</f>
        <v>AMS - Franchise CT Meter Install</v>
      </c>
      <c r="G10" s="91" t="s">
        <v>188</v>
      </c>
    </row>
    <row r="11" spans="1:15" ht="14.1" customHeight="1" x14ac:dyDescent="0.25">
      <c r="C11" s="94" t="str">
        <f>ServiceDescription!C28</f>
        <v>Add/Remove Meter</v>
      </c>
      <c r="G11" s="100"/>
    </row>
    <row r="12" spans="1:15" ht="14.1" customHeight="1" x14ac:dyDescent="0.25">
      <c r="D12" s="94" t="str">
        <f>C11</f>
        <v>Add/Remove Meter</v>
      </c>
      <c r="G12" s="91" t="s">
        <v>188</v>
      </c>
    </row>
    <row r="13" spans="1:15" ht="14.1" customHeight="1" x14ac:dyDescent="0.25">
      <c r="C13" s="94" t="str">
        <f>ServiceDescription!C30</f>
        <v>Off Peak Conversion Fee</v>
      </c>
      <c r="N13" s="94"/>
    </row>
    <row r="14" spans="1:15" ht="14.1" customHeight="1" x14ac:dyDescent="0.25">
      <c r="D14" s="94" t="str">
        <f>C13</f>
        <v>Off Peak Conversion Fee</v>
      </c>
      <c r="G14" s="91">
        <v>59</v>
      </c>
      <c r="N14" s="94"/>
    </row>
    <row r="15" spans="1:15" ht="14.1" customHeight="1" x14ac:dyDescent="0.25">
      <c r="C15" s="94" t="str">
        <f>ServiceDescription!C32</f>
        <v>Rectification Works - General</v>
      </c>
      <c r="N15" s="94"/>
    </row>
    <row r="16" spans="1:15" ht="14.1" customHeight="1" x14ac:dyDescent="0.25">
      <c r="D16" s="94" t="str">
        <f>C15</f>
        <v>Rectification Works - General</v>
      </c>
      <c r="G16" s="91">
        <v>221</v>
      </c>
      <c r="N16" s="94"/>
    </row>
    <row r="17" spans="2:14" ht="14.1" customHeight="1" x14ac:dyDescent="0.25">
      <c r="C17" s="94" t="str">
        <f>ServiceDescription!C34</f>
        <v>High Load Escorts</v>
      </c>
      <c r="N17" s="94"/>
    </row>
    <row r="18" spans="2:14" ht="14.1" customHeight="1" x14ac:dyDescent="0.25">
      <c r="D18" s="94" t="s">
        <v>184</v>
      </c>
      <c r="G18" s="91" t="s">
        <v>188</v>
      </c>
      <c r="N18" s="94"/>
    </row>
    <row r="19" spans="2:14" ht="14.1" customHeight="1" x14ac:dyDescent="0.25">
      <c r="C19" s="94" t="str">
        <f>ServiceDescription!C36</f>
        <v>Temporary Supply</v>
      </c>
      <c r="N19" s="94"/>
    </row>
    <row r="20" spans="2:14" ht="14.1" customHeight="1" x14ac:dyDescent="0.25">
      <c r="D20" s="94" t="s">
        <v>158</v>
      </c>
      <c r="G20" s="91" t="s">
        <v>188</v>
      </c>
      <c r="N20" s="94"/>
    </row>
    <row r="21" spans="2:14" ht="14.1" customHeight="1" x14ac:dyDescent="0.25">
      <c r="D21" s="94" t="s">
        <v>159</v>
      </c>
      <c r="G21" s="91" t="s">
        <v>188</v>
      </c>
      <c r="N21" s="94"/>
    </row>
    <row r="22" spans="2:14" ht="14.1" customHeight="1" x14ac:dyDescent="0.25">
      <c r="D22" s="94" t="s">
        <v>160</v>
      </c>
      <c r="G22" s="91" t="s">
        <v>188</v>
      </c>
      <c r="N22" s="94"/>
    </row>
    <row r="23" spans="2:14" ht="14.1" customHeight="1" x14ac:dyDescent="0.25">
      <c r="D23" s="94" t="s">
        <v>161</v>
      </c>
      <c r="G23" s="91" t="s">
        <v>188</v>
      </c>
      <c r="N23" s="94"/>
    </row>
    <row r="24" spans="2:14" ht="14.1" customHeight="1" x14ac:dyDescent="0.25">
      <c r="D24" s="94" t="s">
        <v>162</v>
      </c>
      <c r="G24" s="91" t="s">
        <v>188</v>
      </c>
      <c r="N24" s="94"/>
    </row>
    <row r="25" spans="2:14" ht="14.1" customHeight="1" x14ac:dyDescent="0.25">
      <c r="C25" s="94" t="str">
        <f>ServiceDescription!C38</f>
        <v>Attendance (statutory)</v>
      </c>
      <c r="G25" s="151"/>
      <c r="N25" s="94"/>
    </row>
    <row r="26" spans="2:14" ht="14.1" customHeight="1" x14ac:dyDescent="0.25">
      <c r="D26" s="94" t="str">
        <f>C25</f>
        <v>Attendance (statutory)</v>
      </c>
      <c r="G26" s="91" t="s">
        <v>188</v>
      </c>
      <c r="N26" s="94"/>
    </row>
    <row r="27" spans="2:14" ht="14.1" customHeight="1" x14ac:dyDescent="0.25">
      <c r="G27" s="151"/>
      <c r="N27" s="94"/>
    </row>
    <row r="28" spans="2:14" ht="14.1" customHeight="1" x14ac:dyDescent="0.25">
      <c r="G28" s="151"/>
      <c r="N28" s="94"/>
    </row>
    <row r="29" spans="2:14" ht="14.1" customHeight="1" x14ac:dyDescent="0.25">
      <c r="B29" s="94" t="s">
        <v>129</v>
      </c>
      <c r="G29" s="151"/>
      <c r="N29" s="94"/>
    </row>
    <row r="30" spans="2:14" ht="14.1" customHeight="1" x14ac:dyDescent="0.25">
      <c r="C30" s="94" t="str">
        <f>C6</f>
        <v>AMS - Meter Test</v>
      </c>
      <c r="G30" s="151"/>
      <c r="N30" s="198" t="s">
        <v>176</v>
      </c>
    </row>
    <row r="31" spans="2:14" ht="14.1" customHeight="1" x14ac:dyDescent="0.25">
      <c r="D31" s="94" t="s">
        <v>130</v>
      </c>
      <c r="G31" s="91">
        <v>1</v>
      </c>
      <c r="N31" s="199"/>
    </row>
    <row r="32" spans="2:14" ht="14.1" customHeight="1" x14ac:dyDescent="0.25">
      <c r="C32" s="94" t="str">
        <f>C9</f>
        <v>AMS - Franchise CT Meter Install</v>
      </c>
      <c r="G32" s="151"/>
      <c r="N32" s="199"/>
    </row>
    <row r="33" spans="2:14" ht="14.1" customHeight="1" x14ac:dyDescent="0.25">
      <c r="D33" s="94" t="s">
        <v>130</v>
      </c>
      <c r="G33" s="91">
        <v>1</v>
      </c>
      <c r="N33" s="199"/>
    </row>
    <row r="34" spans="2:14" ht="14.1" customHeight="1" x14ac:dyDescent="0.25">
      <c r="C34" s="94" t="str">
        <f>C11</f>
        <v>Add/Remove Meter</v>
      </c>
      <c r="G34" s="151"/>
      <c r="N34" s="199"/>
    </row>
    <row r="35" spans="2:14" ht="14.1" customHeight="1" x14ac:dyDescent="0.25">
      <c r="D35" s="94" t="s">
        <v>130</v>
      </c>
      <c r="G35" s="91">
        <v>1</v>
      </c>
      <c r="N35" s="199"/>
    </row>
    <row r="36" spans="2:14" ht="14.1" customHeight="1" x14ac:dyDescent="0.25">
      <c r="C36" s="94" t="str">
        <f>C13</f>
        <v>Off Peak Conversion Fee</v>
      </c>
      <c r="G36" s="151"/>
      <c r="N36" s="199"/>
    </row>
    <row r="37" spans="2:14" ht="14.1" customHeight="1" x14ac:dyDescent="0.25">
      <c r="D37" s="94" t="s">
        <v>130</v>
      </c>
      <c r="G37" s="91">
        <v>1</v>
      </c>
      <c r="N37" s="199"/>
    </row>
    <row r="38" spans="2:14" ht="14.1" customHeight="1" x14ac:dyDescent="0.25">
      <c r="C38" s="94" t="str">
        <f>C15</f>
        <v>Rectification Works - General</v>
      </c>
      <c r="G38" s="151"/>
      <c r="N38" s="199"/>
    </row>
    <row r="39" spans="2:14" ht="14.1" customHeight="1" x14ac:dyDescent="0.25">
      <c r="D39" s="94" t="s">
        <v>130</v>
      </c>
      <c r="G39" s="91">
        <v>2</v>
      </c>
      <c r="N39" s="199"/>
    </row>
    <row r="40" spans="2:14" ht="14.1" customHeight="1" x14ac:dyDescent="0.25">
      <c r="C40" s="94" t="str">
        <f>C17</f>
        <v>High Load Escorts</v>
      </c>
      <c r="G40" s="151"/>
      <c r="N40" s="199"/>
    </row>
    <row r="41" spans="2:14" ht="14.1" customHeight="1" x14ac:dyDescent="0.25">
      <c r="D41" s="94" t="s">
        <v>130</v>
      </c>
      <c r="G41" s="91">
        <v>3</v>
      </c>
      <c r="N41" s="199"/>
    </row>
    <row r="42" spans="2:14" ht="14.1" customHeight="1" x14ac:dyDescent="0.25">
      <c r="C42" s="94" t="str">
        <f>C19</f>
        <v>Temporary Supply</v>
      </c>
      <c r="G42" s="151"/>
      <c r="N42" s="199"/>
    </row>
    <row r="43" spans="2:14" ht="14.1" customHeight="1" x14ac:dyDescent="0.25">
      <c r="D43" s="94" t="s">
        <v>130</v>
      </c>
      <c r="G43" s="91">
        <v>1</v>
      </c>
      <c r="N43" s="199"/>
    </row>
    <row r="44" spans="2:14" ht="14.1" customHeight="1" x14ac:dyDescent="0.25">
      <c r="C44" s="94" t="str">
        <f>C25</f>
        <v>Attendance (statutory)</v>
      </c>
      <c r="G44" s="151"/>
      <c r="N44" s="199"/>
    </row>
    <row r="45" spans="2:14" ht="14.1" customHeight="1" x14ac:dyDescent="0.25">
      <c r="D45" s="94" t="s">
        <v>130</v>
      </c>
      <c r="G45" s="91">
        <v>1</v>
      </c>
      <c r="N45" s="200"/>
    </row>
    <row r="47" spans="2:14" ht="14.1" customHeight="1" x14ac:dyDescent="0.25">
      <c r="B47" s="94" t="s">
        <v>39</v>
      </c>
    </row>
    <row r="48" spans="2:14" ht="14.1" customHeight="1" x14ac:dyDescent="0.25">
      <c r="C48" s="101"/>
      <c r="D48" s="101"/>
      <c r="E48" s="139" t="s">
        <v>114</v>
      </c>
      <c r="F48" s="101"/>
      <c r="G48" s="102" t="str">
        <f>GlobalInputs!G15</f>
        <v>2009/10</v>
      </c>
      <c r="H48" s="102" t="str">
        <f>GlobalInputs!H15</f>
        <v>2010/11</v>
      </c>
      <c r="I48" s="102" t="str">
        <f>GlobalInputs!I15</f>
        <v>2011/12</v>
      </c>
      <c r="J48" s="102" t="str">
        <f>GlobalInputs!J15</f>
        <v>2012/13</v>
      </c>
      <c r="K48" s="102" t="str">
        <f>GlobalInputs!K15</f>
        <v>2013/14</v>
      </c>
    </row>
    <row r="49" spans="2:14" ht="14.1" customHeight="1" x14ac:dyDescent="0.25">
      <c r="C49" s="94" t="str">
        <f>ServiceDescription!C24</f>
        <v>AMS - Meter Test</v>
      </c>
      <c r="F49" s="94" t="s">
        <v>40</v>
      </c>
      <c r="G49" s="108">
        <v>48295.22</v>
      </c>
      <c r="H49" s="108">
        <v>23903.58</v>
      </c>
      <c r="I49" s="108">
        <v>11753</v>
      </c>
      <c r="J49" s="108">
        <v>26134</v>
      </c>
      <c r="K49" s="108">
        <v>35507.200000000004</v>
      </c>
      <c r="N49" s="202" t="s">
        <v>124</v>
      </c>
    </row>
    <row r="50" spans="2:14" ht="14.1" customHeight="1" x14ac:dyDescent="0.25">
      <c r="C50" s="94" t="str">
        <f>ServiceDescription!C26</f>
        <v>AMS - Franchise CT Meter Install</v>
      </c>
      <c r="G50" s="108">
        <v>0</v>
      </c>
      <c r="H50" s="108">
        <v>0</v>
      </c>
      <c r="I50" s="108">
        <v>0</v>
      </c>
      <c r="J50" s="108">
        <v>0</v>
      </c>
      <c r="K50" s="108">
        <v>0</v>
      </c>
      <c r="N50" s="203"/>
    </row>
    <row r="51" spans="2:14" ht="14.1" customHeight="1" x14ac:dyDescent="0.25">
      <c r="C51" s="94" t="str">
        <f>ServiceDescription!C28</f>
        <v>Add/Remove Meter</v>
      </c>
      <c r="G51" s="108">
        <v>0</v>
      </c>
      <c r="H51" s="108">
        <v>0</v>
      </c>
      <c r="I51" s="108">
        <v>0</v>
      </c>
      <c r="J51" s="108">
        <v>0</v>
      </c>
      <c r="K51" s="108">
        <v>0</v>
      </c>
      <c r="N51" s="203"/>
    </row>
    <row r="52" spans="2:14" ht="14.1" customHeight="1" x14ac:dyDescent="0.25">
      <c r="C52" s="94" t="str">
        <f>ServiceDescription!C30</f>
        <v>Off Peak Conversion Fee</v>
      </c>
      <c r="G52" s="108">
        <v>6415.7</v>
      </c>
      <c r="H52" s="108">
        <v>5705</v>
      </c>
      <c r="I52" s="108">
        <v>12626</v>
      </c>
      <c r="J52" s="108">
        <v>10821</v>
      </c>
      <c r="K52" s="108">
        <v>3863.5519999999997</v>
      </c>
      <c r="N52" s="203"/>
    </row>
    <row r="53" spans="2:14" ht="14.1" customHeight="1" x14ac:dyDescent="0.25">
      <c r="C53" s="94" t="str">
        <f>ServiceDescription!C32</f>
        <v>Rectification Works - General</v>
      </c>
      <c r="G53" s="108">
        <v>1921.18</v>
      </c>
      <c r="H53" s="108">
        <v>10838.06</v>
      </c>
      <c r="I53" s="108">
        <v>15677.89</v>
      </c>
      <c r="J53" s="108">
        <v>10445.799999999999</v>
      </c>
      <c r="K53" s="108">
        <v>2291.2000000000003</v>
      </c>
      <c r="N53" s="203"/>
    </row>
    <row r="54" spans="2:14" ht="14.1" customHeight="1" x14ac:dyDescent="0.25">
      <c r="C54" s="94" t="str">
        <f>ServiceDescription!C34</f>
        <v>High Load Escorts</v>
      </c>
      <c r="G54" s="108">
        <v>1921.18</v>
      </c>
      <c r="H54" s="108">
        <v>10838.06</v>
      </c>
      <c r="I54" s="108">
        <v>15677.89</v>
      </c>
      <c r="J54" s="108">
        <v>10445.799999999999</v>
      </c>
      <c r="K54" s="108">
        <v>2291.2000000000003</v>
      </c>
      <c r="N54" s="203"/>
    </row>
    <row r="55" spans="2:14" ht="14.1" customHeight="1" x14ac:dyDescent="0.25">
      <c r="C55" s="94" t="str">
        <f>ServiceDescription!C36</f>
        <v>Temporary Supply</v>
      </c>
      <c r="G55" s="108">
        <v>0</v>
      </c>
      <c r="H55" s="108">
        <v>0</v>
      </c>
      <c r="I55" s="108">
        <v>0</v>
      </c>
      <c r="J55" s="108">
        <v>0</v>
      </c>
      <c r="K55" s="108">
        <v>0</v>
      </c>
      <c r="N55" s="203"/>
    </row>
    <row r="56" spans="2:14" ht="14.1" customHeight="1" x14ac:dyDescent="0.25">
      <c r="C56" s="94" t="str">
        <f>C44</f>
        <v>Attendance (statutory)</v>
      </c>
      <c r="G56" s="108">
        <v>0</v>
      </c>
      <c r="H56" s="108">
        <v>0</v>
      </c>
      <c r="I56" s="108">
        <v>0</v>
      </c>
      <c r="J56" s="108">
        <v>0</v>
      </c>
      <c r="K56" s="108">
        <v>0</v>
      </c>
      <c r="N56" s="203"/>
    </row>
    <row r="57" spans="2:14" ht="14.1" customHeight="1" x14ac:dyDescent="0.25">
      <c r="E57" s="142"/>
      <c r="F57" s="94" t="s">
        <v>40</v>
      </c>
      <c r="G57" s="103">
        <f>SUM(G49:G56)</f>
        <v>58553.279999999999</v>
      </c>
      <c r="H57" s="103">
        <f>SUM(H49:H56)</f>
        <v>51284.7</v>
      </c>
      <c r="I57" s="103">
        <f>SUM(I49:I56)</f>
        <v>55734.78</v>
      </c>
      <c r="J57" s="103">
        <f>SUM(J49:J56)</f>
        <v>57846.600000000006</v>
      </c>
      <c r="K57" s="103">
        <f>SUM(K49:K56)</f>
        <v>43953.152000000002</v>
      </c>
      <c r="N57" s="204"/>
    </row>
    <row r="58" spans="2:14" ht="14.1" customHeight="1" x14ac:dyDescent="0.25">
      <c r="E58" s="142"/>
    </row>
    <row r="59" spans="2:14" ht="14.1" customHeight="1" x14ac:dyDescent="0.25">
      <c r="B59" s="94" t="s">
        <v>42</v>
      </c>
      <c r="E59" s="142"/>
    </row>
    <row r="60" spans="2:14" ht="14.1" customHeight="1" x14ac:dyDescent="0.25">
      <c r="E60" s="142"/>
      <c r="G60" s="201" t="s">
        <v>118</v>
      </c>
      <c r="H60" s="201"/>
    </row>
    <row r="61" spans="2:14" ht="14.1" customHeight="1" x14ac:dyDescent="0.25">
      <c r="C61" s="101"/>
      <c r="D61" s="101"/>
      <c r="E61" s="144"/>
      <c r="F61" s="101"/>
      <c r="G61" s="205" t="s">
        <v>119</v>
      </c>
      <c r="H61" s="205"/>
    </row>
    <row r="62" spans="2:14" ht="14.1" customHeight="1" x14ac:dyDescent="0.2">
      <c r="C62" s="94" t="str">
        <f>C49</f>
        <v>AMS - Meter Test</v>
      </c>
      <c r="F62" s="94" t="s">
        <v>44</v>
      </c>
      <c r="G62" s="158">
        <v>7558.0473580732369</v>
      </c>
      <c r="N62" s="198" t="s">
        <v>189</v>
      </c>
    </row>
    <row r="63" spans="2:14" ht="14.1" customHeight="1" x14ac:dyDescent="0.25">
      <c r="D63" s="94" t="str">
        <f t="shared" ref="D63:D64" si="0">D7</f>
        <v>First Meter</v>
      </c>
      <c r="F63" s="94" t="s">
        <v>117</v>
      </c>
      <c r="H63" s="109">
        <v>0.5</v>
      </c>
      <c r="N63" s="199"/>
    </row>
    <row r="64" spans="2:14" ht="14.1" customHeight="1" x14ac:dyDescent="0.25">
      <c r="D64" s="94" t="str">
        <f t="shared" si="0"/>
        <v>Each Additional Meter</v>
      </c>
      <c r="H64" s="157">
        <f>1-H63</f>
        <v>0.5</v>
      </c>
      <c r="N64" s="199"/>
    </row>
    <row r="65" spans="2:14" ht="14.1" customHeight="1" x14ac:dyDescent="0.2">
      <c r="C65" s="94" t="str">
        <f t="shared" ref="C65:C70" si="1">C50</f>
        <v>AMS - Franchise CT Meter Install</v>
      </c>
      <c r="F65" s="94" t="s">
        <v>44</v>
      </c>
      <c r="G65" s="180">
        <v>200</v>
      </c>
      <c r="N65" s="199"/>
    </row>
    <row r="66" spans="2:14" ht="14.1" customHeight="1" x14ac:dyDescent="0.2">
      <c r="C66" s="94" t="str">
        <f t="shared" si="1"/>
        <v>Add/Remove Meter</v>
      </c>
      <c r="F66" s="94" t="s">
        <v>44</v>
      </c>
      <c r="G66" s="180">
        <v>1324.7860714285714</v>
      </c>
      <c r="L66" s="22"/>
      <c r="N66" s="199"/>
    </row>
    <row r="67" spans="2:14" ht="14.1" customHeight="1" x14ac:dyDescent="0.2">
      <c r="C67" s="94" t="str">
        <f t="shared" si="1"/>
        <v>Off Peak Conversion Fee</v>
      </c>
      <c r="F67" s="94" t="s">
        <v>44</v>
      </c>
      <c r="G67" s="180">
        <v>2228.4221373252162</v>
      </c>
      <c r="L67" s="22"/>
      <c r="N67" s="199"/>
    </row>
    <row r="68" spans="2:14" ht="14.1" customHeight="1" x14ac:dyDescent="0.2">
      <c r="C68" s="94" t="str">
        <f t="shared" si="1"/>
        <v>Rectification Works - General</v>
      </c>
      <c r="F68" s="94" t="s">
        <v>44</v>
      </c>
      <c r="G68" s="180">
        <v>10.367420814479638</v>
      </c>
      <c r="L68" s="22"/>
      <c r="N68" s="199"/>
    </row>
    <row r="69" spans="2:14" ht="14.1" customHeight="1" x14ac:dyDescent="0.2">
      <c r="C69" s="94" t="str">
        <f t="shared" si="1"/>
        <v>High Load Escorts</v>
      </c>
      <c r="F69" s="94" t="s">
        <v>44</v>
      </c>
      <c r="G69" s="180">
        <v>10.367420814479638</v>
      </c>
      <c r="L69" s="143"/>
      <c r="N69" s="199"/>
    </row>
    <row r="70" spans="2:14" ht="14.1" customHeight="1" x14ac:dyDescent="0.2">
      <c r="C70" s="94" t="str">
        <f t="shared" si="1"/>
        <v>Temporary Supply</v>
      </c>
      <c r="F70" s="94" t="s">
        <v>44</v>
      </c>
      <c r="G70" s="180">
        <v>85</v>
      </c>
      <c r="L70" s="6"/>
      <c r="N70" s="199"/>
    </row>
    <row r="71" spans="2:14" ht="14.1" customHeight="1" x14ac:dyDescent="0.25">
      <c r="D71" s="94" t="str">
        <f t="shared" ref="D71:D75" si="2">D20</f>
        <v>Install and remove HV LL Links</v>
      </c>
      <c r="F71" s="94" t="s">
        <v>117</v>
      </c>
      <c r="G71" s="156"/>
      <c r="H71" s="109">
        <v>0.11764705882352941</v>
      </c>
      <c r="L71" s="6"/>
      <c r="N71" s="199"/>
    </row>
    <row r="72" spans="2:14" ht="14.1" customHeight="1" x14ac:dyDescent="0.25">
      <c r="D72" s="94" t="str">
        <f t="shared" si="2"/>
        <v>Break and remake HV bonds</v>
      </c>
      <c r="G72" s="156"/>
      <c r="H72" s="109">
        <v>0.17647058823529413</v>
      </c>
      <c r="L72" s="6"/>
      <c r="N72" s="199"/>
    </row>
    <row r="73" spans="2:14" ht="14.1" customHeight="1" x14ac:dyDescent="0.25">
      <c r="D73" s="94" t="str">
        <f t="shared" si="2"/>
        <v>Break and remake LV bonds</v>
      </c>
      <c r="G73" s="156"/>
      <c r="H73" s="109">
        <v>0.23529411764705882</v>
      </c>
      <c r="L73" s="6"/>
      <c r="N73" s="199"/>
    </row>
    <row r="74" spans="2:14" ht="14.1" customHeight="1" x14ac:dyDescent="0.25">
      <c r="D74" s="94" t="str">
        <f t="shared" si="2"/>
        <v>Connect and disconnect generator to OH mains</v>
      </c>
      <c r="G74" s="156"/>
      <c r="H74" s="109">
        <v>0.35294117647058826</v>
      </c>
      <c r="L74" s="6"/>
      <c r="N74" s="199"/>
    </row>
    <row r="75" spans="2:14" ht="14.1" customHeight="1" x14ac:dyDescent="0.25">
      <c r="D75" s="94" t="str">
        <f t="shared" si="2"/>
        <v>Connect and disconnect MG to LV board in Kiosk</v>
      </c>
      <c r="G75" s="156"/>
      <c r="H75" s="159">
        <f>1-SUM(H71:H74)</f>
        <v>0.11764705882352944</v>
      </c>
      <c r="L75" s="6"/>
      <c r="N75" s="199"/>
    </row>
    <row r="76" spans="2:14" ht="14.1" customHeight="1" x14ac:dyDescent="0.25">
      <c r="C76" s="94" t="str">
        <f>C25</f>
        <v>Attendance (statutory)</v>
      </c>
      <c r="F76" s="94" t="s">
        <v>44</v>
      </c>
      <c r="G76" s="108">
        <v>0</v>
      </c>
      <c r="L76" s="6"/>
      <c r="N76" s="199"/>
    </row>
    <row r="77" spans="2:14" ht="14.1" customHeight="1" x14ac:dyDescent="0.25">
      <c r="G77" s="156"/>
      <c r="L77" s="6"/>
      <c r="N77" s="200"/>
    </row>
    <row r="78" spans="2:14" ht="14.1" customHeight="1" x14ac:dyDescent="0.25">
      <c r="L78" s="6"/>
    </row>
    <row r="79" spans="2:14" ht="14.1" customHeight="1" x14ac:dyDescent="0.25">
      <c r="B79" s="94" t="s">
        <v>43</v>
      </c>
      <c r="L79" s="6"/>
    </row>
    <row r="80" spans="2:14" ht="14.1" customHeight="1" x14ac:dyDescent="0.25">
      <c r="G80" s="145" t="s">
        <v>120</v>
      </c>
      <c r="I80" s="145" t="s">
        <v>121</v>
      </c>
      <c r="L80" s="6"/>
    </row>
    <row r="81" spans="3:14" ht="14.1" customHeight="1" x14ac:dyDescent="0.25">
      <c r="C81" s="101"/>
      <c r="D81" s="101"/>
      <c r="E81" s="101"/>
      <c r="F81" s="101"/>
      <c r="G81" s="102" t="s">
        <v>68</v>
      </c>
      <c r="H81" s="102"/>
      <c r="I81" s="102" t="s">
        <v>122</v>
      </c>
      <c r="J81" s="102"/>
      <c r="K81" s="107"/>
    </row>
    <row r="82" spans="3:14" ht="14.1" customHeight="1" x14ac:dyDescent="0.25">
      <c r="C82" s="94" t="str">
        <f t="shared" ref="C82:D102" si="3">C6</f>
        <v>AMS - Meter Test</v>
      </c>
      <c r="G82" s="106"/>
    </row>
    <row r="83" spans="3:14" ht="14.1" customHeight="1" x14ac:dyDescent="0.25">
      <c r="D83" s="94" t="str">
        <f t="shared" si="3"/>
        <v>First Meter</v>
      </c>
      <c r="G83" s="146"/>
      <c r="I83" s="110">
        <v>3.4</v>
      </c>
      <c r="N83" s="198" t="s">
        <v>177</v>
      </c>
    </row>
    <row r="84" spans="3:14" ht="14.1" customHeight="1" x14ac:dyDescent="0.25">
      <c r="D84" s="94" t="str">
        <f t="shared" si="3"/>
        <v>Each Additional Meter</v>
      </c>
      <c r="G84" s="146"/>
      <c r="I84" s="110">
        <v>2.5</v>
      </c>
      <c r="N84" s="199"/>
    </row>
    <row r="85" spans="3:14" ht="14.1" customHeight="1" x14ac:dyDescent="0.25">
      <c r="C85" s="94" t="str">
        <f t="shared" si="3"/>
        <v>AMS - Franchise CT Meter Install</v>
      </c>
      <c r="G85" s="160"/>
      <c r="H85" s="161"/>
      <c r="I85" s="162"/>
      <c r="N85" s="199"/>
    </row>
    <row r="86" spans="3:14" ht="21" customHeight="1" x14ac:dyDescent="0.25">
      <c r="D86" s="94" t="str">
        <f t="shared" si="3"/>
        <v>AMS - Franchise CT Meter Install</v>
      </c>
      <c r="G86" s="146"/>
      <c r="I86" s="110">
        <v>4</v>
      </c>
      <c r="N86" s="199"/>
    </row>
    <row r="87" spans="3:14" ht="14.25" customHeight="1" x14ac:dyDescent="0.25">
      <c r="C87" s="94" t="str">
        <f t="shared" si="3"/>
        <v>Add/Remove Meter</v>
      </c>
      <c r="G87" s="147"/>
      <c r="I87" s="104"/>
      <c r="N87" s="199"/>
    </row>
    <row r="88" spans="3:14" ht="12.75" x14ac:dyDescent="0.25">
      <c r="D88" s="94" t="str">
        <f t="shared" si="3"/>
        <v>Add/Remove Meter</v>
      </c>
      <c r="G88" s="146"/>
      <c r="I88" s="110">
        <v>2.2000000000000002</v>
      </c>
      <c r="N88" s="199"/>
    </row>
    <row r="89" spans="3:14" ht="12.75" x14ac:dyDescent="0.25">
      <c r="C89" s="94" t="str">
        <f t="shared" si="3"/>
        <v>Off Peak Conversion Fee</v>
      </c>
      <c r="G89" s="160"/>
      <c r="H89" s="161"/>
      <c r="I89" s="162"/>
      <c r="N89" s="199"/>
    </row>
    <row r="90" spans="3:14" ht="12.75" x14ac:dyDescent="0.25">
      <c r="D90" s="94" t="str">
        <f t="shared" si="3"/>
        <v>Off Peak Conversion Fee</v>
      </c>
      <c r="G90" s="146"/>
      <c r="I90" s="110">
        <v>0.6166666666666667</v>
      </c>
      <c r="N90" s="199"/>
    </row>
    <row r="91" spans="3:14" ht="14.1" customHeight="1" x14ac:dyDescent="0.25">
      <c r="C91" s="94" t="str">
        <f t="shared" si="3"/>
        <v>Rectification Works - General</v>
      </c>
      <c r="G91" s="147"/>
      <c r="I91" s="104"/>
      <c r="N91" s="199"/>
    </row>
    <row r="92" spans="3:14" ht="14.1" customHeight="1" x14ac:dyDescent="0.25">
      <c r="D92" s="94" t="str">
        <f t="shared" si="3"/>
        <v>Rectification Works - General</v>
      </c>
      <c r="G92" s="146"/>
      <c r="I92" s="110">
        <v>2</v>
      </c>
      <c r="N92" s="199"/>
    </row>
    <row r="93" spans="3:14" ht="14.1" customHeight="1" x14ac:dyDescent="0.25">
      <c r="C93" s="94" t="s">
        <v>184</v>
      </c>
      <c r="G93" s="160"/>
      <c r="H93" s="161"/>
      <c r="I93" s="162"/>
      <c r="N93" s="199"/>
    </row>
    <row r="94" spans="3:14" ht="14.1" customHeight="1" x14ac:dyDescent="0.25">
      <c r="D94" s="94" t="str">
        <f t="shared" si="3"/>
        <v>High Load Escorts</v>
      </c>
      <c r="G94" s="146"/>
      <c r="I94" s="110">
        <v>13.5</v>
      </c>
      <c r="N94" s="199"/>
    </row>
    <row r="95" spans="3:14" ht="14.1" customHeight="1" x14ac:dyDescent="0.25">
      <c r="C95" s="94" t="str">
        <f t="shared" si="3"/>
        <v>Temporary Supply</v>
      </c>
      <c r="G95" s="147"/>
      <c r="I95" s="104"/>
      <c r="N95" s="199"/>
    </row>
    <row r="96" spans="3:14" ht="14.1" customHeight="1" x14ac:dyDescent="0.25">
      <c r="D96" s="94" t="str">
        <f t="shared" si="3"/>
        <v>Install and remove HV LL Links</v>
      </c>
      <c r="G96" s="146"/>
      <c r="I96" s="110">
        <v>20</v>
      </c>
      <c r="N96" s="199"/>
    </row>
    <row r="97" spans="2:14" ht="14.1" customHeight="1" x14ac:dyDescent="0.25">
      <c r="D97" s="94" t="str">
        <f t="shared" si="3"/>
        <v>Break and remake HV bonds</v>
      </c>
      <c r="G97" s="146"/>
      <c r="I97" s="110">
        <v>15</v>
      </c>
      <c r="N97" s="199"/>
    </row>
    <row r="98" spans="2:14" ht="14.1" customHeight="1" x14ac:dyDescent="0.25">
      <c r="D98" s="94" t="str">
        <f t="shared" si="3"/>
        <v>Break and remake LV bonds</v>
      </c>
      <c r="G98" s="146"/>
      <c r="I98" s="110">
        <v>12</v>
      </c>
      <c r="N98" s="199"/>
    </row>
    <row r="99" spans="2:14" ht="14.1" customHeight="1" x14ac:dyDescent="0.25">
      <c r="D99" s="94" t="str">
        <f t="shared" si="3"/>
        <v>Connect and disconnect generator to OH mains</v>
      </c>
      <c r="G99" s="146"/>
      <c r="I99" s="110">
        <v>12</v>
      </c>
      <c r="N99" s="199"/>
    </row>
    <row r="100" spans="2:14" ht="14.1" customHeight="1" x14ac:dyDescent="0.25">
      <c r="D100" s="94" t="str">
        <f t="shared" si="3"/>
        <v>Connect and disconnect MG to LV board in Kiosk</v>
      </c>
      <c r="G100" s="146"/>
      <c r="I100" s="110">
        <v>8</v>
      </c>
      <c r="N100" s="199"/>
    </row>
    <row r="101" spans="2:14" ht="14.1" customHeight="1" x14ac:dyDescent="0.25">
      <c r="C101" s="94" t="str">
        <f t="shared" si="3"/>
        <v>Attendance (statutory)</v>
      </c>
      <c r="G101" s="160"/>
      <c r="H101" s="161"/>
      <c r="I101" s="162"/>
      <c r="N101" s="199"/>
    </row>
    <row r="102" spans="2:14" ht="14.1" customHeight="1" x14ac:dyDescent="0.25">
      <c r="D102" s="94" t="str">
        <f t="shared" si="3"/>
        <v>Attendance (statutory)</v>
      </c>
      <c r="G102" s="146"/>
      <c r="I102" s="110">
        <v>0.5</v>
      </c>
      <c r="N102" s="200"/>
    </row>
    <row r="103" spans="2:14" ht="14.1" customHeight="1" x14ac:dyDescent="0.25">
      <c r="K103" s="106"/>
      <c r="L103" s="147"/>
    </row>
    <row r="104" spans="2:14" ht="14.1" customHeight="1" x14ac:dyDescent="0.25">
      <c r="B104" s="94" t="s">
        <v>41</v>
      </c>
    </row>
    <row r="105" spans="2:14" ht="14.1" customHeight="1" x14ac:dyDescent="0.25">
      <c r="C105" s="101"/>
      <c r="D105" s="101"/>
      <c r="E105" s="139" t="s">
        <v>114</v>
      </c>
      <c r="F105" s="101"/>
      <c r="G105" s="102" t="str">
        <f>GlobalInputs!G15</f>
        <v>2009/10</v>
      </c>
      <c r="H105" s="102" t="str">
        <f>GlobalInputs!H15</f>
        <v>2010/11</v>
      </c>
      <c r="I105" s="102" t="str">
        <f>GlobalInputs!I15</f>
        <v>2011/12</v>
      </c>
      <c r="J105" s="102" t="str">
        <f>GlobalInputs!J15</f>
        <v>2012/13</v>
      </c>
      <c r="K105" s="102" t="str">
        <f>GlobalInputs!K15</f>
        <v>2013/14</v>
      </c>
      <c r="N105" s="105"/>
    </row>
    <row r="106" spans="2:14" ht="14.1" customHeight="1" x14ac:dyDescent="0.25">
      <c r="C106" s="106" t="s">
        <v>83</v>
      </c>
      <c r="D106" s="106"/>
      <c r="E106" s="106"/>
      <c r="F106" s="106"/>
      <c r="G106" s="107"/>
      <c r="H106" s="107"/>
      <c r="I106" s="107"/>
      <c r="J106" s="107"/>
      <c r="K106" s="107"/>
      <c r="N106" s="202" t="s">
        <v>178</v>
      </c>
    </row>
    <row r="107" spans="2:14" ht="14.1" customHeight="1" x14ac:dyDescent="0.25">
      <c r="D107" s="94" t="str">
        <f t="shared" ref="D107:D108" si="4">C49</f>
        <v>AMS - Meter Test</v>
      </c>
      <c r="F107" s="94" t="s">
        <v>40</v>
      </c>
      <c r="G107" s="108">
        <v>2778763.8295721579</v>
      </c>
      <c r="H107" s="108">
        <v>2435102.9945092201</v>
      </c>
      <c r="I107" s="108">
        <v>2459791.3810714856</v>
      </c>
      <c r="J107" s="108">
        <v>2759722.6500998475</v>
      </c>
      <c r="K107" s="108">
        <v>1942915.0603600778</v>
      </c>
      <c r="N107" s="203"/>
    </row>
    <row r="108" spans="2:14" ht="14.1" customHeight="1" x14ac:dyDescent="0.25">
      <c r="D108" s="94" t="str">
        <f t="shared" si="4"/>
        <v>AMS - Franchise CT Meter Install</v>
      </c>
      <c r="G108" s="108">
        <v>130450.86605333335</v>
      </c>
      <c r="H108" s="108">
        <v>100524.08880000001</v>
      </c>
      <c r="I108" s="108">
        <v>117710.93824</v>
      </c>
      <c r="J108" s="108">
        <v>81703.195200000002</v>
      </c>
      <c r="K108" s="108">
        <v>150730.581256</v>
      </c>
      <c r="N108" s="203"/>
    </row>
    <row r="109" spans="2:14" ht="14.1" customHeight="1" x14ac:dyDescent="0.25">
      <c r="D109" s="94" t="str">
        <f>C52</f>
        <v>Off Peak Conversion Fee</v>
      </c>
      <c r="G109" s="108">
        <v>245988.03274158516</v>
      </c>
      <c r="H109" s="108">
        <v>245910.42559344106</v>
      </c>
      <c r="I109" s="108">
        <v>220062.64217092781</v>
      </c>
      <c r="J109" s="108">
        <v>247965.96069501841</v>
      </c>
      <c r="K109" s="108">
        <v>119748.51258456158</v>
      </c>
      <c r="N109" s="203"/>
    </row>
    <row r="110" spans="2:14" ht="14.1" customHeight="1" x14ac:dyDescent="0.25">
      <c r="D110" s="94" t="str">
        <f>C53</f>
        <v>Rectification Works - General</v>
      </c>
      <c r="G110" s="108">
        <v>1963.56934</v>
      </c>
      <c r="H110" s="108">
        <v>435931.49349999998</v>
      </c>
      <c r="I110" s="108">
        <v>303830.40720000002</v>
      </c>
      <c r="J110" s="108">
        <v>237110.68399999995</v>
      </c>
      <c r="K110" s="108">
        <v>586913.69867549755</v>
      </c>
      <c r="N110" s="203"/>
    </row>
    <row r="111" spans="2:14" ht="14.1" customHeight="1" x14ac:dyDescent="0.25">
      <c r="D111" s="94" t="str">
        <f>C54</f>
        <v>High Load Escorts</v>
      </c>
      <c r="G111" s="108">
        <v>19504.739626666669</v>
      </c>
      <c r="H111" s="108">
        <v>13165.009200000002</v>
      </c>
      <c r="I111" s="108">
        <v>42587.492976000001</v>
      </c>
      <c r="J111" s="108">
        <v>36436.170539999999</v>
      </c>
      <c r="K111" s="108">
        <v>52630.420995630004</v>
      </c>
      <c r="N111" s="203"/>
    </row>
    <row r="112" spans="2:14" ht="14.1" customHeight="1" x14ac:dyDescent="0.25">
      <c r="D112" s="94" t="str">
        <f>C55</f>
        <v>Temporary Supply</v>
      </c>
      <c r="G112" s="108">
        <v>112253.8400388889</v>
      </c>
      <c r="H112" s="108">
        <v>115455.041</v>
      </c>
      <c r="I112" s="108">
        <v>120479.21079999999</v>
      </c>
      <c r="J112" s="108">
        <v>123692.68339999999</v>
      </c>
      <c r="K112" s="108">
        <v>126702.86535985001</v>
      </c>
      <c r="N112" s="203"/>
    </row>
    <row r="113" spans="3:14" ht="14.1" customHeight="1" x14ac:dyDescent="0.25">
      <c r="D113" s="94" t="str">
        <f>C56</f>
        <v>Attendance (statutory)</v>
      </c>
      <c r="G113" s="108">
        <v>0</v>
      </c>
      <c r="H113" s="108">
        <v>0</v>
      </c>
      <c r="I113" s="108">
        <v>0</v>
      </c>
      <c r="J113" s="108">
        <v>0</v>
      </c>
      <c r="K113" s="108">
        <v>0</v>
      </c>
      <c r="N113" s="203"/>
    </row>
    <row r="114" spans="3:14" ht="14.1" customHeight="1" x14ac:dyDescent="0.25">
      <c r="F114" s="94" t="s">
        <v>40</v>
      </c>
      <c r="G114" s="103">
        <f>SUM(G107:G112)</f>
        <v>3288924.8773726323</v>
      </c>
      <c r="H114" s="103">
        <f>SUM(H107:H112)</f>
        <v>3346089.0526026613</v>
      </c>
      <c r="I114" s="103">
        <f>SUM(I107:I112)</f>
        <v>3264462.0724584134</v>
      </c>
      <c r="J114" s="103">
        <f>SUM(J107:J112)</f>
        <v>3486631.3439348657</v>
      </c>
      <c r="K114" s="103">
        <f>SUM(K107:K112)</f>
        <v>2979641.1392316171</v>
      </c>
      <c r="N114" s="204"/>
    </row>
    <row r="116" spans="3:14" ht="14.1" customHeight="1" x14ac:dyDescent="0.25">
      <c r="C116" s="106" t="s">
        <v>84</v>
      </c>
      <c r="D116" s="106"/>
      <c r="E116" s="106"/>
      <c r="N116" s="202" t="s">
        <v>179</v>
      </c>
    </row>
    <row r="117" spans="3:14" ht="14.1" customHeight="1" x14ac:dyDescent="0.25">
      <c r="D117" s="94" t="str">
        <f>D107</f>
        <v>AMS - Meter Test</v>
      </c>
      <c r="F117" s="94" t="s">
        <v>40</v>
      </c>
      <c r="G117" s="108">
        <v>1666859.6233027335</v>
      </c>
      <c r="H117" s="108">
        <v>1263821.8593650309</v>
      </c>
      <c r="I117" s="108">
        <v>1288147.382135737</v>
      </c>
      <c r="J117" s="108">
        <v>1292636.0240913529</v>
      </c>
      <c r="K117" s="108">
        <v>1045277.572557869</v>
      </c>
      <c r="N117" s="203"/>
    </row>
    <row r="118" spans="3:14" ht="14.1" customHeight="1" x14ac:dyDescent="0.25">
      <c r="D118" s="94" t="str">
        <f>D108</f>
        <v>AMS - Franchise CT Meter Install</v>
      </c>
      <c r="G118" s="108">
        <v>62225.063107440001</v>
      </c>
      <c r="H118" s="108">
        <v>46844.22538080001</v>
      </c>
      <c r="I118" s="108">
        <v>52522.620642688002</v>
      </c>
      <c r="J118" s="108">
        <v>34339.852942559999</v>
      </c>
      <c r="K118" s="108">
        <v>65507.510613857601</v>
      </c>
      <c r="N118" s="203"/>
    </row>
    <row r="119" spans="3:14" ht="14.1" customHeight="1" x14ac:dyDescent="0.25">
      <c r="D119" s="94" t="str">
        <f t="shared" ref="D119:D121" si="5">D109</f>
        <v>Off Peak Conversion Fee</v>
      </c>
      <c r="G119" s="108">
        <v>147557.52728210459</v>
      </c>
      <c r="H119" s="108">
        <v>127627.85476077406</v>
      </c>
      <c r="I119" s="108">
        <v>115242.74725073358</v>
      </c>
      <c r="J119" s="108">
        <v>116145.63279799309</v>
      </c>
      <c r="K119" s="108">
        <v>64424.038449013977</v>
      </c>
      <c r="N119" s="203"/>
    </row>
    <row r="120" spans="3:14" ht="14.1" customHeight="1" x14ac:dyDescent="0.25">
      <c r="D120" s="94" t="str">
        <f t="shared" si="5"/>
        <v>Rectification Works - General</v>
      </c>
      <c r="G120" s="108">
        <v>936.62257518000001</v>
      </c>
      <c r="H120" s="108">
        <v>203144.07597100001</v>
      </c>
      <c r="I120" s="108">
        <v>135569.12769264</v>
      </c>
      <c r="J120" s="108">
        <v>99657.620485199979</v>
      </c>
      <c r="K120" s="108">
        <v>255072.69344437122</v>
      </c>
      <c r="N120" s="203"/>
    </row>
    <row r="121" spans="3:14" ht="14.1" customHeight="1" x14ac:dyDescent="0.25">
      <c r="D121" s="94" t="str">
        <f t="shared" si="5"/>
        <v>High Load Escorts</v>
      </c>
      <c r="G121" s="108">
        <v>9303.7608019200015</v>
      </c>
      <c r="H121" s="108">
        <v>6134.8942872000016</v>
      </c>
      <c r="I121" s="108">
        <v>19002.5393658912</v>
      </c>
      <c r="J121" s="108">
        <v>15314.122477962001</v>
      </c>
      <c r="K121" s="108">
        <v>22873.180964700798</v>
      </c>
      <c r="N121" s="203"/>
    </row>
    <row r="122" spans="3:14" ht="14.1" customHeight="1" x14ac:dyDescent="0.25">
      <c r="D122" s="94" t="str">
        <f t="shared" ref="D122:D123" si="6">D112</f>
        <v>Temporary Supply</v>
      </c>
      <c r="G122" s="108">
        <v>53545.081698549999</v>
      </c>
      <c r="H122" s="108">
        <v>53802.049105999999</v>
      </c>
      <c r="I122" s="108">
        <v>53757.823858959993</v>
      </c>
      <c r="J122" s="108">
        <v>51988.034833019999</v>
      </c>
      <c r="K122" s="108">
        <v>55065.06528539081</v>
      </c>
      <c r="N122" s="203"/>
    </row>
    <row r="123" spans="3:14" ht="14.1" customHeight="1" x14ac:dyDescent="0.25">
      <c r="D123" s="94" t="str">
        <f t="shared" si="6"/>
        <v>Attendance (statutory)</v>
      </c>
      <c r="G123" s="108">
        <v>0</v>
      </c>
      <c r="H123" s="108">
        <v>0</v>
      </c>
      <c r="I123" s="108">
        <v>0</v>
      </c>
      <c r="J123" s="108">
        <v>0</v>
      </c>
      <c r="K123" s="108">
        <v>0</v>
      </c>
      <c r="N123" s="203"/>
    </row>
    <row r="124" spans="3:14" ht="14.1" customHeight="1" x14ac:dyDescent="0.25">
      <c r="F124" s="94" t="s">
        <v>40</v>
      </c>
      <c r="G124" s="103">
        <f>SUM(G117:G122)</f>
        <v>1940427.6787679279</v>
      </c>
      <c r="H124" s="103">
        <f>SUM(H117:H122)</f>
        <v>1701374.9588708046</v>
      </c>
      <c r="I124" s="103">
        <f>SUM(I117:I122)</f>
        <v>1664242.2409466498</v>
      </c>
      <c r="J124" s="103">
        <f>SUM(J117:J122)</f>
        <v>1610081.2876280881</v>
      </c>
      <c r="K124" s="103">
        <f>SUM(K117:K122)</f>
        <v>1508220.0613152036</v>
      </c>
      <c r="N124" s="204"/>
    </row>
  </sheetData>
  <mergeCells count="8">
    <mergeCell ref="N30:N45"/>
    <mergeCell ref="G60:H60"/>
    <mergeCell ref="N49:N57"/>
    <mergeCell ref="G61:H61"/>
    <mergeCell ref="N116:N124"/>
    <mergeCell ref="N106:N114"/>
    <mergeCell ref="N62:N77"/>
    <mergeCell ref="N83:N102"/>
  </mergeCells>
  <pageMargins left="0.70866141732283472" right="0.70866141732283472" top="0.74803149606299213" bottom="0.74803149606299213" header="0.31496062992125984" footer="0.31496062992125984"/>
  <pageSetup paperSize="8" scale="66" fitToHeight="0" orientation="portrait" r:id="rId1"/>
  <headerFooter>
    <oddFooter>&amp;C&amp;F&amp;R&amp;A</oddFooter>
  </headerFooter>
  <rowBreaks count="1" manualBreakCount="1">
    <brk id="230"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9" tint="0.59999389629810485"/>
    <pageSetUpPr fitToPage="1"/>
  </sheetPr>
  <dimension ref="A1:Q169"/>
  <sheetViews>
    <sheetView zoomScale="90" zoomScaleNormal="90" zoomScalePageLayoutView="125" workbookViewId="0">
      <pane xSplit="5" ySplit="4" topLeftCell="F117" activePane="bottomRight" state="frozenSplit"/>
      <selection pane="topRight" activeCell="E1" sqref="E1"/>
      <selection pane="bottomLeft" activeCell="A5" sqref="A5"/>
      <selection pane="bottomRight" activeCell="J155" sqref="J155"/>
    </sheetView>
  </sheetViews>
  <sheetFormatPr defaultColWidth="9.140625" defaultRowHeight="14.1" customHeight="1" x14ac:dyDescent="0.25"/>
  <cols>
    <col min="1" max="3" width="2.140625" style="6" customWidth="1"/>
    <col min="4" max="4" width="1.85546875" style="6" customWidth="1"/>
    <col min="5" max="5" width="42.140625" style="6" customWidth="1"/>
    <col min="6" max="6" width="10.85546875" style="6" customWidth="1"/>
    <col min="7" max="8" width="12" style="6" customWidth="1"/>
    <col min="9" max="13" width="10.85546875" style="6" customWidth="1"/>
    <col min="14" max="14" width="2.42578125" style="6" customWidth="1"/>
    <col min="15" max="15" width="46.7109375" style="20" customWidth="1"/>
    <col min="16" max="16" width="4.85546875" style="6" customWidth="1"/>
    <col min="17" max="19" width="9.140625" style="6" customWidth="1"/>
    <col min="20" max="16384" width="9.140625" style="6"/>
  </cols>
  <sheetData>
    <row r="1" spans="1:16" ht="14.1" customHeight="1" x14ac:dyDescent="0.2">
      <c r="A1" s="15" t="s">
        <v>15</v>
      </c>
      <c r="B1" s="15"/>
      <c r="C1" s="15"/>
      <c r="D1" s="15"/>
      <c r="E1" s="15"/>
      <c r="F1" s="15"/>
      <c r="G1" s="15"/>
      <c r="H1" s="15"/>
      <c r="I1" s="15"/>
      <c r="J1" s="15"/>
      <c r="K1" s="15"/>
      <c r="L1" s="15"/>
      <c r="M1" s="15"/>
      <c r="N1" s="15"/>
      <c r="P1" s="15"/>
    </row>
    <row r="2" spans="1:16" ht="15.95" customHeight="1" x14ac:dyDescent="0.25">
      <c r="A2" s="17" t="s">
        <v>62</v>
      </c>
      <c r="B2" s="16"/>
      <c r="C2" s="16"/>
      <c r="D2" s="16"/>
      <c r="E2" s="16"/>
      <c r="F2" s="81" t="str">
        <f>IF(ROUND($E$5,6)=0,"ok","Problem - review CheckSheet")</f>
        <v>ok</v>
      </c>
      <c r="G2" s="16"/>
      <c r="H2" s="16"/>
      <c r="I2" s="16"/>
      <c r="J2" s="16"/>
      <c r="K2" s="16"/>
      <c r="L2" s="16"/>
      <c r="M2" s="16"/>
      <c r="N2" s="16"/>
      <c r="O2" s="21"/>
      <c r="P2" s="16"/>
    </row>
    <row r="3" spans="1:16" ht="14.1" customHeight="1" x14ac:dyDescent="0.25">
      <c r="A3" s="6" t="str">
        <f>GlobalInputs!G12</f>
        <v>Field related services</v>
      </c>
      <c r="O3" s="18" t="s">
        <v>38</v>
      </c>
    </row>
    <row r="5" spans="1:16" ht="14.1" customHeight="1" x14ac:dyDescent="0.25">
      <c r="B5" s="6" t="s">
        <v>45</v>
      </c>
    </row>
    <row r="6" spans="1:16" ht="14.1" customHeight="1" x14ac:dyDescent="0.25">
      <c r="C6" s="6" t="s">
        <v>46</v>
      </c>
    </row>
    <row r="7" spans="1:16" ht="14.1" customHeight="1" x14ac:dyDescent="0.25">
      <c r="D7" s="6" t="str">
        <f>ServiceHistory!C82</f>
        <v>AMS - Meter Test</v>
      </c>
      <c r="O7" s="202" t="s">
        <v>126</v>
      </c>
    </row>
    <row r="8" spans="1:16" ht="14.1" customHeight="1" x14ac:dyDescent="0.25">
      <c r="E8" s="6" t="str">
        <f>ServiceHistory!D83</f>
        <v>First Meter</v>
      </c>
      <c r="G8" s="111" t="s">
        <v>47</v>
      </c>
      <c r="O8" s="203"/>
    </row>
    <row r="9" spans="1:16" ht="14.1" customHeight="1" x14ac:dyDescent="0.25">
      <c r="E9" s="6" t="str">
        <f>ServiceHistory!D84</f>
        <v>Each Additional Meter</v>
      </c>
      <c r="G9" s="111" t="s">
        <v>47</v>
      </c>
      <c r="O9" s="203"/>
    </row>
    <row r="10" spans="1:16" ht="14.1" customHeight="1" x14ac:dyDescent="0.25">
      <c r="D10" s="6" t="str">
        <f>ServiceHistory!C85</f>
        <v>AMS - Franchise CT Meter Install</v>
      </c>
      <c r="G10" s="163"/>
      <c r="O10" s="203"/>
    </row>
    <row r="11" spans="1:16" ht="14.1" customHeight="1" x14ac:dyDescent="0.25">
      <c r="E11" s="6" t="str">
        <f>ServiceHistory!D86</f>
        <v>AMS - Franchise CT Meter Install</v>
      </c>
      <c r="G11" s="111" t="s">
        <v>47</v>
      </c>
      <c r="O11" s="203"/>
    </row>
    <row r="12" spans="1:16" ht="14.1" customHeight="1" x14ac:dyDescent="0.25">
      <c r="D12" s="6" t="str">
        <f>ServiceHistory!C87</f>
        <v>Add/Remove Meter</v>
      </c>
      <c r="G12" s="8"/>
      <c r="O12" s="203"/>
    </row>
    <row r="13" spans="1:16" ht="14.1" customHeight="1" x14ac:dyDescent="0.25">
      <c r="E13" s="6" t="str">
        <f>ServiceHistory!D88</f>
        <v>Add/Remove Meter</v>
      </c>
      <c r="G13" s="111" t="s">
        <v>47</v>
      </c>
      <c r="O13" s="203"/>
    </row>
    <row r="14" spans="1:16" ht="14.1" customHeight="1" x14ac:dyDescent="0.25">
      <c r="D14" s="6" t="str">
        <f>ServiceHistory!C89</f>
        <v>Off Peak Conversion Fee</v>
      </c>
      <c r="G14" s="163"/>
      <c r="O14" s="203"/>
    </row>
    <row r="15" spans="1:16" ht="14.1" customHeight="1" x14ac:dyDescent="0.25">
      <c r="E15" s="6" t="str">
        <f>ServiceHistory!D90</f>
        <v>Off Peak Conversion Fee</v>
      </c>
      <c r="G15" s="111" t="s">
        <v>47</v>
      </c>
      <c r="O15" s="203"/>
    </row>
    <row r="16" spans="1:16" ht="14.1" customHeight="1" x14ac:dyDescent="0.25">
      <c r="D16" s="6" t="str">
        <f>ServiceHistory!C91</f>
        <v>Rectification Works - General</v>
      </c>
      <c r="G16" s="8"/>
      <c r="O16" s="203"/>
    </row>
    <row r="17" spans="3:15" ht="14.1" customHeight="1" x14ac:dyDescent="0.25">
      <c r="E17" s="6" t="str">
        <f>ServiceHistory!D92</f>
        <v>Rectification Works - General</v>
      </c>
      <c r="G17" s="111" t="s">
        <v>48</v>
      </c>
      <c r="O17" s="203"/>
    </row>
    <row r="18" spans="3:15" ht="14.1" customHeight="1" x14ac:dyDescent="0.25">
      <c r="D18" s="6" t="str">
        <f>ServiceHistory!C93</f>
        <v>High Load Escorts</v>
      </c>
      <c r="G18" s="163"/>
      <c r="O18" s="203"/>
    </row>
    <row r="19" spans="3:15" ht="14.1" customHeight="1" x14ac:dyDescent="0.25">
      <c r="E19" s="6" t="str">
        <f>ServiceHistory!D94</f>
        <v>High Load Escorts</v>
      </c>
      <c r="G19" s="111" t="s">
        <v>48</v>
      </c>
      <c r="O19" s="203"/>
    </row>
    <row r="20" spans="3:15" ht="14.1" customHeight="1" x14ac:dyDescent="0.25">
      <c r="D20" s="6" t="str">
        <f>ServiceHistory!C95</f>
        <v>Temporary Supply</v>
      </c>
      <c r="O20" s="203"/>
    </row>
    <row r="21" spans="3:15" ht="14.1" customHeight="1" x14ac:dyDescent="0.25">
      <c r="E21" s="6" t="str">
        <f>ServiceHistory!D96</f>
        <v>Install and remove HV LL Links</v>
      </c>
      <c r="G21" s="111" t="s">
        <v>47</v>
      </c>
      <c r="O21" s="203"/>
    </row>
    <row r="22" spans="3:15" ht="14.1" customHeight="1" x14ac:dyDescent="0.25">
      <c r="E22" s="6" t="str">
        <f>ServiceHistory!D97</f>
        <v>Break and remake HV bonds</v>
      </c>
      <c r="G22" s="164" t="s">
        <v>47</v>
      </c>
      <c r="O22" s="203"/>
    </row>
    <row r="23" spans="3:15" ht="14.1" customHeight="1" x14ac:dyDescent="0.25">
      <c r="E23" s="6" t="str">
        <f>ServiceHistory!D98</f>
        <v>Break and remake LV bonds</v>
      </c>
      <c r="G23" s="111" t="s">
        <v>47</v>
      </c>
      <c r="O23" s="203"/>
    </row>
    <row r="24" spans="3:15" ht="14.1" customHeight="1" x14ac:dyDescent="0.25">
      <c r="E24" s="6" t="str">
        <f>ServiceHistory!D99</f>
        <v>Connect and disconnect generator to OH mains</v>
      </c>
      <c r="G24" s="111" t="s">
        <v>47</v>
      </c>
      <c r="O24" s="203"/>
    </row>
    <row r="25" spans="3:15" ht="14.1" customHeight="1" x14ac:dyDescent="0.25">
      <c r="E25" s="6" t="str">
        <f>ServiceHistory!D100</f>
        <v>Connect and disconnect MG to LV board in Kiosk</v>
      </c>
      <c r="G25" s="164" t="s">
        <v>47</v>
      </c>
      <c r="O25" s="203"/>
    </row>
    <row r="26" spans="3:15" ht="14.1" customHeight="1" x14ac:dyDescent="0.25">
      <c r="D26" s="6" t="str">
        <f>ServiceHistory!C101</f>
        <v>Attendance (statutory)</v>
      </c>
      <c r="G26" s="163"/>
      <c r="O26" s="203"/>
    </row>
    <row r="27" spans="3:15" ht="14.1" customHeight="1" x14ac:dyDescent="0.25">
      <c r="E27" s="6" t="str">
        <f>ServiceHistory!D102</f>
        <v>Attendance (statutory)</v>
      </c>
      <c r="G27" s="111" t="s">
        <v>48</v>
      </c>
      <c r="O27" s="203"/>
    </row>
    <row r="28" spans="3:15" ht="14.1" customHeight="1" x14ac:dyDescent="0.25">
      <c r="G28" s="163"/>
      <c r="O28" s="204"/>
    </row>
    <row r="30" spans="3:15" ht="14.1" customHeight="1" x14ac:dyDescent="0.25">
      <c r="C30" s="6" t="s">
        <v>49</v>
      </c>
      <c r="G30" s="14" t="s">
        <v>69</v>
      </c>
      <c r="H30" s="14" t="s">
        <v>50</v>
      </c>
      <c r="I30" s="14" t="s">
        <v>70</v>
      </c>
    </row>
    <row r="31" spans="3:15" ht="14.1" customHeight="1" x14ac:dyDescent="0.25">
      <c r="D31" s="9"/>
      <c r="E31" s="9"/>
      <c r="F31" s="9"/>
      <c r="G31" s="10" t="s">
        <v>68</v>
      </c>
      <c r="H31" s="10" t="s">
        <v>51</v>
      </c>
      <c r="I31" s="10" t="s">
        <v>71</v>
      </c>
    </row>
    <row r="32" spans="3:15" ht="14.1" customHeight="1" x14ac:dyDescent="0.25">
      <c r="D32" s="6" t="str">
        <f>D7</f>
        <v>AMS - Meter Test</v>
      </c>
      <c r="O32" s="202" t="s">
        <v>127</v>
      </c>
    </row>
    <row r="33" spans="3:15" ht="14.1" customHeight="1" x14ac:dyDescent="0.25">
      <c r="E33" s="6" t="str">
        <f>E8</f>
        <v>First Meter</v>
      </c>
      <c r="G33" s="23">
        <f>ServiceHistory!G83</f>
        <v>0</v>
      </c>
      <c r="H33" s="19">
        <v>3.4</v>
      </c>
      <c r="I33" s="112">
        <f>H33</f>
        <v>3.4</v>
      </c>
      <c r="O33" s="203"/>
    </row>
    <row r="34" spans="3:15" ht="14.1" customHeight="1" x14ac:dyDescent="0.25">
      <c r="E34" s="6" t="str">
        <f>E9</f>
        <v>Each Additional Meter</v>
      </c>
      <c r="G34" s="23">
        <f>ServiceHistory!G84</f>
        <v>0</v>
      </c>
      <c r="H34" s="19">
        <f>ServiceHistory!I84</f>
        <v>2.5</v>
      </c>
      <c r="I34" s="112">
        <f t="shared" ref="I34" si="0">H34</f>
        <v>2.5</v>
      </c>
      <c r="O34" s="203"/>
    </row>
    <row r="35" spans="3:15" ht="14.1" customHeight="1" x14ac:dyDescent="0.25">
      <c r="D35" s="6" t="str">
        <f>D10</f>
        <v>AMS - Franchise CT Meter Install</v>
      </c>
      <c r="O35" s="202"/>
    </row>
    <row r="36" spans="3:15" ht="14.1" customHeight="1" x14ac:dyDescent="0.25">
      <c r="E36" s="6" t="str">
        <f>E11</f>
        <v>AMS - Franchise CT Meter Install</v>
      </c>
      <c r="G36" s="23">
        <f>ServiceHistory!G86</f>
        <v>0</v>
      </c>
      <c r="H36" s="19">
        <f>ServiceHistory!I86</f>
        <v>4</v>
      </c>
      <c r="I36" s="112">
        <f t="shared" ref="I36" si="1">H36</f>
        <v>4</v>
      </c>
      <c r="O36" s="203"/>
    </row>
    <row r="37" spans="3:15" ht="14.1" customHeight="1" x14ac:dyDescent="0.25">
      <c r="D37" s="6" t="str">
        <f>D12</f>
        <v>Add/Remove Meter</v>
      </c>
      <c r="O37" s="202"/>
    </row>
    <row r="38" spans="3:15" ht="14.1" customHeight="1" x14ac:dyDescent="0.25">
      <c r="E38" s="6" t="str">
        <f>E13</f>
        <v>Add/Remove Meter</v>
      </c>
      <c r="G38" s="23">
        <f>ServiceHistory!G88</f>
        <v>0</v>
      </c>
      <c r="H38" s="19">
        <f>ServiceHistory!I88</f>
        <v>2.2000000000000002</v>
      </c>
      <c r="I38" s="112">
        <f t="shared" ref="I38" si="2">H38</f>
        <v>2.2000000000000002</v>
      </c>
      <c r="O38" s="203"/>
    </row>
    <row r="39" spans="3:15" ht="14.1" customHeight="1" x14ac:dyDescent="0.25">
      <c r="D39" s="6" t="str">
        <f>D14</f>
        <v>Off Peak Conversion Fee</v>
      </c>
      <c r="G39" s="165"/>
      <c r="H39" s="166"/>
      <c r="I39" s="167"/>
      <c r="O39" s="203"/>
    </row>
    <row r="40" spans="3:15" ht="14.1" customHeight="1" x14ac:dyDescent="0.25">
      <c r="E40" s="6" t="str">
        <f>E15</f>
        <v>Off Peak Conversion Fee</v>
      </c>
      <c r="G40" s="23">
        <f>ServiceHistory!G90</f>
        <v>0</v>
      </c>
      <c r="H40" s="19">
        <f>ServiceHistory!I90</f>
        <v>0.6166666666666667</v>
      </c>
      <c r="I40" s="112">
        <f t="shared" ref="I40" si="3">H40</f>
        <v>0.6166666666666667</v>
      </c>
      <c r="O40" s="204"/>
    </row>
    <row r="41" spans="3:15" ht="14.1" customHeight="1" x14ac:dyDescent="0.25">
      <c r="D41" s="6" t="str">
        <f>D20</f>
        <v>Temporary Supply</v>
      </c>
      <c r="O41" s="202"/>
    </row>
    <row r="42" spans="3:15" ht="14.1" customHeight="1" x14ac:dyDescent="0.25">
      <c r="E42" s="6" t="str">
        <f>E21</f>
        <v>Install and remove HV LL Links</v>
      </c>
      <c r="G42" s="23">
        <f>ServiceHistory!G96</f>
        <v>0</v>
      </c>
      <c r="H42" s="19">
        <f>ServiceHistory!I96</f>
        <v>20</v>
      </c>
      <c r="I42" s="112">
        <f t="shared" ref="I42:I46" si="4">H42</f>
        <v>20</v>
      </c>
      <c r="O42" s="203"/>
    </row>
    <row r="43" spans="3:15" ht="14.1" customHeight="1" x14ac:dyDescent="0.25">
      <c r="E43" s="6" t="str">
        <f>E22</f>
        <v>Break and remake HV bonds</v>
      </c>
      <c r="G43" s="23">
        <f>ServiceHistory!G97</f>
        <v>0</v>
      </c>
      <c r="H43" s="19">
        <f>ServiceHistory!I97</f>
        <v>15</v>
      </c>
      <c r="I43" s="112">
        <f t="shared" si="4"/>
        <v>15</v>
      </c>
      <c r="O43" s="203"/>
    </row>
    <row r="44" spans="3:15" ht="14.1" customHeight="1" x14ac:dyDescent="0.25">
      <c r="E44" s="6" t="str">
        <f>E23</f>
        <v>Break and remake LV bonds</v>
      </c>
      <c r="G44" s="23">
        <f>ServiceHistory!G98</f>
        <v>0</v>
      </c>
      <c r="H44" s="19">
        <f>ServiceHistory!I98</f>
        <v>12</v>
      </c>
      <c r="I44" s="112">
        <f t="shared" si="4"/>
        <v>12</v>
      </c>
      <c r="O44" s="203"/>
    </row>
    <row r="45" spans="3:15" ht="14.1" customHeight="1" x14ac:dyDescent="0.25">
      <c r="E45" s="6" t="str">
        <f>E24</f>
        <v>Connect and disconnect generator to OH mains</v>
      </c>
      <c r="G45" s="23">
        <f>ServiceHistory!G99</f>
        <v>0</v>
      </c>
      <c r="H45" s="19">
        <f>ServiceHistory!I99</f>
        <v>12</v>
      </c>
      <c r="I45" s="112">
        <f t="shared" si="4"/>
        <v>12</v>
      </c>
      <c r="O45" s="204"/>
    </row>
    <row r="46" spans="3:15" ht="14.1" customHeight="1" x14ac:dyDescent="0.25">
      <c r="E46" s="6" t="str">
        <f>E25</f>
        <v>Connect and disconnect MG to LV board in Kiosk</v>
      </c>
      <c r="G46" s="23">
        <f>ServiceHistory!G100</f>
        <v>0</v>
      </c>
      <c r="H46" s="19">
        <f>ServiceHistory!I100</f>
        <v>8</v>
      </c>
      <c r="I46" s="112">
        <f t="shared" si="4"/>
        <v>8</v>
      </c>
      <c r="O46" s="155"/>
    </row>
    <row r="48" spans="3:15" ht="14.1" customHeight="1" x14ac:dyDescent="0.25">
      <c r="C48" s="6" t="s">
        <v>171</v>
      </c>
      <c r="G48" s="14" t="s">
        <v>50</v>
      </c>
      <c r="H48" s="14" t="s">
        <v>125</v>
      </c>
    </row>
    <row r="49" spans="3:15" ht="14.1" customHeight="1" x14ac:dyDescent="0.25">
      <c r="D49" s="9"/>
      <c r="E49" s="9"/>
      <c r="F49" s="9"/>
      <c r="G49" s="10" t="s">
        <v>51</v>
      </c>
      <c r="H49" s="10" t="s">
        <v>71</v>
      </c>
    </row>
    <row r="50" spans="3:15" ht="14.1" customHeight="1" x14ac:dyDescent="0.25">
      <c r="D50" s="6" t="str">
        <f>D16</f>
        <v>Rectification Works - General</v>
      </c>
      <c r="O50" s="202"/>
    </row>
    <row r="51" spans="3:15" ht="14.1" customHeight="1" x14ac:dyDescent="0.25">
      <c r="E51" s="6" t="str">
        <f>E17</f>
        <v>Rectification Works - General</v>
      </c>
      <c r="G51" s="19">
        <f>ServiceHistory!I92</f>
        <v>2</v>
      </c>
      <c r="H51" s="112">
        <f t="shared" ref="H51" si="5">G51</f>
        <v>2</v>
      </c>
      <c r="O51" s="204"/>
    </row>
    <row r="52" spans="3:15" ht="14.1" customHeight="1" x14ac:dyDescent="0.25">
      <c r="D52" s="6" t="str">
        <f>D18</f>
        <v>High Load Escorts</v>
      </c>
      <c r="O52" s="202"/>
    </row>
    <row r="53" spans="3:15" ht="14.1" customHeight="1" x14ac:dyDescent="0.25">
      <c r="E53" s="6" t="str">
        <f>E19</f>
        <v>High Load Escorts</v>
      </c>
      <c r="G53" s="19">
        <f>ServiceHistory!I94</f>
        <v>13.5</v>
      </c>
      <c r="H53" s="112">
        <f t="shared" ref="H53" si="6">G53</f>
        <v>13.5</v>
      </c>
      <c r="O53" s="203"/>
    </row>
    <row r="54" spans="3:15" ht="14.1" customHeight="1" x14ac:dyDescent="0.25">
      <c r="D54" s="6" t="str">
        <f>D26</f>
        <v>Attendance (statutory)</v>
      </c>
      <c r="G54" s="166"/>
      <c r="H54" s="167"/>
      <c r="O54" s="204"/>
    </row>
    <row r="55" spans="3:15" ht="14.1" customHeight="1" x14ac:dyDescent="0.25">
      <c r="E55" s="6" t="str">
        <f>E27</f>
        <v>Attendance (statutory)</v>
      </c>
      <c r="G55" s="19">
        <f>ServiceHistory!I102</f>
        <v>0.5</v>
      </c>
      <c r="H55" s="112">
        <f t="shared" ref="H55" si="7">G55</f>
        <v>0.5</v>
      </c>
      <c r="O55" s="150"/>
    </row>
    <row r="57" spans="3:15" ht="14.1" customHeight="1" x14ac:dyDescent="0.25">
      <c r="C57" s="6" t="s">
        <v>74</v>
      </c>
      <c r="K57" s="25"/>
    </row>
    <row r="58" spans="3:15" ht="14.1" customHeight="1" x14ac:dyDescent="0.25">
      <c r="D58" s="9"/>
      <c r="E58" s="9"/>
      <c r="F58" s="9"/>
      <c r="G58" s="10" t="s">
        <v>53</v>
      </c>
      <c r="H58" s="9" t="s">
        <v>0</v>
      </c>
      <c r="I58" s="9"/>
      <c r="J58" s="9"/>
    </row>
    <row r="59" spans="3:15" ht="14.1" customHeight="1" x14ac:dyDescent="0.25">
      <c r="D59" s="6" t="str">
        <f t="shared" ref="D59:E79" si="8">D7</f>
        <v>AMS - Meter Test</v>
      </c>
      <c r="O59" s="202"/>
    </row>
    <row r="60" spans="3:15" ht="14.1" customHeight="1" x14ac:dyDescent="0.25">
      <c r="E60" s="6" t="str">
        <f t="shared" si="8"/>
        <v>First Meter</v>
      </c>
      <c r="G60" s="113" t="s">
        <v>36</v>
      </c>
      <c r="H60" s="6" t="str">
        <f>VLOOKUP(G60,GlobalInputs!$C$21:$G$30,3,FALSE)</f>
        <v>Field Worker</v>
      </c>
      <c r="O60" s="203"/>
    </row>
    <row r="61" spans="3:15" ht="14.1" customHeight="1" x14ac:dyDescent="0.25">
      <c r="E61" s="6" t="str">
        <f t="shared" si="8"/>
        <v>Each Additional Meter</v>
      </c>
      <c r="G61" s="113" t="s">
        <v>36</v>
      </c>
      <c r="H61" s="6" t="str">
        <f>VLOOKUP(G61,GlobalInputs!$C$21:$G$30,3,FALSE)</f>
        <v>Field Worker</v>
      </c>
      <c r="O61" s="203"/>
    </row>
    <row r="62" spans="3:15" ht="14.1" customHeight="1" x14ac:dyDescent="0.25">
      <c r="D62" s="6" t="str">
        <f t="shared" si="8"/>
        <v>AMS - Franchise CT Meter Install</v>
      </c>
      <c r="G62" s="168"/>
      <c r="H62" s="169"/>
      <c r="O62" s="203"/>
    </row>
    <row r="63" spans="3:15" ht="14.1" customHeight="1" x14ac:dyDescent="0.25">
      <c r="E63" s="6" t="str">
        <f t="shared" si="8"/>
        <v>AMS - Franchise CT Meter Install</v>
      </c>
      <c r="G63" s="113" t="s">
        <v>32</v>
      </c>
      <c r="H63" s="6" t="str">
        <f>VLOOKUP(G63,GlobalInputs!$C$21:$G$30,3,FALSE)</f>
        <v>Outdoor technical officer</v>
      </c>
      <c r="O63" s="203"/>
    </row>
    <row r="64" spans="3:15" ht="14.1" customHeight="1" x14ac:dyDescent="0.25">
      <c r="D64" s="6" t="str">
        <f t="shared" si="8"/>
        <v>Add/Remove Meter</v>
      </c>
      <c r="G64" s="14"/>
      <c r="O64" s="203"/>
    </row>
    <row r="65" spans="4:15" ht="14.1" customHeight="1" x14ac:dyDescent="0.25">
      <c r="E65" s="6" t="str">
        <f t="shared" si="8"/>
        <v>Add/Remove Meter</v>
      </c>
      <c r="G65" s="113" t="s">
        <v>36</v>
      </c>
      <c r="H65" s="6" t="str">
        <f>VLOOKUP(G65,GlobalInputs!$C$21:$G$30,3,FALSE)</f>
        <v>Field Worker</v>
      </c>
      <c r="O65" s="203"/>
    </row>
    <row r="66" spans="4:15" ht="14.1" customHeight="1" x14ac:dyDescent="0.25">
      <c r="D66" s="6" t="str">
        <f t="shared" si="8"/>
        <v>Off Peak Conversion Fee</v>
      </c>
      <c r="G66" s="168"/>
      <c r="H66" s="169"/>
      <c r="O66" s="203"/>
    </row>
    <row r="67" spans="4:15" ht="14.1" customHeight="1" x14ac:dyDescent="0.25">
      <c r="E67" s="6" t="str">
        <f t="shared" si="8"/>
        <v>Off Peak Conversion Fee</v>
      </c>
      <c r="G67" s="113" t="s">
        <v>36</v>
      </c>
      <c r="H67" s="6" t="str">
        <f>VLOOKUP(G67,GlobalInputs!$C$21:$G$30,3,FALSE)</f>
        <v>Field Worker</v>
      </c>
      <c r="O67" s="203"/>
    </row>
    <row r="68" spans="4:15" ht="14.1" customHeight="1" x14ac:dyDescent="0.25">
      <c r="D68" s="6" t="str">
        <f t="shared" si="8"/>
        <v>Rectification Works - General</v>
      </c>
      <c r="G68" s="14"/>
      <c r="O68" s="203"/>
    </row>
    <row r="69" spans="4:15" ht="14.1" customHeight="1" x14ac:dyDescent="0.25">
      <c r="E69" s="6" t="str">
        <f t="shared" si="8"/>
        <v>Rectification Works - General</v>
      </c>
      <c r="G69" s="113" t="s">
        <v>32</v>
      </c>
      <c r="H69" s="6" t="str">
        <f>VLOOKUP(G69,GlobalInputs!$C$21:$G$30,3,FALSE)</f>
        <v>Outdoor technical officer</v>
      </c>
      <c r="O69" s="203"/>
    </row>
    <row r="70" spans="4:15" ht="14.1" customHeight="1" x14ac:dyDescent="0.25">
      <c r="D70" s="6" t="str">
        <f t="shared" si="8"/>
        <v>High Load Escorts</v>
      </c>
      <c r="G70" s="168"/>
      <c r="H70" s="169"/>
      <c r="O70" s="203"/>
    </row>
    <row r="71" spans="4:15" ht="14.1" customHeight="1" x14ac:dyDescent="0.25">
      <c r="E71" s="6" t="str">
        <f t="shared" si="8"/>
        <v>High Load Escorts</v>
      </c>
      <c r="G71" s="113" t="s">
        <v>32</v>
      </c>
      <c r="H71" s="6" t="str">
        <f>VLOOKUP(G71,GlobalInputs!$C$21:$G$30,3,FALSE)</f>
        <v>Outdoor technical officer</v>
      </c>
      <c r="O71" s="203"/>
    </row>
    <row r="72" spans="4:15" ht="14.1" customHeight="1" x14ac:dyDescent="0.25">
      <c r="D72" s="6" t="str">
        <f t="shared" si="8"/>
        <v>Temporary Supply</v>
      </c>
      <c r="O72" s="203"/>
    </row>
    <row r="73" spans="4:15" ht="14.1" customHeight="1" x14ac:dyDescent="0.25">
      <c r="E73" s="6" t="str">
        <f t="shared" si="8"/>
        <v>Install and remove HV LL Links</v>
      </c>
      <c r="G73" s="113" t="s">
        <v>32</v>
      </c>
      <c r="H73" s="6" t="str">
        <f>VLOOKUP(G73,GlobalInputs!$C$21:$G$30,3,FALSE)</f>
        <v>Outdoor technical officer</v>
      </c>
      <c r="O73" s="203"/>
    </row>
    <row r="74" spans="4:15" ht="14.1" customHeight="1" x14ac:dyDescent="0.25">
      <c r="E74" s="6" t="str">
        <f t="shared" si="8"/>
        <v>Break and remake HV bonds</v>
      </c>
      <c r="G74" s="170" t="s">
        <v>32</v>
      </c>
      <c r="H74" s="6" t="str">
        <f>VLOOKUP(G74,GlobalInputs!$C$21:$G$30,3,FALSE)</f>
        <v>Outdoor technical officer</v>
      </c>
      <c r="O74" s="203"/>
    </row>
    <row r="75" spans="4:15" ht="14.1" customHeight="1" x14ac:dyDescent="0.25">
      <c r="E75" s="6" t="str">
        <f t="shared" si="8"/>
        <v>Break and remake LV bonds</v>
      </c>
      <c r="G75" s="113" t="s">
        <v>32</v>
      </c>
      <c r="H75" s="6" t="str">
        <f>VLOOKUP(G75,GlobalInputs!$C$21:$G$30,3,FALSE)</f>
        <v>Outdoor technical officer</v>
      </c>
      <c r="O75" s="203"/>
    </row>
    <row r="76" spans="4:15" ht="14.1" customHeight="1" x14ac:dyDescent="0.25">
      <c r="E76" s="6" t="str">
        <f t="shared" si="8"/>
        <v>Connect and disconnect generator to OH mains</v>
      </c>
      <c r="G76" s="113" t="s">
        <v>32</v>
      </c>
      <c r="H76" s="6" t="str">
        <f>VLOOKUP(G76,GlobalInputs!$C$21:$G$30,3,FALSE)</f>
        <v>Outdoor technical officer</v>
      </c>
      <c r="O76" s="203"/>
    </row>
    <row r="77" spans="4:15" ht="14.1" customHeight="1" x14ac:dyDescent="0.25">
      <c r="E77" s="6" t="str">
        <f t="shared" si="8"/>
        <v>Connect and disconnect MG to LV board in Kiosk</v>
      </c>
      <c r="G77" s="170" t="s">
        <v>32</v>
      </c>
      <c r="H77" s="6" t="str">
        <f>VLOOKUP(G77,GlobalInputs!$C$21:$G$30,3,FALSE)</f>
        <v>Outdoor technical officer</v>
      </c>
      <c r="O77" s="203"/>
    </row>
    <row r="78" spans="4:15" ht="14.1" customHeight="1" x14ac:dyDescent="0.25">
      <c r="D78" s="6" t="str">
        <f t="shared" si="8"/>
        <v>Attendance (statutory)</v>
      </c>
      <c r="G78" s="168"/>
      <c r="O78" s="203"/>
    </row>
    <row r="79" spans="4:15" ht="14.1" customHeight="1" x14ac:dyDescent="0.25">
      <c r="E79" s="6" t="str">
        <f t="shared" si="8"/>
        <v>Attendance (statutory)</v>
      </c>
      <c r="G79" s="113" t="s">
        <v>36</v>
      </c>
      <c r="H79" s="6" t="str">
        <f>VLOOKUP(G79,GlobalInputs!$C$21:$G$30,3,FALSE)</f>
        <v>Field Worker</v>
      </c>
      <c r="O79" s="204"/>
    </row>
    <row r="81" spans="3:10" ht="14.1" customHeight="1" x14ac:dyDescent="0.25">
      <c r="C81" s="6" t="s">
        <v>105</v>
      </c>
    </row>
    <row r="82" spans="3:10" ht="14.1" customHeight="1" x14ac:dyDescent="0.25">
      <c r="G82" s="138" t="s">
        <v>97</v>
      </c>
      <c r="H82" s="138" t="s">
        <v>98</v>
      </c>
      <c r="I82" s="6" t="s">
        <v>172</v>
      </c>
      <c r="J82" s="138" t="s">
        <v>100</v>
      </c>
    </row>
    <row r="83" spans="3:10" ht="14.1" customHeight="1" x14ac:dyDescent="0.25">
      <c r="D83" s="9"/>
      <c r="E83" s="136" t="s">
        <v>101</v>
      </c>
      <c r="F83" s="9"/>
      <c r="G83" s="148" t="s">
        <v>83</v>
      </c>
      <c r="H83" s="148" t="s">
        <v>84</v>
      </c>
      <c r="I83" s="9" t="s">
        <v>173</v>
      </c>
      <c r="J83" s="137" t="s">
        <v>104</v>
      </c>
    </row>
    <row r="84" spans="3:10" ht="14.1" customHeight="1" x14ac:dyDescent="0.25">
      <c r="D84" s="6" t="str">
        <f t="shared" ref="D84:E88" si="9">D59</f>
        <v>AMS - Meter Test</v>
      </c>
    </row>
    <row r="85" spans="3:10" ht="14.1" customHeight="1" x14ac:dyDescent="0.25">
      <c r="E85" s="6" t="str">
        <f t="shared" si="9"/>
        <v>First Meter</v>
      </c>
      <c r="F85" s="6" t="s">
        <v>29</v>
      </c>
      <c r="G85" s="171">
        <f>VLOOKUP($G60,GlobalInputs!$C$21:$K$30,5,FALSE)</f>
        <v>89.78155428259754</v>
      </c>
      <c r="H85" s="171">
        <f>VLOOKUP($G60,GlobalInputs!$C$21:$K$30,6,FALSE)</f>
        <v>37.417195871359027</v>
      </c>
      <c r="I85" s="185">
        <f>SUM(G85:H85)*0.0221</f>
        <v>2.8110923784024404</v>
      </c>
      <c r="J85" s="171">
        <f>VLOOKUP($G60,GlobalInputs!$C$21:$K$30,8,FALSE)</f>
        <v>130.01153623879617</v>
      </c>
    </row>
    <row r="86" spans="3:10" ht="14.1" customHeight="1" x14ac:dyDescent="0.25">
      <c r="E86" s="6" t="str">
        <f t="shared" si="9"/>
        <v>Each Additional Meter</v>
      </c>
      <c r="G86" s="171">
        <f>VLOOKUP($G61,GlobalInputs!$C$21:$K$30,5,FALSE)</f>
        <v>89.78155428259754</v>
      </c>
      <c r="H86" s="171">
        <f>VLOOKUP($G61,GlobalInputs!$C$21:$K$30,6,FALSE)</f>
        <v>37.417195871359027</v>
      </c>
      <c r="I86" s="185">
        <f>SUM(G86:H86)*0.0221</f>
        <v>2.8110923784024404</v>
      </c>
      <c r="J86" s="171">
        <f>VLOOKUP($G61,GlobalInputs!$C$21:$K$30,8,FALSE)</f>
        <v>130.01153623879617</v>
      </c>
    </row>
    <row r="87" spans="3:10" ht="14.1" customHeight="1" x14ac:dyDescent="0.25">
      <c r="D87" s="6" t="str">
        <f t="shared" si="9"/>
        <v>AMS - Franchise CT Meter Install</v>
      </c>
      <c r="G87" s="171"/>
      <c r="H87" s="171"/>
      <c r="J87" s="171"/>
    </row>
    <row r="88" spans="3:10" ht="14.1" customHeight="1" x14ac:dyDescent="0.25">
      <c r="E88" s="6" t="str">
        <f t="shared" si="9"/>
        <v>AMS - Franchise CT Meter Install</v>
      </c>
      <c r="G88" s="171">
        <f>VLOOKUP($G63,GlobalInputs!$C$21:$K$30,5,FALSE)+G153</f>
        <v>191.86003168394853</v>
      </c>
      <c r="H88" s="171">
        <f>VLOOKUP($G63,GlobalInputs!$C$21:$K$30,6,FALSE)+H153</f>
        <v>79.958820871359023</v>
      </c>
      <c r="I88" s="185">
        <f>SUM(G88:H88)*0.0221</f>
        <v>6.007196641472297</v>
      </c>
      <c r="J88" s="171">
        <f>SUM(G88:I88)</f>
        <v>277.82604919677988</v>
      </c>
    </row>
    <row r="89" spans="3:10" ht="14.1" customHeight="1" x14ac:dyDescent="0.25">
      <c r="D89" s="6" t="str">
        <f>D66</f>
        <v>Off Peak Conversion Fee</v>
      </c>
      <c r="G89" s="171"/>
      <c r="H89" s="171"/>
      <c r="J89" s="171"/>
    </row>
    <row r="90" spans="3:10" ht="14.1" customHeight="1" x14ac:dyDescent="0.25">
      <c r="E90" s="6" t="str">
        <f>E67</f>
        <v>Off Peak Conversion Fee</v>
      </c>
      <c r="G90" s="171">
        <f>VLOOKUP($G67,GlobalInputs!$C$21:$K$30,5,FALSE)</f>
        <v>89.78155428259754</v>
      </c>
      <c r="H90" s="171">
        <f>VLOOKUP($G67,GlobalInputs!$C$21:$K$30,6,FALSE)</f>
        <v>37.417195871359027</v>
      </c>
      <c r="I90" s="185">
        <f>SUM(G90:H90)*0.0221</f>
        <v>2.8110923784024404</v>
      </c>
      <c r="J90" s="171">
        <f>VLOOKUP($G67,GlobalInputs!$C$21:$K$30,8,FALSE)</f>
        <v>130.01153623879617</v>
      </c>
    </row>
    <row r="91" spans="3:10" ht="14.1" customHeight="1" x14ac:dyDescent="0.25">
      <c r="D91" s="6" t="str">
        <f>D68</f>
        <v>Rectification Works - General</v>
      </c>
      <c r="G91" s="172"/>
      <c r="H91" s="171"/>
      <c r="J91" s="172"/>
    </row>
    <row r="92" spans="3:10" ht="14.1" customHeight="1" x14ac:dyDescent="0.25">
      <c r="E92" s="6" t="str">
        <f>E69</f>
        <v>Rectification Works - General</v>
      </c>
      <c r="G92" s="171">
        <f>VLOOKUP($G69,GlobalInputs!$C$21:$K$30,5,FALSE)</f>
        <v>118.11003168394852</v>
      </c>
      <c r="H92" s="171">
        <f>VLOOKUP($G69,GlobalInputs!$C$21:$K$30,6,FALSE)</f>
        <v>49.227195871359022</v>
      </c>
      <c r="I92" s="185">
        <f>SUM(G92:H92)*0.0221</f>
        <v>3.6981527289722971</v>
      </c>
      <c r="J92" s="171">
        <f>VLOOKUP($G69,GlobalInputs!$C$21:$K$30,8,FALSE)</f>
        <v>171.03001364014716</v>
      </c>
    </row>
    <row r="93" spans="3:10" ht="14.1" customHeight="1" x14ac:dyDescent="0.25">
      <c r="D93" s="6" t="str">
        <f>D70</f>
        <v>High Load Escorts</v>
      </c>
      <c r="G93" s="171"/>
      <c r="H93" s="171"/>
      <c r="J93" s="171"/>
    </row>
    <row r="94" spans="3:10" ht="14.1" customHeight="1" x14ac:dyDescent="0.25">
      <c r="E94" s="6" t="str">
        <f>E71</f>
        <v>High Load Escorts</v>
      </c>
      <c r="G94" s="171">
        <f>VLOOKUP($G71,GlobalInputs!$C$21:$K$30,5,FALSE)</f>
        <v>118.11003168394852</v>
      </c>
      <c r="H94" s="171">
        <f>VLOOKUP($G71,GlobalInputs!$C$21:$K$30,6,FALSE)</f>
        <v>49.227195871359022</v>
      </c>
      <c r="I94" s="185">
        <f>SUM(G94:H94)*0.0221</f>
        <v>3.6981527289722971</v>
      </c>
      <c r="J94" s="171">
        <f>VLOOKUP($G71,GlobalInputs!$C$21:$K$30,8,FALSE)</f>
        <v>171.03001364014716</v>
      </c>
    </row>
    <row r="95" spans="3:10" ht="14.1" customHeight="1" x14ac:dyDescent="0.25">
      <c r="D95" s="6" t="str">
        <f>D72</f>
        <v>Temporary Supply</v>
      </c>
      <c r="G95" s="172"/>
      <c r="H95" s="171"/>
      <c r="J95" s="172"/>
    </row>
    <row r="96" spans="3:10" ht="14.1" customHeight="1" x14ac:dyDescent="0.25">
      <c r="E96" s="6" t="str">
        <f>E73</f>
        <v>Install and remove HV LL Links</v>
      </c>
      <c r="G96" s="171">
        <f>VLOOKUP($G73,GlobalInputs!$C$21:$K$30,5,FALSE)</f>
        <v>118.11003168394852</v>
      </c>
      <c r="H96" s="171">
        <f>VLOOKUP($G73,GlobalInputs!$C$21:$K$30,6,FALSE)</f>
        <v>49.227195871359022</v>
      </c>
      <c r="I96" s="185">
        <f>SUM(G96:H96)*0.0221</f>
        <v>3.6981527289722971</v>
      </c>
      <c r="J96" s="171">
        <f>VLOOKUP($G73,GlobalInputs!$C$21:$K$30,8,FALSE)</f>
        <v>171.03001364014716</v>
      </c>
    </row>
    <row r="97" spans="3:15" ht="14.1" customHeight="1" x14ac:dyDescent="0.25">
      <c r="E97" s="6" t="str">
        <f>E74</f>
        <v>Break and remake HV bonds</v>
      </c>
      <c r="G97" s="172">
        <f>VLOOKUP($G74,GlobalInputs!$C$21:$K$30,5,FALSE)</f>
        <v>118.11003168394852</v>
      </c>
      <c r="H97" s="171">
        <f>VLOOKUP($G74,GlobalInputs!$C$21:$K$30,6,FALSE)</f>
        <v>49.227195871359022</v>
      </c>
      <c r="I97" s="185">
        <f>SUM(G97:H97)*0.0221</f>
        <v>3.6981527289722971</v>
      </c>
      <c r="J97" s="172">
        <f>VLOOKUP($G74,GlobalInputs!$C$21:$K$30,8,FALSE)</f>
        <v>171.03001364014716</v>
      </c>
    </row>
    <row r="98" spans="3:15" ht="14.1" customHeight="1" x14ac:dyDescent="0.25">
      <c r="E98" s="6" t="str">
        <f>E75</f>
        <v>Break and remake LV bonds</v>
      </c>
      <c r="G98" s="171">
        <f>VLOOKUP($G75,GlobalInputs!$C$21:$K$30,5,FALSE)</f>
        <v>118.11003168394852</v>
      </c>
      <c r="H98" s="171">
        <f>VLOOKUP($G75,GlobalInputs!$C$21:$K$30,6,FALSE)</f>
        <v>49.227195871359022</v>
      </c>
      <c r="I98" s="185">
        <f>SUM(G98:H98)*0.0221</f>
        <v>3.6981527289722971</v>
      </c>
      <c r="J98" s="171">
        <f>VLOOKUP($G75,GlobalInputs!$C$21:$K$30,8,FALSE)</f>
        <v>171.03001364014716</v>
      </c>
    </row>
    <row r="99" spans="3:15" ht="14.1" customHeight="1" x14ac:dyDescent="0.25">
      <c r="E99" s="6" t="str">
        <f>E76</f>
        <v>Connect and disconnect generator to OH mains</v>
      </c>
      <c r="G99" s="171">
        <f>VLOOKUP($G76,GlobalInputs!$C$21:$K$30,5,FALSE)</f>
        <v>118.11003168394852</v>
      </c>
      <c r="H99" s="171">
        <f>VLOOKUP($G76,GlobalInputs!$C$21:$K$30,6,FALSE)</f>
        <v>49.227195871359022</v>
      </c>
      <c r="I99" s="185">
        <f>SUM(G99:H99)*0.0221</f>
        <v>3.6981527289722971</v>
      </c>
      <c r="J99" s="171">
        <f>VLOOKUP($G76,GlobalInputs!$C$21:$K$30,8,FALSE)</f>
        <v>171.03001364014716</v>
      </c>
    </row>
    <row r="100" spans="3:15" ht="14.1" customHeight="1" x14ac:dyDescent="0.25">
      <c r="E100" s="6" t="str">
        <f>E77</f>
        <v>Connect and disconnect MG to LV board in Kiosk</v>
      </c>
      <c r="G100" s="172">
        <f>VLOOKUP($G77,GlobalInputs!$C$21:$K$30,5,FALSE)</f>
        <v>118.11003168394852</v>
      </c>
      <c r="H100" s="171">
        <f>VLOOKUP($G77,GlobalInputs!$C$21:$K$30,6,FALSE)</f>
        <v>49.227195871359022</v>
      </c>
      <c r="I100" s="185">
        <f>SUM(G100:H100)*0.0221</f>
        <v>3.6981527289722971</v>
      </c>
      <c r="J100" s="172">
        <f>VLOOKUP($G77,GlobalInputs!$C$21:$K$30,8,FALSE)</f>
        <v>171.03001364014716</v>
      </c>
    </row>
    <row r="101" spans="3:15" ht="14.1" customHeight="1" x14ac:dyDescent="0.25">
      <c r="D101" s="6" t="str">
        <f>D78</f>
        <v>Attendance (statutory)</v>
      </c>
      <c r="G101" s="171"/>
      <c r="H101" s="171"/>
      <c r="J101" s="171"/>
    </row>
    <row r="102" spans="3:15" ht="14.1" customHeight="1" x14ac:dyDescent="0.25">
      <c r="E102" s="6" t="str">
        <f>E79</f>
        <v>Attendance (statutory)</v>
      </c>
      <c r="G102" s="171">
        <f>VLOOKUP($G79,GlobalInputs!$C$21:$K$30,5,FALSE)</f>
        <v>89.78155428259754</v>
      </c>
      <c r="H102" s="171">
        <f>VLOOKUP($G79,GlobalInputs!$C$21:$K$30,6,FALSE)</f>
        <v>37.417195871359027</v>
      </c>
      <c r="J102" s="171">
        <f>VLOOKUP($G79,GlobalInputs!$C$21:$K$30,8,FALSE)</f>
        <v>130.01153623879617</v>
      </c>
    </row>
    <row r="103" spans="3:15" ht="14.1" customHeight="1" x14ac:dyDescent="0.25">
      <c r="H103" s="23"/>
    </row>
    <row r="105" spans="3:15" ht="14.1" customHeight="1" x14ac:dyDescent="0.25">
      <c r="C105" s="6" t="s">
        <v>52</v>
      </c>
      <c r="G105" s="14" t="s">
        <v>50</v>
      </c>
    </row>
    <row r="106" spans="3:15" ht="14.1" customHeight="1" x14ac:dyDescent="0.25">
      <c r="D106" s="9"/>
      <c r="E106" s="9"/>
      <c r="F106" s="9"/>
      <c r="G106" s="10" t="s">
        <v>51</v>
      </c>
      <c r="H106" s="10" t="str">
        <f>GlobalInputs!G16</f>
        <v>2014/15</v>
      </c>
      <c r="I106" s="10" t="str">
        <f>GlobalInputs!H16</f>
        <v>2015/16</v>
      </c>
      <c r="J106" s="10" t="str">
        <f>GlobalInputs!I16</f>
        <v>2016/17</v>
      </c>
      <c r="K106" s="10" t="str">
        <f>GlobalInputs!J16</f>
        <v>2017/18</v>
      </c>
      <c r="L106" s="10" t="str">
        <f>GlobalInputs!K16</f>
        <v>2018/19</v>
      </c>
    </row>
    <row r="107" spans="3:15" ht="14.1" customHeight="1" x14ac:dyDescent="0.25">
      <c r="D107" s="6" t="str">
        <f>D59</f>
        <v>AMS - Meter Test</v>
      </c>
      <c r="O107" s="198" t="s">
        <v>128</v>
      </c>
    </row>
    <row r="108" spans="3:15" ht="14.1" customHeight="1" x14ac:dyDescent="0.25">
      <c r="E108" s="6" t="str">
        <f>E60</f>
        <v>First Meter</v>
      </c>
      <c r="G108" s="24">
        <f>ServiceHistory!G$62*ServiceHistory!H63</f>
        <v>3779.0236790366184</v>
      </c>
      <c r="H108" s="108">
        <f>6837.56379679445*ServiceHistory!$H63</f>
        <v>3418.7818983972252</v>
      </c>
      <c r="I108" s="108">
        <f>6837.56379679445*ServiceHistory!$H63</f>
        <v>3418.7818983972252</v>
      </c>
      <c r="J108" s="108">
        <f>6837.56379679445*ServiceHistory!$H63</f>
        <v>3418.7818983972252</v>
      </c>
      <c r="K108" s="108">
        <f>6837.56379679445*ServiceHistory!$H63</f>
        <v>3418.7818983972252</v>
      </c>
      <c r="L108" s="108">
        <f>6837.56379679445*ServiceHistory!$H63</f>
        <v>3418.7818983972252</v>
      </c>
      <c r="O108" s="199"/>
    </row>
    <row r="109" spans="3:15" ht="14.1" customHeight="1" x14ac:dyDescent="0.25">
      <c r="E109" s="6" t="str">
        <f>E61</f>
        <v>Each Additional Meter</v>
      </c>
      <c r="G109" s="24">
        <f>ServiceHistory!G$62*ServiceHistory!H64</f>
        <v>3779.0236790366184</v>
      </c>
      <c r="H109" s="108">
        <f>6837.56379679445*ServiceHistory!$H64</f>
        <v>3418.7818983972252</v>
      </c>
      <c r="I109" s="108">
        <f>6837.56379679445*ServiceHistory!$H64</f>
        <v>3418.7818983972252</v>
      </c>
      <c r="J109" s="108">
        <f>6837.56379679445*ServiceHistory!$H64</f>
        <v>3418.7818983972252</v>
      </c>
      <c r="K109" s="108">
        <f>6837.56379679445*ServiceHistory!$H64</f>
        <v>3418.7818983972252</v>
      </c>
      <c r="L109" s="108">
        <f>6837.56379679445*ServiceHistory!$H64</f>
        <v>3418.7818983972252</v>
      </c>
      <c r="O109" s="199"/>
    </row>
    <row r="110" spans="3:15" ht="14.1" customHeight="1" x14ac:dyDescent="0.25">
      <c r="D110" s="6" t="str">
        <f>D62</f>
        <v>AMS - Franchise CT Meter Install</v>
      </c>
      <c r="G110" s="173"/>
      <c r="H110" s="156"/>
      <c r="I110" s="156"/>
      <c r="J110" s="156"/>
      <c r="K110" s="156"/>
      <c r="L110" s="156"/>
      <c r="O110" s="199"/>
    </row>
    <row r="111" spans="3:15" ht="14.1" customHeight="1" x14ac:dyDescent="0.25">
      <c r="E111" s="6" t="str">
        <f>E63</f>
        <v>AMS - Franchise CT Meter Install</v>
      </c>
      <c r="G111" s="24">
        <f>ServiceHistory!G65</f>
        <v>200</v>
      </c>
      <c r="H111" s="108">
        <v>200</v>
      </c>
      <c r="I111" s="108">
        <v>200</v>
      </c>
      <c r="J111" s="108">
        <v>200</v>
      </c>
      <c r="K111" s="108">
        <v>200</v>
      </c>
      <c r="L111" s="108">
        <v>200</v>
      </c>
      <c r="O111" s="199"/>
    </row>
    <row r="112" spans="3:15" ht="14.1" customHeight="1" x14ac:dyDescent="0.25">
      <c r="D112" s="6" t="str">
        <f>D64</f>
        <v>Add/Remove Meter</v>
      </c>
      <c r="G112" s="24"/>
      <c r="H112" s="24"/>
      <c r="I112" s="24"/>
      <c r="J112" s="24"/>
      <c r="K112" s="24"/>
      <c r="L112" s="24"/>
      <c r="O112" s="199"/>
    </row>
    <row r="113" spans="4:17" ht="14.1" customHeight="1" x14ac:dyDescent="0.25">
      <c r="E113" s="6" t="str">
        <f>E65</f>
        <v>Add/Remove Meter</v>
      </c>
      <c r="G113" s="24">
        <f>ServiceHistory!G66</f>
        <v>1324.7860714285714</v>
      </c>
      <c r="H113" s="108">
        <v>1118.6654838709678</v>
      </c>
      <c r="I113" s="108">
        <v>1118.6654838709678</v>
      </c>
      <c r="J113" s="108">
        <v>1118.6654838709678</v>
      </c>
      <c r="K113" s="108">
        <v>1118.6654838709678</v>
      </c>
      <c r="L113" s="108">
        <v>1118.6654838709678</v>
      </c>
      <c r="O113" s="199"/>
    </row>
    <row r="114" spans="4:17" ht="14.1" customHeight="1" x14ac:dyDescent="0.25">
      <c r="D114" s="6" t="str">
        <f>D66</f>
        <v>Off Peak Conversion Fee</v>
      </c>
      <c r="G114" s="173"/>
      <c r="H114" s="156"/>
      <c r="I114" s="156"/>
      <c r="J114" s="156"/>
      <c r="K114" s="156"/>
      <c r="L114" s="156"/>
      <c r="O114" s="199"/>
    </row>
    <row r="115" spans="4:17" ht="14.1" customHeight="1" x14ac:dyDescent="0.25">
      <c r="E115" s="6" t="str">
        <f>E67</f>
        <v>Off Peak Conversion Fee</v>
      </c>
      <c r="G115" s="24">
        <f>ServiceHistory!G67</f>
        <v>2228.4221373252162</v>
      </c>
      <c r="H115" s="108">
        <v>1287.5191439002895</v>
      </c>
      <c r="I115" s="108">
        <v>1287.5191439002895</v>
      </c>
      <c r="J115" s="108">
        <v>1287.5191439002895</v>
      </c>
      <c r="K115" s="108">
        <v>1287.5191439002895</v>
      </c>
      <c r="L115" s="108">
        <v>1287.5191439002895</v>
      </c>
      <c r="O115" s="199"/>
    </row>
    <row r="116" spans="4:17" ht="14.1" customHeight="1" x14ac:dyDescent="0.25">
      <c r="D116" s="6" t="str">
        <f>D68</f>
        <v>Rectification Works - General</v>
      </c>
      <c r="G116" s="24"/>
      <c r="H116" s="24"/>
      <c r="I116" s="24"/>
      <c r="J116" s="24"/>
      <c r="K116" s="24"/>
      <c r="L116" s="24"/>
      <c r="O116" s="199"/>
    </row>
    <row r="117" spans="4:17" ht="14.1" customHeight="1" x14ac:dyDescent="0.25">
      <c r="E117" s="6" t="str">
        <f>E69</f>
        <v>Rectification Works - General</v>
      </c>
      <c r="G117" s="24">
        <f>ServiceHistory!G68</f>
        <v>10.367420814479638</v>
      </c>
      <c r="H117" s="108">
        <v>20</v>
      </c>
      <c r="I117" s="108">
        <v>20</v>
      </c>
      <c r="J117" s="108">
        <v>20</v>
      </c>
      <c r="K117" s="108">
        <v>20</v>
      </c>
      <c r="L117" s="108">
        <v>20</v>
      </c>
      <c r="O117" s="199"/>
    </row>
    <row r="118" spans="4:17" ht="14.1" customHeight="1" x14ac:dyDescent="0.25">
      <c r="D118" s="6" t="str">
        <f>D70</f>
        <v>High Load Escorts</v>
      </c>
      <c r="G118" s="173"/>
      <c r="H118" s="156"/>
      <c r="I118" s="156"/>
      <c r="J118" s="156"/>
      <c r="K118" s="156"/>
      <c r="L118" s="156"/>
      <c r="O118" s="199"/>
    </row>
    <row r="119" spans="4:17" ht="14.1" customHeight="1" x14ac:dyDescent="0.25">
      <c r="E119" s="6" t="str">
        <f>E71</f>
        <v>High Load Escorts</v>
      </c>
      <c r="G119" s="24">
        <f>ServiceHistory!G69</f>
        <v>10.367420814479638</v>
      </c>
      <c r="H119" s="108">
        <v>30</v>
      </c>
      <c r="I119" s="108">
        <v>30</v>
      </c>
      <c r="J119" s="108">
        <v>30</v>
      </c>
      <c r="K119" s="108">
        <v>30</v>
      </c>
      <c r="L119" s="108">
        <v>30</v>
      </c>
      <c r="O119" s="199"/>
    </row>
    <row r="120" spans="4:17" ht="14.1" customHeight="1" x14ac:dyDescent="0.25">
      <c r="D120" s="6" t="str">
        <f>D72</f>
        <v>Temporary Supply</v>
      </c>
      <c r="G120" s="24"/>
      <c r="H120" s="22"/>
      <c r="I120" s="22"/>
      <c r="J120" s="22"/>
      <c r="K120" s="22"/>
      <c r="L120" s="22"/>
      <c r="O120" s="199"/>
    </row>
    <row r="121" spans="4:17" ht="14.1" customHeight="1" x14ac:dyDescent="0.25">
      <c r="E121" s="6" t="str">
        <f>E73</f>
        <v>Install and remove HV LL Links</v>
      </c>
      <c r="G121" s="24">
        <f>ServiceHistory!G$70*ServiceHistory!H71</f>
        <v>10</v>
      </c>
      <c r="H121" s="108">
        <f>85*ServiceHistory!$H71</f>
        <v>10</v>
      </c>
      <c r="I121" s="108">
        <f>85*ServiceHistory!$H71</f>
        <v>10</v>
      </c>
      <c r="J121" s="108">
        <f>85*ServiceHistory!$H71</f>
        <v>10</v>
      </c>
      <c r="K121" s="108">
        <f>85*ServiceHistory!$H71</f>
        <v>10</v>
      </c>
      <c r="L121" s="108">
        <f>85*ServiceHistory!$H71</f>
        <v>10</v>
      </c>
      <c r="O121" s="199"/>
    </row>
    <row r="122" spans="4:17" ht="14.1" customHeight="1" x14ac:dyDescent="0.25">
      <c r="E122" s="6" t="str">
        <f>E74</f>
        <v>Break and remake HV bonds</v>
      </c>
      <c r="G122" s="24">
        <f>ServiceHistory!G$70*ServiceHistory!H72</f>
        <v>15.000000000000002</v>
      </c>
      <c r="H122" s="108">
        <f>85*ServiceHistory!$H72</f>
        <v>15.000000000000002</v>
      </c>
      <c r="I122" s="108">
        <f>85*ServiceHistory!$H72</f>
        <v>15.000000000000002</v>
      </c>
      <c r="J122" s="108">
        <f>85*ServiceHistory!$H72</f>
        <v>15.000000000000002</v>
      </c>
      <c r="K122" s="108">
        <f>85*ServiceHistory!$H72</f>
        <v>15.000000000000002</v>
      </c>
      <c r="L122" s="108">
        <f>85*ServiceHistory!$H72</f>
        <v>15.000000000000002</v>
      </c>
      <c r="O122" s="199"/>
    </row>
    <row r="123" spans="4:17" ht="14.1" customHeight="1" x14ac:dyDescent="0.25">
      <c r="E123" s="6" t="str">
        <f>E75</f>
        <v>Break and remake LV bonds</v>
      </c>
      <c r="G123" s="24">
        <f>ServiceHistory!G$70*ServiceHistory!H73</f>
        <v>20</v>
      </c>
      <c r="H123" s="108">
        <f>85*ServiceHistory!$H73</f>
        <v>20</v>
      </c>
      <c r="I123" s="108">
        <f>85*ServiceHistory!$H73</f>
        <v>20</v>
      </c>
      <c r="J123" s="108">
        <f>85*ServiceHistory!$H73</f>
        <v>20</v>
      </c>
      <c r="K123" s="108">
        <f>85*ServiceHistory!$H73</f>
        <v>20</v>
      </c>
      <c r="L123" s="108">
        <f>85*ServiceHistory!$H73</f>
        <v>20</v>
      </c>
      <c r="O123" s="199"/>
    </row>
    <row r="124" spans="4:17" ht="14.1" customHeight="1" x14ac:dyDescent="0.25">
      <c r="E124" s="6" t="str">
        <f>E76</f>
        <v>Connect and disconnect generator to OH mains</v>
      </c>
      <c r="G124" s="24">
        <f>ServiceHistory!G$70*ServiceHistory!H74</f>
        <v>30.000000000000004</v>
      </c>
      <c r="H124" s="108">
        <f>85*ServiceHistory!$H74</f>
        <v>30.000000000000004</v>
      </c>
      <c r="I124" s="108">
        <f>85*ServiceHistory!$H74</f>
        <v>30.000000000000004</v>
      </c>
      <c r="J124" s="108">
        <f>85*ServiceHistory!$H74</f>
        <v>30.000000000000004</v>
      </c>
      <c r="K124" s="108">
        <f>85*ServiceHistory!$H74</f>
        <v>30.000000000000004</v>
      </c>
      <c r="L124" s="108">
        <f>85*ServiceHistory!$H74</f>
        <v>30.000000000000004</v>
      </c>
      <c r="O124" s="199"/>
    </row>
    <row r="125" spans="4:17" ht="14.1" customHeight="1" x14ac:dyDescent="0.25">
      <c r="E125" s="6" t="str">
        <f>E77</f>
        <v>Connect and disconnect MG to LV board in Kiosk</v>
      </c>
      <c r="G125" s="24">
        <f>ServiceHistory!G$70*ServiceHistory!H75</f>
        <v>10.000000000000002</v>
      </c>
      <c r="H125" s="108">
        <f>85*ServiceHistory!$H75</f>
        <v>10.000000000000002</v>
      </c>
      <c r="I125" s="108">
        <f>85*ServiceHistory!$H75</f>
        <v>10.000000000000002</v>
      </c>
      <c r="J125" s="108">
        <f>85*ServiceHistory!$H75</f>
        <v>10.000000000000002</v>
      </c>
      <c r="K125" s="108">
        <f>85*ServiceHistory!$H75</f>
        <v>10.000000000000002</v>
      </c>
      <c r="L125" s="108">
        <f>85*ServiceHistory!$H75</f>
        <v>10.000000000000002</v>
      </c>
      <c r="O125" s="199"/>
    </row>
    <row r="126" spans="4:17" ht="14.1" customHeight="1" x14ac:dyDescent="0.25">
      <c r="D126" s="6" t="str">
        <f>D78</f>
        <v>Attendance (statutory)</v>
      </c>
      <c r="G126" s="173"/>
      <c r="H126" s="156"/>
      <c r="I126" s="156"/>
      <c r="J126" s="156"/>
      <c r="K126" s="156"/>
      <c r="L126" s="156"/>
      <c r="O126" s="199"/>
    </row>
    <row r="127" spans="4:17" ht="14.1" customHeight="1" x14ac:dyDescent="0.25">
      <c r="E127" s="6" t="str">
        <f>E79</f>
        <v>Attendance (statutory)</v>
      </c>
      <c r="G127" s="24">
        <f>ServiceHistory!G76</f>
        <v>0</v>
      </c>
      <c r="H127" s="108">
        <v>10</v>
      </c>
      <c r="I127" s="108">
        <v>10</v>
      </c>
      <c r="J127" s="108">
        <v>10</v>
      </c>
      <c r="K127" s="108">
        <v>10</v>
      </c>
      <c r="L127" s="108">
        <v>10</v>
      </c>
      <c r="O127" s="200"/>
      <c r="Q127" s="7"/>
    </row>
    <row r="129" spans="2:16" ht="14.1" customHeight="1" x14ac:dyDescent="0.25">
      <c r="B129" s="94" t="s">
        <v>131</v>
      </c>
      <c r="C129" s="94"/>
      <c r="D129" s="94"/>
      <c r="E129" s="94"/>
      <c r="F129" s="94"/>
      <c r="G129" s="151" t="s">
        <v>121</v>
      </c>
      <c r="H129" s="94"/>
      <c r="I129" s="94"/>
      <c r="J129" s="94"/>
      <c r="K129" s="94"/>
      <c r="L129" s="94"/>
      <c r="M129" s="94"/>
      <c r="N129" s="94"/>
      <c r="O129" s="94"/>
    </row>
    <row r="130" spans="2:16" ht="14.1" customHeight="1" x14ac:dyDescent="0.25">
      <c r="B130" s="94"/>
      <c r="C130" s="94" t="str">
        <f>D107</f>
        <v>AMS - Meter Test</v>
      </c>
      <c r="D130" s="94"/>
      <c r="E130" s="94"/>
      <c r="F130" s="94"/>
      <c r="G130" s="151"/>
      <c r="H130" s="94"/>
      <c r="I130" s="94"/>
      <c r="J130" s="94"/>
      <c r="K130" s="94"/>
      <c r="L130" s="94"/>
      <c r="M130" s="94"/>
      <c r="N130" s="94"/>
      <c r="O130" s="208"/>
      <c r="P130" s="94"/>
    </row>
    <row r="131" spans="2:16" ht="14.1" customHeight="1" x14ac:dyDescent="0.25">
      <c r="B131" s="94"/>
      <c r="C131" s="94"/>
      <c r="D131" s="94" t="s">
        <v>130</v>
      </c>
      <c r="E131" s="94"/>
      <c r="F131" s="94"/>
      <c r="G131" s="91">
        <v>1</v>
      </c>
      <c r="H131" s="94"/>
      <c r="I131" s="94"/>
      <c r="J131" s="94"/>
      <c r="K131" s="94"/>
      <c r="L131" s="94"/>
      <c r="M131" s="94"/>
      <c r="N131" s="94"/>
      <c r="O131" s="209"/>
      <c r="P131" s="94"/>
    </row>
    <row r="132" spans="2:16" ht="14.1" customHeight="1" x14ac:dyDescent="0.25">
      <c r="B132" s="94"/>
      <c r="C132" s="94" t="str">
        <f>D110</f>
        <v>AMS - Franchise CT Meter Install</v>
      </c>
      <c r="D132" s="94"/>
      <c r="E132" s="94"/>
      <c r="F132" s="94"/>
      <c r="G132" s="151"/>
      <c r="H132" s="94"/>
      <c r="I132" s="94"/>
      <c r="J132" s="94"/>
      <c r="K132" s="94"/>
      <c r="L132" s="94"/>
      <c r="M132" s="94"/>
      <c r="N132" s="94"/>
      <c r="O132" s="209"/>
      <c r="P132" s="94"/>
    </row>
    <row r="133" spans="2:16" ht="14.1" customHeight="1" x14ac:dyDescent="0.25">
      <c r="B133" s="94"/>
      <c r="C133" s="94"/>
      <c r="D133" s="94" t="s">
        <v>130</v>
      </c>
      <c r="E133" s="94"/>
      <c r="F133" s="94"/>
      <c r="G133" s="91">
        <v>1</v>
      </c>
      <c r="H133" s="94"/>
      <c r="I133" s="94"/>
      <c r="J133" s="94"/>
      <c r="K133" s="94"/>
      <c r="L133" s="94"/>
      <c r="M133" s="94"/>
      <c r="N133" s="94"/>
      <c r="O133" s="209"/>
      <c r="P133" s="94"/>
    </row>
    <row r="134" spans="2:16" ht="14.1" customHeight="1" x14ac:dyDescent="0.25">
      <c r="B134" s="94"/>
      <c r="C134" s="94" t="str">
        <f>D112</f>
        <v>Add/Remove Meter</v>
      </c>
      <c r="D134" s="94"/>
      <c r="E134" s="94"/>
      <c r="F134" s="94"/>
      <c r="G134" s="151"/>
      <c r="H134" s="94"/>
      <c r="I134" s="94"/>
      <c r="J134" s="94"/>
      <c r="K134" s="94"/>
      <c r="L134" s="94"/>
      <c r="M134" s="94"/>
      <c r="N134" s="94"/>
      <c r="O134" s="209"/>
      <c r="P134" s="94"/>
    </row>
    <row r="135" spans="2:16" ht="14.1" customHeight="1" x14ac:dyDescent="0.25">
      <c r="B135" s="94"/>
      <c r="C135" s="94"/>
      <c r="D135" s="94" t="s">
        <v>130</v>
      </c>
      <c r="E135" s="94"/>
      <c r="F135" s="94"/>
      <c r="G135" s="91">
        <v>1</v>
      </c>
      <c r="H135" s="94"/>
      <c r="I135" s="94"/>
      <c r="J135" s="94"/>
      <c r="K135" s="94"/>
      <c r="L135" s="94"/>
      <c r="M135" s="94"/>
      <c r="N135" s="94"/>
      <c r="O135" s="209"/>
      <c r="P135" s="94"/>
    </row>
    <row r="136" spans="2:16" ht="14.1" customHeight="1" x14ac:dyDescent="0.25">
      <c r="B136" s="94"/>
      <c r="C136" s="94" t="str">
        <f>D114</f>
        <v>Off Peak Conversion Fee</v>
      </c>
      <c r="D136" s="94"/>
      <c r="E136" s="94"/>
      <c r="F136" s="94"/>
      <c r="G136" s="151"/>
      <c r="H136" s="94"/>
      <c r="I136" s="94"/>
      <c r="J136" s="94"/>
      <c r="K136" s="94"/>
      <c r="L136" s="94"/>
      <c r="M136" s="94"/>
      <c r="N136" s="94"/>
      <c r="O136" s="209"/>
      <c r="P136" s="94"/>
    </row>
    <row r="137" spans="2:16" ht="14.1" customHeight="1" x14ac:dyDescent="0.25">
      <c r="B137" s="94"/>
      <c r="C137" s="94"/>
      <c r="D137" s="94" t="s">
        <v>130</v>
      </c>
      <c r="E137" s="94"/>
      <c r="F137" s="94"/>
      <c r="G137" s="91">
        <v>1</v>
      </c>
      <c r="H137" s="94"/>
      <c r="I137" s="94"/>
      <c r="J137" s="94"/>
      <c r="K137" s="94"/>
      <c r="L137" s="94"/>
      <c r="M137" s="94"/>
      <c r="N137" s="94"/>
      <c r="O137" s="209"/>
      <c r="P137" s="94"/>
    </row>
    <row r="138" spans="2:16" ht="14.1" customHeight="1" x14ac:dyDescent="0.25">
      <c r="B138" s="94"/>
      <c r="C138" s="94" t="str">
        <f>D116</f>
        <v>Rectification Works - General</v>
      </c>
      <c r="D138" s="94"/>
      <c r="E138" s="94"/>
      <c r="F138" s="94"/>
      <c r="G138" s="151"/>
      <c r="H138" s="94"/>
      <c r="I138" s="94"/>
      <c r="J138" s="94"/>
      <c r="K138" s="94"/>
      <c r="L138" s="94"/>
      <c r="M138" s="94"/>
      <c r="N138" s="94"/>
      <c r="O138" s="209"/>
      <c r="P138" s="94"/>
    </row>
    <row r="139" spans="2:16" ht="14.1" customHeight="1" x14ac:dyDescent="0.25">
      <c r="B139" s="94"/>
      <c r="C139" s="94"/>
      <c r="D139" s="94" t="s">
        <v>130</v>
      </c>
      <c r="E139" s="94"/>
      <c r="F139" s="94"/>
      <c r="G139" s="91">
        <v>2</v>
      </c>
      <c r="H139" s="94"/>
      <c r="I139" s="94"/>
      <c r="J139" s="94"/>
      <c r="K139" s="94"/>
      <c r="L139" s="94"/>
      <c r="M139" s="94"/>
      <c r="N139" s="94"/>
      <c r="O139" s="209"/>
      <c r="P139" s="94"/>
    </row>
    <row r="140" spans="2:16" ht="14.1" customHeight="1" x14ac:dyDescent="0.25">
      <c r="B140" s="94"/>
      <c r="C140" s="94" t="str">
        <f>D118</f>
        <v>High Load Escorts</v>
      </c>
      <c r="D140" s="94"/>
      <c r="E140" s="94"/>
      <c r="F140" s="94"/>
      <c r="G140" s="151"/>
      <c r="H140" s="94"/>
      <c r="I140" s="94"/>
      <c r="J140" s="94"/>
      <c r="K140" s="94"/>
      <c r="L140" s="94"/>
      <c r="M140" s="94"/>
      <c r="N140" s="94"/>
      <c r="O140" s="209"/>
      <c r="P140" s="94"/>
    </row>
    <row r="141" spans="2:16" ht="14.1" customHeight="1" x14ac:dyDescent="0.25">
      <c r="B141" s="94"/>
      <c r="C141" s="94"/>
      <c r="D141" s="94" t="s">
        <v>130</v>
      </c>
      <c r="E141" s="94"/>
      <c r="F141" s="94"/>
      <c r="G141" s="91">
        <v>3</v>
      </c>
      <c r="H141" s="94"/>
      <c r="I141" s="94"/>
      <c r="J141" s="94"/>
      <c r="K141" s="94"/>
      <c r="L141" s="94"/>
      <c r="M141" s="94"/>
      <c r="N141" s="94"/>
      <c r="O141" s="209"/>
      <c r="P141" s="94"/>
    </row>
    <row r="142" spans="2:16" ht="14.1" customHeight="1" x14ac:dyDescent="0.25">
      <c r="B142" s="94"/>
      <c r="C142" s="94" t="str">
        <f>D120</f>
        <v>Temporary Supply</v>
      </c>
      <c r="D142" s="94"/>
      <c r="E142" s="94"/>
      <c r="F142" s="94"/>
      <c r="G142" s="151"/>
      <c r="H142" s="94"/>
      <c r="I142" s="94"/>
      <c r="J142" s="94"/>
      <c r="K142" s="94"/>
      <c r="L142" s="94"/>
      <c r="M142" s="94"/>
      <c r="N142" s="94"/>
      <c r="O142" s="209"/>
      <c r="P142" s="94"/>
    </row>
    <row r="143" spans="2:16" ht="14.1" customHeight="1" x14ac:dyDescent="0.25">
      <c r="B143" s="94"/>
      <c r="C143" s="94"/>
      <c r="D143" s="94" t="s">
        <v>130</v>
      </c>
      <c r="E143" s="94"/>
      <c r="F143" s="94"/>
      <c r="G143" s="91">
        <v>1</v>
      </c>
      <c r="H143" s="94"/>
      <c r="I143" s="94"/>
      <c r="J143" s="94"/>
      <c r="K143" s="94"/>
      <c r="L143" s="94"/>
      <c r="M143" s="94"/>
      <c r="N143" s="94"/>
      <c r="O143" s="209"/>
      <c r="P143" s="94"/>
    </row>
    <row r="144" spans="2:16" ht="14.1" customHeight="1" x14ac:dyDescent="0.25">
      <c r="C144" s="94" t="str">
        <f>D126</f>
        <v>Attendance (statutory)</v>
      </c>
      <c r="O144" s="209"/>
    </row>
    <row r="145" spans="2:15" ht="14.1" customHeight="1" x14ac:dyDescent="0.25">
      <c r="D145" s="94" t="s">
        <v>130</v>
      </c>
      <c r="G145" s="91">
        <v>1</v>
      </c>
      <c r="O145" s="210"/>
    </row>
    <row r="146" spans="2:15" ht="14.1" customHeight="1" x14ac:dyDescent="0.25">
      <c r="O146" s="6"/>
    </row>
    <row r="147" spans="2:15" ht="14.1" customHeight="1" x14ac:dyDescent="0.25">
      <c r="O147" s="6"/>
    </row>
    <row r="148" spans="2:15" ht="14.1" customHeight="1" x14ac:dyDescent="0.25">
      <c r="B148" s="6" t="s">
        <v>163</v>
      </c>
      <c r="F148" s="6" t="s">
        <v>164</v>
      </c>
      <c r="G148" s="6" t="s">
        <v>169</v>
      </c>
      <c r="H148" s="6" t="s">
        <v>165</v>
      </c>
      <c r="I148" s="6" t="s">
        <v>166</v>
      </c>
      <c r="J148" s="6" t="s">
        <v>167</v>
      </c>
      <c r="M148" s="177"/>
      <c r="O148" s="177"/>
    </row>
    <row r="149" spans="2:15" ht="14.1" customHeight="1" x14ac:dyDescent="0.25">
      <c r="H149" s="174">
        <v>0.17249999999999999</v>
      </c>
      <c r="I149" s="174">
        <v>2.2100000000000002E-2</v>
      </c>
      <c r="M149" s="177"/>
      <c r="O149" s="177"/>
    </row>
    <row r="150" spans="2:15" ht="14.1" customHeight="1" x14ac:dyDescent="0.25">
      <c r="H150" s="174">
        <v>0.2442</v>
      </c>
      <c r="M150" s="177"/>
      <c r="O150" s="177"/>
    </row>
    <row r="151" spans="2:15" ht="14.1" customHeight="1" x14ac:dyDescent="0.25">
      <c r="C151" s="6" t="str">
        <f>D110</f>
        <v>AMS - Franchise CT Meter Install</v>
      </c>
      <c r="M151" s="177"/>
      <c r="O151" s="202" t="s">
        <v>180</v>
      </c>
    </row>
    <row r="152" spans="2:15" ht="14.1" customHeight="1" x14ac:dyDescent="0.25">
      <c r="D152" s="6" t="str">
        <f>E111</f>
        <v>AMS - Franchise CT Meter Install</v>
      </c>
      <c r="G152" s="169"/>
      <c r="M152" s="175"/>
      <c r="O152" s="206"/>
    </row>
    <row r="153" spans="2:15" ht="14.1" customHeight="1" x14ac:dyDescent="0.25">
      <c r="E153" s="6" t="s">
        <v>168</v>
      </c>
      <c r="F153" s="176">
        <v>295</v>
      </c>
      <c r="G153" s="178">
        <f>F153/ServiceHistory!I86</f>
        <v>73.75</v>
      </c>
      <c r="H153" s="179">
        <f t="shared" ref="H153" si="10">G153*0.1725+G153*0.2442</f>
        <v>30.731625000000001</v>
      </c>
      <c r="I153" s="179">
        <f>ROUND(H153*$I$149,2)</f>
        <v>0.68</v>
      </c>
      <c r="J153" s="179">
        <f t="shared" ref="J153" si="11">SUM(G153:I153)</f>
        <v>105.16162500000002</v>
      </c>
      <c r="M153" s="175"/>
      <c r="O153" s="207"/>
    </row>
    <row r="154" spans="2:15" ht="14.1" customHeight="1" x14ac:dyDescent="0.25">
      <c r="C154" s="6" t="s">
        <v>185</v>
      </c>
      <c r="O154" s="6"/>
    </row>
    <row r="155" spans="2:15" ht="14.1" customHeight="1" x14ac:dyDescent="0.25">
      <c r="E155" s="6" t="s">
        <v>186</v>
      </c>
      <c r="F155" s="6">
        <v>15</v>
      </c>
      <c r="G155" s="6">
        <v>7.5</v>
      </c>
      <c r="H155" s="23">
        <v>3.125</v>
      </c>
      <c r="I155" s="23">
        <f>SUM(G155:H155)*0.0221</f>
        <v>0.23481250000000001</v>
      </c>
      <c r="J155" s="23">
        <f>SUM(G155:I155)</f>
        <v>10.8598125</v>
      </c>
      <c r="O155" s="6"/>
    </row>
    <row r="156" spans="2:15" ht="14.1" customHeight="1" x14ac:dyDescent="0.25">
      <c r="O156" s="6"/>
    </row>
    <row r="157" spans="2:15" ht="14.1" customHeight="1" x14ac:dyDescent="0.25">
      <c r="O157" s="6"/>
    </row>
    <row r="158" spans="2:15" ht="14.1" customHeight="1" x14ac:dyDescent="0.25">
      <c r="O158" s="6"/>
    </row>
    <row r="159" spans="2:15" ht="14.1" customHeight="1" x14ac:dyDescent="0.25">
      <c r="O159" s="6"/>
    </row>
    <row r="160" spans="2:15" ht="14.1" customHeight="1" x14ac:dyDescent="0.25">
      <c r="O160" s="6"/>
    </row>
    <row r="161" spans="15:15" ht="14.1" customHeight="1" x14ac:dyDescent="0.25">
      <c r="O161" s="6"/>
    </row>
    <row r="162" spans="15:15" ht="14.1" customHeight="1" x14ac:dyDescent="0.25">
      <c r="O162" s="6"/>
    </row>
    <row r="163" spans="15:15" ht="14.1" customHeight="1" x14ac:dyDescent="0.25">
      <c r="O163" s="6"/>
    </row>
    <row r="164" spans="15:15" ht="14.1" customHeight="1" x14ac:dyDescent="0.25">
      <c r="O164" s="6"/>
    </row>
    <row r="165" spans="15:15" ht="14.1" customHeight="1" x14ac:dyDescent="0.25">
      <c r="O165" s="6"/>
    </row>
    <row r="166" spans="15:15" ht="14.1" customHeight="1" x14ac:dyDescent="0.25">
      <c r="O166" s="6"/>
    </row>
    <row r="167" spans="15:15" ht="14.1" customHeight="1" x14ac:dyDescent="0.25">
      <c r="O167" s="6"/>
    </row>
    <row r="168" spans="15:15" ht="14.1" customHeight="1" x14ac:dyDescent="0.25">
      <c r="O168" s="6"/>
    </row>
    <row r="169" spans="15:15" ht="14.1" customHeight="1" x14ac:dyDescent="0.25">
      <c r="O169" s="6"/>
    </row>
  </sheetData>
  <mergeCells count="11">
    <mergeCell ref="O7:O28"/>
    <mergeCell ref="O41:O45"/>
    <mergeCell ref="O32:O34"/>
    <mergeCell ref="O35:O36"/>
    <mergeCell ref="O37:O40"/>
    <mergeCell ref="O151:O153"/>
    <mergeCell ref="O50:O51"/>
    <mergeCell ref="O59:O79"/>
    <mergeCell ref="O52:O54"/>
    <mergeCell ref="O130:O145"/>
    <mergeCell ref="O107:O127"/>
  </mergeCells>
  <pageMargins left="0.39370078740157483" right="0.39370078740157483" top="0.39370078740157483" bottom="0.39370078740157483" header="0.19685039370078741" footer="0.19685039370078741"/>
  <pageSetup paperSize="9" scale="45" fitToHeight="0" orientation="landscape" r:id="rId1"/>
  <headerFooter>
    <oddFooter>&amp;C&amp;F&amp;R&amp;A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8" tint="-0.249977111117893"/>
  </sheetPr>
  <dimension ref="A1:E3"/>
  <sheetViews>
    <sheetView workbookViewId="0"/>
  </sheetViews>
  <sheetFormatPr defaultColWidth="0" defaultRowHeight="15" zeroHeight="1" x14ac:dyDescent="0.25"/>
  <cols>
    <col min="1" max="1" width="2.42578125" customWidth="1"/>
    <col min="2" max="5" width="9.140625" customWidth="1"/>
    <col min="6" max="16384" width="9.140625" hidden="1"/>
  </cols>
  <sheetData>
    <row r="1" spans="2:2" x14ac:dyDescent="0.25"/>
    <row r="2" spans="2:2" x14ac:dyDescent="0.25">
      <c r="B2" s="1" t="s">
        <v>12</v>
      </c>
    </row>
    <row r="3" spans="2:2" x14ac:dyDescent="0.25"/>
  </sheetData>
  <pageMargins left="0.70866141732283472" right="0.70866141732283472" top="0.74803149606299213" bottom="0.74803149606299213" header="0.31496062992125984" footer="0.31496062992125984"/>
  <pageSetup paperSize="9" orientation="portrait"/>
  <headerFooter>
    <oddFooter>&amp;C&amp;F&amp;R&amp;A</oddFooter>
  </headerFooter>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8" tint="0.39997558519241921"/>
    <pageSetUpPr fitToPage="1"/>
  </sheetPr>
  <dimension ref="A1:AT27"/>
  <sheetViews>
    <sheetView zoomScale="90" zoomScaleNormal="90" zoomScalePageLayoutView="125" workbookViewId="0">
      <pane xSplit="5" ySplit="6" topLeftCell="I7" activePane="bottomRight" state="frozenSplit"/>
      <selection pane="topRight" activeCell="E1" sqref="E1"/>
      <selection pane="bottomLeft" activeCell="A7" sqref="A7"/>
      <selection pane="bottomRight" activeCell="V26" sqref="V26:Y26"/>
    </sheetView>
  </sheetViews>
  <sheetFormatPr defaultColWidth="9.140625" defaultRowHeight="14.1" customHeight="1" x14ac:dyDescent="0.25"/>
  <cols>
    <col min="1" max="3" width="2.140625" style="6" customWidth="1"/>
    <col min="4" max="4" width="1.85546875" style="6" customWidth="1"/>
    <col min="5" max="5" width="42.140625" style="6" customWidth="1"/>
    <col min="6" max="8" width="10.42578125" style="6" customWidth="1"/>
    <col min="9" max="9" width="1.7109375" style="6" customWidth="1"/>
    <col min="10" max="10" width="10.140625" style="6" customWidth="1"/>
    <col min="11" max="12" width="10.42578125" style="6" customWidth="1"/>
    <col min="13" max="13" width="2" style="6" customWidth="1"/>
    <col min="14" max="16" width="10.42578125" style="6" customWidth="1"/>
    <col min="17" max="19" width="9.140625" style="6"/>
    <col min="20" max="20" width="1.85546875" style="6" customWidth="1"/>
    <col min="21" max="21" width="10.7109375" style="6" bestFit="1" customWidth="1"/>
    <col min="22" max="25" width="11.140625" style="6" bestFit="1" customWidth="1"/>
    <col min="26" max="26" width="1.85546875" style="6" customWidth="1"/>
    <col min="27" max="27" width="10.42578125" style="6" customWidth="1"/>
    <col min="28" max="32" width="11.140625" style="6" bestFit="1" customWidth="1"/>
    <col min="33" max="33" width="1.85546875" style="6" customWidth="1"/>
    <col min="34" max="39" width="10.42578125" style="6" customWidth="1"/>
    <col min="40" max="40" width="1.5703125" style="6" customWidth="1"/>
    <col min="41" max="41" width="9.140625" style="6"/>
    <col min="42" max="46" width="11.140625" style="6" bestFit="1" customWidth="1"/>
    <col min="47" max="16384" width="9.140625" style="6"/>
  </cols>
  <sheetData>
    <row r="1" spans="1:46" ht="14.1" customHeight="1" x14ac:dyDescent="0.2">
      <c r="A1" s="15" t="s">
        <v>15</v>
      </c>
      <c r="B1" s="15"/>
      <c r="C1" s="15"/>
      <c r="D1" s="15"/>
      <c r="E1" s="15"/>
      <c r="F1" s="15"/>
      <c r="G1" s="15"/>
      <c r="H1" s="15"/>
    </row>
    <row r="2" spans="1:46" ht="14.1" customHeight="1" x14ac:dyDescent="0.25">
      <c r="A2" s="17" t="s">
        <v>63</v>
      </c>
      <c r="B2" s="16"/>
      <c r="C2" s="16"/>
      <c r="D2" s="16"/>
      <c r="E2" s="16"/>
      <c r="F2" s="16"/>
      <c r="G2" s="16"/>
      <c r="H2" s="16"/>
    </row>
    <row r="3" spans="1:46" ht="14.1" customHeight="1" x14ac:dyDescent="0.25">
      <c r="A3" s="6" t="str">
        <f>GlobalInputs!G12</f>
        <v>Field related services</v>
      </c>
    </row>
    <row r="4" spans="1:46" ht="14.1" customHeight="1" x14ac:dyDescent="0.2">
      <c r="E4" s="81" t="str">
        <f>IF(ROUND($E$5,6)=0,"ok","Problem - review CheckSheet")</f>
        <v>ok</v>
      </c>
    </row>
    <row r="5" spans="1:46" ht="14.1" customHeight="1" x14ac:dyDescent="0.25">
      <c r="B5" s="32"/>
      <c r="C5" s="11"/>
      <c r="D5" s="11"/>
      <c r="E5" s="33"/>
      <c r="F5" s="211" t="s">
        <v>73</v>
      </c>
      <c r="G5" s="212"/>
      <c r="H5" s="213"/>
      <c r="J5" s="211" t="s">
        <v>107</v>
      </c>
      <c r="K5" s="212"/>
      <c r="L5" s="213"/>
      <c r="N5" s="211" t="s">
        <v>52</v>
      </c>
      <c r="O5" s="212"/>
      <c r="P5" s="212"/>
      <c r="Q5" s="212"/>
      <c r="R5" s="212"/>
      <c r="S5" s="213"/>
      <c r="U5" s="211" t="s">
        <v>109</v>
      </c>
      <c r="V5" s="212"/>
      <c r="W5" s="212"/>
      <c r="X5" s="212"/>
      <c r="Y5" s="213"/>
      <c r="AA5" s="211" t="s">
        <v>110</v>
      </c>
      <c r="AB5" s="212"/>
      <c r="AC5" s="212"/>
      <c r="AD5" s="212"/>
      <c r="AE5" s="212"/>
      <c r="AF5" s="213"/>
      <c r="AH5" s="211" t="s">
        <v>112</v>
      </c>
      <c r="AI5" s="212"/>
      <c r="AJ5" s="212"/>
      <c r="AK5" s="212"/>
      <c r="AL5" s="212"/>
      <c r="AM5" s="213"/>
      <c r="AO5" s="211" t="s">
        <v>181</v>
      </c>
      <c r="AP5" s="212"/>
      <c r="AQ5" s="212"/>
      <c r="AR5" s="212"/>
      <c r="AS5" s="212"/>
      <c r="AT5" s="213"/>
    </row>
    <row r="6" spans="1:46" ht="54.75" customHeight="1" x14ac:dyDescent="0.25">
      <c r="B6" s="13" t="s">
        <v>64</v>
      </c>
      <c r="C6" s="12"/>
      <c r="D6" s="12"/>
      <c r="E6" s="34"/>
      <c r="F6" s="30" t="s">
        <v>65</v>
      </c>
      <c r="G6" s="10" t="s">
        <v>66</v>
      </c>
      <c r="H6" s="37" t="s">
        <v>67</v>
      </c>
      <c r="J6" s="186" t="s">
        <v>174</v>
      </c>
      <c r="K6" s="10" t="s">
        <v>106</v>
      </c>
      <c r="L6" s="37" t="s">
        <v>108</v>
      </c>
      <c r="N6" s="188" t="s">
        <v>75</v>
      </c>
      <c r="O6" s="10" t="str">
        <f>GlobalInputs!G16</f>
        <v>2014/15</v>
      </c>
      <c r="P6" s="10" t="str">
        <f>GlobalInputs!H16</f>
        <v>2015/16</v>
      </c>
      <c r="Q6" s="10" t="str">
        <f>GlobalInputs!I16</f>
        <v>2016/17</v>
      </c>
      <c r="R6" s="10" t="str">
        <f>GlobalInputs!J16</f>
        <v>2017/18</v>
      </c>
      <c r="S6" s="37" t="str">
        <f>GlobalInputs!K16</f>
        <v>2018/19</v>
      </c>
      <c r="U6" s="30" t="str">
        <f>O6</f>
        <v>2014/15</v>
      </c>
      <c r="V6" s="10" t="str">
        <f t="shared" ref="V6:Y6" si="0">P6</f>
        <v>2015/16</v>
      </c>
      <c r="W6" s="10" t="str">
        <f t="shared" si="0"/>
        <v>2016/17</v>
      </c>
      <c r="X6" s="10" t="str">
        <f t="shared" si="0"/>
        <v>2017/18</v>
      </c>
      <c r="Y6" s="37" t="str">
        <f t="shared" si="0"/>
        <v>2018/19</v>
      </c>
      <c r="AA6" s="30" t="s">
        <v>111</v>
      </c>
      <c r="AB6" s="10" t="str">
        <f>U6</f>
        <v>2014/15</v>
      </c>
      <c r="AC6" s="10" t="str">
        <f t="shared" ref="AC6:AF6" si="1">V6</f>
        <v>2015/16</v>
      </c>
      <c r="AD6" s="10" t="str">
        <f t="shared" si="1"/>
        <v>2016/17</v>
      </c>
      <c r="AE6" s="10" t="str">
        <f t="shared" si="1"/>
        <v>2017/18</v>
      </c>
      <c r="AF6" s="37" t="str">
        <f t="shared" si="1"/>
        <v>2018/19</v>
      </c>
      <c r="AH6" s="30" t="s">
        <v>111</v>
      </c>
      <c r="AI6" s="10" t="str">
        <f>AB6</f>
        <v>2014/15</v>
      </c>
      <c r="AJ6" s="10" t="str">
        <f t="shared" ref="AJ6:AM6" si="2">AC6</f>
        <v>2015/16</v>
      </c>
      <c r="AK6" s="10" t="str">
        <f t="shared" si="2"/>
        <v>2016/17</v>
      </c>
      <c r="AL6" s="10" t="str">
        <f t="shared" si="2"/>
        <v>2017/18</v>
      </c>
      <c r="AM6" s="37" t="str">
        <f t="shared" si="2"/>
        <v>2018/19</v>
      </c>
      <c r="AO6" s="30" t="s">
        <v>111</v>
      </c>
      <c r="AP6" s="10" t="str">
        <f>AI6</f>
        <v>2014/15</v>
      </c>
      <c r="AQ6" s="10" t="str">
        <f t="shared" ref="AQ6" si="3">AJ6</f>
        <v>2015/16</v>
      </c>
      <c r="AR6" s="10" t="str">
        <f t="shared" ref="AR6" si="4">AK6</f>
        <v>2016/17</v>
      </c>
      <c r="AS6" s="10" t="str">
        <f t="shared" ref="AS6" si="5">AL6</f>
        <v>2017/18</v>
      </c>
      <c r="AT6" s="37" t="str">
        <f t="shared" ref="AT6" si="6">AM6</f>
        <v>2018/19</v>
      </c>
    </row>
    <row r="7" spans="1:46" ht="14.1" customHeight="1" x14ac:dyDescent="0.25">
      <c r="B7" s="13"/>
      <c r="C7" s="12" t="str">
        <f>ServiceProjections!D7</f>
        <v>AMS - Meter Test</v>
      </c>
      <c r="D7" s="12"/>
      <c r="E7" s="34"/>
      <c r="F7" s="13"/>
      <c r="G7" s="12"/>
      <c r="H7" s="34"/>
      <c r="J7" s="13"/>
      <c r="K7" s="12"/>
      <c r="L7" s="34"/>
      <c r="N7" s="13"/>
      <c r="O7" s="12"/>
      <c r="P7" s="12"/>
      <c r="Q7" s="12"/>
      <c r="R7" s="12"/>
      <c r="S7" s="34"/>
      <c r="U7" s="13"/>
      <c r="V7" s="12"/>
      <c r="W7" s="12"/>
      <c r="X7" s="12"/>
      <c r="Y7" s="34"/>
      <c r="AA7" s="13"/>
      <c r="AB7" s="12"/>
      <c r="AC7" s="12"/>
      <c r="AD7" s="12"/>
      <c r="AE7" s="12"/>
      <c r="AF7" s="34"/>
      <c r="AH7" s="13"/>
      <c r="AI7" s="12"/>
      <c r="AJ7" s="12"/>
      <c r="AK7" s="12"/>
      <c r="AL7" s="12"/>
      <c r="AM7" s="34"/>
      <c r="AO7" s="32"/>
      <c r="AP7" s="11"/>
      <c r="AQ7" s="11"/>
      <c r="AR7" s="11"/>
      <c r="AS7" s="11"/>
      <c r="AT7" s="33"/>
    </row>
    <row r="8" spans="1:46" ht="14.1" customHeight="1" x14ac:dyDescent="0.25">
      <c r="B8" s="13"/>
      <c r="C8" s="12"/>
      <c r="D8" s="12" t="str">
        <f>ServiceProjections!E8</f>
        <v>First Meter</v>
      </c>
      <c r="E8" s="34"/>
      <c r="F8" s="38">
        <f>ServiceHistory!G83</f>
        <v>0</v>
      </c>
      <c r="G8" s="39">
        <v>0</v>
      </c>
      <c r="H8" s="40">
        <f>ServiceHistory!G7</f>
        <v>73</v>
      </c>
      <c r="J8" s="38">
        <f>ServiceProjections!I33</f>
        <v>3.4</v>
      </c>
      <c r="K8" s="39">
        <f>ServiceProjections!J85</f>
        <v>130.01153623879617</v>
      </c>
      <c r="L8" s="42">
        <f>J8*K8</f>
        <v>442.03922321190697</v>
      </c>
      <c r="N8" s="13"/>
      <c r="O8" s="43">
        <v>6838</v>
      </c>
      <c r="P8" s="43">
        <v>6838</v>
      </c>
      <c r="Q8" s="43">
        <v>6838</v>
      </c>
      <c r="R8" s="43">
        <v>6838</v>
      </c>
      <c r="S8" s="43">
        <v>6838</v>
      </c>
      <c r="U8" s="47">
        <f t="shared" ref="U8:Y9" si="7">O8*$L8</f>
        <v>3022664.20832302</v>
      </c>
      <c r="V8" s="43">
        <f t="shared" si="7"/>
        <v>3022664.20832302</v>
      </c>
      <c r="W8" s="43">
        <f t="shared" si="7"/>
        <v>3022664.20832302</v>
      </c>
      <c r="X8" s="43">
        <f t="shared" si="7"/>
        <v>3022664.20832302</v>
      </c>
      <c r="Y8" s="44">
        <f t="shared" si="7"/>
        <v>3022664.20832302</v>
      </c>
      <c r="AA8" s="50">
        <f>ServiceProjections!G85*FeeConstruction!J8</f>
        <v>305.25728456083164</v>
      </c>
      <c r="AB8" s="43">
        <f>O8*$AA8</f>
        <v>2087349.3118269667</v>
      </c>
      <c r="AC8" s="43">
        <f t="shared" ref="AC8:AF8" si="8">P8*$AA8</f>
        <v>2087349.3118269667</v>
      </c>
      <c r="AD8" s="43">
        <f t="shared" si="8"/>
        <v>2087349.3118269667</v>
      </c>
      <c r="AE8" s="43">
        <f t="shared" si="8"/>
        <v>2087349.3118269667</v>
      </c>
      <c r="AF8" s="44">
        <f t="shared" si="8"/>
        <v>2087349.3118269667</v>
      </c>
      <c r="AH8" s="50">
        <f>ServiceProjections!H85*J8</f>
        <v>127.21846596262068</v>
      </c>
      <c r="AI8" s="43">
        <f>O8*$AH8</f>
        <v>869919.87025240029</v>
      </c>
      <c r="AJ8" s="43">
        <f t="shared" ref="AJ8:AM8" si="9">P8*$AH8</f>
        <v>869919.87025240029</v>
      </c>
      <c r="AK8" s="43">
        <f t="shared" si="9"/>
        <v>869919.87025240029</v>
      </c>
      <c r="AL8" s="43">
        <f t="shared" si="9"/>
        <v>869919.87025240029</v>
      </c>
      <c r="AM8" s="44">
        <f t="shared" si="9"/>
        <v>869919.87025240029</v>
      </c>
      <c r="AO8" s="187">
        <f>L8-AA8-AH8</f>
        <v>9.5634726884546524</v>
      </c>
      <c r="AP8" s="45">
        <f>$AO8*O8</f>
        <v>65395.026243652916</v>
      </c>
      <c r="AQ8" s="45">
        <f t="shared" ref="AQ8:AT8" si="10">$AO8*P8</f>
        <v>65395.026243652916</v>
      </c>
      <c r="AR8" s="45">
        <f t="shared" si="10"/>
        <v>65395.026243652916</v>
      </c>
      <c r="AS8" s="45">
        <f t="shared" si="10"/>
        <v>65395.026243652916</v>
      </c>
      <c r="AT8" s="46">
        <f t="shared" si="10"/>
        <v>65395.026243652916</v>
      </c>
    </row>
    <row r="9" spans="1:46" ht="14.1" customHeight="1" x14ac:dyDescent="0.25">
      <c r="B9" s="13"/>
      <c r="C9" s="12"/>
      <c r="D9" s="12" t="str">
        <f>ServiceProjections!E9</f>
        <v>Each Additional Meter</v>
      </c>
      <c r="E9" s="34"/>
      <c r="F9" s="38">
        <f>ServiceHistory!G84</f>
        <v>0</v>
      </c>
      <c r="G9" s="39">
        <v>0</v>
      </c>
      <c r="H9" s="40">
        <f>ServiceHistory!G8</f>
        <v>73</v>
      </c>
      <c r="J9" s="38">
        <f>ServiceProjections!I34</f>
        <v>2.5</v>
      </c>
      <c r="K9" s="39">
        <f>ServiceProjections!J86</f>
        <v>130.01153623879617</v>
      </c>
      <c r="L9" s="42">
        <f t="shared" ref="L9:L11" si="11">J9*K9</f>
        <v>325.02884059699045</v>
      </c>
      <c r="N9" s="13"/>
      <c r="O9" s="43">
        <v>0</v>
      </c>
      <c r="P9" s="43">
        <v>0</v>
      </c>
      <c r="Q9" s="43">
        <v>0</v>
      </c>
      <c r="R9" s="43">
        <v>0</v>
      </c>
      <c r="S9" s="44">
        <v>0</v>
      </c>
      <c r="U9" s="47">
        <f t="shared" si="7"/>
        <v>0</v>
      </c>
      <c r="V9" s="43">
        <f t="shared" si="7"/>
        <v>0</v>
      </c>
      <c r="W9" s="43">
        <f t="shared" si="7"/>
        <v>0</v>
      </c>
      <c r="X9" s="43">
        <f t="shared" si="7"/>
        <v>0</v>
      </c>
      <c r="Y9" s="44">
        <f t="shared" si="7"/>
        <v>0</v>
      </c>
      <c r="AA9" s="50">
        <f>ServiceProjections!G86*FeeConstruction!J9</f>
        <v>224.45388570649385</v>
      </c>
      <c r="AB9" s="43">
        <f t="shared" ref="AB9:AB11" si="12">O9*$AA9</f>
        <v>0</v>
      </c>
      <c r="AC9" s="43">
        <f t="shared" ref="AC9:AC11" si="13">P9*$AA9</f>
        <v>0</v>
      </c>
      <c r="AD9" s="43">
        <f t="shared" ref="AD9:AD11" si="14">Q9*$AA9</f>
        <v>0</v>
      </c>
      <c r="AE9" s="43">
        <f t="shared" ref="AE9:AE11" si="15">R9*$AA9</f>
        <v>0</v>
      </c>
      <c r="AF9" s="44">
        <f t="shared" ref="AF9:AF11" si="16">S9*$AA9</f>
        <v>0</v>
      </c>
      <c r="AH9" s="50">
        <f>ServiceProjections!H86*J9</f>
        <v>93.542989678397561</v>
      </c>
      <c r="AI9" s="43">
        <f t="shared" ref="AI9:AI11" si="17">O9*$AH9</f>
        <v>0</v>
      </c>
      <c r="AJ9" s="43">
        <f t="shared" ref="AJ9:AJ11" si="18">P9*$AH9</f>
        <v>0</v>
      </c>
      <c r="AK9" s="43">
        <f t="shared" ref="AK9:AK11" si="19">Q9*$AH9</f>
        <v>0</v>
      </c>
      <c r="AL9" s="43">
        <f t="shared" ref="AL9:AL11" si="20">R9*$AH9</f>
        <v>0</v>
      </c>
      <c r="AM9" s="44">
        <f t="shared" ref="AM9:AM11" si="21">S9*$AH9</f>
        <v>0</v>
      </c>
      <c r="AO9" s="187">
        <f>L9-AA9-AH9</f>
        <v>7.0319652120990384</v>
      </c>
      <c r="AP9" s="45">
        <f>$AO9*O9</f>
        <v>0</v>
      </c>
      <c r="AQ9" s="45">
        <f t="shared" ref="AQ9" si="22">$AO9*P9</f>
        <v>0</v>
      </c>
      <c r="AR9" s="45">
        <f t="shared" ref="AR9" si="23">$AO9*Q9</f>
        <v>0</v>
      </c>
      <c r="AS9" s="45">
        <f t="shared" ref="AS9" si="24">$AO9*R9</f>
        <v>0</v>
      </c>
      <c r="AT9" s="46">
        <f t="shared" ref="AT9" si="25">$AO9*S9</f>
        <v>0</v>
      </c>
    </row>
    <row r="10" spans="1:46" ht="14.1" customHeight="1" x14ac:dyDescent="0.25">
      <c r="B10" s="13"/>
      <c r="C10" s="12" t="str">
        <f>ServiceProjections!D10</f>
        <v>AMS - Franchise CT Meter Install</v>
      </c>
      <c r="D10" s="12"/>
      <c r="E10" s="34"/>
      <c r="F10" s="38"/>
      <c r="G10" s="39"/>
      <c r="H10" s="40"/>
      <c r="J10" s="38"/>
      <c r="K10" s="39"/>
      <c r="L10" s="42"/>
      <c r="N10" s="13"/>
      <c r="O10" s="43"/>
      <c r="P10" s="43"/>
      <c r="Q10" s="43"/>
      <c r="R10" s="43"/>
      <c r="S10" s="44"/>
      <c r="U10" s="47"/>
      <c r="V10" s="43"/>
      <c r="W10" s="43"/>
      <c r="X10" s="43"/>
      <c r="Y10" s="44"/>
      <c r="AA10" s="50"/>
      <c r="AB10" s="43"/>
      <c r="AC10" s="43"/>
      <c r="AD10" s="43"/>
      <c r="AE10" s="43"/>
      <c r="AF10" s="44"/>
      <c r="AH10" s="50"/>
      <c r="AI10" s="43"/>
      <c r="AJ10" s="43"/>
      <c r="AK10" s="43"/>
      <c r="AL10" s="43"/>
      <c r="AM10" s="44"/>
      <c r="AO10" s="13"/>
      <c r="AP10" s="45"/>
      <c r="AQ10" s="45"/>
      <c r="AR10" s="45"/>
      <c r="AS10" s="45"/>
      <c r="AT10" s="46"/>
    </row>
    <row r="11" spans="1:46" ht="14.1" customHeight="1" x14ac:dyDescent="0.25">
      <c r="B11" s="13"/>
      <c r="C11" s="12"/>
      <c r="D11" s="12" t="str">
        <f>ServiceProjections!E11</f>
        <v>AMS - Franchise CT Meter Install</v>
      </c>
      <c r="E11" s="34"/>
      <c r="F11" s="38" t="s">
        <v>157</v>
      </c>
      <c r="G11" s="39" t="s">
        <v>157</v>
      </c>
      <c r="H11" s="40" t="str">
        <f>ServiceHistory!G10</f>
        <v>n.a.</v>
      </c>
      <c r="J11" s="38">
        <f>ServiceProjections!I36</f>
        <v>4</v>
      </c>
      <c r="K11" s="39">
        <f>ServiceProjections!J88</f>
        <v>277.82604919677988</v>
      </c>
      <c r="L11" s="42">
        <f t="shared" si="11"/>
        <v>1111.3041967871195</v>
      </c>
      <c r="N11" s="13"/>
      <c r="O11" s="43">
        <f>ServiceProjections!H111</f>
        <v>200</v>
      </c>
      <c r="P11" s="43">
        <f>ServiceProjections!I111</f>
        <v>200</v>
      </c>
      <c r="Q11" s="43">
        <f>ServiceProjections!J111</f>
        <v>200</v>
      </c>
      <c r="R11" s="43">
        <f>ServiceProjections!K111</f>
        <v>200</v>
      </c>
      <c r="S11" s="44">
        <f>ServiceProjections!L111</f>
        <v>200</v>
      </c>
      <c r="U11" s="47">
        <f t="shared" ref="U11" si="26">O11*$L11</f>
        <v>222260.83935742389</v>
      </c>
      <c r="V11" s="43">
        <f t="shared" ref="V11" si="27">P11*$L11</f>
        <v>222260.83935742389</v>
      </c>
      <c r="W11" s="43">
        <f t="shared" ref="W11" si="28">Q11*$L11</f>
        <v>222260.83935742389</v>
      </c>
      <c r="X11" s="43">
        <f t="shared" ref="X11" si="29">R11*$L11</f>
        <v>222260.83935742389</v>
      </c>
      <c r="Y11" s="44">
        <f t="shared" ref="Y11" si="30">S11*$L11</f>
        <v>222260.83935742389</v>
      </c>
      <c r="AA11" s="50">
        <f>ServiceProjections!G88*FeeConstruction!J11</f>
        <v>767.44012673579414</v>
      </c>
      <c r="AB11" s="43">
        <f t="shared" si="12"/>
        <v>153488.02534715884</v>
      </c>
      <c r="AC11" s="43">
        <f t="shared" si="13"/>
        <v>153488.02534715884</v>
      </c>
      <c r="AD11" s="43">
        <f t="shared" si="14"/>
        <v>153488.02534715884</v>
      </c>
      <c r="AE11" s="43">
        <f t="shared" si="15"/>
        <v>153488.02534715884</v>
      </c>
      <c r="AF11" s="44">
        <f t="shared" si="16"/>
        <v>153488.02534715884</v>
      </c>
      <c r="AH11" s="50">
        <f>ServiceProjections!H88*J11</f>
        <v>319.83528348543609</v>
      </c>
      <c r="AI11" s="43">
        <f t="shared" si="17"/>
        <v>63967.056697087217</v>
      </c>
      <c r="AJ11" s="43">
        <f t="shared" si="18"/>
        <v>63967.056697087217</v>
      </c>
      <c r="AK11" s="43">
        <f t="shared" si="19"/>
        <v>63967.056697087217</v>
      </c>
      <c r="AL11" s="43">
        <f t="shared" si="20"/>
        <v>63967.056697087217</v>
      </c>
      <c r="AM11" s="44">
        <f t="shared" si="21"/>
        <v>63967.056697087217</v>
      </c>
      <c r="AO11" s="187">
        <f>L11-AA11-AH11</f>
        <v>24.028786565889277</v>
      </c>
      <c r="AP11" s="45">
        <f>$AO11*O11</f>
        <v>4805.7573131778554</v>
      </c>
      <c r="AQ11" s="45">
        <f t="shared" ref="AQ11" si="31">$AO11*P11</f>
        <v>4805.7573131778554</v>
      </c>
      <c r="AR11" s="45">
        <f t="shared" ref="AR11" si="32">$AO11*Q11</f>
        <v>4805.7573131778554</v>
      </c>
      <c r="AS11" s="45">
        <f t="shared" ref="AS11" si="33">$AO11*R11</f>
        <v>4805.7573131778554</v>
      </c>
      <c r="AT11" s="46">
        <f t="shared" ref="AT11" si="34">$AO11*S11</f>
        <v>4805.7573131778554</v>
      </c>
    </row>
    <row r="12" spans="1:46" ht="14.1" customHeight="1" x14ac:dyDescent="0.25">
      <c r="B12" s="13"/>
      <c r="C12" s="12" t="str">
        <f>ServiceProjections!D14</f>
        <v>Off Peak Conversion Fee</v>
      </c>
      <c r="D12" s="12"/>
      <c r="E12" s="34"/>
      <c r="F12" s="38"/>
      <c r="G12" s="39"/>
      <c r="H12" s="40"/>
      <c r="J12" s="38"/>
      <c r="K12" s="39"/>
      <c r="L12" s="42"/>
      <c r="N12" s="13"/>
      <c r="O12" s="43"/>
      <c r="P12" s="43"/>
      <c r="Q12" s="43"/>
      <c r="R12" s="43"/>
      <c r="S12" s="44"/>
      <c r="U12" s="47"/>
      <c r="V12" s="43"/>
      <c r="W12" s="43"/>
      <c r="X12" s="43"/>
      <c r="Y12" s="44"/>
      <c r="AA12" s="50"/>
      <c r="AB12" s="43"/>
      <c r="AC12" s="43"/>
      <c r="AD12" s="43"/>
      <c r="AE12" s="43"/>
      <c r="AF12" s="44"/>
      <c r="AH12" s="50"/>
      <c r="AI12" s="43"/>
      <c r="AJ12" s="43"/>
      <c r="AK12" s="43"/>
      <c r="AL12" s="43"/>
      <c r="AM12" s="44"/>
      <c r="AO12" s="13"/>
      <c r="AP12" s="45"/>
      <c r="AQ12" s="45"/>
      <c r="AR12" s="45"/>
      <c r="AS12" s="45"/>
      <c r="AT12" s="46"/>
    </row>
    <row r="13" spans="1:46" ht="14.1" customHeight="1" x14ac:dyDescent="0.25">
      <c r="B13" s="13"/>
      <c r="C13" s="12"/>
      <c r="D13" s="12" t="str">
        <f>ServiceProjections!E15</f>
        <v>Off Peak Conversion Fee</v>
      </c>
      <c r="E13" s="34"/>
      <c r="F13" s="38">
        <f>ServiceHistory!G90</f>
        <v>0</v>
      </c>
      <c r="G13" s="39">
        <v>0</v>
      </c>
      <c r="H13" s="40">
        <f>ServiceHistory!G14</f>
        <v>59</v>
      </c>
      <c r="J13" s="38">
        <f>ServiceProjections!I40</f>
        <v>0.6166666666666667</v>
      </c>
      <c r="K13" s="39">
        <f>ServiceProjections!J90</f>
        <v>130.01153623879617</v>
      </c>
      <c r="L13" s="42">
        <f t="shared" ref="L13:L15" si="35">J13*K13</f>
        <v>80.17378068059098</v>
      </c>
      <c r="N13" s="13"/>
      <c r="O13" s="43">
        <f>ServiceProjections!H115</f>
        <v>1287.5191439002895</v>
      </c>
      <c r="P13" s="43">
        <f>ServiceProjections!I115</f>
        <v>1287.5191439002895</v>
      </c>
      <c r="Q13" s="43">
        <f>ServiceProjections!J115</f>
        <v>1287.5191439002895</v>
      </c>
      <c r="R13" s="43">
        <f>ServiceProjections!K115</f>
        <v>1287.5191439002895</v>
      </c>
      <c r="S13" s="44">
        <f>ServiceProjections!L115</f>
        <v>1287.5191439002895</v>
      </c>
      <c r="U13" s="47">
        <f t="shared" ref="U13" si="36">O13*$L13</f>
        <v>103225.27746512406</v>
      </c>
      <c r="V13" s="43">
        <f t="shared" ref="V13" si="37">P13*$L13</f>
        <v>103225.27746512406</v>
      </c>
      <c r="W13" s="43">
        <f t="shared" ref="W13" si="38">Q13*$L13</f>
        <v>103225.27746512406</v>
      </c>
      <c r="X13" s="43">
        <f t="shared" ref="X13" si="39">R13*$L13</f>
        <v>103225.27746512406</v>
      </c>
      <c r="Y13" s="44">
        <f t="shared" ref="Y13" si="40">S13*$L13</f>
        <v>103225.27746512406</v>
      </c>
      <c r="AA13" s="50">
        <f>ServiceProjections!G90*FeeConstruction!J13</f>
        <v>55.365291807601821</v>
      </c>
      <c r="AB13" s="43">
        <f t="shared" ref="AB13" si="41">O13*$AA13</f>
        <v>71283.873109913213</v>
      </c>
      <c r="AC13" s="43">
        <f t="shared" ref="AC13" si="42">P13*$AA13</f>
        <v>71283.873109913213</v>
      </c>
      <c r="AD13" s="43">
        <f t="shared" ref="AD13" si="43">Q13*$AA13</f>
        <v>71283.873109913213</v>
      </c>
      <c r="AE13" s="43">
        <f t="shared" ref="AE13" si="44">R13*$AA13</f>
        <v>71283.873109913213</v>
      </c>
      <c r="AF13" s="44">
        <f t="shared" ref="AF13" si="45">S13*$AA13</f>
        <v>71283.873109913213</v>
      </c>
      <c r="AH13" s="50">
        <f>ServiceProjections!H90*J13</f>
        <v>23.073937454004735</v>
      </c>
      <c r="AI13" s="43">
        <f t="shared" ref="AI13" si="46">O13*$AH13</f>
        <v>29708.136197189</v>
      </c>
      <c r="AJ13" s="43">
        <f t="shared" ref="AJ13" si="47">P13*$AH13</f>
        <v>29708.136197189</v>
      </c>
      <c r="AK13" s="43">
        <f t="shared" ref="AK13" si="48">Q13*$AH13</f>
        <v>29708.136197189</v>
      </c>
      <c r="AL13" s="43">
        <f t="shared" ref="AL13" si="49">R13*$AH13</f>
        <v>29708.136197189</v>
      </c>
      <c r="AM13" s="44">
        <f t="shared" ref="AM13" si="50">S13*$AH13</f>
        <v>29708.136197189</v>
      </c>
      <c r="AO13" s="187">
        <f>L13-AA13-AH13</f>
        <v>1.7345514189844238</v>
      </c>
      <c r="AP13" s="45">
        <f>$AO13*O13</f>
        <v>2233.2681580218577</v>
      </c>
      <c r="AQ13" s="45">
        <f t="shared" ref="AQ13" si="51">$AO13*P13</f>
        <v>2233.2681580218577</v>
      </c>
      <c r="AR13" s="45">
        <f t="shared" ref="AR13" si="52">$AO13*Q13</f>
        <v>2233.2681580218577</v>
      </c>
      <c r="AS13" s="45">
        <f t="shared" ref="AS13" si="53">$AO13*R13</f>
        <v>2233.2681580218577</v>
      </c>
      <c r="AT13" s="46">
        <f t="shared" ref="AT13" si="54">$AO13*S13</f>
        <v>2233.2681580218577</v>
      </c>
    </row>
    <row r="14" spans="1:46" ht="14.1" customHeight="1" x14ac:dyDescent="0.25">
      <c r="B14" s="13"/>
      <c r="C14" s="12" t="str">
        <f>ServiceProjections!D16</f>
        <v>Rectification Works - General</v>
      </c>
      <c r="D14" s="12"/>
      <c r="E14" s="34"/>
      <c r="F14" s="13"/>
      <c r="G14" s="12"/>
      <c r="H14" s="34"/>
      <c r="J14" s="13"/>
      <c r="K14" s="12"/>
      <c r="L14" s="34"/>
      <c r="N14" s="13"/>
      <c r="O14" s="12"/>
      <c r="P14" s="12"/>
      <c r="Q14" s="12"/>
      <c r="R14" s="12"/>
      <c r="S14" s="34"/>
      <c r="U14" s="13"/>
      <c r="V14" s="12"/>
      <c r="W14" s="12"/>
      <c r="X14" s="12"/>
      <c r="Y14" s="34"/>
      <c r="AA14" s="13"/>
      <c r="AB14" s="12"/>
      <c r="AC14" s="12"/>
      <c r="AD14" s="12"/>
      <c r="AE14" s="12"/>
      <c r="AF14" s="34"/>
      <c r="AH14" s="13"/>
      <c r="AI14" s="12"/>
      <c r="AJ14" s="12"/>
      <c r="AK14" s="12"/>
      <c r="AL14" s="12"/>
      <c r="AM14" s="34"/>
      <c r="AO14" s="13"/>
      <c r="AP14" s="45"/>
      <c r="AQ14" s="45"/>
      <c r="AR14" s="45"/>
      <c r="AS14" s="45"/>
      <c r="AT14" s="46"/>
    </row>
    <row r="15" spans="1:46" ht="14.1" customHeight="1" x14ac:dyDescent="0.25">
      <c r="B15" s="13"/>
      <c r="C15" s="12"/>
      <c r="D15" s="12" t="str">
        <f>ServiceProjections!E17</f>
        <v>Rectification Works - General</v>
      </c>
      <c r="E15" s="34"/>
      <c r="F15" s="38">
        <f>ServiceHistory!G92</f>
        <v>0</v>
      </c>
      <c r="G15" s="39">
        <v>0</v>
      </c>
      <c r="H15" s="40">
        <f>ServiceHistory!G16</f>
        <v>221</v>
      </c>
      <c r="J15" s="38">
        <v>2</v>
      </c>
      <c r="K15" s="39">
        <f>ServiceProjections!J92+ServiceProjections!J155</f>
        <v>181.88982614014716</v>
      </c>
      <c r="L15" s="42">
        <f t="shared" si="35"/>
        <v>363.77965228029433</v>
      </c>
      <c r="N15" s="182"/>
      <c r="O15" s="43">
        <v>20</v>
      </c>
      <c r="P15" s="43">
        <v>20</v>
      </c>
      <c r="Q15" s="43">
        <v>20</v>
      </c>
      <c r="R15" s="43">
        <v>20</v>
      </c>
      <c r="S15" s="44">
        <v>20</v>
      </c>
      <c r="U15" s="47">
        <f t="shared" ref="U15:U17" si="55">O15*$L15</f>
        <v>7275.5930456058868</v>
      </c>
      <c r="V15" s="43">
        <f t="shared" ref="V15:V17" si="56">P15*$L15</f>
        <v>7275.5930456058868</v>
      </c>
      <c r="W15" s="43">
        <f t="shared" ref="W15:W17" si="57">Q15*$L15</f>
        <v>7275.5930456058868</v>
      </c>
      <c r="X15" s="43">
        <f t="shared" ref="X15:X17" si="58">R15*$L15</f>
        <v>7275.5930456058868</v>
      </c>
      <c r="Y15" s="44">
        <f t="shared" ref="Y15:Y17" si="59">S15*$L15</f>
        <v>7275.5930456058868</v>
      </c>
      <c r="AA15" s="50">
        <f>ServiceProjections!G92</f>
        <v>118.11003168394852</v>
      </c>
      <c r="AB15" s="43">
        <f>AA15*O15</f>
        <v>2362.2006336789705</v>
      </c>
      <c r="AC15" s="43">
        <f t="shared" ref="AC15:AC17" si="60">P15*$AA15</f>
        <v>2362.2006336789705</v>
      </c>
      <c r="AD15" s="43">
        <f t="shared" ref="AD15:AD17" si="61">Q15*$AA15</f>
        <v>2362.2006336789705</v>
      </c>
      <c r="AE15" s="43">
        <f t="shared" ref="AE15:AE17" si="62">R15*$AA15</f>
        <v>2362.2006336789705</v>
      </c>
      <c r="AF15" s="44">
        <f t="shared" ref="AF15:AF17" si="63">S15*$AA15</f>
        <v>2362.2006336789705</v>
      </c>
      <c r="AH15" s="50">
        <f>ServiceProjections!H92</f>
        <v>49.227195871359022</v>
      </c>
      <c r="AI15" s="43">
        <f t="shared" ref="AI15:AI17" si="64">O15*$AH15</f>
        <v>984.54391742718042</v>
      </c>
      <c r="AJ15" s="43">
        <f t="shared" ref="AJ15:AJ17" si="65">P15*$AH15</f>
        <v>984.54391742718042</v>
      </c>
      <c r="AK15" s="43">
        <f t="shared" ref="AK15:AK17" si="66">Q15*$AH15</f>
        <v>984.54391742718042</v>
      </c>
      <c r="AL15" s="43">
        <f t="shared" ref="AL15:AL17" si="67">R15*$AH15</f>
        <v>984.54391742718042</v>
      </c>
      <c r="AM15" s="44">
        <f t="shared" ref="AM15:AM17" si="68">S15*$AH15</f>
        <v>984.54391742718042</v>
      </c>
      <c r="AO15" s="187">
        <f>L15-AA15-AH15</f>
        <v>196.44242472498678</v>
      </c>
      <c r="AP15" s="45">
        <f>$AO15*O15</f>
        <v>3928.8484944997354</v>
      </c>
      <c r="AQ15" s="45">
        <f t="shared" ref="AQ15" si="69">$AO15*P15</f>
        <v>3928.8484944997354</v>
      </c>
      <c r="AR15" s="45">
        <f t="shared" ref="AR15" si="70">$AO15*Q15</f>
        <v>3928.8484944997354</v>
      </c>
      <c r="AS15" s="45">
        <f t="shared" ref="AS15" si="71">$AO15*R15</f>
        <v>3928.8484944997354</v>
      </c>
      <c r="AT15" s="46">
        <f t="shared" ref="AT15" si="72">$AO15*S15</f>
        <v>3928.8484944997354</v>
      </c>
    </row>
    <row r="16" spans="1:46" ht="14.1" customHeight="1" x14ac:dyDescent="0.25">
      <c r="B16" s="13"/>
      <c r="C16" s="12" t="str">
        <f>ServiceProjections!D18</f>
        <v>High Load Escorts</v>
      </c>
      <c r="D16" s="12"/>
      <c r="E16" s="34"/>
      <c r="F16" s="38"/>
      <c r="G16" s="39"/>
      <c r="H16" s="40"/>
      <c r="J16" s="38"/>
      <c r="K16" s="39"/>
      <c r="L16" s="42"/>
      <c r="N16" s="13"/>
      <c r="O16" s="43"/>
      <c r="P16" s="43"/>
      <c r="Q16" s="43"/>
      <c r="R16" s="43"/>
      <c r="S16" s="44"/>
      <c r="U16" s="47"/>
      <c r="V16" s="43"/>
      <c r="W16" s="43"/>
      <c r="X16" s="43"/>
      <c r="Y16" s="44"/>
      <c r="AA16" s="50"/>
      <c r="AB16" s="43"/>
      <c r="AC16" s="43"/>
      <c r="AD16" s="43"/>
      <c r="AE16" s="43"/>
      <c r="AF16" s="44"/>
      <c r="AH16" s="50"/>
      <c r="AI16" s="43"/>
      <c r="AJ16" s="43"/>
      <c r="AK16" s="43"/>
      <c r="AL16" s="43"/>
      <c r="AM16" s="44"/>
      <c r="AO16" s="13"/>
      <c r="AP16" s="45"/>
      <c r="AQ16" s="45"/>
      <c r="AR16" s="45"/>
      <c r="AS16" s="45"/>
      <c r="AT16" s="46"/>
    </row>
    <row r="17" spans="2:46" ht="14.1" customHeight="1" x14ac:dyDescent="0.25">
      <c r="B17" s="13"/>
      <c r="C17" s="12"/>
      <c r="D17" s="12" t="str">
        <f>ServiceProjections!E19</f>
        <v>High Load Escorts</v>
      </c>
      <c r="E17" s="34"/>
      <c r="F17" s="38" t="s">
        <v>157</v>
      </c>
      <c r="G17" s="39" t="s">
        <v>157</v>
      </c>
      <c r="H17" s="40" t="str">
        <f>ServiceHistory!G18</f>
        <v>n.a.</v>
      </c>
      <c r="J17" s="38" t="s">
        <v>157</v>
      </c>
      <c r="K17" s="39">
        <f>ServiceProjections!J94</f>
        <v>171.03001364014716</v>
      </c>
      <c r="L17" s="42">
        <f>K17</f>
        <v>171.03001364014716</v>
      </c>
      <c r="N17" s="182">
        <f>ServiceProjections!H53</f>
        <v>13.5</v>
      </c>
      <c r="O17" s="43">
        <f>ServiceProjections!H119*$N17</f>
        <v>405</v>
      </c>
      <c r="P17" s="43">
        <f>ServiceProjections!I119*$N17</f>
        <v>405</v>
      </c>
      <c r="Q17" s="43">
        <f>ServiceProjections!J119*$N17</f>
        <v>405</v>
      </c>
      <c r="R17" s="43">
        <f>ServiceProjections!K119*$N17</f>
        <v>405</v>
      </c>
      <c r="S17" s="44">
        <f>ServiceProjections!L119*$N17</f>
        <v>405</v>
      </c>
      <c r="U17" s="47">
        <f t="shared" si="55"/>
        <v>69267.155524259593</v>
      </c>
      <c r="V17" s="43">
        <f t="shared" si="56"/>
        <v>69267.155524259593</v>
      </c>
      <c r="W17" s="43">
        <f t="shared" si="57"/>
        <v>69267.155524259593</v>
      </c>
      <c r="X17" s="43">
        <f t="shared" si="58"/>
        <v>69267.155524259593</v>
      </c>
      <c r="Y17" s="44">
        <f t="shared" si="59"/>
        <v>69267.155524259593</v>
      </c>
      <c r="AA17" s="50">
        <f>ServiceProjections!G94</f>
        <v>118.11003168394852</v>
      </c>
      <c r="AB17" s="43">
        <f t="shared" ref="AB17" si="73">O17*$AA17</f>
        <v>47834.562831999152</v>
      </c>
      <c r="AC17" s="43">
        <f t="shared" si="60"/>
        <v>47834.562831999152</v>
      </c>
      <c r="AD17" s="43">
        <f t="shared" si="61"/>
        <v>47834.562831999152</v>
      </c>
      <c r="AE17" s="43">
        <f t="shared" si="62"/>
        <v>47834.562831999152</v>
      </c>
      <c r="AF17" s="44">
        <f t="shared" si="63"/>
        <v>47834.562831999152</v>
      </c>
      <c r="AH17" s="50">
        <f>ServiceProjections!H94</f>
        <v>49.227195871359022</v>
      </c>
      <c r="AI17" s="43">
        <f t="shared" si="64"/>
        <v>19937.014327900404</v>
      </c>
      <c r="AJ17" s="43">
        <f t="shared" si="65"/>
        <v>19937.014327900404</v>
      </c>
      <c r="AK17" s="43">
        <f t="shared" si="66"/>
        <v>19937.014327900404</v>
      </c>
      <c r="AL17" s="43">
        <f t="shared" si="67"/>
        <v>19937.014327900404</v>
      </c>
      <c r="AM17" s="44">
        <f t="shared" si="68"/>
        <v>19937.014327900404</v>
      </c>
      <c r="AO17" s="187">
        <f>L17-AA17-AH17</f>
        <v>3.6927860848396179</v>
      </c>
      <c r="AP17" s="45">
        <f>$AO17*O17</f>
        <v>1495.5783643600453</v>
      </c>
      <c r="AQ17" s="45">
        <f t="shared" ref="AQ17" si="74">$AO17*P17</f>
        <v>1495.5783643600453</v>
      </c>
      <c r="AR17" s="45">
        <f t="shared" ref="AR17" si="75">$AO17*Q17</f>
        <v>1495.5783643600453</v>
      </c>
      <c r="AS17" s="45">
        <f t="shared" ref="AS17" si="76">$AO17*R17</f>
        <v>1495.5783643600453</v>
      </c>
      <c r="AT17" s="46">
        <f t="shared" ref="AT17" si="77">$AO17*S17</f>
        <v>1495.5783643600453</v>
      </c>
    </row>
    <row r="18" spans="2:46" ht="14.1" customHeight="1" x14ac:dyDescent="0.25">
      <c r="B18" s="13"/>
      <c r="C18" s="12" t="str">
        <f>ServiceProjections!D20</f>
        <v>Temporary Supply</v>
      </c>
      <c r="D18" s="12"/>
      <c r="E18" s="34"/>
      <c r="F18" s="13"/>
      <c r="G18" s="12"/>
      <c r="H18" s="34"/>
      <c r="J18" s="13"/>
      <c r="K18" s="12"/>
      <c r="L18" s="34"/>
      <c r="N18" s="13"/>
      <c r="O18" s="12"/>
      <c r="P18" s="12"/>
      <c r="Q18" s="12"/>
      <c r="R18" s="12"/>
      <c r="S18" s="34"/>
      <c r="U18" s="13"/>
      <c r="V18" s="12"/>
      <c r="W18" s="12"/>
      <c r="X18" s="12"/>
      <c r="Y18" s="34"/>
      <c r="AA18" s="13"/>
      <c r="AB18" s="12"/>
      <c r="AC18" s="12"/>
      <c r="AD18" s="12"/>
      <c r="AE18" s="12"/>
      <c r="AF18" s="34"/>
      <c r="AH18" s="13"/>
      <c r="AI18" s="12"/>
      <c r="AJ18" s="12"/>
      <c r="AK18" s="12"/>
      <c r="AL18" s="12"/>
      <c r="AM18" s="34"/>
      <c r="AO18" s="13"/>
      <c r="AP18" s="45"/>
      <c r="AQ18" s="45"/>
      <c r="AR18" s="45"/>
      <c r="AS18" s="45"/>
      <c r="AT18" s="46"/>
    </row>
    <row r="19" spans="2:46" ht="14.1" customHeight="1" x14ac:dyDescent="0.25">
      <c r="B19" s="13"/>
      <c r="C19" s="12"/>
      <c r="D19" s="12" t="str">
        <f>ServiceProjections!E21</f>
        <v>Install and remove HV LL Links</v>
      </c>
      <c r="E19" s="34"/>
      <c r="F19" s="38" t="s">
        <v>157</v>
      </c>
      <c r="G19" s="39" t="s">
        <v>157</v>
      </c>
      <c r="H19" s="40" t="str">
        <f>ServiceHistory!G20</f>
        <v>n.a.</v>
      </c>
      <c r="J19" s="181">
        <f>ServiceProjections!I42</f>
        <v>20</v>
      </c>
      <c r="K19" s="39">
        <f>ServiceProjections!J96</f>
        <v>171.03001364014716</v>
      </c>
      <c r="L19" s="42">
        <f t="shared" ref="L19:L23" si="78">J19*K19</f>
        <v>3420.6002728029434</v>
      </c>
      <c r="N19" s="38"/>
      <c r="O19" s="43">
        <f>ServiceProjections!H121</f>
        <v>10</v>
      </c>
      <c r="P19" s="43">
        <f>ServiceProjections!I121</f>
        <v>10</v>
      </c>
      <c r="Q19" s="43">
        <f>ServiceProjections!J121</f>
        <v>10</v>
      </c>
      <c r="R19" s="43">
        <f>ServiceProjections!K121</f>
        <v>10</v>
      </c>
      <c r="S19" s="44">
        <f>ServiceProjections!L121</f>
        <v>10</v>
      </c>
      <c r="U19" s="47">
        <f t="shared" ref="U19:Y23" si="79">O19*$L19</f>
        <v>34206.002728029431</v>
      </c>
      <c r="V19" s="43">
        <f t="shared" si="79"/>
        <v>34206.002728029431</v>
      </c>
      <c r="W19" s="43">
        <f t="shared" si="79"/>
        <v>34206.002728029431</v>
      </c>
      <c r="X19" s="43">
        <f t="shared" si="79"/>
        <v>34206.002728029431</v>
      </c>
      <c r="Y19" s="44">
        <f t="shared" si="79"/>
        <v>34206.002728029431</v>
      </c>
      <c r="AA19" s="50">
        <f>ServiceProjections!G96*J19</f>
        <v>2362.2006336789705</v>
      </c>
      <c r="AB19" s="43">
        <f t="shared" ref="AB19:AF23" si="80">O19*$AA19</f>
        <v>23622.006336789706</v>
      </c>
      <c r="AC19" s="43">
        <f t="shared" si="80"/>
        <v>23622.006336789706</v>
      </c>
      <c r="AD19" s="43">
        <f t="shared" si="80"/>
        <v>23622.006336789706</v>
      </c>
      <c r="AE19" s="43">
        <f t="shared" si="80"/>
        <v>23622.006336789706</v>
      </c>
      <c r="AF19" s="44">
        <f t="shared" si="80"/>
        <v>23622.006336789706</v>
      </c>
      <c r="AH19" s="50">
        <f>ServiceProjections!H96*J19</f>
        <v>984.54391742718042</v>
      </c>
      <c r="AI19" s="43">
        <f t="shared" ref="AI19:AM23" si="81">O19*$AH19</f>
        <v>9845.4391742718035</v>
      </c>
      <c r="AJ19" s="43">
        <f t="shared" si="81"/>
        <v>9845.4391742718035</v>
      </c>
      <c r="AK19" s="43">
        <f t="shared" si="81"/>
        <v>9845.4391742718035</v>
      </c>
      <c r="AL19" s="43">
        <f t="shared" si="81"/>
        <v>9845.4391742718035</v>
      </c>
      <c r="AM19" s="44">
        <f t="shared" si="81"/>
        <v>9845.4391742718035</v>
      </c>
      <c r="AO19" s="187">
        <f>L19-AA19-AH19</f>
        <v>73.855721696792557</v>
      </c>
      <c r="AP19" s="45">
        <f>$AO19*O19</f>
        <v>738.55721696792557</v>
      </c>
      <c r="AQ19" s="45">
        <f t="shared" ref="AQ19:AQ23" si="82">$AO19*P19</f>
        <v>738.55721696792557</v>
      </c>
      <c r="AR19" s="45">
        <f t="shared" ref="AR19:AR23" si="83">$AO19*Q19</f>
        <v>738.55721696792557</v>
      </c>
      <c r="AS19" s="45">
        <f t="shared" ref="AS19:AS23" si="84">$AO19*R19</f>
        <v>738.55721696792557</v>
      </c>
      <c r="AT19" s="46">
        <f t="shared" ref="AT19:AT23" si="85">$AO19*S19</f>
        <v>738.55721696792557</v>
      </c>
    </row>
    <row r="20" spans="2:46" ht="14.1" customHeight="1" x14ac:dyDescent="0.25">
      <c r="B20" s="13"/>
      <c r="C20" s="12"/>
      <c r="D20" s="12" t="str">
        <f>ServiceProjections!E22</f>
        <v>Break and remake HV bonds</v>
      </c>
      <c r="E20" s="34"/>
      <c r="F20" s="38" t="s">
        <v>157</v>
      </c>
      <c r="G20" s="39" t="s">
        <v>157</v>
      </c>
      <c r="H20" s="40" t="str">
        <f>ServiceHistory!G21</f>
        <v>n.a.</v>
      </c>
      <c r="J20" s="181">
        <f>ServiceProjections!I43</f>
        <v>15</v>
      </c>
      <c r="K20" s="41">
        <f>ServiceProjections!J97</f>
        <v>171.03001364014716</v>
      </c>
      <c r="L20" s="42">
        <f t="shared" si="78"/>
        <v>2565.4502046022076</v>
      </c>
      <c r="N20" s="38"/>
      <c r="O20" s="45">
        <f>ServiceProjections!H122</f>
        <v>15.000000000000002</v>
      </c>
      <c r="P20" s="45">
        <f>ServiceProjections!I122</f>
        <v>15.000000000000002</v>
      </c>
      <c r="Q20" s="45">
        <f>ServiceProjections!J122</f>
        <v>15.000000000000002</v>
      </c>
      <c r="R20" s="45">
        <f>ServiceProjections!K122</f>
        <v>15.000000000000002</v>
      </c>
      <c r="S20" s="46">
        <f>ServiceProjections!L122</f>
        <v>15.000000000000002</v>
      </c>
      <c r="U20" s="47">
        <f t="shared" si="79"/>
        <v>38481.753069033119</v>
      </c>
      <c r="V20" s="43">
        <f t="shared" si="79"/>
        <v>38481.753069033119</v>
      </c>
      <c r="W20" s="43">
        <f t="shared" si="79"/>
        <v>38481.753069033119</v>
      </c>
      <c r="X20" s="43">
        <f t="shared" si="79"/>
        <v>38481.753069033119</v>
      </c>
      <c r="Y20" s="44">
        <f t="shared" si="79"/>
        <v>38481.753069033119</v>
      </c>
      <c r="AA20" s="50">
        <f>ServiceProjections!G97*J20</f>
        <v>1771.6504752592277</v>
      </c>
      <c r="AB20" s="43">
        <f t="shared" si="80"/>
        <v>26574.757128888417</v>
      </c>
      <c r="AC20" s="43">
        <f t="shared" si="80"/>
        <v>26574.757128888417</v>
      </c>
      <c r="AD20" s="43">
        <f t="shared" si="80"/>
        <v>26574.757128888417</v>
      </c>
      <c r="AE20" s="43">
        <f t="shared" si="80"/>
        <v>26574.757128888417</v>
      </c>
      <c r="AF20" s="44">
        <f t="shared" si="80"/>
        <v>26574.757128888417</v>
      </c>
      <c r="AH20" s="50">
        <f>ServiceProjections!H97*J20</f>
        <v>738.40793807038528</v>
      </c>
      <c r="AI20" s="43">
        <f t="shared" si="81"/>
        <v>11076.11907105578</v>
      </c>
      <c r="AJ20" s="43">
        <f t="shared" si="81"/>
        <v>11076.11907105578</v>
      </c>
      <c r="AK20" s="43">
        <f t="shared" si="81"/>
        <v>11076.11907105578</v>
      </c>
      <c r="AL20" s="43">
        <f t="shared" si="81"/>
        <v>11076.11907105578</v>
      </c>
      <c r="AM20" s="44">
        <f t="shared" si="81"/>
        <v>11076.11907105578</v>
      </c>
      <c r="AO20" s="187">
        <f>L20-AA20-AH20</f>
        <v>55.39179127259456</v>
      </c>
      <c r="AP20" s="45">
        <f>$AO20*O20</f>
        <v>830.87686908891851</v>
      </c>
      <c r="AQ20" s="45">
        <f t="shared" si="82"/>
        <v>830.87686908891851</v>
      </c>
      <c r="AR20" s="45">
        <f t="shared" si="83"/>
        <v>830.87686908891851</v>
      </c>
      <c r="AS20" s="45">
        <f t="shared" si="84"/>
        <v>830.87686908891851</v>
      </c>
      <c r="AT20" s="46">
        <f t="shared" si="85"/>
        <v>830.87686908891851</v>
      </c>
    </row>
    <row r="21" spans="2:46" ht="14.1" customHeight="1" x14ac:dyDescent="0.25">
      <c r="B21" s="13"/>
      <c r="C21" s="12"/>
      <c r="D21" s="12" t="str">
        <f>ServiceProjections!E23</f>
        <v>Break and remake LV bonds</v>
      </c>
      <c r="E21" s="34"/>
      <c r="F21" s="38" t="s">
        <v>157</v>
      </c>
      <c r="G21" s="39" t="s">
        <v>157</v>
      </c>
      <c r="H21" s="40" t="str">
        <f>ServiceHistory!G22</f>
        <v>n.a.</v>
      </c>
      <c r="J21" s="182">
        <f>ServiceProjections!I44</f>
        <v>12</v>
      </c>
      <c r="K21" s="41">
        <f>ServiceProjections!J98</f>
        <v>171.03001364014716</v>
      </c>
      <c r="L21" s="42">
        <f t="shared" si="78"/>
        <v>2052.3601636817657</v>
      </c>
      <c r="N21" s="38"/>
      <c r="O21" s="45">
        <f>ServiceProjections!H123</f>
        <v>20</v>
      </c>
      <c r="P21" s="45">
        <f>ServiceProjections!I123</f>
        <v>20</v>
      </c>
      <c r="Q21" s="45">
        <f>ServiceProjections!J123</f>
        <v>20</v>
      </c>
      <c r="R21" s="45">
        <f>ServiceProjections!K123</f>
        <v>20</v>
      </c>
      <c r="S21" s="46">
        <f>ServiceProjections!L123</f>
        <v>20</v>
      </c>
      <c r="U21" s="47">
        <f t="shared" si="79"/>
        <v>41047.203273635314</v>
      </c>
      <c r="V21" s="43">
        <f t="shared" si="79"/>
        <v>41047.203273635314</v>
      </c>
      <c r="W21" s="43">
        <f t="shared" si="79"/>
        <v>41047.203273635314</v>
      </c>
      <c r="X21" s="43">
        <f t="shared" si="79"/>
        <v>41047.203273635314</v>
      </c>
      <c r="Y21" s="44">
        <f t="shared" si="79"/>
        <v>41047.203273635314</v>
      </c>
      <c r="AA21" s="50">
        <f>ServiceProjections!G98*J21</f>
        <v>1417.3203802073822</v>
      </c>
      <c r="AB21" s="43">
        <f t="shared" si="80"/>
        <v>28346.407604147644</v>
      </c>
      <c r="AC21" s="43">
        <f t="shared" si="80"/>
        <v>28346.407604147644</v>
      </c>
      <c r="AD21" s="43">
        <f t="shared" si="80"/>
        <v>28346.407604147644</v>
      </c>
      <c r="AE21" s="43">
        <f t="shared" si="80"/>
        <v>28346.407604147644</v>
      </c>
      <c r="AF21" s="44">
        <f t="shared" si="80"/>
        <v>28346.407604147644</v>
      </c>
      <c r="AH21" s="50">
        <f>ServiceProjections!H98*J21</f>
        <v>590.7263504563083</v>
      </c>
      <c r="AI21" s="43">
        <f t="shared" si="81"/>
        <v>11814.527009126166</v>
      </c>
      <c r="AJ21" s="43">
        <f t="shared" si="81"/>
        <v>11814.527009126166</v>
      </c>
      <c r="AK21" s="43">
        <f t="shared" si="81"/>
        <v>11814.527009126166</v>
      </c>
      <c r="AL21" s="43">
        <f t="shared" si="81"/>
        <v>11814.527009126166</v>
      </c>
      <c r="AM21" s="44">
        <f t="shared" si="81"/>
        <v>11814.527009126166</v>
      </c>
      <c r="AO21" s="187">
        <f>L21-AA21-AH21</f>
        <v>44.313433018075216</v>
      </c>
      <c r="AP21" s="45">
        <f>$AO21*O21</f>
        <v>886.26866036150432</v>
      </c>
      <c r="AQ21" s="45">
        <f t="shared" si="82"/>
        <v>886.26866036150432</v>
      </c>
      <c r="AR21" s="45">
        <f t="shared" si="83"/>
        <v>886.26866036150432</v>
      </c>
      <c r="AS21" s="45">
        <f t="shared" si="84"/>
        <v>886.26866036150432</v>
      </c>
      <c r="AT21" s="46">
        <f t="shared" si="85"/>
        <v>886.26866036150432</v>
      </c>
    </row>
    <row r="22" spans="2:46" ht="14.1" customHeight="1" x14ac:dyDescent="0.25">
      <c r="B22" s="13"/>
      <c r="C22" s="12"/>
      <c r="D22" s="12" t="str">
        <f>ServiceProjections!E24</f>
        <v>Connect and disconnect generator to OH mains</v>
      </c>
      <c r="E22" s="34"/>
      <c r="F22" s="38" t="s">
        <v>157</v>
      </c>
      <c r="G22" s="39" t="s">
        <v>157</v>
      </c>
      <c r="H22" s="40" t="str">
        <f>ServiceHistory!G23</f>
        <v>n.a.</v>
      </c>
      <c r="J22" s="181">
        <f>ServiceProjections!I45</f>
        <v>12</v>
      </c>
      <c r="K22" s="39">
        <f>ServiceProjections!J99</f>
        <v>171.03001364014716</v>
      </c>
      <c r="L22" s="42">
        <f t="shared" si="78"/>
        <v>2052.3601636817657</v>
      </c>
      <c r="N22" s="38"/>
      <c r="O22" s="45">
        <f>ServiceProjections!H124</f>
        <v>30.000000000000004</v>
      </c>
      <c r="P22" s="45">
        <f>ServiceProjections!I124</f>
        <v>30.000000000000004</v>
      </c>
      <c r="Q22" s="45">
        <f>ServiceProjections!J124</f>
        <v>30.000000000000004</v>
      </c>
      <c r="R22" s="45">
        <f>ServiceProjections!K124</f>
        <v>30.000000000000004</v>
      </c>
      <c r="S22" s="46">
        <f>ServiceProjections!L124</f>
        <v>30.000000000000004</v>
      </c>
      <c r="U22" s="47">
        <f t="shared" si="79"/>
        <v>61570.804910452978</v>
      </c>
      <c r="V22" s="43">
        <f t="shared" si="79"/>
        <v>61570.804910452978</v>
      </c>
      <c r="W22" s="43">
        <f t="shared" si="79"/>
        <v>61570.804910452978</v>
      </c>
      <c r="X22" s="43">
        <f t="shared" si="79"/>
        <v>61570.804910452978</v>
      </c>
      <c r="Y22" s="44">
        <f t="shared" si="79"/>
        <v>61570.804910452978</v>
      </c>
      <c r="AA22" s="50">
        <f>ServiceProjections!G99*J22</f>
        <v>1417.3203802073822</v>
      </c>
      <c r="AB22" s="43">
        <f t="shared" si="80"/>
        <v>42519.611406221469</v>
      </c>
      <c r="AC22" s="43">
        <f t="shared" si="80"/>
        <v>42519.611406221469</v>
      </c>
      <c r="AD22" s="43">
        <f t="shared" si="80"/>
        <v>42519.611406221469</v>
      </c>
      <c r="AE22" s="43">
        <f t="shared" si="80"/>
        <v>42519.611406221469</v>
      </c>
      <c r="AF22" s="44">
        <f t="shared" si="80"/>
        <v>42519.611406221469</v>
      </c>
      <c r="AH22" s="50">
        <f>ServiceProjections!H99*J22</f>
        <v>590.7263504563083</v>
      </c>
      <c r="AI22" s="43">
        <f t="shared" si="81"/>
        <v>17721.790513689251</v>
      </c>
      <c r="AJ22" s="43">
        <f t="shared" si="81"/>
        <v>17721.790513689251</v>
      </c>
      <c r="AK22" s="43">
        <f t="shared" si="81"/>
        <v>17721.790513689251</v>
      </c>
      <c r="AL22" s="43">
        <f t="shared" si="81"/>
        <v>17721.790513689251</v>
      </c>
      <c r="AM22" s="44">
        <f t="shared" si="81"/>
        <v>17721.790513689251</v>
      </c>
      <c r="AO22" s="187">
        <f>L22-AA22-AH22</f>
        <v>44.313433018075216</v>
      </c>
      <c r="AP22" s="45">
        <f>$AO22*O22</f>
        <v>1329.4029905422567</v>
      </c>
      <c r="AQ22" s="45">
        <f t="shared" si="82"/>
        <v>1329.4029905422567</v>
      </c>
      <c r="AR22" s="45">
        <f t="shared" si="83"/>
        <v>1329.4029905422567</v>
      </c>
      <c r="AS22" s="45">
        <f t="shared" si="84"/>
        <v>1329.4029905422567</v>
      </c>
      <c r="AT22" s="46">
        <f t="shared" si="85"/>
        <v>1329.4029905422567</v>
      </c>
    </row>
    <row r="23" spans="2:46" ht="14.1" customHeight="1" x14ac:dyDescent="0.25">
      <c r="B23" s="13"/>
      <c r="C23" s="12"/>
      <c r="D23" s="12" t="str">
        <f>ServiceProjections!E25</f>
        <v>Connect and disconnect MG to LV board in Kiosk</v>
      </c>
      <c r="E23" s="34"/>
      <c r="F23" s="38" t="s">
        <v>157</v>
      </c>
      <c r="G23" s="39" t="s">
        <v>157</v>
      </c>
      <c r="H23" s="40" t="str">
        <f>ServiceHistory!G24</f>
        <v>n.a.</v>
      </c>
      <c r="J23" s="181">
        <f>ServiceProjections!I46</f>
        <v>8</v>
      </c>
      <c r="K23" s="39">
        <f>ServiceProjections!J100</f>
        <v>171.03001364014716</v>
      </c>
      <c r="L23" s="42">
        <f t="shared" si="78"/>
        <v>1368.2401091211773</v>
      </c>
      <c r="N23" s="38"/>
      <c r="O23" s="45">
        <f>ServiceProjections!H125</f>
        <v>10.000000000000002</v>
      </c>
      <c r="P23" s="45">
        <f>ServiceProjections!I125</f>
        <v>10.000000000000002</v>
      </c>
      <c r="Q23" s="45">
        <f>ServiceProjections!J125</f>
        <v>10.000000000000002</v>
      </c>
      <c r="R23" s="45">
        <f>ServiceProjections!K125</f>
        <v>10.000000000000002</v>
      </c>
      <c r="S23" s="46">
        <f>ServiceProjections!L125</f>
        <v>10.000000000000002</v>
      </c>
      <c r="U23" s="47">
        <f t="shared" si="79"/>
        <v>13682.401091211776</v>
      </c>
      <c r="V23" s="43">
        <f t="shared" si="79"/>
        <v>13682.401091211776</v>
      </c>
      <c r="W23" s="43">
        <f t="shared" si="79"/>
        <v>13682.401091211776</v>
      </c>
      <c r="X23" s="43">
        <f t="shared" si="79"/>
        <v>13682.401091211776</v>
      </c>
      <c r="Y23" s="44">
        <f t="shared" si="79"/>
        <v>13682.401091211776</v>
      </c>
      <c r="AA23" s="50">
        <f>ServiceProjections!G100*J23</f>
        <v>944.88025347158816</v>
      </c>
      <c r="AB23" s="43">
        <f t="shared" si="80"/>
        <v>9448.8025347158837</v>
      </c>
      <c r="AC23" s="43">
        <f t="shared" si="80"/>
        <v>9448.8025347158837</v>
      </c>
      <c r="AD23" s="43">
        <f t="shared" si="80"/>
        <v>9448.8025347158837</v>
      </c>
      <c r="AE23" s="43">
        <f t="shared" si="80"/>
        <v>9448.8025347158837</v>
      </c>
      <c r="AF23" s="44">
        <f t="shared" si="80"/>
        <v>9448.8025347158837</v>
      </c>
      <c r="AH23" s="50">
        <f>ServiceProjections!H100*J23</f>
        <v>393.81756697087218</v>
      </c>
      <c r="AI23" s="43">
        <f t="shared" si="81"/>
        <v>3938.1756697087226</v>
      </c>
      <c r="AJ23" s="43">
        <f t="shared" si="81"/>
        <v>3938.1756697087226</v>
      </c>
      <c r="AK23" s="43">
        <f t="shared" si="81"/>
        <v>3938.1756697087226</v>
      </c>
      <c r="AL23" s="43">
        <f t="shared" si="81"/>
        <v>3938.1756697087226</v>
      </c>
      <c r="AM23" s="44">
        <f t="shared" si="81"/>
        <v>3938.1756697087226</v>
      </c>
      <c r="AO23" s="187">
        <f>L23-AA23-AH23</f>
        <v>29.542288678716943</v>
      </c>
      <c r="AP23" s="45">
        <f>$AO23*O23</f>
        <v>295.42288678716949</v>
      </c>
      <c r="AQ23" s="45">
        <f t="shared" si="82"/>
        <v>295.42288678716949</v>
      </c>
      <c r="AR23" s="45">
        <f t="shared" si="83"/>
        <v>295.42288678716949</v>
      </c>
      <c r="AS23" s="45">
        <f t="shared" si="84"/>
        <v>295.42288678716949</v>
      </c>
      <c r="AT23" s="46">
        <f t="shared" si="85"/>
        <v>295.42288678716949</v>
      </c>
    </row>
    <row r="24" spans="2:46" ht="14.1" customHeight="1" x14ac:dyDescent="0.25">
      <c r="B24" s="13"/>
      <c r="C24" s="12" t="str">
        <f>ServiceProjections!D26</f>
        <v>Attendance (statutory)</v>
      </c>
      <c r="D24" s="12"/>
      <c r="E24" s="34"/>
      <c r="F24" s="38"/>
      <c r="G24" s="12"/>
      <c r="H24" s="34"/>
      <c r="J24" s="13"/>
      <c r="K24" s="12"/>
      <c r="L24" s="42"/>
      <c r="N24" s="13"/>
      <c r="O24" s="12"/>
      <c r="P24" s="12"/>
      <c r="Q24" s="12"/>
      <c r="R24" s="12"/>
      <c r="S24" s="34"/>
      <c r="U24" s="13"/>
      <c r="V24" s="12"/>
      <c r="W24" s="12"/>
      <c r="X24" s="12"/>
      <c r="Y24" s="34"/>
      <c r="AA24" s="13"/>
      <c r="AB24" s="12"/>
      <c r="AC24" s="12"/>
      <c r="AD24" s="12"/>
      <c r="AE24" s="12"/>
      <c r="AF24" s="34"/>
      <c r="AH24" s="13"/>
      <c r="AI24" s="12"/>
      <c r="AJ24" s="12"/>
      <c r="AK24" s="12"/>
      <c r="AL24" s="12"/>
      <c r="AM24" s="34"/>
      <c r="AO24" s="13"/>
      <c r="AP24" s="45"/>
      <c r="AQ24" s="45"/>
      <c r="AR24" s="45"/>
      <c r="AS24" s="45"/>
      <c r="AT24" s="46"/>
    </row>
    <row r="25" spans="2:46" ht="14.1" customHeight="1" x14ac:dyDescent="0.25">
      <c r="B25" s="13"/>
      <c r="C25" s="12"/>
      <c r="D25" s="12" t="str">
        <f>ServiceProjections!E27</f>
        <v>Attendance (statutory)</v>
      </c>
      <c r="E25" s="34"/>
      <c r="F25" s="38" t="s">
        <v>157</v>
      </c>
      <c r="G25" s="39" t="s">
        <v>157</v>
      </c>
      <c r="H25" s="40" t="str">
        <f>ServiceHistory!G26</f>
        <v>n.a.</v>
      </c>
      <c r="J25" s="38" t="s">
        <v>157</v>
      </c>
      <c r="K25" s="39">
        <f>ServiceProjections!J102</f>
        <v>130.01153623879617</v>
      </c>
      <c r="L25" s="42">
        <f>K25</f>
        <v>130.01153623879617</v>
      </c>
      <c r="N25" s="182">
        <f>ServiceProjections!H55</f>
        <v>0.5</v>
      </c>
      <c r="O25" s="43">
        <f>ServiceProjections!H127*$N25</f>
        <v>5</v>
      </c>
      <c r="P25" s="43">
        <f>ServiceProjections!I127*$N25</f>
        <v>5</v>
      </c>
      <c r="Q25" s="43">
        <f>ServiceProjections!J127*$N25</f>
        <v>5</v>
      </c>
      <c r="R25" s="43">
        <f>ServiceProjections!K127*$N25</f>
        <v>5</v>
      </c>
      <c r="S25" s="44">
        <f>ServiceProjections!L127*$N25</f>
        <v>5</v>
      </c>
      <c r="U25" s="47">
        <f t="shared" ref="U25" si="86">O25*$L25</f>
        <v>650.0576811939809</v>
      </c>
      <c r="V25" s="43">
        <f t="shared" ref="V25" si="87">P25*$L25</f>
        <v>650.0576811939809</v>
      </c>
      <c r="W25" s="43">
        <f t="shared" ref="W25" si="88">Q25*$L25</f>
        <v>650.0576811939809</v>
      </c>
      <c r="X25" s="43">
        <f t="shared" ref="X25" si="89">R25*$L25</f>
        <v>650.0576811939809</v>
      </c>
      <c r="Y25" s="44">
        <f t="shared" ref="Y25" si="90">S25*$L25</f>
        <v>650.0576811939809</v>
      </c>
      <c r="AA25" s="50">
        <f>ServiceProjections!G102</f>
        <v>89.78155428259754</v>
      </c>
      <c r="AB25" s="43">
        <f t="shared" ref="AB25" si="91">O25*$AA25</f>
        <v>448.9077714129877</v>
      </c>
      <c r="AC25" s="43">
        <f t="shared" ref="AC25" si="92">P25*$AA25</f>
        <v>448.9077714129877</v>
      </c>
      <c r="AD25" s="43">
        <f t="shared" ref="AD25" si="93">Q25*$AA25</f>
        <v>448.9077714129877</v>
      </c>
      <c r="AE25" s="43">
        <f t="shared" ref="AE25" si="94">R25*$AA25</f>
        <v>448.9077714129877</v>
      </c>
      <c r="AF25" s="44">
        <f t="shared" ref="AF25" si="95">S25*$AA25</f>
        <v>448.9077714129877</v>
      </c>
      <c r="AH25" s="50">
        <f>ServiceProjections!H102</f>
        <v>37.417195871359027</v>
      </c>
      <c r="AI25" s="43">
        <f t="shared" ref="AI25" si="96">O25*$AH25</f>
        <v>187.08597935679512</v>
      </c>
      <c r="AJ25" s="43">
        <f t="shared" ref="AJ25" si="97">P25*$AH25</f>
        <v>187.08597935679512</v>
      </c>
      <c r="AK25" s="43">
        <f t="shared" ref="AK25" si="98">Q25*$AH25</f>
        <v>187.08597935679512</v>
      </c>
      <c r="AL25" s="43">
        <f t="shared" ref="AL25" si="99">R25*$AH25</f>
        <v>187.08597935679512</v>
      </c>
      <c r="AM25" s="44">
        <f t="shared" ref="AM25" si="100">S25*$AH25</f>
        <v>187.08597935679512</v>
      </c>
      <c r="AO25" s="187">
        <f>L25-AA25-AH25</f>
        <v>2.8127860848396011</v>
      </c>
      <c r="AP25" s="45">
        <f>$AO25*O25</f>
        <v>14.063930424198006</v>
      </c>
      <c r="AQ25" s="45">
        <f t="shared" ref="AQ25" si="101">$AO25*P25</f>
        <v>14.063930424198006</v>
      </c>
      <c r="AR25" s="45">
        <f t="shared" ref="AR25" si="102">$AO25*Q25</f>
        <v>14.063930424198006</v>
      </c>
      <c r="AS25" s="45">
        <f t="shared" ref="AS25" si="103">$AO25*R25</f>
        <v>14.063930424198006</v>
      </c>
      <c r="AT25" s="46">
        <f t="shared" ref="AT25" si="104">$AO25*S25</f>
        <v>14.063930424198006</v>
      </c>
    </row>
    <row r="26" spans="2:46" ht="14.1" customHeight="1" x14ac:dyDescent="0.25">
      <c r="B26" s="13"/>
      <c r="C26" s="12"/>
      <c r="D26" s="12"/>
      <c r="E26" s="34"/>
      <c r="F26" s="13"/>
      <c r="G26" s="12"/>
      <c r="H26" s="34"/>
      <c r="J26" s="13"/>
      <c r="K26" s="12"/>
      <c r="L26" s="34"/>
      <c r="N26" s="13"/>
      <c r="O26" s="12"/>
      <c r="P26" s="12"/>
      <c r="Q26" s="12"/>
      <c r="R26" s="12"/>
      <c r="S26" s="34"/>
      <c r="U26" s="48">
        <f>SUM(U8:U25)</f>
        <v>3614331.2964689904</v>
      </c>
      <c r="V26" s="31">
        <f t="shared" ref="V26:Y26" si="105">SUM(V8:V25)</f>
        <v>3614331.2964689904</v>
      </c>
      <c r="W26" s="31">
        <f t="shared" si="105"/>
        <v>3614331.2964689904</v>
      </c>
      <c r="X26" s="31">
        <f t="shared" si="105"/>
        <v>3614331.2964689904</v>
      </c>
      <c r="Y26" s="49">
        <f t="shared" si="105"/>
        <v>3614331.2964689904</v>
      </c>
      <c r="AA26" s="13"/>
      <c r="AB26" s="31"/>
      <c r="AC26" s="31"/>
      <c r="AD26" s="31"/>
      <c r="AE26" s="31"/>
      <c r="AF26" s="49"/>
      <c r="AH26" s="13"/>
      <c r="AI26" s="31"/>
      <c r="AJ26" s="31"/>
      <c r="AK26" s="31"/>
      <c r="AL26" s="31"/>
      <c r="AM26" s="49"/>
      <c r="AO26" s="13"/>
      <c r="AP26" s="12"/>
      <c r="AQ26" s="12"/>
      <c r="AR26" s="12"/>
      <c r="AS26" s="12"/>
      <c r="AT26" s="34"/>
    </row>
    <row r="27" spans="2:46" ht="14.1" customHeight="1" x14ac:dyDescent="0.25">
      <c r="B27" s="35"/>
      <c r="C27" s="9"/>
      <c r="D27" s="9"/>
      <c r="E27" s="36"/>
      <c r="F27" s="35"/>
      <c r="G27" s="9"/>
      <c r="H27" s="36"/>
      <c r="J27" s="35"/>
      <c r="K27" s="9"/>
      <c r="L27" s="36"/>
      <c r="N27" s="35"/>
      <c r="O27" s="9"/>
      <c r="P27" s="9"/>
      <c r="Q27" s="9"/>
      <c r="R27" s="9"/>
      <c r="S27" s="36"/>
      <c r="U27" s="35"/>
      <c r="V27" s="9"/>
      <c r="W27" s="9"/>
      <c r="X27" s="9"/>
      <c r="Y27" s="36"/>
      <c r="AA27" s="35"/>
      <c r="AB27" s="9"/>
      <c r="AC27" s="9"/>
      <c r="AD27" s="9"/>
      <c r="AE27" s="9"/>
      <c r="AF27" s="36"/>
      <c r="AH27" s="35"/>
      <c r="AI27" s="9"/>
      <c r="AJ27" s="9"/>
      <c r="AK27" s="9"/>
      <c r="AL27" s="9"/>
      <c r="AM27" s="36"/>
      <c r="AO27" s="35"/>
      <c r="AP27" s="9"/>
      <c r="AQ27" s="9"/>
      <c r="AR27" s="9"/>
      <c r="AS27" s="9"/>
      <c r="AT27" s="36"/>
    </row>
  </sheetData>
  <mergeCells count="7">
    <mergeCell ref="AO5:AT5"/>
    <mergeCell ref="AH5:AM5"/>
    <mergeCell ref="F5:H5"/>
    <mergeCell ref="J5:L5"/>
    <mergeCell ref="N5:S5"/>
    <mergeCell ref="U5:Y5"/>
    <mergeCell ref="AA5:AF5"/>
  </mergeCells>
  <pageMargins left="0.39370078740157483" right="0.39370078740157483" top="0.39370078740157483" bottom="0.39370078740157483" header="0.19685039370078741" footer="0.19685039370078741"/>
  <pageSetup paperSize="8" scale="48" orientation="landscape"/>
  <headerFooter>
    <oddFooter>&amp;C&amp;F&amp;R&amp;A</oddFooter>
  </headerFooter>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3A147A0DDDD8764C80300D4204AB680A" ma:contentTypeVersion="0" ma:contentTypeDescription="Create a new document." ma:contentTypeScope="" ma:versionID="d0adda5341aa951b34e712b66b93f5db">
  <xsd:schema xmlns:xsd="http://www.w3.org/2001/XMLSchema" xmlns:xs="http://www.w3.org/2001/XMLSchema" xmlns:p="http://schemas.microsoft.com/office/2006/metadata/properties" targetNamespace="http://schemas.microsoft.com/office/2006/metadata/properties" ma:root="true" ma:fieldsID="c64490b4aec6201516c3a874156f37b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21AC99F-E069-450C-81BA-F1453DEF25A7}"/>
</file>

<file path=customXml/itemProps2.xml><?xml version="1.0" encoding="utf-8"?>
<ds:datastoreItem xmlns:ds="http://schemas.openxmlformats.org/officeDocument/2006/customXml" ds:itemID="{9825EF19-897F-4E0B-9563-6407DD084394}"/>
</file>

<file path=customXml/itemProps3.xml><?xml version="1.0" encoding="utf-8"?>
<ds:datastoreItem xmlns:ds="http://schemas.openxmlformats.org/officeDocument/2006/customXml" ds:itemID="{49CA34E8-9DA8-49FD-8F60-B9D4252217F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ReadMeFirst</vt:lpstr>
      <vt:lpstr>Summary</vt:lpstr>
      <vt:lpstr>InputSheets --&gt;</vt:lpstr>
      <vt:lpstr>GlobalInputs</vt:lpstr>
      <vt:lpstr>ServiceDescription</vt:lpstr>
      <vt:lpstr>ServiceHistory</vt:lpstr>
      <vt:lpstr>ServiceProjections</vt:lpstr>
      <vt:lpstr>OutputSheets --&gt;</vt:lpstr>
      <vt:lpstr>FeeConstruction</vt:lpstr>
      <vt:lpstr>CheckSheet</vt:lpstr>
    </vt:vector>
  </TitlesOfParts>
  <Company>Ausgrid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t53572</dc:creator>
  <cp:lastModifiedBy>Catherine Waddell</cp:lastModifiedBy>
  <cp:lastPrinted>2014-05-19T22:30:34Z</cp:lastPrinted>
  <dcterms:created xsi:type="dcterms:W3CDTF">2013-06-17T01:25:32Z</dcterms:created>
  <dcterms:modified xsi:type="dcterms:W3CDTF">2014-05-26T22:56:48Z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0x0101003A147A0DDDD8764C80300D4204AB680A</vt:lpwstr>
  </property>
</Properties>
</file>