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45" yWindow="555" windowWidth="18885" windowHeight="711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I92" i="12" l="1"/>
  <c r="H93" i="12"/>
  <c r="H92" i="12"/>
  <c r="G28" i="17"/>
  <c r="H28" i="17"/>
  <c r="I28" i="17"/>
  <c r="G29" i="17"/>
  <c r="H29" i="17"/>
  <c r="I29" i="17"/>
  <c r="G30" i="17"/>
  <c r="H30" i="17"/>
  <c r="I30" i="17"/>
  <c r="G31" i="17"/>
  <c r="G59" i="12"/>
  <c r="H31" i="17"/>
  <c r="I31" i="17"/>
  <c r="H27" i="17"/>
  <c r="I27" i="17"/>
  <c r="G27" i="17"/>
  <c r="J31" i="17"/>
  <c r="J30" i="17"/>
  <c r="J29" i="17"/>
  <c r="J28" i="17"/>
  <c r="J27" i="17"/>
  <c r="H69" i="13"/>
  <c r="H35" i="8"/>
  <c r="H37" i="8"/>
  <c r="H45" i="12"/>
  <c r="AT6" i="11"/>
  <c r="AS6" i="11"/>
  <c r="AR6" i="11"/>
  <c r="AQ6" i="11"/>
  <c r="AP6" i="11"/>
  <c r="G104" i="12"/>
  <c r="G102" i="12"/>
  <c r="H102" i="12"/>
  <c r="G99" i="12"/>
  <c r="H99" i="12"/>
  <c r="G96" i="12"/>
  <c r="H96" i="12"/>
  <c r="I77" i="13"/>
  <c r="I36" i="8"/>
  <c r="K77" i="13"/>
  <c r="K36" i="8"/>
  <c r="G77" i="13"/>
  <c r="G36" i="8"/>
  <c r="I69" i="13"/>
  <c r="I35" i="8"/>
  <c r="I37" i="8"/>
  <c r="J69" i="13"/>
  <c r="J35" i="8"/>
  <c r="K69" i="13"/>
  <c r="K35" i="8"/>
  <c r="H16" i="11"/>
  <c r="G16" i="11"/>
  <c r="H12" i="11"/>
  <c r="G12" i="11"/>
  <c r="H10" i="11"/>
  <c r="G10" i="11"/>
  <c r="H8" i="11"/>
  <c r="G8" i="11"/>
  <c r="C14" i="13"/>
  <c r="D15" i="13"/>
  <c r="D59" i="13"/>
  <c r="E16" i="12"/>
  <c r="C12" i="13"/>
  <c r="D13" i="13"/>
  <c r="D57" i="13"/>
  <c r="E14" i="12"/>
  <c r="C10" i="13"/>
  <c r="D11" i="13"/>
  <c r="D55" i="13"/>
  <c r="E12" i="12"/>
  <c r="D98" i="12"/>
  <c r="C8" i="13"/>
  <c r="D9" i="13"/>
  <c r="D53" i="13"/>
  <c r="E10" i="12"/>
  <c r="C35" i="13"/>
  <c r="C45" i="13"/>
  <c r="C34" i="13"/>
  <c r="C44" i="13"/>
  <c r="C56" i="13"/>
  <c r="D13" i="12"/>
  <c r="C33" i="13"/>
  <c r="C43" i="13"/>
  <c r="C54" i="13"/>
  <c r="D11" i="12"/>
  <c r="C97" i="12"/>
  <c r="C32" i="13"/>
  <c r="C42" i="13"/>
  <c r="C52" i="13"/>
  <c r="D9" i="12"/>
  <c r="D38" i="12"/>
  <c r="D51" i="13"/>
  <c r="E8" i="12"/>
  <c r="C31" i="13"/>
  <c r="C41" i="13"/>
  <c r="C50" i="13"/>
  <c r="D7" i="12"/>
  <c r="I63" i="12"/>
  <c r="H27" i="12"/>
  <c r="I27" i="12"/>
  <c r="O16" i="11"/>
  <c r="O8" i="11"/>
  <c r="H21" i="12"/>
  <c r="I21" i="12"/>
  <c r="J8" i="11"/>
  <c r="O10" i="11"/>
  <c r="H23" i="12"/>
  <c r="I23" i="12"/>
  <c r="J10" i="11"/>
  <c r="O12" i="11"/>
  <c r="H25" i="12"/>
  <c r="I25" i="12"/>
  <c r="J12" i="11"/>
  <c r="O14" i="11"/>
  <c r="P16" i="11"/>
  <c r="P8" i="11"/>
  <c r="P10" i="11"/>
  <c r="P12" i="11"/>
  <c r="P14" i="11"/>
  <c r="Q16" i="11"/>
  <c r="Q8" i="11"/>
  <c r="Q10" i="11"/>
  <c r="Q12" i="11"/>
  <c r="Q14" i="11"/>
  <c r="R16" i="11"/>
  <c r="R8" i="11"/>
  <c r="R10" i="11"/>
  <c r="R12" i="11"/>
  <c r="R14" i="11"/>
  <c r="S16" i="11"/>
  <c r="S8" i="11"/>
  <c r="S10" i="11"/>
  <c r="S12" i="11"/>
  <c r="S14" i="11"/>
  <c r="G73" i="12"/>
  <c r="G69" i="12"/>
  <c r="G67" i="12"/>
  <c r="E43" i="12"/>
  <c r="E71" i="12"/>
  <c r="E39" i="12"/>
  <c r="E67" i="12"/>
  <c r="G65" i="12"/>
  <c r="H29" i="12"/>
  <c r="I29" i="12"/>
  <c r="G21" i="12"/>
  <c r="G23" i="12"/>
  <c r="G25" i="12"/>
  <c r="G27" i="12"/>
  <c r="G29" i="12"/>
  <c r="E25" i="12"/>
  <c r="D24" i="12"/>
  <c r="C84" i="12"/>
  <c r="D40" i="12"/>
  <c r="D68" i="12"/>
  <c r="C80" i="12"/>
  <c r="C26" i="13"/>
  <c r="C24" i="13"/>
  <c r="C22" i="13"/>
  <c r="C20" i="13"/>
  <c r="C6" i="13"/>
  <c r="C18" i="13"/>
  <c r="D2" i="19"/>
  <c r="G71" i="12"/>
  <c r="H62" i="13"/>
  <c r="I62" i="13"/>
  <c r="J62" i="13"/>
  <c r="K62" i="13"/>
  <c r="G62" i="13"/>
  <c r="P6" i="11"/>
  <c r="V6" i="11"/>
  <c r="AC6" i="11"/>
  <c r="AJ6" i="11"/>
  <c r="Q6" i="11"/>
  <c r="W6" i="11"/>
  <c r="AD6" i="11"/>
  <c r="AK6" i="11"/>
  <c r="R6" i="11"/>
  <c r="X6" i="11"/>
  <c r="AE6" i="11"/>
  <c r="AL6" i="11"/>
  <c r="S6" i="11"/>
  <c r="Y6" i="11"/>
  <c r="AF6" i="11"/>
  <c r="AM6" i="11"/>
  <c r="O6" i="11"/>
  <c r="U6" i="11"/>
  <c r="AB6" i="11"/>
  <c r="AI6" i="11"/>
  <c r="H40" i="8"/>
  <c r="I40" i="8"/>
  <c r="J40" i="8"/>
  <c r="K40" i="8"/>
  <c r="G40" i="8"/>
  <c r="F2" i="18"/>
  <c r="A3" i="19"/>
  <c r="A3" i="17"/>
  <c r="F3" i="8"/>
  <c r="E4" i="11"/>
  <c r="F2" i="12"/>
  <c r="F2" i="13"/>
  <c r="F2" i="17"/>
  <c r="H31" i="8"/>
  <c r="I31" i="8"/>
  <c r="J31" i="8"/>
  <c r="K31" i="8"/>
  <c r="G31" i="8"/>
  <c r="H77" i="13"/>
  <c r="H36" i="8"/>
  <c r="J77" i="13"/>
  <c r="J36" i="8"/>
  <c r="G69" i="13"/>
  <c r="G35" i="8"/>
  <c r="D65" i="13"/>
  <c r="D73" i="13"/>
  <c r="D66" i="13"/>
  <c r="D74" i="13"/>
  <c r="D67" i="13"/>
  <c r="D75" i="13"/>
  <c r="D64" i="13"/>
  <c r="D72" i="13"/>
  <c r="H36" i="13"/>
  <c r="H33" i="8"/>
  <c r="I36" i="13"/>
  <c r="I33" i="8"/>
  <c r="J36" i="13"/>
  <c r="J33" i="8"/>
  <c r="K36" i="13"/>
  <c r="K33" i="8"/>
  <c r="G36" i="13"/>
  <c r="G33" i="8"/>
  <c r="C10" i="8"/>
  <c r="J25" i="8"/>
  <c r="H14" i="11"/>
  <c r="J23" i="8"/>
  <c r="J19" i="8"/>
  <c r="F23" i="8"/>
  <c r="I23" i="8"/>
  <c r="F25" i="8"/>
  <c r="I25" i="8"/>
  <c r="F21" i="8"/>
  <c r="I21" i="8"/>
  <c r="F19" i="8"/>
  <c r="I19" i="8"/>
  <c r="F17" i="8"/>
  <c r="I17" i="8"/>
  <c r="C9" i="11"/>
  <c r="C18" i="8"/>
  <c r="D10" i="11"/>
  <c r="D19" i="8"/>
  <c r="C11" i="11"/>
  <c r="C20" i="8"/>
  <c r="D12" i="11"/>
  <c r="D21" i="8"/>
  <c r="C13" i="11"/>
  <c r="C22" i="8"/>
  <c r="D14" i="11"/>
  <c r="D23" i="8"/>
  <c r="D16" i="11"/>
  <c r="D25" i="8"/>
  <c r="C6" i="8"/>
  <c r="A3" i="8"/>
  <c r="E53" i="12"/>
  <c r="J63" i="12"/>
  <c r="K63" i="12"/>
  <c r="L63" i="12"/>
  <c r="H63" i="12"/>
  <c r="F16" i="11"/>
  <c r="F12" i="11"/>
  <c r="F10" i="11"/>
  <c r="F8" i="11"/>
  <c r="A3" i="11"/>
  <c r="H43" i="12"/>
  <c r="H41" i="12"/>
  <c r="H39" i="12"/>
  <c r="H37" i="12"/>
  <c r="A3" i="12"/>
  <c r="D5" i="19"/>
  <c r="A1" i="19"/>
  <c r="G30" i="13"/>
  <c r="H30" i="13"/>
  <c r="I30" i="13"/>
  <c r="J30" i="13"/>
  <c r="K30" i="13"/>
  <c r="A3" i="13"/>
  <c r="A1" i="18"/>
  <c r="E37" i="12"/>
  <c r="E51" i="12"/>
  <c r="D8" i="11"/>
  <c r="D17" i="8"/>
  <c r="D36" i="12"/>
  <c r="D20" i="12"/>
  <c r="C7" i="11"/>
  <c r="C16" i="8"/>
  <c r="C58" i="13"/>
  <c r="D15" i="12"/>
  <c r="H104" i="12"/>
  <c r="I104" i="12"/>
  <c r="J104" i="12" s="1"/>
  <c r="J59" i="12" s="1"/>
  <c r="K16" i="11" s="1"/>
  <c r="L16" i="11" s="1"/>
  <c r="H59" i="12"/>
  <c r="AH16" i="11" s="1"/>
  <c r="AA16" i="11"/>
  <c r="AE16" i="11" s="1"/>
  <c r="D52" i="12"/>
  <c r="D66" i="12"/>
  <c r="C78" i="12"/>
  <c r="G14" i="11"/>
  <c r="D54" i="12"/>
  <c r="E57" i="12"/>
  <c r="J17" i="8"/>
  <c r="J21" i="8"/>
  <c r="D68" i="13"/>
  <c r="D76" i="13"/>
  <c r="E21" i="12"/>
  <c r="E41" i="12"/>
  <c r="D22" i="12"/>
  <c r="C94" i="12"/>
  <c r="D26" i="12"/>
  <c r="D42" i="12"/>
  <c r="C100" i="12"/>
  <c r="E45" i="12"/>
  <c r="E29" i="12"/>
  <c r="D104" i="12"/>
  <c r="I99" i="12"/>
  <c r="J99" i="12" s="1"/>
  <c r="D95" i="12"/>
  <c r="E23" i="12"/>
  <c r="D101" i="12"/>
  <c r="E27" i="12"/>
  <c r="I96" i="12"/>
  <c r="J96" i="12" s="1"/>
  <c r="J53" i="12" s="1"/>
  <c r="K10" i="11" s="1"/>
  <c r="L10" i="11" s="1"/>
  <c r="I102" i="12"/>
  <c r="J102" i="12" s="1"/>
  <c r="AD16" i="11"/>
  <c r="C15" i="11"/>
  <c r="C24" i="8"/>
  <c r="D44" i="12"/>
  <c r="D72" i="12"/>
  <c r="C86" i="12"/>
  <c r="D28" i="12"/>
  <c r="E65" i="12"/>
  <c r="D64" i="12"/>
  <c r="C76" i="12"/>
  <c r="D50" i="12"/>
  <c r="C103" i="12"/>
  <c r="E69" i="12"/>
  <c r="E55" i="12"/>
  <c r="D58" i="12"/>
  <c r="E73" i="12"/>
  <c r="E59" i="12"/>
  <c r="D56" i="12"/>
  <c r="D70" i="12"/>
  <c r="C82" i="12"/>
  <c r="I59" i="12"/>
  <c r="G37" i="8"/>
  <c r="K37" i="8"/>
  <c r="J37" i="8"/>
  <c r="G17" i="17"/>
  <c r="G21" i="17"/>
  <c r="G57" i="12" s="1"/>
  <c r="G19" i="17"/>
  <c r="G18" i="17"/>
  <c r="G20" i="17"/>
  <c r="G51" i="12"/>
  <c r="AA8" i="11" s="1"/>
  <c r="G55" i="12"/>
  <c r="AA12" i="11" s="1"/>
  <c r="H19" i="17"/>
  <c r="H18" i="17"/>
  <c r="H17" i="17"/>
  <c r="H20" i="17"/>
  <c r="H21" i="17"/>
  <c r="I17" i="17"/>
  <c r="I18" i="17"/>
  <c r="H51" i="12"/>
  <c r="H55" i="12"/>
  <c r="H53" i="12"/>
  <c r="H57" i="12"/>
  <c r="J17" i="17"/>
  <c r="J18" i="17"/>
  <c r="I21" i="17"/>
  <c r="J21" i="17" s="1"/>
  <c r="J51" i="12" s="1"/>
  <c r="K8" i="11" s="1"/>
  <c r="L8" i="11" s="1"/>
  <c r="I19" i="17"/>
  <c r="J19" i="17" s="1"/>
  <c r="I20" i="17"/>
  <c r="J20" i="17" s="1"/>
  <c r="AH14" i="11"/>
  <c r="AH10" i="11"/>
  <c r="AH12" i="11"/>
  <c r="I55" i="12"/>
  <c r="AH8" i="11"/>
  <c r="I51" i="12"/>
  <c r="AL12" i="11"/>
  <c r="AJ12" i="11"/>
  <c r="AM12" i="11"/>
  <c r="AK12" i="11"/>
  <c r="AI12" i="11"/>
  <c r="AJ10" i="11"/>
  <c r="AI10" i="11"/>
  <c r="AL10" i="11"/>
  <c r="AK10" i="11"/>
  <c r="AM10" i="11"/>
  <c r="AK14" i="11"/>
  <c r="AL14" i="11"/>
  <c r="AJ14" i="11"/>
  <c r="AM14" i="11"/>
  <c r="AI14" i="11"/>
  <c r="AL8" i="11"/>
  <c r="AM8" i="11"/>
  <c r="AI8" i="11"/>
  <c r="AJ8" i="11"/>
  <c r="AK8" i="11"/>
  <c r="AC12" i="11" l="1"/>
  <c r="AB12" i="11"/>
  <c r="AE12" i="11"/>
  <c r="AD12" i="11"/>
  <c r="AF12" i="11"/>
  <c r="U8" i="11"/>
  <c r="W8" i="11"/>
  <c r="X8" i="11"/>
  <c r="AO8" i="11"/>
  <c r="V8" i="11"/>
  <c r="Y8" i="11"/>
  <c r="G17" i="8"/>
  <c r="J57" i="12"/>
  <c r="K14" i="11" s="1"/>
  <c r="L14" i="11" s="1"/>
  <c r="AJ16" i="11"/>
  <c r="H45" i="8" s="1"/>
  <c r="AL16" i="11"/>
  <c r="J45" i="8" s="1"/>
  <c r="AI16" i="11"/>
  <c r="G45" i="8" s="1"/>
  <c r="AK16" i="11"/>
  <c r="AM16" i="11"/>
  <c r="K45" i="8" s="1"/>
  <c r="W16" i="11"/>
  <c r="X16" i="11"/>
  <c r="G25" i="8"/>
  <c r="AO16" i="11"/>
  <c r="U16" i="11"/>
  <c r="Y16" i="11"/>
  <c r="V16" i="11"/>
  <c r="AD8" i="11"/>
  <c r="AB8" i="11"/>
  <c r="AE8" i="11"/>
  <c r="AC8" i="11"/>
  <c r="AF8" i="11"/>
  <c r="AA14" i="11"/>
  <c r="I57" i="12"/>
  <c r="J55" i="12"/>
  <c r="K12" i="11" s="1"/>
  <c r="L12" i="11" s="1"/>
  <c r="V10" i="11"/>
  <c r="U10" i="11"/>
  <c r="W10" i="11"/>
  <c r="Y10" i="11"/>
  <c r="X10" i="11"/>
  <c r="G19" i="8"/>
  <c r="I45" i="8"/>
  <c r="G53" i="12"/>
  <c r="AB16" i="11"/>
  <c r="AF16" i="11"/>
  <c r="AC16" i="11"/>
  <c r="W12" i="11" l="1"/>
  <c r="AO12" i="11"/>
  <c r="V12" i="11"/>
  <c r="X12" i="11"/>
  <c r="X17" i="11" s="1"/>
  <c r="G21" i="8"/>
  <c r="Y12" i="11"/>
  <c r="Y17" i="11" s="1"/>
  <c r="U12" i="11"/>
  <c r="AF14" i="11"/>
  <c r="AD14" i="11"/>
  <c r="AB14" i="11"/>
  <c r="AE14" i="11"/>
  <c r="AC14" i="11"/>
  <c r="W17" i="11"/>
  <c r="AA10" i="11"/>
  <c r="I53" i="12"/>
  <c r="AR16" i="11"/>
  <c r="AT16" i="11"/>
  <c r="AS16" i="11"/>
  <c r="AP16" i="11"/>
  <c r="AQ16" i="11"/>
  <c r="H42" i="8"/>
  <c r="V14" i="11"/>
  <c r="V17" i="11" s="1"/>
  <c r="X14" i="11"/>
  <c r="U14" i="11"/>
  <c r="U17" i="11" s="1"/>
  <c r="W14" i="11"/>
  <c r="I42" i="8" s="1"/>
  <c r="G23" i="8"/>
  <c r="Y14" i="11"/>
  <c r="K42" i="8" s="1"/>
  <c r="AO14" i="11"/>
  <c r="AT8" i="11"/>
  <c r="AS8" i="11"/>
  <c r="AR8" i="11"/>
  <c r="AP8" i="11"/>
  <c r="AQ8" i="11"/>
  <c r="J42" i="8" l="1"/>
  <c r="G42" i="8"/>
  <c r="AB10" i="11"/>
  <c r="G44" i="8" s="1"/>
  <c r="AE10" i="11"/>
  <c r="J44" i="8" s="1"/>
  <c r="AD10" i="11"/>
  <c r="I44" i="8" s="1"/>
  <c r="AC10" i="11"/>
  <c r="H44" i="8" s="1"/>
  <c r="AF10" i="11"/>
  <c r="K44" i="8" s="1"/>
  <c r="AO10" i="11"/>
  <c r="AP12" i="11"/>
  <c r="AQ12" i="11"/>
  <c r="AT12" i="11"/>
  <c r="AR12" i="11"/>
  <c r="AS12" i="11"/>
  <c r="AR14" i="11"/>
  <c r="AP14" i="11"/>
  <c r="AS14" i="11"/>
  <c r="AT14" i="11"/>
  <c r="AQ14" i="11"/>
  <c r="AR10" i="11" l="1"/>
  <c r="I46" i="8" s="1"/>
  <c r="AT10" i="11"/>
  <c r="K46" i="8" s="1"/>
  <c r="AS10" i="11"/>
  <c r="J46" i="8" s="1"/>
  <c r="J47" i="8" s="1"/>
  <c r="AP10" i="11"/>
  <c r="G46" i="8" s="1"/>
  <c r="AQ10" i="11"/>
  <c r="H46" i="8" s="1"/>
  <c r="K47" i="8"/>
  <c r="G47" i="8"/>
  <c r="H47" i="8"/>
  <c r="I47" i="8"/>
</calcChain>
</file>

<file path=xl/sharedStrings.xml><?xml version="1.0" encoding="utf-8"?>
<sst xmlns="http://schemas.openxmlformats.org/spreadsheetml/2006/main" count="322" uniqueCount="172">
  <si>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</si>
  <si>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</si>
  <si>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</si>
  <si>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</si>
  <si>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</si>
  <si>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</si>
  <si>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</si>
  <si>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</si>
  <si>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</si>
  <si>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</si>
  <si>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</si>
  <si>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</si>
  <si>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</si>
  <si>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</si>
  <si>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</si>
  <si>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</si>
  <si>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</si>
  <si>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</si>
  <si>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</si>
  <si>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</si>
  <si>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</si>
  <si>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</si>
  <si>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</si>
  <si>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</si>
  <si>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</si>
  <si>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</si>
  <si>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</si>
  <si>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</si>
  <si>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</si>
  <si>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</si>
  <si>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</si>
  <si>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</si>
  <si>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</si>
  <si>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</si>
  <si>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</si>
  <si>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</si>
  <si>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</si>
  <si>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</si>
  <si>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</si>
  <si>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</si>
  <si>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</si>
  <si>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</si>
  <si>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</si>
  <si>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</si>
  <si>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 for class</t>
  </si>
  <si>
    <t>Fee construction inputs</t>
  </si>
  <si>
    <t>Proposed fee basis</t>
  </si>
  <si>
    <t>Standard hours for / application fees</t>
  </si>
  <si>
    <t>Historical</t>
  </si>
  <si>
    <t>average</t>
  </si>
  <si>
    <t>Expected hours for / hour fees</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</si>
  <si>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</si>
  <si>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</si>
  <si>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</si>
  <si>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</si>
  <si>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</si>
  <si>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</si>
  <si>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</si>
  <si>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</si>
  <si>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</si>
  <si>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</si>
  <si>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</si>
  <si>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</si>
  <si>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</si>
  <si>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</si>
  <si>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</si>
  <si>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</si>
  <si>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</si>
  <si>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</si>
  <si>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n.a.</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</si>
  <si>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</si>
  <si>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</si>
  <si>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</si>
  <si>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</si>
  <si>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</si>
  <si>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</si>
  <si>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</si>
  <si>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</si>
  <si>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</si>
  <si>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</si>
  <si>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</si>
  <si>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</si>
  <si>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</si>
  <si>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</si>
  <si>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</si>
  <si>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</si>
  <si>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</si>
  <si>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</si>
  <si>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</si>
  <si>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</si>
  <si>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</si>
  <si>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</si>
  <si>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</si>
  <si>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</si>
  <si>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</si>
  <si>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</si>
  <si>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</si>
  <si>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</si>
  <si>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</si>
  <si>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</si>
  <si>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</si>
  <si>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</si>
  <si>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</si>
  <si>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</si>
  <si>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</si>
  <si>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</si>
  <si>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</si>
  <si>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</si>
  <si>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</si>
  <si>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</si>
  <si>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</si>
  <si>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</si>
  <si>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</si>
  <si>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</si>
  <si>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</si>
  <si>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Management estimates</t>
  </si>
  <si>
    <t>of historical volumes</t>
  </si>
  <si>
    <t>Current AER</t>
  </si>
  <si>
    <t>Management estimate</t>
  </si>
  <si>
    <t>of historical hours / service</t>
  </si>
  <si>
    <t>Summary description</t>
  </si>
  <si>
    <t xml:space="preserve">Proposed </t>
  </si>
  <si>
    <t xml:space="preserve">The proposed fee basis is consistent with the current design fee structure being applied. </t>
  </si>
  <si>
    <t>Historical staffing</t>
  </si>
  <si>
    <t>Staff involved with service</t>
  </si>
  <si>
    <t>Projected staffing</t>
  </si>
  <si>
    <t>This model has been prepared to develop proposed Disconnection and Reconnection Related ANS prices for the regulatory period 2014/15 to 2018/19.</t>
  </si>
  <si>
    <t>Disconnection and reconnection fees</t>
  </si>
  <si>
    <t>16 - Disconnection and reconnection services</t>
  </si>
  <si>
    <t>Reconnections/Disconnections (site visit)</t>
  </si>
  <si>
    <t>Reconnections/Disconnections - Disconnection Completed</t>
  </si>
  <si>
    <t>Reconnections/Disconnections - Technical Disconnect</t>
  </si>
  <si>
    <t>Reconnections/Disconnections - Pillar/Pole - Disconnection Complete</t>
  </si>
  <si>
    <t>Reconnections/Disconnections - Outside of business hours</t>
  </si>
  <si>
    <t>16a</t>
  </si>
  <si>
    <t>16b</t>
  </si>
  <si>
    <t>16c</t>
  </si>
  <si>
    <t>16d</t>
  </si>
  <si>
    <t>16e</t>
  </si>
  <si>
    <t>16f</t>
  </si>
  <si>
    <t>Additional costs</t>
  </si>
  <si>
    <t>Per Unit</t>
  </si>
  <si>
    <t>Indirect Costs</t>
  </si>
  <si>
    <t>Finance Charge</t>
  </si>
  <si>
    <t>Loaded cost rates</t>
  </si>
  <si>
    <t>Stores</t>
  </si>
  <si>
    <t>Site Visit</t>
  </si>
  <si>
    <t>/ application</t>
  </si>
  <si>
    <t>Per hour</t>
  </si>
  <si>
    <t>Reconnect/Disconnect (site visit)</t>
  </si>
  <si>
    <t>Reconnect/Disconnect Completed</t>
  </si>
  <si>
    <t>Reconnect/Disconnect - Technical</t>
  </si>
  <si>
    <t>Reconnect/Disconnect - Pillar or Pole Completed</t>
  </si>
  <si>
    <t>Reconnect/Disconnect - Out of Business Hours</t>
  </si>
  <si>
    <t xml:space="preserve">Finance </t>
  </si>
  <si>
    <t>Charge</t>
  </si>
  <si>
    <t xml:space="preserve">These labour rates are based on 2013/14 base year, and escalated in line with Essential Energy's forecast wage movement over the regulatory period. An average rate for the 2015-2019 regulatory period has then been calculated, to allow a single rate for pricing. The average includes forecast Labour Oncosts.
The indirect costs consist of forecast divisional and corporate overheads, averaged for the regulatory period. The finance charge represents financing costs over the time period between provision of the service and receipt of payment.
</t>
  </si>
  <si>
    <t>This indicates the estimated number of staff required to provide each service</t>
  </si>
  <si>
    <t>Historical revenue has been extracted from the General Ledger</t>
  </si>
  <si>
    <t>The historical volumes have been derived from CIS process tracking job records.</t>
  </si>
  <si>
    <t>The estimated hours per service has been derived from available accounting record, an analysis of process tracking job records and the business knowledge of subject matter experts.</t>
  </si>
  <si>
    <t>Historical costs have been estimated on the basis of PTJ analysis to determine volumes, and an analysis of available accounting records.</t>
  </si>
  <si>
    <t>Forecast volumes have been extrapolated from estimated historical volumes</t>
  </si>
  <si>
    <t>This indicates the expected number of staff required per service</t>
  </si>
  <si>
    <t>Projected finance cost (2013/14 $)</t>
  </si>
  <si>
    <t>Financing Cost</t>
  </si>
  <si>
    <t>Direct costs include labour, labour oncosts and fleet hourly charge
Indirect costs include application of divisional and corporate overheads in accordance with the CAM</t>
  </si>
  <si>
    <t>These costs include any stores or materials required to complete the service task</t>
  </si>
  <si>
    <t>(OT Rate)</t>
  </si>
  <si>
    <t>F&amp;A ref</t>
  </si>
  <si>
    <t>Loaded overtime time labour rates - for regulatory period</t>
  </si>
  <si>
    <t>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Reconnections outside of business hours.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</si>
</sst>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quot;* #,##0.00_);_(&quot;$&quot;* \(#,##0.00\);_(&quot;$&quot;* &quot;-&quot;??_);_(@_)"/>
    <numFmt numFmtId="165" formatCode="_(* #,##0.00_);_(* \(#,##0.00\);_(* &quot;-&quot;??_);_(@_)"/>
    <numFmt numFmtId="166" formatCode="_(* #,##0_);_(* \(#,##0\);_(* &quot;-&quot;??_);_(@_)"/>
    <numFmt numFmtId="167" formatCode="_(* #,##0.0_);_(* \(#,##0.0\);_(* &quot;-&quot;??_);_(@_)"/>
    <numFmt numFmtId="168" formatCode="_-* #,##0_-;\-* #,##0_-;_-* &quot;-&quot;??_-;_-@_-"/>
  </numFmts>
  <fonts count="24"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1"/>
      <color indexed="8"/>
      <name val="Calibri"/>
      <family val="2"/>
    </font>
    <font>
      <sz val="11"/>
      <color indexed="8"/>
      <name val="Arial"/>
      <family val="2"/>
    </font>
    <font>
      <sz val="10"/>
      <color indexed="8"/>
      <name val="Arial"/>
      <family val="2"/>
    </font>
    <font>
      <sz val="9"/>
      <color theme="1"/>
      <name val="Arial"/>
      <family val="2"/>
    </font>
    <font>
      <sz val="10"/>
      <name val="Courier"/>
      <family val="3"/>
    </font>
    <font>
      <b/>
      <sz val="12"/>
      <color theme="1"/>
      <name val="Arial"/>
      <family val="2"/>
    </font>
    <font>
      <sz val="11"/>
      <color theme="0" tint="-0.499984740745262"/>
      <name val="Arial"/>
      <family val="2"/>
    </font>
    <font>
      <sz val="11"/>
      <color theme="0"/>
      <name val="Arial"/>
      <family val="2"/>
    </font>
  </fonts>
  <fills count="9">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497">
    <xf numFmtId="0" fontId="0" fillId="0" borderId="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17"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 fillId="0" borderId="0"/>
    <xf numFmtId="165" fontId="2" fillId="0" borderId="0" applyFont="0" applyFill="0" applyBorder="0" applyAlignment="0" applyProtection="0"/>
    <xf numFmtId="0" fontId="20" fillId="0" borderId="0"/>
    <xf numFmtId="0" fontId="5" fillId="0" borderId="0"/>
  </cellStyleXfs>
  <cellXfs count="178">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6" xfId="0" applyFont="1" applyBorder="1" applyAlignment="1">
      <alignment horizontal="right"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7"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6" fontId="2" fillId="0" borderId="0" xfId="0" applyNumberFormat="1" applyFont="1" applyAlignment="1">
      <alignment vertical="center"/>
    </xf>
    <xf numFmtId="165" fontId="2" fillId="0" borderId="0" xfId="1" applyFont="1" applyAlignment="1">
      <alignment vertical="center"/>
    </xf>
    <xf numFmtId="166" fontId="2" fillId="0" borderId="0" xfId="1" applyNumberFormat="1" applyFont="1" applyAlignment="1">
      <alignment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168" fontId="2" fillId="0" borderId="5" xfId="0" applyNumberFormat="1" applyFont="1" applyBorder="1" applyAlignment="1">
      <alignment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1" applyFont="1" applyBorder="1" applyAlignment="1">
      <alignment vertical="center"/>
    </xf>
    <xf numFmtId="165" fontId="2" fillId="0" borderId="0" xfId="1" applyFont="1" applyBorder="1" applyAlignment="1">
      <alignment vertical="center"/>
    </xf>
    <xf numFmtId="165" fontId="2" fillId="0" borderId="7" xfId="1" applyFont="1" applyBorder="1" applyAlignment="1">
      <alignment vertical="center"/>
    </xf>
    <xf numFmtId="165" fontId="2" fillId="0" borderId="0" xfId="0" applyNumberFormat="1" applyFont="1" applyBorder="1" applyAlignment="1">
      <alignment vertical="center"/>
    </xf>
    <xf numFmtId="165" fontId="2" fillId="0" borderId="7" xfId="0" applyNumberFormat="1" applyFont="1" applyBorder="1" applyAlignment="1">
      <alignment vertical="center"/>
    </xf>
    <xf numFmtId="168" fontId="2" fillId="0" borderId="0" xfId="0" applyNumberFormat="1" applyFont="1" applyBorder="1" applyAlignment="1">
      <alignment vertical="center"/>
    </xf>
    <xf numFmtId="168" fontId="2" fillId="0" borderId="7" xfId="0" applyNumberFormat="1" applyFont="1" applyBorder="1" applyAlignment="1">
      <alignment vertical="center"/>
    </xf>
    <xf numFmtId="166" fontId="2" fillId="0" borderId="0" xfId="1" applyNumberFormat="1" applyFont="1" applyBorder="1" applyAlignment="1">
      <alignment vertical="center"/>
    </xf>
    <xf numFmtId="166" fontId="2" fillId="0" borderId="7" xfId="1" applyNumberFormat="1" applyFont="1" applyBorder="1" applyAlignment="1">
      <alignment vertical="center"/>
    </xf>
    <xf numFmtId="168" fontId="2" fillId="0" borderId="6" xfId="0" applyNumberFormat="1" applyFont="1" applyBorder="1" applyAlignment="1">
      <alignment vertical="center"/>
    </xf>
    <xf numFmtId="168" fontId="2" fillId="0" borderId="4" xfId="0" applyNumberFormat="1" applyFont="1" applyBorder="1" applyAlignment="1">
      <alignment vertical="center"/>
    </xf>
    <xf numFmtId="168" fontId="2" fillId="0" borderId="11"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1"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6" fontId="2" fillId="0" borderId="5" xfId="0" applyNumberFormat="1" applyFont="1" applyBorder="1" applyAlignment="1" applyProtection="1">
      <alignment vertical="center"/>
    </xf>
    <xf numFmtId="167" fontId="2" fillId="0" borderId="0" xfId="0" applyNumberFormat="1" applyFont="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6" fontId="2" fillId="4" borderId="0" xfId="1" applyNumberFormat="1" applyFont="1" applyFill="1" applyAlignment="1" applyProtection="1">
      <alignment vertical="center"/>
      <protection locked="0"/>
    </xf>
    <xf numFmtId="167" fontId="2" fillId="4" borderId="0" xfId="1"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7"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4" xfId="0" applyFont="1" applyFill="1" applyBorder="1" applyAlignment="1" applyProtection="1">
      <alignment vertical="top"/>
      <protection locked="0"/>
    </xf>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9" xfId="0" applyFont="1" applyFill="1" applyBorder="1" applyAlignment="1" applyProtection="1">
      <alignment horizontal="center" vertical="top"/>
      <protection locked="0"/>
    </xf>
    <xf numFmtId="0" fontId="6" fillId="4" borderId="10"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8"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165" fontId="6" fillId="4" borderId="0" xfId="1" applyFont="1" applyFill="1" applyBorder="1" applyAlignment="1" applyProtection="1">
      <alignment vertical="top"/>
      <protection locked="0"/>
    </xf>
    <xf numFmtId="165" fontId="6" fillId="4" borderId="7" xfId="1" applyFont="1" applyFill="1" applyBorder="1" applyAlignment="1" applyProtection="1">
      <alignment vertical="top"/>
      <protection locked="0"/>
    </xf>
    <xf numFmtId="165" fontId="6" fillId="4" borderId="9" xfId="1" applyFont="1" applyFill="1" applyBorder="1" applyAlignment="1" applyProtection="1">
      <alignment vertical="top"/>
      <protection locked="0"/>
    </xf>
    <xf numFmtId="165" fontId="6" fillId="4" borderId="10" xfId="1" applyFont="1" applyFill="1" applyBorder="1" applyAlignment="1" applyProtection="1">
      <alignment vertical="top"/>
      <protection locked="0"/>
    </xf>
    <xf numFmtId="0" fontId="15" fillId="0" borderId="0" xfId="0" applyFont="1"/>
    <xf numFmtId="0" fontId="6" fillId="4" borderId="5"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6" fontId="18" fillId="0" borderId="0" xfId="469" applyNumberFormat="1" applyFont="1" applyAlignment="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7" fontId="2" fillId="4" borderId="0" xfId="1" applyNumberFormat="1" applyFont="1" applyFill="1" applyBorder="1" applyAlignment="1" applyProtection="1">
      <alignment vertical="center"/>
      <protection locked="0"/>
    </xf>
    <xf numFmtId="167" fontId="2" fillId="0" borderId="0" xfId="0" applyNumberFormat="1" applyFont="1" applyBorder="1" applyAlignment="1" applyProtection="1">
      <alignment vertical="center"/>
    </xf>
    <xf numFmtId="0" fontId="19" fillId="0" borderId="9" xfId="0" applyFont="1" applyFill="1" applyBorder="1" applyAlignment="1" applyProtection="1">
      <alignment horizontal="center" vertical="top"/>
      <protection locked="0"/>
    </xf>
    <xf numFmtId="165" fontId="2" fillId="0" borderId="0" xfId="1" applyNumberFormat="1" applyFont="1" applyFill="1" applyAlignment="1" applyProtection="1">
      <alignment vertical="center"/>
      <protection locked="0"/>
    </xf>
    <xf numFmtId="165" fontId="2" fillId="4" borderId="0" xfId="493" applyNumberFormat="1" applyFill="1" applyBorder="1" applyAlignment="1">
      <alignment vertical="top"/>
    </xf>
    <xf numFmtId="165" fontId="2" fillId="4" borderId="7" xfId="493" applyNumberFormat="1" applyFill="1" applyBorder="1" applyAlignment="1">
      <alignment vertical="top"/>
    </xf>
    <xf numFmtId="167" fontId="2" fillId="0" borderId="0" xfId="0" applyNumberFormat="1" applyFont="1" applyFill="1" applyAlignment="1" applyProtection="1">
      <alignment vertical="center"/>
      <protection locked="0"/>
    </xf>
    <xf numFmtId="0" fontId="2" fillId="0" borderId="0" xfId="0" applyFont="1" applyFill="1" applyBorder="1" applyAlignment="1" applyProtection="1">
      <alignment vertical="top" wrapText="1"/>
      <protection locked="0"/>
    </xf>
    <xf numFmtId="10" fontId="2" fillId="4" borderId="0" xfId="0" applyNumberFormat="1" applyFont="1" applyFill="1" applyAlignment="1">
      <alignment vertical="center"/>
    </xf>
    <xf numFmtId="0" fontId="2" fillId="0" borderId="0" xfId="0" applyFont="1" applyFill="1" applyAlignment="1">
      <alignment vertical="center"/>
    </xf>
    <xf numFmtId="0" fontId="0" fillId="0" borderId="0" xfId="0" applyFill="1" applyBorder="1" applyAlignment="1"/>
    <xf numFmtId="2" fontId="2" fillId="0" borderId="0" xfId="0" applyNumberFormat="1" applyFont="1" applyFill="1" applyAlignment="1">
      <alignment vertical="center"/>
    </xf>
    <xf numFmtId="2" fontId="2" fillId="0" borderId="0" xfId="0" applyNumberFormat="1" applyFont="1" applyAlignment="1">
      <alignment vertical="center"/>
    </xf>
    <xf numFmtId="2" fontId="2" fillId="4" borderId="0" xfId="0" applyNumberFormat="1" applyFont="1" applyFill="1" applyAlignment="1">
      <alignment vertical="center"/>
    </xf>
    <xf numFmtId="43" fontId="2" fillId="0" borderId="6" xfId="0" applyNumberFormat="1" applyFont="1" applyBorder="1" applyAlignment="1">
      <alignment vertical="center"/>
    </xf>
    <xf numFmtId="165" fontId="2" fillId="0" borderId="9" xfId="1" applyFont="1" applyBorder="1" applyAlignment="1">
      <alignment vertical="center"/>
    </xf>
    <xf numFmtId="165" fontId="2" fillId="0" borderId="10" xfId="1" applyFont="1" applyBorder="1" applyAlignment="1">
      <alignment vertical="center"/>
    </xf>
    <xf numFmtId="0" fontId="2" fillId="4" borderId="9" xfId="0" applyFont="1" applyFill="1" applyBorder="1" applyAlignment="1" applyProtection="1">
      <alignment horizontal="center" vertical="center"/>
      <protection locked="0"/>
    </xf>
    <xf numFmtId="165" fontId="2" fillId="0" borderId="0" xfId="1" applyFont="1" applyFill="1" applyAlignment="1">
      <alignment vertical="center"/>
    </xf>
    <xf numFmtId="0" fontId="6" fillId="4" borderId="0" xfId="0" applyFont="1" applyFill="1" applyProtection="1">
      <protection locked="0"/>
    </xf>
    <xf numFmtId="0" fontId="6" fillId="4" borderId="0" xfId="0" applyFont="1" applyFill="1" applyAlignment="1" applyProtection="1">
      <alignment vertical="top" wrapText="1"/>
      <protection locked="0"/>
    </xf>
    <xf numFmtId="0" fontId="0" fillId="0" borderId="0" xfId="0" applyAlignment="1"/>
    <xf numFmtId="0" fontId="6" fillId="7" borderId="1" xfId="0" applyFont="1" applyFill="1" applyBorder="1" applyAlignment="1" applyProtection="1">
      <alignment horizontal="center" vertical="top" wrapText="1"/>
      <protection locked="0"/>
    </xf>
    <xf numFmtId="0" fontId="6" fillId="7" borderId="2" xfId="0" applyFont="1" applyFill="1" applyBorder="1" applyAlignment="1" applyProtection="1">
      <alignment horizontal="center" vertical="top" wrapText="1"/>
      <protection locked="0"/>
    </xf>
    <xf numFmtId="0" fontId="6" fillId="7" borderId="3" xfId="0" applyFont="1" applyFill="1" applyBorder="1" applyAlignment="1" applyProtection="1">
      <alignment horizontal="center" vertical="top" wrapText="1"/>
      <protection locked="0"/>
    </xf>
    <xf numFmtId="0" fontId="2" fillId="7" borderId="1"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0" borderId="0" xfId="0" applyFont="1" applyAlignment="1" applyProtection="1">
      <alignment horizontal="center" vertical="center"/>
    </xf>
    <xf numFmtId="0" fontId="2" fillId="7" borderId="1" xfId="0" applyFont="1" applyFill="1" applyBorder="1" applyAlignment="1" applyProtection="1">
      <alignment vertical="top" wrapText="1"/>
      <protection locked="0"/>
    </xf>
    <xf numFmtId="0" fontId="2" fillId="7" borderId="2" xfId="0" applyFont="1" applyFill="1" applyBorder="1" applyAlignment="1" applyProtection="1">
      <alignment vertical="top" wrapText="1"/>
      <protection locked="0"/>
    </xf>
    <xf numFmtId="0" fontId="2" fillId="7" borderId="3" xfId="0" applyFont="1" applyFill="1" applyBorder="1" applyAlignment="1" applyProtection="1">
      <alignment vertical="top" wrapText="1"/>
      <protection locked="0"/>
    </xf>
    <xf numFmtId="0" fontId="2" fillId="0" borderId="9" xfId="0" applyFont="1" applyBorder="1" applyAlignment="1" applyProtection="1">
      <alignment horizontal="center" vertical="center"/>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6" fillId="0" borderId="0" xfId="0" applyFont="1" applyAlignment="1">
      <alignment horizontal="left"/>
    </xf>
    <xf numFmtId="0" fontId="21" fillId="0" borderId="0" xfId="0" applyFont="1"/>
    <xf numFmtId="0" fontId="1" fillId="0" borderId="0" xfId="0" applyFont="1"/>
    <xf numFmtId="0" fontId="6" fillId="4" borderId="0" xfId="0" applyFont="1" applyFill="1" applyAlignment="1" applyProtection="1">
      <alignment horizontal="left" vertical="top" wrapText="1"/>
      <protection locked="0"/>
    </xf>
    <xf numFmtId="0" fontId="6" fillId="0" borderId="9"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1" fillId="0" borderId="0" xfId="0" applyFont="1" applyAlignment="1" applyProtection="1">
      <alignment vertical="top"/>
    </xf>
    <xf numFmtId="0" fontId="6" fillId="0" borderId="0" xfId="0" applyFont="1" applyAlignment="1">
      <alignment horizontal="left" vertical="top"/>
    </xf>
    <xf numFmtId="0" fontId="6" fillId="0" borderId="0" xfId="0" applyFont="1" applyAlignment="1">
      <alignment horizontal="left" vertical="top" wrapText="1"/>
    </xf>
    <xf numFmtId="0" fontId="1" fillId="0" borderId="0" xfId="0" applyFont="1" applyAlignment="1">
      <alignment vertical="center"/>
    </xf>
    <xf numFmtId="0" fontId="6" fillId="0" borderId="0" xfId="0" applyFont="1" applyBorder="1" applyAlignment="1">
      <alignment vertical="top" wrapText="1"/>
    </xf>
    <xf numFmtId="0" fontId="6" fillId="0" borderId="0" xfId="0" applyFont="1" applyBorder="1"/>
    <xf numFmtId="0" fontId="6" fillId="0" borderId="0" xfId="0" applyFont="1" applyBorder="1" applyAlignment="1">
      <alignment vertical="top" wrapText="1"/>
    </xf>
    <xf numFmtId="0" fontId="6" fillId="0" borderId="0" xfId="0" applyFont="1" applyBorder="1" applyAlignment="1">
      <alignment horizontal="center"/>
    </xf>
    <xf numFmtId="0" fontId="22"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22" fillId="0" borderId="9" xfId="0" applyFont="1" applyBorder="1" applyAlignment="1">
      <alignment horizontal="center"/>
    </xf>
    <xf numFmtId="0" fontId="22" fillId="0" borderId="0" xfId="0" applyFont="1" applyBorder="1"/>
    <xf numFmtId="165" fontId="6" fillId="0" borderId="0" xfId="1" applyFont="1" applyBorder="1"/>
    <xf numFmtId="2" fontId="22" fillId="0" borderId="0" xfId="0" applyNumberFormat="1" applyFont="1" applyBorder="1"/>
    <xf numFmtId="0" fontId="22" fillId="0" borderId="0" xfId="0" applyFont="1"/>
    <xf numFmtId="0" fontId="22" fillId="0" borderId="9" xfId="0" applyFont="1" applyBorder="1"/>
    <xf numFmtId="0" fontId="22" fillId="0" borderId="9" xfId="0" applyFont="1" applyBorder="1" applyAlignment="1">
      <alignment horizontal="right"/>
    </xf>
    <xf numFmtId="0" fontId="22" fillId="0" borderId="0" xfId="0" applyFont="1" applyAlignment="1">
      <alignment horizontal="center"/>
    </xf>
    <xf numFmtId="166" fontId="22" fillId="0" borderId="0" xfId="1" applyNumberFormat="1" applyFont="1"/>
    <xf numFmtId="166" fontId="22"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6" fontId="6" fillId="0" borderId="0" xfId="1" applyNumberFormat="1" applyFont="1"/>
    <xf numFmtId="166" fontId="6" fillId="0" borderId="5" xfId="0" applyNumberFormat="1" applyFont="1" applyBorder="1"/>
    <xf numFmtId="0" fontId="23" fillId="8" borderId="4" xfId="0" applyFont="1" applyFill="1" applyBorder="1"/>
    <xf numFmtId="0" fontId="23" fillId="8" borderId="5" xfId="0" applyFont="1" applyFill="1" applyBorder="1"/>
    <xf numFmtId="0" fontId="23" fillId="8" borderId="11" xfId="0" applyFont="1" applyFill="1" applyBorder="1"/>
    <xf numFmtId="0" fontId="23" fillId="8" borderId="7" xfId="0" applyFont="1" applyFill="1" applyBorder="1"/>
    <xf numFmtId="0" fontId="23" fillId="8" borderId="6" xfId="0" applyFont="1" applyFill="1" applyBorder="1"/>
    <xf numFmtId="0" fontId="23" fillId="8" borderId="8" xfId="0" applyFont="1" applyFill="1" applyBorder="1"/>
    <xf numFmtId="0" fontId="23" fillId="8" borderId="9" xfId="0" applyFont="1" applyFill="1" applyBorder="1" applyAlignment="1">
      <alignment vertical="top" wrapText="1"/>
    </xf>
    <xf numFmtId="0" fontId="23" fillId="8" borderId="10" xfId="0" applyFont="1" applyFill="1" applyBorder="1"/>
    <xf numFmtId="0" fontId="23" fillId="8" borderId="5" xfId="0" applyFont="1" applyFill="1" applyBorder="1" applyAlignment="1">
      <alignment vertical="top" wrapText="1"/>
    </xf>
    <xf numFmtId="0" fontId="23" fillId="8" borderId="9" xfId="0" applyFont="1" applyFill="1" applyBorder="1"/>
    <xf numFmtId="0" fontId="23" fillId="8" borderId="0" xfId="0" applyFont="1" applyFill="1"/>
  </cellXfs>
  <cellStyles count="497">
    <cellStyle name="Comma" xfId="1" builtinId="3"/>
    <cellStyle name="Comma 2" xfId="8"/>
    <cellStyle name="Comma 3" xfId="9"/>
    <cellStyle name="Comma 4" xfId="494"/>
    <cellStyle name="Currency 2" xfId="2"/>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Normal" xfId="0" builtinId="0"/>
    <cellStyle name="Normal 2" xfId="3"/>
    <cellStyle name="Normal 2 2" xfId="4"/>
    <cellStyle name="Normal 2 2 2" xfId="10"/>
    <cellStyle name="Normal 2 2_ServiceHistory" xfId="470"/>
    <cellStyle name="Normal 2 3" xfId="495"/>
    <cellStyle name="Normal 3" xfId="5"/>
    <cellStyle name="Normal 4" xfId="11"/>
    <cellStyle name="Normal 5" xfId="493"/>
    <cellStyle name="Normal 6" xfId="496"/>
    <cellStyle name="Normal_ServiceHistory" xfId="469"/>
    <cellStyle name="Note 2" xfId="12"/>
    <cellStyle name="Percent 2" xfId="6"/>
    <cellStyle name="Percent 3" xfId="7"/>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row r="53">
          <cell r="G53">
            <v>110.17319203261928</v>
          </cell>
          <cell r="H53">
            <v>26.67</v>
          </cell>
          <cell r="I53">
            <v>3.0214976800802344</v>
          </cell>
        </row>
        <row r="54">
          <cell r="G54">
            <v>143.56216499999999</v>
          </cell>
          <cell r="H54">
            <v>34.760000000000005</v>
          </cell>
          <cell r="I54">
            <v>3.9373534031999999</v>
          </cell>
        </row>
        <row r="55">
          <cell r="G55">
            <v>143.56216499999999</v>
          </cell>
          <cell r="H55">
            <v>62.199981956198641</v>
          </cell>
          <cell r="I55">
            <v>3.9373534031999999</v>
          </cell>
        </row>
        <row r="56">
          <cell r="G56">
            <v>164.9152125</v>
          </cell>
          <cell r="H56">
            <v>67.369981956198643</v>
          </cell>
          <cell r="I56">
            <v>4.5229822920000009</v>
          </cell>
        </row>
        <row r="57">
          <cell r="G57">
            <v>102.55113</v>
          </cell>
          <cell r="H57">
            <v>52.269981956198635</v>
          </cell>
          <cell r="I57">
            <v>2.8125753504000004</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I10" sqref="I10"/>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45" t="str">
        <f>IF(ROUND($E$8,6)=0,"ok","Problem - review CheckSheet")</f>
        <v>ok</v>
      </c>
    </row>
    <row r="4" spans="1:9" x14ac:dyDescent="0.25">
      <c r="B4" t="s">
        <v>126</v>
      </c>
    </row>
    <row r="6" spans="1:9" x14ac:dyDescent="0.25">
      <c r="B6" t="s">
        <v>113</v>
      </c>
    </row>
    <row r="7" spans="1:9" x14ac:dyDescent="0.25">
      <c r="B7" t="s">
        <v>114</v>
      </c>
    </row>
    <row r="9" spans="1:9" x14ac:dyDescent="0.25">
      <c r="B9" t="s">
        <v>91</v>
      </c>
      <c r="I9" s="46"/>
    </row>
    <row r="10" spans="1:9" x14ac:dyDescent="0.25">
      <c r="B10" t="s">
        <v>86</v>
      </c>
    </row>
    <row r="11" spans="1:9" x14ac:dyDescent="0.25">
      <c r="B11" t="s">
        <v>87</v>
      </c>
    </row>
    <row r="12" spans="1:9" x14ac:dyDescent="0.25">
      <c r="B12" s="47" t="s">
        <v>88</v>
      </c>
    </row>
    <row r="14" spans="1:9" x14ac:dyDescent="0.25">
      <c r="B14" t="s">
        <v>92</v>
      </c>
      <c r="E14" s="70"/>
      <c r="F14" t="s">
        <v>93</v>
      </c>
    </row>
    <row r="15" spans="1:9" x14ac:dyDescent="0.25">
      <c r="B15" t="s">
        <v>94</v>
      </c>
      <c r="E15" s="2"/>
    </row>
    <row r="17" spans="2:2" x14ac:dyDescent="0.25">
      <c r="B17" t="s">
        <v>89</v>
      </c>
    </row>
    <row r="18" spans="2:2" x14ac:dyDescent="0.25">
      <c r="B18" t="s">
        <v>90</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48"/>
  <sheetViews>
    <sheetView tabSelected="1" zoomScale="90" zoomScaleNormal="90" zoomScalePageLayoutView="125" workbookViewId="0">
      <selection activeCell="H35" sqref="H35"/>
    </sheetView>
  </sheetViews>
  <sheetFormatPr defaultColWidth="9.140625" defaultRowHeight="14.25" x14ac:dyDescent="0.2"/>
  <cols>
    <col min="1" max="4" width="2.28515625" style="79" customWidth="1"/>
    <col min="5" max="5" width="33.140625" style="79" customWidth="1"/>
    <col min="6" max="6" width="10.42578125" style="79" customWidth="1"/>
    <col min="7" max="8" width="11.5703125" style="79" bestFit="1" customWidth="1"/>
    <col min="9" max="9" width="12.28515625" style="79" bestFit="1" customWidth="1"/>
    <col min="10" max="11" width="11.5703125" style="79" bestFit="1" customWidth="1"/>
    <col min="12" max="12" width="2.85546875" style="79" customWidth="1"/>
    <col min="13" max="20" width="10.42578125" style="79" customWidth="1"/>
    <col min="21" max="16384" width="9.140625" style="79"/>
  </cols>
  <sheetData>
    <row r="1" spans="1:12" x14ac:dyDescent="0.2">
      <c r="A1" s="136" t="s">
        <v>15</v>
      </c>
    </row>
    <row r="2" spans="1:12" ht="15" x14ac:dyDescent="0.25">
      <c r="A2" s="15" t="s">
        <v>76</v>
      </c>
    </row>
    <row r="3" spans="1:12" x14ac:dyDescent="0.2">
      <c r="A3" s="144" t="str">
        <f>GlobalInputs!G8</f>
        <v>Disconnection and reconnection fees</v>
      </c>
      <c r="F3" s="45" t="str">
        <f>IF(ROUND($E$5,6)=0,"ok","Problem - review CheckSheet")</f>
        <v>ok</v>
      </c>
    </row>
    <row r="5" spans="1:12" x14ac:dyDescent="0.2">
      <c r="B5" s="167" t="s">
        <v>57</v>
      </c>
      <c r="C5" s="168"/>
      <c r="D5" s="168"/>
      <c r="E5" s="168"/>
      <c r="F5" s="168"/>
      <c r="G5" s="168"/>
      <c r="H5" s="168"/>
      <c r="I5" s="168"/>
      <c r="J5" s="168"/>
      <c r="K5" s="168"/>
      <c r="L5" s="169"/>
    </row>
    <row r="6" spans="1:12" ht="80.25" customHeight="1" x14ac:dyDescent="0.2">
      <c r="B6" s="171"/>
      <c r="C6" s="145" t="str">
        <f>ServiceDescription!C8</f>
        <v>Reconnections/Disconnections
Disconnection or reconnection visits (acceptable payment received); Disconnections or reconnections at the meter box (technical/hard disconnect); Disconnections or reconnections at the meter box (non-technical/soft disconnect); Disconnections or reconnections at the pole top/pillar box; Reconnections outside of business hours.</v>
      </c>
      <c r="D6" s="145"/>
      <c r="E6" s="145"/>
      <c r="F6" s="145"/>
      <c r="G6" s="145"/>
      <c r="H6" s="145"/>
      <c r="I6" s="145"/>
      <c r="J6" s="145"/>
      <c r="K6" s="145"/>
      <c r="L6" s="170"/>
    </row>
    <row r="7" spans="1:12" ht="14.1" customHeight="1" x14ac:dyDescent="0.2">
      <c r="B7" s="172"/>
      <c r="C7" s="173"/>
      <c r="D7" s="173"/>
      <c r="E7" s="173"/>
      <c r="F7" s="173"/>
      <c r="G7" s="173"/>
      <c r="H7" s="173"/>
      <c r="I7" s="173"/>
      <c r="J7" s="173"/>
      <c r="K7" s="173"/>
      <c r="L7" s="174"/>
    </row>
    <row r="8" spans="1:12" ht="14.1" customHeight="1" x14ac:dyDescent="0.2">
      <c r="B8" s="146"/>
      <c r="C8" s="147"/>
      <c r="D8" s="147"/>
      <c r="E8" s="147"/>
      <c r="F8" s="147"/>
      <c r="G8" s="147"/>
      <c r="H8" s="147"/>
      <c r="I8" s="147"/>
      <c r="J8" s="147"/>
      <c r="K8" s="147"/>
    </row>
    <row r="9" spans="1:12" ht="14.1" customHeight="1" x14ac:dyDescent="0.2">
      <c r="B9" s="167" t="s">
        <v>80</v>
      </c>
      <c r="C9" s="175"/>
      <c r="D9" s="175"/>
      <c r="E9" s="175"/>
      <c r="F9" s="175"/>
      <c r="G9" s="175"/>
      <c r="H9" s="175"/>
      <c r="I9" s="175"/>
      <c r="J9" s="175"/>
      <c r="K9" s="175"/>
      <c r="L9" s="169"/>
    </row>
    <row r="10" spans="1:12" ht="155.25" customHeight="1" x14ac:dyDescent="0.2">
      <c r="B10" s="171"/>
      <c r="C10" s="145" t="str">
        <f>ServiceDescription!C11</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0" s="145"/>
      <c r="E10" s="145"/>
      <c r="F10" s="145"/>
      <c r="G10" s="145"/>
      <c r="H10" s="145"/>
      <c r="I10" s="145"/>
      <c r="J10" s="145"/>
      <c r="K10" s="145"/>
      <c r="L10" s="170"/>
    </row>
    <row r="11" spans="1:12" ht="14.1" customHeight="1" x14ac:dyDescent="0.2">
      <c r="B11" s="172"/>
      <c r="C11" s="173"/>
      <c r="D11" s="173"/>
      <c r="E11" s="173"/>
      <c r="F11" s="173"/>
      <c r="G11" s="173"/>
      <c r="H11" s="173"/>
      <c r="I11" s="173"/>
      <c r="J11" s="173"/>
      <c r="K11" s="173"/>
      <c r="L11" s="174"/>
    </row>
    <row r="12" spans="1:12" ht="14.1" customHeight="1" x14ac:dyDescent="0.2">
      <c r="B12" s="146"/>
      <c r="C12" s="147"/>
      <c r="D12" s="147"/>
      <c r="E12" s="147"/>
      <c r="F12" s="147"/>
      <c r="G12" s="147"/>
      <c r="H12" s="147"/>
      <c r="I12" s="147"/>
      <c r="J12" s="147"/>
      <c r="K12" s="147"/>
    </row>
    <row r="13" spans="1:12" x14ac:dyDescent="0.2">
      <c r="B13" s="167" t="s">
        <v>72</v>
      </c>
      <c r="C13" s="168"/>
      <c r="D13" s="168"/>
      <c r="E13" s="168"/>
      <c r="F13" s="168"/>
      <c r="G13" s="168"/>
      <c r="H13" s="168"/>
      <c r="I13" s="168"/>
      <c r="J13" s="168"/>
      <c r="K13" s="168"/>
      <c r="L13" s="169"/>
    </row>
    <row r="14" spans="1:12" x14ac:dyDescent="0.2">
      <c r="B14" s="171"/>
      <c r="C14" s="146"/>
      <c r="D14" s="146"/>
      <c r="E14" s="146"/>
      <c r="F14" s="148" t="s">
        <v>78</v>
      </c>
      <c r="G14" s="148"/>
      <c r="H14" s="146"/>
      <c r="I14" s="149" t="s">
        <v>77</v>
      </c>
      <c r="J14" s="149"/>
      <c r="K14" s="150"/>
      <c r="L14" s="170"/>
    </row>
    <row r="15" spans="1:12" x14ac:dyDescent="0.2">
      <c r="B15" s="171"/>
      <c r="C15" s="151"/>
      <c r="D15" s="151"/>
      <c r="E15" s="151"/>
      <c r="F15" s="152" t="s">
        <v>79</v>
      </c>
      <c r="G15" s="152" t="s">
        <v>111</v>
      </c>
      <c r="H15" s="152"/>
      <c r="I15" s="153" t="s">
        <v>79</v>
      </c>
      <c r="J15" s="153" t="s">
        <v>66</v>
      </c>
      <c r="K15" s="150"/>
      <c r="L15" s="170"/>
    </row>
    <row r="16" spans="1:12" x14ac:dyDescent="0.2">
      <c r="B16" s="171"/>
      <c r="C16" s="146" t="str">
        <f>FeeConstruction!C7</f>
        <v>Reconnect/Disconnect (site visit)</v>
      </c>
      <c r="D16" s="146"/>
      <c r="E16" s="146"/>
      <c r="F16" s="146"/>
      <c r="G16" s="146"/>
      <c r="H16" s="146"/>
      <c r="I16" s="154"/>
      <c r="J16" s="154"/>
      <c r="K16" s="146"/>
      <c r="L16" s="170"/>
    </row>
    <row r="17" spans="2:12" x14ac:dyDescent="0.2">
      <c r="B17" s="171"/>
      <c r="C17" s="146"/>
      <c r="D17" s="146" t="str">
        <f>FeeConstruction!D8</f>
        <v>Site Visit</v>
      </c>
      <c r="E17" s="146"/>
      <c r="F17" s="146" t="str">
        <f>ServiceProjections!G8</f>
        <v>/ application</v>
      </c>
      <c r="G17" s="155">
        <f>FeeConstruction!L8</f>
        <v>85.163432751187145</v>
      </c>
      <c r="H17" s="146"/>
      <c r="I17" s="154" t="str">
        <f>F17</f>
        <v>/ application</v>
      </c>
      <c r="J17" s="156">
        <f>FeeConstruction!H8</f>
        <v>44</v>
      </c>
      <c r="K17" s="146"/>
      <c r="L17" s="170"/>
    </row>
    <row r="18" spans="2:12" x14ac:dyDescent="0.2">
      <c r="B18" s="171"/>
      <c r="C18" s="146" t="str">
        <f>FeeConstruction!C9</f>
        <v>Reconnect/Disconnect Completed</v>
      </c>
      <c r="D18" s="146"/>
      <c r="E18" s="146"/>
      <c r="F18" s="146"/>
      <c r="G18" s="146"/>
      <c r="H18" s="146"/>
      <c r="I18" s="154"/>
      <c r="J18" s="154"/>
      <c r="K18" s="146"/>
      <c r="L18" s="170"/>
    </row>
    <row r="19" spans="2:12" x14ac:dyDescent="0.2">
      <c r="B19" s="171"/>
      <c r="C19" s="146"/>
      <c r="D19" s="146" t="str">
        <f>FeeConstruction!D10</f>
        <v>Reconnect/Disconnect Completed</v>
      </c>
      <c r="E19" s="146"/>
      <c r="F19" s="146" t="str">
        <f>ServiceProjections!G10</f>
        <v>/ application</v>
      </c>
      <c r="G19" s="155">
        <f>FeeConstruction!L10</f>
        <v>113.67947345930664</v>
      </c>
      <c r="H19" s="146"/>
      <c r="I19" s="154" t="str">
        <f t="shared" ref="I19" si="0">F19</f>
        <v>/ application</v>
      </c>
      <c r="J19" s="156">
        <f>FeeConstruction!H10</f>
        <v>88</v>
      </c>
      <c r="K19" s="146"/>
      <c r="L19" s="170"/>
    </row>
    <row r="20" spans="2:12" x14ac:dyDescent="0.2">
      <c r="B20" s="171"/>
      <c r="C20" s="146" t="str">
        <f>FeeConstruction!C11</f>
        <v>Reconnect/Disconnect - Technical</v>
      </c>
      <c r="D20" s="146"/>
      <c r="E20" s="146"/>
      <c r="F20" s="146"/>
      <c r="G20" s="146"/>
      <c r="H20" s="146"/>
      <c r="I20" s="154"/>
      <c r="J20" s="154"/>
      <c r="K20" s="146"/>
      <c r="L20" s="170"/>
    </row>
    <row r="21" spans="2:12" x14ac:dyDescent="0.2">
      <c r="B21" s="171"/>
      <c r="C21" s="146"/>
      <c r="D21" s="146" t="str">
        <f>FeeConstruction!D12</f>
        <v>Reconnect/Disconnect - Technical</v>
      </c>
      <c r="E21" s="146"/>
      <c r="F21" s="146" t="str">
        <f>ServiceProjections!G12</f>
        <v>/ application</v>
      </c>
      <c r="G21" s="155">
        <f>FeeConstruction!L12</f>
        <v>113.67947345930664</v>
      </c>
      <c r="H21" s="146"/>
      <c r="I21" s="154" t="str">
        <f t="shared" ref="I21" si="1">F21</f>
        <v>/ application</v>
      </c>
      <c r="J21" s="156">
        <f>FeeConstruction!H12</f>
        <v>88</v>
      </c>
      <c r="K21" s="146"/>
      <c r="L21" s="170"/>
    </row>
    <row r="22" spans="2:12" x14ac:dyDescent="0.2">
      <c r="B22" s="171"/>
      <c r="C22" s="146" t="str">
        <f>FeeConstruction!C13</f>
        <v>Reconnect/Disconnect - Pillar or Pole Completed</v>
      </c>
      <c r="D22" s="146"/>
      <c r="E22" s="146"/>
      <c r="F22" s="146"/>
      <c r="G22" s="146"/>
      <c r="H22" s="146"/>
      <c r="I22" s="154"/>
      <c r="J22" s="154"/>
      <c r="K22" s="146"/>
      <c r="L22" s="170"/>
    </row>
    <row r="23" spans="2:12" x14ac:dyDescent="0.2">
      <c r="B23" s="171"/>
      <c r="C23" s="146"/>
      <c r="D23" s="146" t="str">
        <f>FeeConstruction!D14</f>
        <v>Reconnect/Disconnect - Pillar or Pole Completed</v>
      </c>
      <c r="E23" s="146"/>
      <c r="F23" s="146" t="str">
        <f>ServiceProjections!G14</f>
        <v>/ application</v>
      </c>
      <c r="G23" s="155">
        <f>FeeConstruction!L14</f>
        <v>419.15498897465466</v>
      </c>
      <c r="H23" s="146"/>
      <c r="I23" s="154" t="str">
        <f>F23</f>
        <v>/ application</v>
      </c>
      <c r="J23" s="156">
        <f>FeeConstruction!H14</f>
        <v>148</v>
      </c>
      <c r="K23" s="146"/>
      <c r="L23" s="170"/>
    </row>
    <row r="24" spans="2:12" x14ac:dyDescent="0.2">
      <c r="B24" s="171"/>
      <c r="C24" s="146" t="str">
        <f>FeeConstruction!C15</f>
        <v>Reconnect/Disconnect - Out of Business Hours</v>
      </c>
      <c r="D24" s="146"/>
      <c r="E24" s="146"/>
      <c r="F24" s="146"/>
      <c r="G24" s="146"/>
      <c r="H24" s="146"/>
      <c r="I24" s="154"/>
      <c r="J24" s="154"/>
      <c r="K24" s="146"/>
      <c r="L24" s="170"/>
    </row>
    <row r="25" spans="2:12" x14ac:dyDescent="0.2">
      <c r="B25" s="171"/>
      <c r="C25" s="146"/>
      <c r="D25" s="146" t="str">
        <f>FeeConstruction!D16</f>
        <v>Reconnect/Disconnect - Out of Business Hours</v>
      </c>
      <c r="E25" s="146"/>
      <c r="F25" s="146" t="str">
        <f>ServiceProjections!G16</f>
        <v>/ application</v>
      </c>
      <c r="G25" s="155">
        <f>FeeConstruction!L16</f>
        <v>112.50896684669667</v>
      </c>
      <c r="H25" s="146"/>
      <c r="I25" s="154" t="str">
        <f t="shared" ref="I25" si="2">F25</f>
        <v>/ application</v>
      </c>
      <c r="J25" s="156">
        <f>FeeConstruction!H16</f>
        <v>95</v>
      </c>
      <c r="K25" s="146"/>
      <c r="L25" s="170"/>
    </row>
    <row r="26" spans="2:12" x14ac:dyDescent="0.2">
      <c r="B26" s="172"/>
      <c r="C26" s="176"/>
      <c r="D26" s="176"/>
      <c r="E26" s="176"/>
      <c r="F26" s="176"/>
      <c r="G26" s="176"/>
      <c r="H26" s="176"/>
      <c r="I26" s="176"/>
      <c r="J26" s="176"/>
      <c r="K26" s="176"/>
      <c r="L26" s="174"/>
    </row>
    <row r="28" spans="2:12" x14ac:dyDescent="0.2">
      <c r="B28" s="177" t="s">
        <v>81</v>
      </c>
      <c r="C28" s="177"/>
      <c r="D28" s="177"/>
      <c r="E28" s="177"/>
      <c r="F28" s="177"/>
      <c r="G28" s="177"/>
      <c r="H28" s="177"/>
      <c r="I28" s="177"/>
      <c r="J28" s="177"/>
      <c r="K28" s="177"/>
      <c r="L28" s="177"/>
    </row>
    <row r="29" spans="2:12" x14ac:dyDescent="0.2">
      <c r="B29" s="177"/>
      <c r="L29" s="177"/>
    </row>
    <row r="30" spans="2:12" x14ac:dyDescent="0.2">
      <c r="B30" s="177"/>
      <c r="C30" s="157" t="s">
        <v>82</v>
      </c>
      <c r="D30" s="157"/>
      <c r="E30" s="157"/>
      <c r="F30" s="157"/>
      <c r="G30" s="157"/>
      <c r="H30" s="157"/>
      <c r="I30" s="157"/>
      <c r="J30" s="157"/>
      <c r="K30" s="157"/>
      <c r="L30" s="177"/>
    </row>
    <row r="31" spans="2:12" x14ac:dyDescent="0.2">
      <c r="B31" s="177"/>
      <c r="C31" s="157"/>
      <c r="D31" s="158"/>
      <c r="E31" s="159" t="s">
        <v>112</v>
      </c>
      <c r="F31" s="158"/>
      <c r="G31" s="153" t="str">
        <f>GlobalInputs!G11</f>
        <v>2009/10</v>
      </c>
      <c r="H31" s="153" t="str">
        <f>GlobalInputs!H11</f>
        <v>2010/11</v>
      </c>
      <c r="I31" s="153" t="str">
        <f>GlobalInputs!I11</f>
        <v>2011/12</v>
      </c>
      <c r="J31" s="153" t="str">
        <f>GlobalInputs!J11</f>
        <v>2012/13</v>
      </c>
      <c r="K31" s="153" t="str">
        <f>GlobalInputs!K11</f>
        <v>2013/14</v>
      </c>
      <c r="L31" s="177"/>
    </row>
    <row r="32" spans="2:12" x14ac:dyDescent="0.2">
      <c r="B32" s="177"/>
      <c r="C32" s="157"/>
      <c r="D32" s="157"/>
      <c r="E32" s="157"/>
      <c r="F32" s="157"/>
      <c r="G32" s="160"/>
      <c r="H32" s="160"/>
      <c r="I32" s="160"/>
      <c r="J32" s="160"/>
      <c r="K32" s="160"/>
      <c r="L32" s="177"/>
    </row>
    <row r="33" spans="2:12" x14ac:dyDescent="0.2">
      <c r="B33" s="177"/>
      <c r="C33" s="157"/>
      <c r="D33" s="157" t="s">
        <v>13</v>
      </c>
      <c r="E33" s="157"/>
      <c r="F33" s="157" t="s">
        <v>40</v>
      </c>
      <c r="G33" s="161">
        <f>ServiceHistory!G36</f>
        <v>33823.576338798652</v>
      </c>
      <c r="H33" s="161">
        <f>ServiceHistory!H36</f>
        <v>93250.405452141815</v>
      </c>
      <c r="I33" s="161">
        <f>ServiceHistory!I36</f>
        <v>278375.55706706102</v>
      </c>
      <c r="J33" s="161">
        <f>ServiceHistory!J36</f>
        <v>304934.55421925161</v>
      </c>
      <c r="K33" s="161">
        <f>ServiceHistory!K36</f>
        <v>671360.66811359744</v>
      </c>
      <c r="L33" s="177"/>
    </row>
    <row r="34" spans="2:12" x14ac:dyDescent="0.2">
      <c r="B34" s="177"/>
      <c r="C34" s="157"/>
      <c r="D34" s="157"/>
      <c r="E34" s="157"/>
      <c r="F34" s="157"/>
      <c r="G34" s="157"/>
      <c r="H34" s="157"/>
      <c r="I34" s="157"/>
      <c r="J34" s="157"/>
      <c r="K34" s="157"/>
      <c r="L34" s="177"/>
    </row>
    <row r="35" spans="2:12" x14ac:dyDescent="0.2">
      <c r="B35" s="177"/>
      <c r="C35" s="157"/>
      <c r="D35" s="157" t="s">
        <v>83</v>
      </c>
      <c r="E35" s="157"/>
      <c r="F35" s="157" t="s">
        <v>40</v>
      </c>
      <c r="G35" s="161">
        <f>ServiceHistory!G69</f>
        <v>408398.59976425889</v>
      </c>
      <c r="H35" s="161">
        <f>ServiceHistory!H69</f>
        <v>886382.25782104023</v>
      </c>
      <c r="I35" s="161">
        <f>ServiceHistory!I69</f>
        <v>1069307.3218926974</v>
      </c>
      <c r="J35" s="161">
        <f>ServiceHistory!J69</f>
        <v>1260642.9666189663</v>
      </c>
      <c r="K35" s="161">
        <f>ServiceHistory!K69</f>
        <v>1502073.3820339832</v>
      </c>
      <c r="L35" s="177"/>
    </row>
    <row r="36" spans="2:12" x14ac:dyDescent="0.2">
      <c r="B36" s="177"/>
      <c r="C36" s="157"/>
      <c r="D36" s="157" t="s">
        <v>84</v>
      </c>
      <c r="E36" s="157"/>
      <c r="F36" s="157"/>
      <c r="G36" s="161">
        <f>ServiceHistory!G77</f>
        <v>244980.56614808799</v>
      </c>
      <c r="H36" s="161">
        <f>ServiceHistory!H77</f>
        <v>460033.63131395442</v>
      </c>
      <c r="I36" s="161">
        <f>ServiceHistory!I77</f>
        <v>559976.52402320667</v>
      </c>
      <c r="J36" s="161">
        <f>ServiceHistory!J77</f>
        <v>590476.91336305509</v>
      </c>
      <c r="K36" s="161">
        <f>ServiceHistory!K77</f>
        <v>808107.18420458841</v>
      </c>
      <c r="L36" s="177"/>
    </row>
    <row r="37" spans="2:12" x14ac:dyDescent="0.2">
      <c r="B37" s="177"/>
      <c r="C37" s="157"/>
      <c r="D37" s="157"/>
      <c r="E37" s="157"/>
      <c r="F37" s="157" t="s">
        <v>40</v>
      </c>
      <c r="G37" s="162">
        <f>SUM(G35:G36)</f>
        <v>653379.16591234691</v>
      </c>
      <c r="H37" s="162">
        <f t="shared" ref="H37:K37" si="3">SUM(H35:H36)</f>
        <v>1346415.8891349947</v>
      </c>
      <c r="I37" s="162">
        <f t="shared" si="3"/>
        <v>1629283.845915904</v>
      </c>
      <c r="J37" s="162">
        <f t="shared" si="3"/>
        <v>1851119.8799820214</v>
      </c>
      <c r="K37" s="162">
        <f t="shared" si="3"/>
        <v>2310180.5662385719</v>
      </c>
      <c r="L37" s="177"/>
    </row>
    <row r="38" spans="2:12" x14ac:dyDescent="0.2">
      <c r="B38" s="177"/>
      <c r="L38" s="177"/>
    </row>
    <row r="39" spans="2:12" x14ac:dyDescent="0.2">
      <c r="B39" s="177"/>
      <c r="C39" s="79" t="s">
        <v>85</v>
      </c>
      <c r="L39" s="177"/>
    </row>
    <row r="40" spans="2:12" x14ac:dyDescent="0.2">
      <c r="B40" s="177"/>
      <c r="D40" s="151"/>
      <c r="E40" s="163" t="s">
        <v>99</v>
      </c>
      <c r="F40" s="151"/>
      <c r="G40" s="152" t="str">
        <f>GlobalInputs!G12</f>
        <v>2014/15</v>
      </c>
      <c r="H40" s="152" t="str">
        <f>GlobalInputs!H12</f>
        <v>2015/16</v>
      </c>
      <c r="I40" s="152" t="str">
        <f>GlobalInputs!I12</f>
        <v>2016/17</v>
      </c>
      <c r="J40" s="152" t="str">
        <f>GlobalInputs!J12</f>
        <v>2017/18</v>
      </c>
      <c r="K40" s="152" t="str">
        <f>GlobalInputs!K12</f>
        <v>2018/19</v>
      </c>
      <c r="L40" s="177"/>
    </row>
    <row r="41" spans="2:12" x14ac:dyDescent="0.2">
      <c r="B41" s="177"/>
      <c r="G41" s="164"/>
      <c r="H41" s="164"/>
      <c r="I41" s="164"/>
      <c r="J41" s="164"/>
      <c r="K41" s="164"/>
      <c r="L41" s="177"/>
    </row>
    <row r="42" spans="2:12" x14ac:dyDescent="0.2">
      <c r="B42" s="177"/>
      <c r="D42" s="79" t="s">
        <v>13</v>
      </c>
      <c r="F42" s="79" t="s">
        <v>40</v>
      </c>
      <c r="G42" s="165">
        <f>SUM(FeeConstruction!U8:U16)</f>
        <v>2034008.2056236607</v>
      </c>
      <c r="H42" s="165">
        <f>SUM(FeeConstruction!V8:V16)</f>
        <v>2034008.2056236607</v>
      </c>
      <c r="I42" s="165">
        <f>SUM(FeeConstruction!W8:W16)</f>
        <v>2034008.2056236607</v>
      </c>
      <c r="J42" s="165">
        <f>SUM(FeeConstruction!X8:X16)</f>
        <v>2034008.2056236607</v>
      </c>
      <c r="K42" s="165">
        <f>SUM(FeeConstruction!Y8:Y16)</f>
        <v>2034008.2056236607</v>
      </c>
      <c r="L42" s="177"/>
    </row>
    <row r="43" spans="2:12" x14ac:dyDescent="0.2">
      <c r="B43" s="177"/>
      <c r="L43" s="177"/>
    </row>
    <row r="44" spans="2:12" x14ac:dyDescent="0.2">
      <c r="B44" s="177"/>
      <c r="D44" s="79" t="s">
        <v>83</v>
      </c>
      <c r="F44" s="79" t="s">
        <v>40</v>
      </c>
      <c r="G44" s="165">
        <f>SUM(FeeConstruction!AB8:AB16)</f>
        <v>1457814.6695720153</v>
      </c>
      <c r="H44" s="165">
        <f>SUM(FeeConstruction!AC8:AC16)</f>
        <v>1457814.6695720153</v>
      </c>
      <c r="I44" s="165">
        <f>SUM(FeeConstruction!AD8:AD16)</f>
        <v>1457814.6695720153</v>
      </c>
      <c r="J44" s="165">
        <f>SUM(FeeConstruction!AE8:AE16)</f>
        <v>1457814.6695720153</v>
      </c>
      <c r="K44" s="165">
        <f>SUM(FeeConstruction!AF8:AF16)</f>
        <v>1457814.6695720153</v>
      </c>
      <c r="L44" s="177"/>
    </row>
    <row r="45" spans="2:12" x14ac:dyDescent="0.2">
      <c r="B45" s="177"/>
      <c r="D45" s="79" t="s">
        <v>84</v>
      </c>
      <c r="G45" s="165">
        <f>SUM(FeeConstruction!AI8:AI16)</f>
        <v>529660.10760978318</v>
      </c>
      <c r="H45" s="165">
        <f>SUM(FeeConstruction!AJ8:AJ16)</f>
        <v>529660.10760978318</v>
      </c>
      <c r="I45" s="165">
        <f>SUM(FeeConstruction!AK8:AK16)</f>
        <v>529660.10760978318</v>
      </c>
      <c r="J45" s="165">
        <f>SUM(FeeConstruction!AL8:AL16)</f>
        <v>529660.10760978318</v>
      </c>
      <c r="K45" s="165">
        <f>SUM(FeeConstruction!AM8:AM16)</f>
        <v>529660.10760978318</v>
      </c>
      <c r="L45" s="177"/>
    </row>
    <row r="46" spans="2:12" x14ac:dyDescent="0.2">
      <c r="B46" s="177"/>
      <c r="D46" s="79" t="s">
        <v>165</v>
      </c>
      <c r="G46" s="165">
        <f>SUM(FeeConstruction!AP8:AP16)</f>
        <v>46533.42844186219</v>
      </c>
      <c r="H46" s="165">
        <f>SUM(FeeConstruction!AQ8:AQ16)</f>
        <v>46533.42844186219</v>
      </c>
      <c r="I46" s="165">
        <f>SUM(FeeConstruction!AR8:AR16)</f>
        <v>46533.42844186219</v>
      </c>
      <c r="J46" s="165">
        <f>SUM(FeeConstruction!AS8:AS16)</f>
        <v>46533.42844186219</v>
      </c>
      <c r="K46" s="165">
        <f>SUM(FeeConstruction!AT8:AT16)</f>
        <v>46533.42844186219</v>
      </c>
      <c r="L46" s="177"/>
    </row>
    <row r="47" spans="2:12" x14ac:dyDescent="0.2">
      <c r="B47" s="177"/>
      <c r="F47" s="79" t="s">
        <v>40</v>
      </c>
      <c r="G47" s="166">
        <f>SUM(G44:G46)</f>
        <v>2034008.2056236607</v>
      </c>
      <c r="H47" s="166">
        <f t="shared" ref="H47:K47" si="4">SUM(H44:H46)</f>
        <v>2034008.2056236607</v>
      </c>
      <c r="I47" s="166">
        <f t="shared" si="4"/>
        <v>2034008.2056236607</v>
      </c>
      <c r="J47" s="166">
        <f t="shared" si="4"/>
        <v>2034008.2056236607</v>
      </c>
      <c r="K47" s="166">
        <f t="shared" si="4"/>
        <v>2034008.2056236607</v>
      </c>
      <c r="L47" s="177"/>
    </row>
    <row r="48" spans="2:12" x14ac:dyDescent="0.2">
      <c r="B48" s="177"/>
      <c r="C48" s="177"/>
      <c r="D48" s="177"/>
      <c r="E48" s="177"/>
      <c r="F48" s="177"/>
      <c r="G48" s="177"/>
      <c r="H48" s="177"/>
      <c r="I48" s="177"/>
      <c r="J48" s="177"/>
      <c r="K48" s="177"/>
      <c r="L48" s="177"/>
    </row>
  </sheetData>
  <mergeCells count="4">
    <mergeCell ref="C10:K10"/>
    <mergeCell ref="C6:K6"/>
    <mergeCell ref="F14:G14"/>
    <mergeCell ref="I14:J14"/>
  </mergeCells>
  <pageMargins left="0.39370078740157483" right="0.39370078740157483" top="0.39370078740157483" bottom="0.39370078740157483" header="0.19685039370078741" footer="0.19685039370078741"/>
  <pageSetup paperSize="9" scale="84"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2"/>
  <sheetViews>
    <sheetView topLeftCell="A9" zoomScale="90" zoomScaleNormal="90" zoomScalePageLayoutView="125" workbookViewId="0">
      <selection activeCell="E18" sqref="E18"/>
    </sheetView>
  </sheetViews>
  <sheetFormatPr defaultColWidth="10.85546875" defaultRowHeight="12.95" customHeight="1" x14ac:dyDescent="0.2"/>
  <cols>
    <col min="1" max="4" width="2.28515625" style="79" customWidth="1"/>
    <col min="5" max="5" width="39.28515625" style="79" customWidth="1"/>
    <col min="6" max="11" width="10.85546875" style="79"/>
    <col min="12" max="12" width="2.7109375" style="79" customWidth="1"/>
    <col min="13" max="13" width="45.85546875" style="79" customWidth="1"/>
    <col min="14" max="16384" width="10.85546875" style="79"/>
  </cols>
  <sheetData>
    <row r="1" spans="1:13" ht="12.95" customHeight="1" x14ac:dyDescent="0.2">
      <c r="A1" s="79" t="s">
        <v>15</v>
      </c>
    </row>
    <row r="2" spans="1:13" ht="18" customHeight="1" x14ac:dyDescent="0.25">
      <c r="A2" s="87" t="s">
        <v>16</v>
      </c>
      <c r="F2" s="80" t="str">
        <f>IF(ROUND($E$6,6)=0,"ok","Problem - review CheckSheet")</f>
        <v>ok</v>
      </c>
    </row>
    <row r="3" spans="1:13" ht="12.95" customHeight="1" x14ac:dyDescent="0.2">
      <c r="A3" s="79" t="str">
        <f>G8</f>
        <v>Disconnection and reconnection fees</v>
      </c>
      <c r="F3" s="80"/>
    </row>
    <row r="5" spans="1:13" ht="12.95" customHeight="1" x14ac:dyDescent="0.2">
      <c r="B5" s="79" t="s">
        <v>21</v>
      </c>
    </row>
    <row r="6" spans="1:13" ht="12.95" customHeight="1" x14ac:dyDescent="0.2">
      <c r="C6" s="79" t="s">
        <v>19</v>
      </c>
      <c r="G6" s="117" t="s">
        <v>20</v>
      </c>
      <c r="H6" s="117"/>
      <c r="M6" s="81" t="s">
        <v>38</v>
      </c>
    </row>
    <row r="7" spans="1:13" ht="12.95" customHeight="1" x14ac:dyDescent="0.2">
      <c r="C7" s="79" t="s">
        <v>18</v>
      </c>
      <c r="G7" s="117" t="s">
        <v>128</v>
      </c>
      <c r="H7" s="117"/>
      <c r="I7" s="117"/>
      <c r="J7" s="117"/>
      <c r="K7" s="117"/>
    </row>
    <row r="8" spans="1:13" ht="12.95" customHeight="1" x14ac:dyDescent="0.25">
      <c r="C8" s="79" t="s">
        <v>120</v>
      </c>
      <c r="G8" s="118" t="s">
        <v>127</v>
      </c>
      <c r="H8" s="118"/>
      <c r="I8" s="118"/>
      <c r="J8" s="119"/>
    </row>
    <row r="10" spans="1:13" ht="12.95" customHeight="1" x14ac:dyDescent="0.2">
      <c r="B10" s="79" t="s">
        <v>22</v>
      </c>
    </row>
    <row r="11" spans="1:13" ht="12.95" customHeight="1" x14ac:dyDescent="0.2">
      <c r="C11" s="79" t="s">
        <v>23</v>
      </c>
      <c r="G11" s="82" t="s">
        <v>2</v>
      </c>
      <c r="H11" s="82" t="s">
        <v>3</v>
      </c>
      <c r="I11" s="82" t="s">
        <v>4</v>
      </c>
      <c r="J11" s="82" t="s">
        <v>5</v>
      </c>
      <c r="K11" s="82" t="s">
        <v>6</v>
      </c>
    </row>
    <row r="12" spans="1:13" ht="12.95" customHeight="1" x14ac:dyDescent="0.2">
      <c r="C12" s="79" t="s">
        <v>24</v>
      </c>
      <c r="G12" s="82" t="s">
        <v>7</v>
      </c>
      <c r="H12" s="82" t="s">
        <v>8</v>
      </c>
      <c r="I12" s="82" t="s">
        <v>9</v>
      </c>
      <c r="J12" s="82" t="s">
        <v>10</v>
      </c>
      <c r="K12" s="82" t="s">
        <v>11</v>
      </c>
    </row>
    <row r="14" spans="1:13" ht="12.95" customHeight="1" x14ac:dyDescent="0.2">
      <c r="B14" s="79" t="s">
        <v>25</v>
      </c>
    </row>
    <row r="15" spans="1:13" ht="12.95" customHeight="1" x14ac:dyDescent="0.2">
      <c r="B15" s="71" t="s">
        <v>26</v>
      </c>
      <c r="C15" s="72"/>
      <c r="D15" s="72"/>
      <c r="E15" s="72"/>
      <c r="F15" s="72"/>
      <c r="G15" s="88" t="s">
        <v>95</v>
      </c>
      <c r="H15" s="88" t="s">
        <v>96</v>
      </c>
      <c r="I15" s="88" t="s">
        <v>97</v>
      </c>
      <c r="J15" s="89" t="s">
        <v>98</v>
      </c>
      <c r="M15" s="120" t="s">
        <v>156</v>
      </c>
    </row>
    <row r="16" spans="1:13" ht="12.95" customHeight="1" x14ac:dyDescent="0.2">
      <c r="B16" s="73"/>
      <c r="C16" s="74"/>
      <c r="D16" s="74"/>
      <c r="E16" s="74" t="s">
        <v>99</v>
      </c>
      <c r="F16" s="74"/>
      <c r="G16" s="74" t="s">
        <v>100</v>
      </c>
      <c r="H16" s="74" t="s">
        <v>100</v>
      </c>
      <c r="I16" s="74" t="s">
        <v>101</v>
      </c>
      <c r="J16" s="75" t="s">
        <v>102</v>
      </c>
      <c r="M16" s="121"/>
    </row>
    <row r="17" spans="2:13" ht="12.95" customHeight="1" x14ac:dyDescent="0.2">
      <c r="B17" s="73"/>
      <c r="C17" s="76" t="s">
        <v>27</v>
      </c>
      <c r="D17" s="76"/>
      <c r="E17" s="76" t="s">
        <v>28</v>
      </c>
      <c r="F17" s="76" t="s">
        <v>29</v>
      </c>
      <c r="G17" s="102">
        <f>[1]Calculations!G29</f>
        <v>73.447575462512177</v>
      </c>
      <c r="H17" s="102">
        <f>[1]Calculations!H29</f>
        <v>26.67</v>
      </c>
      <c r="I17" s="102">
        <f>[1]Calculations!I29</f>
        <v>2.21</v>
      </c>
      <c r="J17" s="103">
        <f>SUM(G17:I17)</f>
        <v>102.32757546251217</v>
      </c>
      <c r="M17" s="121"/>
    </row>
    <row r="18" spans="2:13" ht="12.95" customHeight="1" x14ac:dyDescent="0.2">
      <c r="B18" s="73"/>
      <c r="C18" s="76" t="s">
        <v>30</v>
      </c>
      <c r="D18" s="76"/>
      <c r="E18" s="76" t="s">
        <v>31</v>
      </c>
      <c r="F18" s="76"/>
      <c r="G18" s="102">
        <f>[1]Calculations!G30</f>
        <v>95.71</v>
      </c>
      <c r="H18" s="102">
        <f>[1]Calculations!H30</f>
        <v>34.760000000000005</v>
      </c>
      <c r="I18" s="102">
        <f>[1]Calculations!I30</f>
        <v>2.88</v>
      </c>
      <c r="J18" s="103">
        <f t="shared" ref="J18:J21" si="0">SUM(G18:I18)</f>
        <v>133.35</v>
      </c>
      <c r="M18" s="121"/>
    </row>
    <row r="19" spans="2:13" ht="12.95" customHeight="1" x14ac:dyDescent="0.2">
      <c r="B19" s="73"/>
      <c r="C19" s="76" t="s">
        <v>32</v>
      </c>
      <c r="D19" s="76"/>
      <c r="E19" s="76" t="s">
        <v>33</v>
      </c>
      <c r="F19" s="76"/>
      <c r="G19" s="102">
        <f>[1]Calculations!G31</f>
        <v>114.66</v>
      </c>
      <c r="H19" s="102">
        <f>[1]Calculations!H31</f>
        <v>41.64168322187129</v>
      </c>
      <c r="I19" s="102">
        <f>[1]Calculations!I31</f>
        <v>3.4503635655389178</v>
      </c>
      <c r="J19" s="103">
        <f t="shared" si="0"/>
        <v>159.75204678741019</v>
      </c>
      <c r="M19" s="121"/>
    </row>
    <row r="20" spans="2:13" ht="12.95" customHeight="1" x14ac:dyDescent="0.2">
      <c r="B20" s="73"/>
      <c r="C20" s="76" t="s">
        <v>34</v>
      </c>
      <c r="D20" s="76"/>
      <c r="E20" s="76" t="s">
        <v>35</v>
      </c>
      <c r="F20" s="76"/>
      <c r="G20" s="102">
        <f>[1]Calculations!G32</f>
        <v>128.88999999999999</v>
      </c>
      <c r="H20" s="102">
        <f>[1]Calculations!H32</f>
        <v>46.811683221871284</v>
      </c>
      <c r="I20" s="102">
        <f>[1]Calculations!I32</f>
        <v>3.8803635655389179</v>
      </c>
      <c r="J20" s="103">
        <f t="shared" si="0"/>
        <v>179.58204678741018</v>
      </c>
      <c r="M20" s="121"/>
    </row>
    <row r="21" spans="2:13" ht="12.95" customHeight="1" x14ac:dyDescent="0.2">
      <c r="B21" s="73"/>
      <c r="C21" s="76" t="s">
        <v>36</v>
      </c>
      <c r="D21" s="76"/>
      <c r="E21" s="76" t="s">
        <v>37</v>
      </c>
      <c r="F21" s="76"/>
      <c r="G21" s="102">
        <f>[1]Calculations!G33</f>
        <v>87.320000000000007</v>
      </c>
      <c r="H21" s="102">
        <f>[1]Calculations!H33</f>
        <v>31.711683221871283</v>
      </c>
      <c r="I21" s="102">
        <f>[1]Calculations!I33</f>
        <v>2.6303635655389179</v>
      </c>
      <c r="J21" s="103">
        <f t="shared" si="0"/>
        <v>121.6620467874102</v>
      </c>
      <c r="M21" s="121"/>
    </row>
    <row r="22" spans="2:13" ht="12.95" customHeight="1" x14ac:dyDescent="0.2">
      <c r="B22" s="73"/>
      <c r="C22" s="69"/>
      <c r="D22" s="76"/>
      <c r="E22" s="76" t="s">
        <v>14</v>
      </c>
      <c r="F22" s="76"/>
      <c r="G22" s="83">
        <v>0</v>
      </c>
      <c r="H22" s="83">
        <v>0</v>
      </c>
      <c r="I22" s="83">
        <v>0</v>
      </c>
      <c r="J22" s="84">
        <v>0</v>
      </c>
      <c r="M22" s="121"/>
    </row>
    <row r="23" spans="2:13" ht="12.95" customHeight="1" x14ac:dyDescent="0.2">
      <c r="B23" s="73"/>
      <c r="C23" s="76" t="s">
        <v>14</v>
      </c>
      <c r="D23" s="76"/>
      <c r="E23" s="76" t="s">
        <v>14</v>
      </c>
      <c r="F23" s="76"/>
      <c r="G23" s="83">
        <v>0</v>
      </c>
      <c r="H23" s="83">
        <v>0</v>
      </c>
      <c r="I23" s="83">
        <v>0</v>
      </c>
      <c r="J23" s="84">
        <v>0</v>
      </c>
      <c r="M23" s="121"/>
    </row>
    <row r="24" spans="2:13" ht="12.95" customHeight="1" x14ac:dyDescent="0.2">
      <c r="B24" s="73"/>
      <c r="C24" s="76" t="s">
        <v>14</v>
      </c>
      <c r="D24" s="76"/>
      <c r="E24" s="76" t="s">
        <v>14</v>
      </c>
      <c r="F24" s="76"/>
      <c r="G24" s="83">
        <v>0</v>
      </c>
      <c r="H24" s="83">
        <v>0</v>
      </c>
      <c r="I24" s="83">
        <v>0</v>
      </c>
      <c r="J24" s="84">
        <v>0</v>
      </c>
      <c r="M24" s="121"/>
    </row>
    <row r="25" spans="2:13" ht="12.95" customHeight="1" x14ac:dyDescent="0.2">
      <c r="B25" s="71" t="s">
        <v>170</v>
      </c>
      <c r="C25" s="72"/>
      <c r="D25" s="72"/>
      <c r="E25" s="72"/>
      <c r="F25" s="72"/>
      <c r="G25" s="88" t="s">
        <v>95</v>
      </c>
      <c r="H25" s="88" t="s">
        <v>96</v>
      </c>
      <c r="I25" s="88" t="s">
        <v>97</v>
      </c>
      <c r="J25" s="89" t="s">
        <v>98</v>
      </c>
      <c r="M25" s="121"/>
    </row>
    <row r="26" spans="2:13" ht="15" customHeight="1" x14ac:dyDescent="0.2">
      <c r="B26" s="73"/>
      <c r="C26" s="74"/>
      <c r="D26" s="74"/>
      <c r="E26" s="74" t="s">
        <v>99</v>
      </c>
      <c r="F26" s="74"/>
      <c r="G26" s="74" t="s">
        <v>100</v>
      </c>
      <c r="H26" s="74" t="s">
        <v>100</v>
      </c>
      <c r="I26" s="74" t="s">
        <v>101</v>
      </c>
      <c r="J26" s="75" t="s">
        <v>102</v>
      </c>
      <c r="M26" s="121"/>
    </row>
    <row r="27" spans="2:13" ht="12.95" customHeight="1" x14ac:dyDescent="0.2">
      <c r="B27" s="73"/>
      <c r="C27" s="76" t="s">
        <v>27</v>
      </c>
      <c r="D27" s="76"/>
      <c r="E27" s="76" t="s">
        <v>28</v>
      </c>
      <c r="F27" s="76" t="s">
        <v>29</v>
      </c>
      <c r="G27" s="102">
        <f>[1]Calculations!G53</f>
        <v>110.17319203261928</v>
      </c>
      <c r="H27" s="102">
        <f>[1]Calculations!H53</f>
        <v>26.67</v>
      </c>
      <c r="I27" s="102">
        <f>[1]Calculations!I53</f>
        <v>3.0214976800802344</v>
      </c>
      <c r="J27" s="103">
        <f>SUM(G27:I27)</f>
        <v>139.86468971269954</v>
      </c>
      <c r="M27" s="121"/>
    </row>
    <row r="28" spans="2:13" ht="12.95" customHeight="1" x14ac:dyDescent="0.2">
      <c r="B28" s="73"/>
      <c r="C28" s="76" t="s">
        <v>30</v>
      </c>
      <c r="D28" s="76"/>
      <c r="E28" s="76" t="s">
        <v>31</v>
      </c>
      <c r="F28" s="76"/>
      <c r="G28" s="102">
        <f>[1]Calculations!G54</f>
        <v>143.56216499999999</v>
      </c>
      <c r="H28" s="102">
        <f>[1]Calculations!H54</f>
        <v>34.760000000000005</v>
      </c>
      <c r="I28" s="102">
        <f>[1]Calculations!I54</f>
        <v>3.9373534031999999</v>
      </c>
      <c r="J28" s="103">
        <f t="shared" ref="J28:J31" si="1">SUM(G28:I28)</f>
        <v>182.25951840319999</v>
      </c>
      <c r="M28" s="121"/>
    </row>
    <row r="29" spans="2:13" ht="12.95" customHeight="1" x14ac:dyDescent="0.2">
      <c r="B29" s="73"/>
      <c r="C29" s="76" t="s">
        <v>32</v>
      </c>
      <c r="D29" s="76"/>
      <c r="E29" s="76" t="s">
        <v>33</v>
      </c>
      <c r="F29" s="76"/>
      <c r="G29" s="102">
        <f>[1]Calculations!G55</f>
        <v>143.56216499999999</v>
      </c>
      <c r="H29" s="102">
        <f>[1]Calculations!H55</f>
        <v>62.199981956198641</v>
      </c>
      <c r="I29" s="102">
        <f>[1]Calculations!I55</f>
        <v>3.9373534031999999</v>
      </c>
      <c r="J29" s="103">
        <f t="shared" si="1"/>
        <v>209.69950035939866</v>
      </c>
      <c r="M29" s="121"/>
    </row>
    <row r="30" spans="2:13" ht="12.95" customHeight="1" x14ac:dyDescent="0.2">
      <c r="B30" s="73"/>
      <c r="C30" s="76" t="s">
        <v>34</v>
      </c>
      <c r="D30" s="76"/>
      <c r="E30" s="76" t="s">
        <v>35</v>
      </c>
      <c r="F30" s="76"/>
      <c r="G30" s="102">
        <f>[1]Calculations!G56</f>
        <v>164.9152125</v>
      </c>
      <c r="H30" s="102">
        <f>[1]Calculations!H56</f>
        <v>67.369981956198643</v>
      </c>
      <c r="I30" s="102">
        <f>[1]Calculations!I56</f>
        <v>4.5229822920000009</v>
      </c>
      <c r="J30" s="103">
        <f t="shared" si="1"/>
        <v>236.80817674819863</v>
      </c>
      <c r="M30" s="121"/>
    </row>
    <row r="31" spans="2:13" ht="12.95" customHeight="1" x14ac:dyDescent="0.2">
      <c r="B31" s="73"/>
      <c r="C31" s="76" t="s">
        <v>36</v>
      </c>
      <c r="D31" s="76"/>
      <c r="E31" s="76" t="s">
        <v>37</v>
      </c>
      <c r="F31" s="76"/>
      <c r="G31" s="102">
        <f>[1]Calculations!G57</f>
        <v>102.55113</v>
      </c>
      <c r="H31" s="102">
        <f>[1]Calculations!H57</f>
        <v>52.269981956198635</v>
      </c>
      <c r="I31" s="102">
        <f>[1]Calculations!I57</f>
        <v>2.8125753504000004</v>
      </c>
      <c r="J31" s="103">
        <f t="shared" si="1"/>
        <v>157.63368730659866</v>
      </c>
      <c r="M31" s="121"/>
    </row>
    <row r="32" spans="2:13" ht="12.95" customHeight="1" x14ac:dyDescent="0.2">
      <c r="B32" s="77"/>
      <c r="C32" s="115"/>
      <c r="D32" s="78"/>
      <c r="E32" s="78" t="s">
        <v>14</v>
      </c>
      <c r="F32" s="78"/>
      <c r="G32" s="85">
        <v>0</v>
      </c>
      <c r="H32" s="85">
        <v>0</v>
      </c>
      <c r="I32" s="85">
        <v>0</v>
      </c>
      <c r="J32" s="86">
        <v>0</v>
      </c>
      <c r="M32" s="122"/>
    </row>
  </sheetData>
  <mergeCells count="4">
    <mergeCell ref="G6:H6"/>
    <mergeCell ref="G7:K7"/>
    <mergeCell ref="G8:J8"/>
    <mergeCell ref="M15:M32"/>
  </mergeCells>
  <pageMargins left="0.75" right="0.75" top="1" bottom="1" header="0.5" footer="0.5"/>
  <pageSetup paperSize="9" orientation="portrait" horizontalDpi="4294967292" verticalDpi="4294967292"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34"/>
  <sheetViews>
    <sheetView zoomScale="90" zoomScaleNormal="90" zoomScalePageLayoutView="125" workbookViewId="0">
      <selection activeCell="C11" sqref="C11:E11"/>
    </sheetView>
  </sheetViews>
  <sheetFormatPr defaultColWidth="9.140625" defaultRowHeight="14.25" x14ac:dyDescent="0.2"/>
  <cols>
    <col min="1" max="1" width="2.28515625" style="79" customWidth="1"/>
    <col min="2" max="2" width="2.28515625" style="134" customWidth="1"/>
    <col min="3" max="3" width="44.7109375" style="134" bestFit="1" customWidth="1"/>
    <col min="4" max="4" width="39.140625" style="134" customWidth="1"/>
    <col min="5" max="5" width="46.7109375" style="134" customWidth="1"/>
    <col min="6" max="6" width="9.140625" style="134" customWidth="1"/>
    <col min="7" max="7" width="9.140625" style="79" customWidth="1"/>
    <col min="8" max="16384" width="9.140625" style="79"/>
  </cols>
  <sheetData>
    <row r="1" spans="1:6" x14ac:dyDescent="0.2">
      <c r="A1" s="79" t="str">
        <f>GlobalInputs!A1</f>
        <v>Ancillary Network Services Pricing Model</v>
      </c>
    </row>
    <row r="2" spans="1:6" ht="15.75" x14ac:dyDescent="0.25">
      <c r="A2" s="135" t="s">
        <v>53</v>
      </c>
      <c r="B2" s="79"/>
      <c r="C2" s="79"/>
      <c r="D2" s="45" t="e">
        <f>IF(ROUND(#REF!,6)=0,"ok","Problem - review CheckSheet")</f>
        <v>#REF!</v>
      </c>
      <c r="E2" s="79"/>
      <c r="F2" s="79"/>
    </row>
    <row r="3" spans="1:6" x14ac:dyDescent="0.2">
      <c r="A3" s="79" t="str">
        <f>GlobalInputs!G8</f>
        <v>Disconnection and reconnection fees</v>
      </c>
      <c r="B3" s="79"/>
      <c r="C3" s="79"/>
      <c r="D3" s="45"/>
      <c r="E3" s="79"/>
      <c r="F3" s="79"/>
    </row>
    <row r="5" spans="1:6" x14ac:dyDescent="0.2">
      <c r="B5" s="136" t="s">
        <v>18</v>
      </c>
      <c r="D5" s="134" t="str">
        <f>GlobalInputs!G7</f>
        <v>16 - Disconnection and reconnection services</v>
      </c>
    </row>
    <row r="6" spans="1:6" x14ac:dyDescent="0.2">
      <c r="B6" s="136"/>
    </row>
    <row r="7" spans="1:6" x14ac:dyDescent="0.2">
      <c r="B7" s="136" t="s">
        <v>57</v>
      </c>
    </row>
    <row r="8" spans="1:6" ht="64.5" customHeight="1" x14ac:dyDescent="0.2">
      <c r="B8" s="136"/>
      <c r="C8" s="137" t="s">
        <v>171</v>
      </c>
      <c r="D8" s="137"/>
      <c r="E8" s="137"/>
    </row>
    <row r="9" spans="1:6" x14ac:dyDescent="0.2">
      <c r="B9" s="136"/>
    </row>
    <row r="10" spans="1:6" x14ac:dyDescent="0.2">
      <c r="B10" s="136" t="s">
        <v>1</v>
      </c>
    </row>
    <row r="11" spans="1:6" ht="120.95" customHeight="1" x14ac:dyDescent="0.2">
      <c r="B11" s="136"/>
      <c r="C11" s="137" t="s">
        <v>58</v>
      </c>
      <c r="D11" s="137"/>
      <c r="E11" s="137"/>
    </row>
    <row r="12" spans="1:6" x14ac:dyDescent="0.2">
      <c r="B12" s="136"/>
    </row>
    <row r="13" spans="1:6" x14ac:dyDescent="0.2">
      <c r="B13" s="134" t="s">
        <v>54</v>
      </c>
    </row>
    <row r="14" spans="1:6" x14ac:dyDescent="0.2">
      <c r="C14" s="138" t="s">
        <v>55</v>
      </c>
      <c r="D14" s="138" t="s">
        <v>56</v>
      </c>
      <c r="E14" s="138"/>
    </row>
    <row r="16" spans="1:6" ht="14.1" customHeight="1" x14ac:dyDescent="0.2">
      <c r="C16" s="139" t="s">
        <v>149</v>
      </c>
      <c r="D16" s="137" t="s">
        <v>129</v>
      </c>
      <c r="E16" s="137"/>
    </row>
    <row r="17" spans="3:5" x14ac:dyDescent="0.2">
      <c r="C17" s="140"/>
      <c r="D17" s="137"/>
      <c r="E17" s="137"/>
    </row>
    <row r="18" spans="3:5" ht="14.1" customHeight="1" x14ac:dyDescent="0.2">
      <c r="C18" s="139" t="s">
        <v>150</v>
      </c>
      <c r="D18" s="137" t="s">
        <v>130</v>
      </c>
      <c r="E18" s="137"/>
    </row>
    <row r="19" spans="3:5" x14ac:dyDescent="0.2">
      <c r="C19" s="141"/>
      <c r="D19" s="137"/>
      <c r="E19" s="137"/>
    </row>
    <row r="20" spans="3:5" ht="14.1" customHeight="1" x14ac:dyDescent="0.2">
      <c r="C20" s="139" t="s">
        <v>151</v>
      </c>
      <c r="D20" s="137" t="s">
        <v>131</v>
      </c>
      <c r="E20" s="137"/>
    </row>
    <row r="21" spans="3:5" x14ac:dyDescent="0.2">
      <c r="C21" s="140"/>
      <c r="D21" s="137"/>
      <c r="E21" s="137"/>
    </row>
    <row r="22" spans="3:5" ht="14.1" customHeight="1" x14ac:dyDescent="0.2">
      <c r="C22" s="139" t="s">
        <v>152</v>
      </c>
      <c r="D22" s="137" t="s">
        <v>132</v>
      </c>
      <c r="E22" s="137"/>
    </row>
    <row r="23" spans="3:5" x14ac:dyDescent="0.2">
      <c r="C23" s="140"/>
      <c r="D23" s="137"/>
      <c r="E23" s="137"/>
    </row>
    <row r="24" spans="3:5" ht="14.1" customHeight="1" x14ac:dyDescent="0.2">
      <c r="C24" s="139" t="s">
        <v>153</v>
      </c>
      <c r="D24" s="137" t="s">
        <v>133</v>
      </c>
      <c r="E24" s="137"/>
    </row>
    <row r="25" spans="3:5" x14ac:dyDescent="0.2">
      <c r="C25" s="140"/>
      <c r="D25" s="137"/>
      <c r="E25" s="137"/>
    </row>
    <row r="26" spans="3:5" x14ac:dyDescent="0.2">
      <c r="C26" s="142"/>
      <c r="D26" s="143"/>
      <c r="E26" s="143"/>
    </row>
    <row r="27" spans="3:5" x14ac:dyDescent="0.2">
      <c r="C27" s="142"/>
      <c r="D27" s="143"/>
      <c r="E27" s="143"/>
    </row>
    <row r="28" spans="3:5" x14ac:dyDescent="0.2">
      <c r="C28" s="142"/>
      <c r="D28" s="143"/>
      <c r="E28" s="143"/>
    </row>
    <row r="29" spans="3:5" x14ac:dyDescent="0.2">
      <c r="C29" s="142"/>
      <c r="D29" s="143"/>
      <c r="E29" s="143"/>
    </row>
    <row r="30" spans="3:5" x14ac:dyDescent="0.2">
      <c r="C30" s="142"/>
      <c r="D30" s="143"/>
      <c r="E30" s="143"/>
    </row>
    <row r="31" spans="3:5" x14ac:dyDescent="0.2">
      <c r="C31" s="142"/>
      <c r="D31" s="143"/>
      <c r="E31" s="143"/>
    </row>
    <row r="32" spans="3:5" x14ac:dyDescent="0.2">
      <c r="C32" s="142"/>
      <c r="D32" s="143"/>
      <c r="E32" s="143"/>
    </row>
    <row r="33" spans="4:5" x14ac:dyDescent="0.2">
      <c r="D33" s="143"/>
      <c r="E33" s="143"/>
    </row>
    <row r="34" spans="4:5" x14ac:dyDescent="0.2">
      <c r="D34" s="143"/>
      <c r="E34" s="143"/>
    </row>
  </sheetData>
  <mergeCells count="7">
    <mergeCell ref="D22:E23"/>
    <mergeCell ref="D24:E25"/>
    <mergeCell ref="C8:E8"/>
    <mergeCell ref="C11:E11"/>
    <mergeCell ref="D16:E17"/>
    <mergeCell ref="D18:E19"/>
    <mergeCell ref="D20:E2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77"/>
  <sheetViews>
    <sheetView zoomScale="90" zoomScaleNormal="90" zoomScalePageLayoutView="125" workbookViewId="0">
      <pane xSplit="5" ySplit="4" topLeftCell="F37" activePane="bottomRight" state="frozenSplit"/>
      <selection pane="topRight" activeCell="F1" sqref="F1"/>
      <selection pane="bottomLeft" activeCell="A4" sqref="A4"/>
      <selection pane="bottomRight" activeCell="E41" sqref="E41"/>
    </sheetView>
  </sheetViews>
  <sheetFormatPr defaultColWidth="9.140625" defaultRowHeight="14.1" customHeight="1" x14ac:dyDescent="0.25"/>
  <cols>
    <col min="1" max="3" width="2.140625" style="51" customWidth="1"/>
    <col min="4" max="4" width="1.85546875" style="51" customWidth="1"/>
    <col min="5" max="5" width="42.140625" style="51" customWidth="1"/>
    <col min="6" max="12" width="10.85546875" style="51" customWidth="1"/>
    <col min="13" max="13" width="2.42578125" style="51" customWidth="1"/>
    <col min="14" max="14" width="48.85546875" style="50" customWidth="1"/>
    <col min="15" max="15" width="8.140625" style="51" customWidth="1"/>
    <col min="16" max="18" width="9.140625" style="51" customWidth="1"/>
    <col min="19" max="16384" width="9.140625" style="51"/>
  </cols>
  <sheetData>
    <row r="1" spans="1:15" ht="14.1" customHeight="1" x14ac:dyDescent="0.2">
      <c r="A1" s="49" t="s">
        <v>15</v>
      </c>
      <c r="B1" s="49"/>
      <c r="C1" s="49"/>
      <c r="D1" s="49"/>
      <c r="E1" s="49"/>
      <c r="F1" s="49"/>
      <c r="G1" s="49"/>
      <c r="H1" s="49"/>
      <c r="I1" s="49"/>
      <c r="J1" s="49"/>
      <c r="K1" s="49"/>
      <c r="L1" s="49"/>
      <c r="M1" s="49"/>
      <c r="O1" s="49"/>
    </row>
    <row r="2" spans="1:15" ht="14.1" customHeight="1" x14ac:dyDescent="0.25">
      <c r="A2" s="52" t="s">
        <v>60</v>
      </c>
      <c r="B2" s="53"/>
      <c r="C2" s="53"/>
      <c r="D2" s="53"/>
      <c r="E2" s="53"/>
      <c r="F2" s="54" t="str">
        <f>IF(ROUND($E$5,6)=0,"ok","Problem - review CheckSheet")</f>
        <v>ok</v>
      </c>
      <c r="G2" s="53"/>
      <c r="H2" s="53"/>
      <c r="I2" s="53"/>
      <c r="J2" s="53"/>
      <c r="K2" s="53"/>
      <c r="L2" s="53"/>
      <c r="M2" s="53"/>
      <c r="N2" s="55"/>
      <c r="O2" s="53"/>
    </row>
    <row r="3" spans="1:15" ht="14.1" customHeight="1" x14ac:dyDescent="0.25">
      <c r="A3" s="51" t="str">
        <f>GlobalInputs!G8</f>
        <v>Disconnection and reconnection fees</v>
      </c>
      <c r="N3" s="56" t="s">
        <v>38</v>
      </c>
      <c r="O3" s="56" t="s">
        <v>169</v>
      </c>
    </row>
    <row r="5" spans="1:15" ht="14.1" customHeight="1" x14ac:dyDescent="0.25">
      <c r="B5" s="51" t="s">
        <v>59</v>
      </c>
    </row>
    <row r="6" spans="1:15" ht="14.1" customHeight="1" x14ac:dyDescent="0.25">
      <c r="C6" s="51" t="str">
        <f>ServiceDescription!C16</f>
        <v>Reconnect/Disconnect (site visit)</v>
      </c>
    </row>
    <row r="7" spans="1:15" ht="14.1" customHeight="1" x14ac:dyDescent="0.25">
      <c r="D7" s="51" t="s">
        <v>146</v>
      </c>
      <c r="F7" s="51" t="s">
        <v>40</v>
      </c>
      <c r="G7" s="48">
        <v>44</v>
      </c>
    </row>
    <row r="8" spans="1:15" ht="14.1" customHeight="1" x14ac:dyDescent="0.25">
      <c r="C8" s="51" t="str">
        <f>ServiceDescription!C18</f>
        <v>Reconnect/Disconnect Completed</v>
      </c>
      <c r="G8" s="57"/>
    </row>
    <row r="9" spans="1:15" ht="14.1" customHeight="1" x14ac:dyDescent="0.25">
      <c r="D9" s="51" t="str">
        <f>C8</f>
        <v>Reconnect/Disconnect Completed</v>
      </c>
      <c r="G9" s="48">
        <v>88</v>
      </c>
    </row>
    <row r="10" spans="1:15" ht="14.1" customHeight="1" x14ac:dyDescent="0.25">
      <c r="C10" s="51" t="str">
        <f>ServiceDescription!C20</f>
        <v>Reconnect/Disconnect - Technical</v>
      </c>
      <c r="G10" s="57"/>
    </row>
    <row r="11" spans="1:15" ht="14.1" customHeight="1" x14ac:dyDescent="0.25">
      <c r="D11" s="51" t="str">
        <f>C10</f>
        <v>Reconnect/Disconnect - Technical</v>
      </c>
      <c r="G11" s="48">
        <v>88</v>
      </c>
    </row>
    <row r="12" spans="1:15" ht="14.1" customHeight="1" x14ac:dyDescent="0.25">
      <c r="C12" s="51" t="str">
        <f>ServiceDescription!C22</f>
        <v>Reconnect/Disconnect - Pillar or Pole Completed</v>
      </c>
      <c r="N12" s="51"/>
    </row>
    <row r="13" spans="1:15" ht="14.1" customHeight="1" x14ac:dyDescent="0.25">
      <c r="D13" s="51" t="str">
        <f>C12</f>
        <v>Reconnect/Disconnect - Pillar or Pole Completed</v>
      </c>
      <c r="G13" s="48">
        <v>148</v>
      </c>
      <c r="N13" s="51"/>
    </row>
    <row r="14" spans="1:15" ht="14.1" customHeight="1" x14ac:dyDescent="0.25">
      <c r="C14" s="51" t="str">
        <f>ServiceDescription!C24</f>
        <v>Reconnect/Disconnect - Out of Business Hours</v>
      </c>
      <c r="N14" s="51"/>
    </row>
    <row r="15" spans="1:15" ht="14.1" customHeight="1" x14ac:dyDescent="0.25">
      <c r="D15" s="51" t="str">
        <f>C14</f>
        <v>Reconnect/Disconnect - Out of Business Hours</v>
      </c>
      <c r="G15" s="48">
        <v>95</v>
      </c>
      <c r="N15" s="51"/>
    </row>
    <row r="16" spans="1:15" ht="14.1" customHeight="1" x14ac:dyDescent="0.25">
      <c r="G16" s="101"/>
      <c r="N16" s="51"/>
    </row>
    <row r="17" spans="2:15" ht="14.1" customHeight="1" x14ac:dyDescent="0.25">
      <c r="B17" s="51" t="s">
        <v>123</v>
      </c>
      <c r="G17" s="101"/>
      <c r="N17" s="51"/>
    </row>
    <row r="18" spans="2:15" ht="14.1" customHeight="1" x14ac:dyDescent="0.25">
      <c r="C18" s="51" t="str">
        <f>C6</f>
        <v>Reconnect/Disconnect (site visit)</v>
      </c>
      <c r="G18" s="101"/>
      <c r="N18" s="123" t="s">
        <v>157</v>
      </c>
      <c r="O18" s="51" t="s">
        <v>134</v>
      </c>
    </row>
    <row r="19" spans="2:15" ht="14.1" customHeight="1" x14ac:dyDescent="0.25">
      <c r="D19" s="51" t="s">
        <v>124</v>
      </c>
      <c r="G19" s="48">
        <v>1</v>
      </c>
      <c r="N19" s="124"/>
    </row>
    <row r="20" spans="2:15" ht="14.1" customHeight="1" x14ac:dyDescent="0.25">
      <c r="C20" s="51" t="str">
        <f>C8</f>
        <v>Reconnect/Disconnect Completed</v>
      </c>
      <c r="G20" s="101"/>
      <c r="N20" s="124"/>
      <c r="O20" s="51" t="s">
        <v>135</v>
      </c>
    </row>
    <row r="21" spans="2:15" ht="14.1" customHeight="1" x14ac:dyDescent="0.25">
      <c r="D21" s="51" t="s">
        <v>124</v>
      </c>
      <c r="G21" s="48">
        <v>1</v>
      </c>
      <c r="N21" s="124"/>
    </row>
    <row r="22" spans="2:15" ht="14.1" customHeight="1" x14ac:dyDescent="0.25">
      <c r="C22" s="51" t="str">
        <f>C10</f>
        <v>Reconnect/Disconnect - Technical</v>
      </c>
      <c r="G22" s="101"/>
      <c r="N22" s="124"/>
      <c r="O22" s="51" t="s">
        <v>136</v>
      </c>
    </row>
    <row r="23" spans="2:15" ht="14.1" customHeight="1" x14ac:dyDescent="0.25">
      <c r="D23" s="51" t="s">
        <v>124</v>
      </c>
      <c r="G23" s="48">
        <v>1</v>
      </c>
      <c r="N23" s="124"/>
    </row>
    <row r="24" spans="2:15" ht="14.1" customHeight="1" x14ac:dyDescent="0.25">
      <c r="C24" s="51" t="str">
        <f>C12</f>
        <v>Reconnect/Disconnect - Pillar or Pole Completed</v>
      </c>
      <c r="G24" s="101"/>
      <c r="N24" s="124"/>
      <c r="O24" s="51" t="s">
        <v>137</v>
      </c>
    </row>
    <row r="25" spans="2:15" ht="14.1" customHeight="1" x14ac:dyDescent="0.25">
      <c r="D25" s="51" t="s">
        <v>124</v>
      </c>
      <c r="G25" s="48">
        <v>2</v>
      </c>
      <c r="N25" s="124"/>
    </row>
    <row r="26" spans="2:15" ht="14.1" customHeight="1" x14ac:dyDescent="0.25">
      <c r="C26" s="51" t="str">
        <f>C14</f>
        <v>Reconnect/Disconnect - Out of Business Hours</v>
      </c>
      <c r="G26" s="101"/>
      <c r="N26" s="124"/>
      <c r="O26" s="51" t="s">
        <v>139</v>
      </c>
    </row>
    <row r="27" spans="2:15" ht="14.1" customHeight="1" x14ac:dyDescent="0.25">
      <c r="D27" s="51" t="s">
        <v>124</v>
      </c>
      <c r="G27" s="48">
        <v>1</v>
      </c>
      <c r="N27" s="125"/>
    </row>
    <row r="29" spans="2:15" ht="14.1" customHeight="1" x14ac:dyDescent="0.25">
      <c r="B29" s="51" t="s">
        <v>39</v>
      </c>
    </row>
    <row r="30" spans="2:15" ht="14.1" customHeight="1" x14ac:dyDescent="0.25">
      <c r="C30" s="58"/>
      <c r="D30" s="58"/>
      <c r="E30" s="93" t="s">
        <v>112</v>
      </c>
      <c r="F30" s="58"/>
      <c r="G30" s="59" t="str">
        <f>GlobalInputs!G11</f>
        <v>2009/10</v>
      </c>
      <c r="H30" s="59" t="str">
        <f>GlobalInputs!H11</f>
        <v>2010/11</v>
      </c>
      <c r="I30" s="59" t="str">
        <f>GlobalInputs!I11</f>
        <v>2011/12</v>
      </c>
      <c r="J30" s="59" t="str">
        <f>GlobalInputs!J11</f>
        <v>2012/13</v>
      </c>
      <c r="K30" s="59" t="str">
        <f>GlobalInputs!K11</f>
        <v>2013/14</v>
      </c>
    </row>
    <row r="31" spans="2:15" ht="14.1" customHeight="1" x14ac:dyDescent="0.25">
      <c r="C31" s="51" t="str">
        <f>ServiceDescription!C16</f>
        <v>Reconnect/Disconnect (site visit)</v>
      </c>
      <c r="F31" s="51" t="s">
        <v>40</v>
      </c>
      <c r="G31" s="65">
        <v>4663.0681442965597</v>
      </c>
      <c r="H31" s="65">
        <v>8440.8750617455298</v>
      </c>
      <c r="I31" s="65">
        <v>23502.063795993578</v>
      </c>
      <c r="J31" s="65">
        <v>27414.187037972908</v>
      </c>
      <c r="K31" s="65">
        <v>71272.12745919649</v>
      </c>
      <c r="N31" s="127" t="s">
        <v>158</v>
      </c>
      <c r="O31" s="51" t="s">
        <v>134</v>
      </c>
    </row>
    <row r="32" spans="2:15" ht="14.1" customHeight="1" x14ac:dyDescent="0.25">
      <c r="C32" s="51" t="str">
        <f>ServiceDescription!C18</f>
        <v>Reconnect/Disconnect Completed</v>
      </c>
      <c r="G32" s="65">
        <v>28577.324573415954</v>
      </c>
      <c r="H32" s="65">
        <v>51209.526209874472</v>
      </c>
      <c r="I32" s="65">
        <v>137265.34707629983</v>
      </c>
      <c r="J32" s="65">
        <v>155080.89223154358</v>
      </c>
      <c r="K32" s="65">
        <v>386660.15658083674</v>
      </c>
      <c r="N32" s="128"/>
      <c r="O32" s="51" t="s">
        <v>135</v>
      </c>
    </row>
    <row r="33" spans="2:15" ht="14.1" customHeight="1" x14ac:dyDescent="0.25">
      <c r="C33" s="51" t="str">
        <f>ServiceDescription!C20</f>
        <v>Reconnect/Disconnect - Technical</v>
      </c>
      <c r="G33" s="65">
        <v>0</v>
      </c>
      <c r="H33" s="65">
        <v>35.280380387969082</v>
      </c>
      <c r="I33" s="65">
        <v>849.85250477389911</v>
      </c>
      <c r="J33" s="65">
        <v>509.41230786501279</v>
      </c>
      <c r="K33" s="65">
        <v>320.89112683817638</v>
      </c>
      <c r="N33" s="128"/>
      <c r="O33" s="51" t="s">
        <v>136</v>
      </c>
    </row>
    <row r="34" spans="2:15" ht="14.1" customHeight="1" x14ac:dyDescent="0.25">
      <c r="C34" s="51" t="str">
        <f>ServiceDescription!C22</f>
        <v>Reconnect/Disconnect - Pillar or Pole Completed</v>
      </c>
      <c r="G34" s="65">
        <v>564.97864155650677</v>
      </c>
      <c r="H34" s="65">
        <v>1181.6617357215882</v>
      </c>
      <c r="I34" s="65">
        <v>2185.6190064293824</v>
      </c>
      <c r="J34" s="65">
        <v>2422.6159078616629</v>
      </c>
      <c r="K34" s="65">
        <v>3911.3957903469832</v>
      </c>
      <c r="N34" s="128"/>
      <c r="O34" s="51" t="s">
        <v>137</v>
      </c>
    </row>
    <row r="35" spans="2:15" ht="14.1" customHeight="1" x14ac:dyDescent="0.25">
      <c r="C35" s="51" t="str">
        <f>ServiceDescription!C24</f>
        <v>Reconnect/Disconnect - Out of Business Hours</v>
      </c>
      <c r="G35" s="65">
        <v>18.204979529631455</v>
      </c>
      <c r="H35" s="65">
        <v>32383.062064412257</v>
      </c>
      <c r="I35" s="65">
        <v>114572.6746835643</v>
      </c>
      <c r="J35" s="65">
        <v>119507.44673400841</v>
      </c>
      <c r="K35" s="65">
        <v>209196.09715637914</v>
      </c>
      <c r="N35" s="128"/>
      <c r="O35" s="51" t="s">
        <v>139</v>
      </c>
    </row>
    <row r="36" spans="2:15" ht="14.1" customHeight="1" x14ac:dyDescent="0.25">
      <c r="E36" s="94"/>
      <c r="F36" s="51" t="s">
        <v>40</v>
      </c>
      <c r="G36" s="60">
        <f>SUM(G31:G35)</f>
        <v>33823.576338798652</v>
      </c>
      <c r="H36" s="60">
        <f>SUM(H31:H35)</f>
        <v>93250.405452141815</v>
      </c>
      <c r="I36" s="60">
        <f>SUM(I31:I35)</f>
        <v>278375.55706706102</v>
      </c>
      <c r="J36" s="60">
        <f>SUM(J31:J35)</f>
        <v>304934.55421925161</v>
      </c>
      <c r="K36" s="60">
        <f>SUM(K31:K35)</f>
        <v>671360.66811359744</v>
      </c>
      <c r="N36" s="129"/>
    </row>
    <row r="37" spans="2:15" ht="14.1" customHeight="1" x14ac:dyDescent="0.25">
      <c r="E37" s="94"/>
    </row>
    <row r="38" spans="2:15" ht="14.1" customHeight="1" x14ac:dyDescent="0.25">
      <c r="B38" s="51" t="s">
        <v>42</v>
      </c>
      <c r="E38" s="94"/>
    </row>
    <row r="39" spans="2:15" ht="14.1" customHeight="1" x14ac:dyDescent="0.25">
      <c r="E39" s="94"/>
      <c r="G39" s="126" t="s">
        <v>115</v>
      </c>
      <c r="H39" s="126"/>
    </row>
    <row r="40" spans="2:15" ht="14.1" customHeight="1" x14ac:dyDescent="0.25">
      <c r="C40" s="58"/>
      <c r="D40" s="58"/>
      <c r="E40" s="96"/>
      <c r="F40" s="58"/>
      <c r="G40" s="130" t="s">
        <v>116</v>
      </c>
      <c r="H40" s="130"/>
    </row>
    <row r="41" spans="2:15" ht="14.1" customHeight="1" x14ac:dyDescent="0.25">
      <c r="C41" s="51" t="str">
        <f>C31</f>
        <v>Reconnect/Disconnect (site visit)</v>
      </c>
      <c r="F41" s="51" t="s">
        <v>44</v>
      </c>
      <c r="G41" s="65">
        <v>3765.56589740136</v>
      </c>
      <c r="N41" s="123" t="s">
        <v>159</v>
      </c>
      <c r="O41" s="51" t="s">
        <v>134</v>
      </c>
    </row>
    <row r="42" spans="2:15" ht="14.1" customHeight="1" x14ac:dyDescent="0.25">
      <c r="C42" s="51" t="str">
        <f>C32</f>
        <v>Reconnect/Disconnect Completed</v>
      </c>
      <c r="F42" s="51" t="s">
        <v>44</v>
      </c>
      <c r="G42" s="65">
        <v>13229.757179521717</v>
      </c>
      <c r="N42" s="124"/>
      <c r="O42" s="51" t="s">
        <v>135</v>
      </c>
    </row>
    <row r="43" spans="2:15" ht="14.1" customHeight="1" x14ac:dyDescent="0.25">
      <c r="C43" s="51" t="str">
        <f>C33</f>
        <v>Reconnect/Disconnect - Technical</v>
      </c>
      <c r="F43" s="51" t="s">
        <v>44</v>
      </c>
      <c r="G43" s="65">
        <v>8.476923076923077</v>
      </c>
      <c r="L43" s="20"/>
      <c r="N43" s="124"/>
      <c r="O43" s="51" t="s">
        <v>136</v>
      </c>
    </row>
    <row r="44" spans="2:15" ht="14.1" customHeight="1" x14ac:dyDescent="0.25">
      <c r="C44" s="51" t="str">
        <f>C34</f>
        <v>Reconnect/Disconnect - Pillar or Pole Completed</v>
      </c>
      <c r="F44" s="51" t="s">
        <v>44</v>
      </c>
      <c r="G44" s="65">
        <v>63.237460317460311</v>
      </c>
      <c r="L44" s="20"/>
      <c r="N44" s="124"/>
      <c r="O44" s="51" t="s">
        <v>137</v>
      </c>
    </row>
    <row r="45" spans="2:15" ht="14.1" customHeight="1" x14ac:dyDescent="0.25">
      <c r="C45" s="51" t="str">
        <f>C35</f>
        <v>Reconnect/Disconnect - Out of Business Hours</v>
      </c>
      <c r="F45" s="51" t="s">
        <v>44</v>
      </c>
      <c r="G45" s="65">
        <v>5159</v>
      </c>
      <c r="L45" s="95"/>
      <c r="N45" s="125"/>
      <c r="O45" s="51" t="s">
        <v>139</v>
      </c>
    </row>
    <row r="46" spans="2:15" ht="14.1" customHeight="1" x14ac:dyDescent="0.25">
      <c r="L46" s="4"/>
    </row>
    <row r="47" spans="2:15" ht="14.1" customHeight="1" x14ac:dyDescent="0.25">
      <c r="B47" s="51" t="s">
        <v>43</v>
      </c>
      <c r="L47" s="4"/>
    </row>
    <row r="48" spans="2:15" ht="14.1" customHeight="1" x14ac:dyDescent="0.25">
      <c r="G48" s="97" t="s">
        <v>117</v>
      </c>
      <c r="I48" s="97" t="s">
        <v>118</v>
      </c>
      <c r="L48" s="4"/>
    </row>
    <row r="49" spans="2:15" ht="14.1" customHeight="1" x14ac:dyDescent="0.25">
      <c r="C49" s="58"/>
      <c r="D49" s="58"/>
      <c r="E49" s="58"/>
      <c r="F49" s="58"/>
      <c r="G49" s="59" t="s">
        <v>67</v>
      </c>
      <c r="H49" s="59"/>
      <c r="I49" s="59" t="s">
        <v>119</v>
      </c>
      <c r="J49" s="59"/>
      <c r="K49" s="64"/>
    </row>
    <row r="50" spans="2:15" ht="14.1" customHeight="1" x14ac:dyDescent="0.25">
      <c r="C50" s="51" t="str">
        <f>C41</f>
        <v>Reconnect/Disconnect (site visit)</v>
      </c>
      <c r="G50" s="63"/>
    </row>
    <row r="51" spans="2:15" ht="14.1" customHeight="1" x14ac:dyDescent="0.25">
      <c r="D51" s="51" t="str">
        <f>D7</f>
        <v>Site Visit</v>
      </c>
      <c r="G51" s="98"/>
      <c r="I51" s="66">
        <v>0.7</v>
      </c>
      <c r="N51" s="123" t="s">
        <v>160</v>
      </c>
      <c r="O51" s="51" t="s">
        <v>134</v>
      </c>
    </row>
    <row r="52" spans="2:15" ht="14.25" customHeight="1" x14ac:dyDescent="0.25">
      <c r="C52" s="51" t="str">
        <f>C42</f>
        <v>Reconnect/Disconnect Completed</v>
      </c>
      <c r="G52" s="99"/>
      <c r="I52" s="61"/>
      <c r="N52" s="124"/>
    </row>
    <row r="53" spans="2:15" ht="12.75" x14ac:dyDescent="0.25">
      <c r="D53" s="51" t="str">
        <f>D9</f>
        <v>Reconnect/Disconnect Completed</v>
      </c>
      <c r="G53" s="98"/>
      <c r="I53" s="66">
        <v>0.92914726855478491</v>
      </c>
      <c r="N53" s="124"/>
      <c r="O53" s="51" t="s">
        <v>135</v>
      </c>
    </row>
    <row r="54" spans="2:15" ht="14.1" customHeight="1" x14ac:dyDescent="0.25">
      <c r="C54" s="51" t="str">
        <f>C43</f>
        <v>Reconnect/Disconnect - Technical</v>
      </c>
      <c r="G54" s="99"/>
      <c r="I54" s="61"/>
      <c r="N54" s="124"/>
    </row>
    <row r="55" spans="2:15" ht="14.1" customHeight="1" x14ac:dyDescent="0.25">
      <c r="D55" s="51" t="str">
        <f>D11</f>
        <v>Reconnect/Disconnect - Technical</v>
      </c>
      <c r="G55" s="98"/>
      <c r="I55" s="66">
        <v>0.92914726855478491</v>
      </c>
      <c r="N55" s="124"/>
      <c r="O55" s="51" t="s">
        <v>136</v>
      </c>
    </row>
    <row r="56" spans="2:15" ht="14.1" customHeight="1" x14ac:dyDescent="0.25">
      <c r="C56" s="51" t="str">
        <f>C44</f>
        <v>Reconnect/Disconnect - Pillar or Pole Completed</v>
      </c>
      <c r="G56" s="99"/>
      <c r="I56" s="61"/>
      <c r="N56" s="124"/>
    </row>
    <row r="57" spans="2:15" ht="14.1" customHeight="1" x14ac:dyDescent="0.25">
      <c r="D57" s="51" t="str">
        <f>D13</f>
        <v>Reconnect/Disconnect - Pillar or Pole Completed</v>
      </c>
      <c r="G57" s="99"/>
      <c r="I57" s="66">
        <v>3.4398218027347358</v>
      </c>
      <c r="N57" s="124"/>
      <c r="O57" s="51" t="s">
        <v>137</v>
      </c>
    </row>
    <row r="58" spans="2:15" ht="14.1" customHeight="1" x14ac:dyDescent="0.25">
      <c r="C58" s="51" t="str">
        <f>C45</f>
        <v>Reconnect/Disconnect - Out of Business Hours</v>
      </c>
      <c r="G58" s="99"/>
      <c r="I58" s="61"/>
      <c r="N58" s="124"/>
    </row>
    <row r="59" spans="2:15" ht="14.1" customHeight="1" x14ac:dyDescent="0.25">
      <c r="D59" s="51" t="str">
        <f>D15</f>
        <v>Reconnect/Disconnect - Out of Business Hours</v>
      </c>
      <c r="G59" s="98"/>
      <c r="I59" s="66">
        <v>0.78333333333333333</v>
      </c>
      <c r="N59" s="125"/>
      <c r="O59" s="51" t="s">
        <v>139</v>
      </c>
    </row>
    <row r="60" spans="2:15" ht="14.1" customHeight="1" x14ac:dyDescent="0.25">
      <c r="K60" s="63"/>
      <c r="L60" s="99"/>
    </row>
    <row r="61" spans="2:15" ht="14.1" customHeight="1" x14ac:dyDescent="0.25">
      <c r="B61" s="51" t="s">
        <v>41</v>
      </c>
    </row>
    <row r="62" spans="2:15" ht="14.1" customHeight="1" x14ac:dyDescent="0.25">
      <c r="C62" s="58"/>
      <c r="D62" s="58"/>
      <c r="E62" s="93" t="s">
        <v>112</v>
      </c>
      <c r="F62" s="58"/>
      <c r="G62" s="59" t="str">
        <f>GlobalInputs!G11</f>
        <v>2009/10</v>
      </c>
      <c r="H62" s="59" t="str">
        <f>GlobalInputs!H11</f>
        <v>2010/11</v>
      </c>
      <c r="I62" s="59" t="str">
        <f>GlobalInputs!I11</f>
        <v>2011/12</v>
      </c>
      <c r="J62" s="59" t="str">
        <f>GlobalInputs!J11</f>
        <v>2012/13</v>
      </c>
      <c r="K62" s="59" t="str">
        <f>GlobalInputs!K11</f>
        <v>2013/14</v>
      </c>
      <c r="N62" s="62"/>
    </row>
    <row r="63" spans="2:15" ht="14.1" customHeight="1" x14ac:dyDescent="0.25">
      <c r="C63" s="63" t="s">
        <v>83</v>
      </c>
      <c r="D63" s="63"/>
      <c r="E63" s="63"/>
      <c r="F63" s="63"/>
      <c r="G63" s="64"/>
      <c r="H63" s="64"/>
      <c r="I63" s="64"/>
      <c r="J63" s="64"/>
      <c r="K63" s="64"/>
      <c r="N63" s="127" t="s">
        <v>161</v>
      </c>
    </row>
    <row r="64" spans="2:15" ht="14.1" customHeight="1" x14ac:dyDescent="0.25">
      <c r="D64" s="51" t="str">
        <f>C31</f>
        <v>Reconnect/Disconnect (site visit)</v>
      </c>
      <c r="F64" s="51" t="s">
        <v>40</v>
      </c>
      <c r="G64" s="65">
        <v>74908.201381752428</v>
      </c>
      <c r="H64" s="65">
        <v>120219.64936016686</v>
      </c>
      <c r="I64" s="65">
        <v>135175.34582758811</v>
      </c>
      <c r="J64" s="65">
        <v>165902.36935318587</v>
      </c>
      <c r="K64" s="65">
        <v>229694.43962054412</v>
      </c>
      <c r="N64" s="128"/>
      <c r="O64" s="51" t="s">
        <v>134</v>
      </c>
    </row>
    <row r="65" spans="3:15" ht="14.1" customHeight="1" x14ac:dyDescent="0.25">
      <c r="D65" s="51" t="str">
        <f>C32</f>
        <v>Reconnect/Disconnect Completed</v>
      </c>
      <c r="G65" s="65">
        <v>318053.88342909137</v>
      </c>
      <c r="H65" s="65">
        <v>501773.72441215382</v>
      </c>
      <c r="I65" s="65">
        <v>567600.12124032876</v>
      </c>
      <c r="J65" s="65">
        <v>693670.00464748289</v>
      </c>
      <c r="K65" s="65">
        <v>905276.65218452294</v>
      </c>
      <c r="N65" s="128"/>
      <c r="O65" s="51" t="s">
        <v>135</v>
      </c>
    </row>
    <row r="66" spans="3:15" ht="14.1" customHeight="1" x14ac:dyDescent="0.25">
      <c r="D66" s="51" t="str">
        <f>C33</f>
        <v>Reconnect/Disconnect - Technical</v>
      </c>
      <c r="G66" s="65">
        <v>0</v>
      </c>
      <c r="H66" s="65">
        <v>283.02130569984854</v>
      </c>
      <c r="I66" s="65">
        <v>2754.4573365777082</v>
      </c>
      <c r="J66" s="65">
        <v>1729.6316027281123</v>
      </c>
      <c r="K66" s="65">
        <v>580.18814354584867</v>
      </c>
      <c r="N66" s="128"/>
      <c r="O66" s="51" t="s">
        <v>136</v>
      </c>
    </row>
    <row r="67" spans="3:15" ht="14.1" customHeight="1" x14ac:dyDescent="0.25">
      <c r="D67" s="51" t="str">
        <f>C34</f>
        <v>Reconnect/Disconnect - Pillar or Pole Completed</v>
      </c>
      <c r="G67" s="65">
        <v>15281.306233164432</v>
      </c>
      <c r="H67" s="65">
        <v>21452.972714294774</v>
      </c>
      <c r="I67" s="65">
        <v>16970.424964908299</v>
      </c>
      <c r="J67" s="65">
        <v>20459.017114285263</v>
      </c>
      <c r="K67" s="65">
        <v>13533.97839785133</v>
      </c>
      <c r="N67" s="128"/>
      <c r="O67" s="51" t="s">
        <v>137</v>
      </c>
    </row>
    <row r="68" spans="3:15" ht="14.1" customHeight="1" x14ac:dyDescent="0.25">
      <c r="D68" s="51" t="str">
        <f>C35</f>
        <v>Reconnect/Disconnect - Out of Business Hours</v>
      </c>
      <c r="G68" s="65">
        <v>155.20872025064955</v>
      </c>
      <c r="H68" s="65">
        <v>242652.89002872485</v>
      </c>
      <c r="I68" s="65">
        <v>346806.97252329445</v>
      </c>
      <c r="J68" s="65">
        <v>378881.94390128402</v>
      </c>
      <c r="K68" s="65">
        <v>352988.12368751888</v>
      </c>
      <c r="N68" s="128"/>
      <c r="O68" s="51" t="s">
        <v>139</v>
      </c>
    </row>
    <row r="69" spans="3:15" ht="14.1" customHeight="1" x14ac:dyDescent="0.25">
      <c r="F69" s="51" t="s">
        <v>40</v>
      </c>
      <c r="G69" s="60">
        <f>SUM(G64:G68)</f>
        <v>408398.59976425889</v>
      </c>
      <c r="H69" s="60">
        <f>SUM(H64:H68)</f>
        <v>886382.25782104023</v>
      </c>
      <c r="I69" s="60">
        <f>SUM(I64:I68)</f>
        <v>1069307.3218926974</v>
      </c>
      <c r="J69" s="60">
        <f>SUM(J64:J68)</f>
        <v>1260642.9666189663</v>
      </c>
      <c r="K69" s="60">
        <f>SUM(K64:K68)</f>
        <v>1502073.3820339832</v>
      </c>
      <c r="N69" s="129"/>
    </row>
    <row r="71" spans="3:15" ht="14.1" customHeight="1" x14ac:dyDescent="0.25">
      <c r="C71" s="63" t="s">
        <v>84</v>
      </c>
      <c r="D71" s="63"/>
      <c r="E71" s="63"/>
      <c r="N71" s="127"/>
    </row>
    <row r="72" spans="3:15" ht="14.1" customHeight="1" x14ac:dyDescent="0.25">
      <c r="D72" s="51" t="str">
        <f>D64</f>
        <v>Reconnect/Disconnect (site visit)</v>
      </c>
      <c r="F72" s="51" t="s">
        <v>40</v>
      </c>
      <c r="G72" s="65">
        <v>44934.173609384387</v>
      </c>
      <c r="H72" s="65">
        <v>62394.166131441147</v>
      </c>
      <c r="I72" s="65">
        <v>70788.835669979177</v>
      </c>
      <c r="J72" s="65">
        <v>77707.583803857386</v>
      </c>
      <c r="K72" s="65">
        <v>123574.34000851585</v>
      </c>
      <c r="N72" s="128"/>
      <c r="O72" s="51" t="s">
        <v>134</v>
      </c>
    </row>
    <row r="73" spans="3:15" ht="14.1" customHeight="1" x14ac:dyDescent="0.25">
      <c r="D73" s="51" t="str">
        <f>D65</f>
        <v>Reconnect/Disconnect Completed</v>
      </c>
      <c r="G73" s="65">
        <v>190786.69827230813</v>
      </c>
      <c r="H73" s="65">
        <v>260421.26464342597</v>
      </c>
      <c r="I73" s="65">
        <v>297241.71566011669</v>
      </c>
      <c r="J73" s="65">
        <v>324910.48939519736</v>
      </c>
      <c r="K73" s="65">
        <v>487033.83940694883</v>
      </c>
      <c r="N73" s="128"/>
      <c r="O73" s="51" t="s">
        <v>135</v>
      </c>
    </row>
    <row r="74" spans="3:15" ht="14.1" customHeight="1" x14ac:dyDescent="0.25">
      <c r="D74" s="51" t="str">
        <f>D66</f>
        <v>Reconnect/Disconnect - Technical</v>
      </c>
      <c r="G74" s="65">
        <v>0</v>
      </c>
      <c r="H74" s="65">
        <v>146.88845343134707</v>
      </c>
      <c r="I74" s="65">
        <v>1442.4585087258804</v>
      </c>
      <c r="J74" s="65">
        <v>810.14812050491014</v>
      </c>
      <c r="K74" s="65">
        <v>312.13801708864577</v>
      </c>
      <c r="N74" s="128"/>
      <c r="O74" s="51" t="s">
        <v>136</v>
      </c>
    </row>
    <row r="75" spans="3:15" ht="14.1" customHeight="1" x14ac:dyDescent="0.25">
      <c r="D75" s="51" t="str">
        <f>D67</f>
        <v>Reconnect/Disconnect - Pillar or Pole Completed</v>
      </c>
      <c r="G75" s="65">
        <v>9166.5913023303001</v>
      </c>
      <c r="H75" s="65">
        <v>11134.122838262821</v>
      </c>
      <c r="I75" s="65">
        <v>8887.0985810004677</v>
      </c>
      <c r="J75" s="65">
        <v>9582.8696910792169</v>
      </c>
      <c r="K75" s="65">
        <v>7281.2056354820143</v>
      </c>
      <c r="N75" s="128"/>
      <c r="O75" s="51" t="s">
        <v>137</v>
      </c>
    </row>
    <row r="76" spans="3:15" ht="14.1" customHeight="1" x14ac:dyDescent="0.25">
      <c r="D76" s="51" t="str">
        <f t="shared" ref="D76" si="0">D68</f>
        <v>Reconnect/Disconnect - Out of Business Hours</v>
      </c>
      <c r="G76" s="65">
        <v>93.10296406518664</v>
      </c>
      <c r="H76" s="65">
        <v>125937.18924739312</v>
      </c>
      <c r="I76" s="65">
        <v>181616.41560338452</v>
      </c>
      <c r="J76" s="65">
        <v>177465.8223524162</v>
      </c>
      <c r="K76" s="65">
        <v>189905.66113655313</v>
      </c>
      <c r="N76" s="128"/>
      <c r="O76" s="51" t="s">
        <v>139</v>
      </c>
    </row>
    <row r="77" spans="3:15" ht="14.1" customHeight="1" x14ac:dyDescent="0.25">
      <c r="F77" s="51" t="s">
        <v>40</v>
      </c>
      <c r="G77" s="60">
        <f>SUM(G72:G76)</f>
        <v>244980.56614808799</v>
      </c>
      <c r="H77" s="60">
        <f>SUM(H72:H76)</f>
        <v>460033.63131395442</v>
      </c>
      <c r="I77" s="60">
        <f>SUM(I72:I76)</f>
        <v>559976.52402320667</v>
      </c>
      <c r="J77" s="60">
        <f>SUM(J72:J76)</f>
        <v>590476.91336305509</v>
      </c>
      <c r="K77" s="60">
        <f>SUM(K72:K76)</f>
        <v>808107.18420458841</v>
      </c>
      <c r="N77" s="129"/>
    </row>
  </sheetData>
  <mergeCells count="8">
    <mergeCell ref="N18:N27"/>
    <mergeCell ref="G39:H39"/>
    <mergeCell ref="N31:N36"/>
    <mergeCell ref="G40:H40"/>
    <mergeCell ref="N71:N77"/>
    <mergeCell ref="N63:N69"/>
    <mergeCell ref="N41:N45"/>
    <mergeCell ref="N51:N59"/>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18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P116"/>
  <sheetViews>
    <sheetView zoomScale="90" zoomScaleNormal="90" zoomScalePageLayoutView="125" workbookViewId="0">
      <pane xSplit="5" ySplit="4" topLeftCell="F75" activePane="bottomRight" state="frozenSplit"/>
      <selection pane="topRight" activeCell="E1" sqref="E1"/>
      <selection pane="bottomLeft" activeCell="A5" sqref="A5"/>
      <selection pane="bottomRight" activeCell="C76" sqref="C76"/>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0.85546875" style="4" customWidth="1"/>
    <col min="7" max="8" width="12" style="4" customWidth="1"/>
    <col min="9" max="13" width="10.85546875" style="4" customWidth="1"/>
    <col min="14" max="14" width="2.42578125" style="4" customWidth="1"/>
    <col min="15" max="15" width="46.7109375" style="18" customWidth="1"/>
    <col min="16" max="16" width="4.85546875" style="4" customWidth="1"/>
    <col min="17" max="19" width="9.140625" style="4" customWidth="1"/>
    <col min="20" max="16384" width="9.140625" style="4"/>
  </cols>
  <sheetData>
    <row r="1" spans="1:16" ht="14.1" customHeight="1" x14ac:dyDescent="0.2">
      <c r="A1" s="13" t="s">
        <v>15</v>
      </c>
      <c r="B1" s="13"/>
      <c r="C1" s="13"/>
      <c r="D1" s="13"/>
      <c r="E1" s="13"/>
      <c r="F1" s="13"/>
      <c r="G1" s="13"/>
      <c r="H1" s="13"/>
      <c r="I1" s="13"/>
      <c r="J1" s="13"/>
      <c r="K1" s="13"/>
      <c r="L1" s="13"/>
      <c r="M1" s="13"/>
      <c r="N1" s="13"/>
      <c r="P1" s="13"/>
    </row>
    <row r="2" spans="1:16" ht="15.95" customHeight="1" x14ac:dyDescent="0.25">
      <c r="A2" s="15" t="s">
        <v>61</v>
      </c>
      <c r="B2" s="14"/>
      <c r="C2" s="14"/>
      <c r="D2" s="14"/>
      <c r="E2" s="14"/>
      <c r="F2" s="45" t="str">
        <f>IF(ROUND($E$5,6)=0,"ok","Problem - review CheckSheet")</f>
        <v>ok</v>
      </c>
      <c r="G2" s="14"/>
      <c r="H2" s="14"/>
      <c r="I2" s="14"/>
      <c r="J2" s="14"/>
      <c r="K2" s="14"/>
      <c r="L2" s="14"/>
      <c r="M2" s="14"/>
      <c r="N2" s="14"/>
      <c r="O2" s="19"/>
      <c r="P2" s="14"/>
    </row>
    <row r="3" spans="1:16" ht="14.1" customHeight="1" x14ac:dyDescent="0.25">
      <c r="A3" s="4" t="str">
        <f>GlobalInputs!G8</f>
        <v>Disconnection and reconnection fees</v>
      </c>
      <c r="O3" s="16" t="s">
        <v>38</v>
      </c>
    </row>
    <row r="5" spans="1:16" ht="14.1" customHeight="1" x14ac:dyDescent="0.25">
      <c r="B5" s="4" t="s">
        <v>45</v>
      </c>
    </row>
    <row r="6" spans="1:16" ht="14.1" customHeight="1" x14ac:dyDescent="0.25">
      <c r="C6" s="4" t="s">
        <v>46</v>
      </c>
    </row>
    <row r="7" spans="1:16" ht="14.1" customHeight="1" x14ac:dyDescent="0.25">
      <c r="D7" s="4" t="str">
        <f>ServiceHistory!C50</f>
        <v>Reconnect/Disconnect (site visit)</v>
      </c>
      <c r="O7" s="127" t="s">
        <v>122</v>
      </c>
      <c r="P7" s="4" t="s">
        <v>134</v>
      </c>
    </row>
    <row r="8" spans="1:16" ht="14.1" customHeight="1" x14ac:dyDescent="0.25">
      <c r="E8" s="4" t="str">
        <f>ServiceHistory!D51</f>
        <v>Site Visit</v>
      </c>
      <c r="G8" s="67" t="s">
        <v>147</v>
      </c>
      <c r="O8" s="128"/>
    </row>
    <row r="9" spans="1:16" ht="14.1" customHeight="1" x14ac:dyDescent="0.25">
      <c r="D9" s="4" t="str">
        <f>ServiceHistory!C52</f>
        <v>Reconnect/Disconnect Completed</v>
      </c>
      <c r="G9" s="5"/>
      <c r="O9" s="128"/>
      <c r="P9" s="4" t="s">
        <v>135</v>
      </c>
    </row>
    <row r="10" spans="1:16" ht="14.1" customHeight="1" x14ac:dyDescent="0.25">
      <c r="E10" s="4" t="str">
        <f>ServiceHistory!D53</f>
        <v>Reconnect/Disconnect Completed</v>
      </c>
      <c r="G10" s="67" t="s">
        <v>147</v>
      </c>
      <c r="O10" s="128"/>
    </row>
    <row r="11" spans="1:16" ht="14.1" customHeight="1" x14ac:dyDescent="0.25">
      <c r="D11" s="4" t="str">
        <f>ServiceHistory!C54</f>
        <v>Reconnect/Disconnect - Technical</v>
      </c>
      <c r="G11" s="5"/>
      <c r="O11" s="128"/>
      <c r="P11" s="4" t="s">
        <v>136</v>
      </c>
    </row>
    <row r="12" spans="1:16" ht="14.1" customHeight="1" x14ac:dyDescent="0.25">
      <c r="E12" s="4" t="str">
        <f>ServiceHistory!D55</f>
        <v>Reconnect/Disconnect - Technical</v>
      </c>
      <c r="G12" s="67" t="s">
        <v>147</v>
      </c>
      <c r="O12" s="128"/>
    </row>
    <row r="13" spans="1:16" ht="14.1" customHeight="1" x14ac:dyDescent="0.25">
      <c r="D13" s="4" t="str">
        <f>ServiceHistory!C56</f>
        <v>Reconnect/Disconnect - Pillar or Pole Completed</v>
      </c>
      <c r="O13" s="128"/>
      <c r="P13" s="4" t="s">
        <v>137</v>
      </c>
    </row>
    <row r="14" spans="1:16" ht="14.1" customHeight="1" x14ac:dyDescent="0.25">
      <c r="E14" s="4" t="str">
        <f>ServiceHistory!D57</f>
        <v>Reconnect/Disconnect - Pillar or Pole Completed</v>
      </c>
      <c r="G14" s="67" t="s">
        <v>147</v>
      </c>
      <c r="O14" s="128"/>
    </row>
    <row r="15" spans="1:16" ht="14.1" customHeight="1" x14ac:dyDescent="0.25">
      <c r="D15" s="4" t="str">
        <f>ServiceHistory!C58</f>
        <v>Reconnect/Disconnect - Out of Business Hours</v>
      </c>
      <c r="G15" s="5"/>
      <c r="O15" s="128"/>
      <c r="P15" s="4" t="s">
        <v>139</v>
      </c>
    </row>
    <row r="16" spans="1:16" ht="14.1" customHeight="1" x14ac:dyDescent="0.25">
      <c r="E16" s="4" t="str">
        <f>ServiceHistory!D59</f>
        <v>Reconnect/Disconnect - Out of Business Hours</v>
      </c>
      <c r="G16" s="67" t="s">
        <v>147</v>
      </c>
      <c r="O16" s="129"/>
    </row>
    <row r="18" spans="3:15" ht="14.1" customHeight="1" x14ac:dyDescent="0.25">
      <c r="C18" s="4" t="s">
        <v>47</v>
      </c>
      <c r="G18" s="11" t="s">
        <v>68</v>
      </c>
      <c r="H18" s="11" t="s">
        <v>48</v>
      </c>
      <c r="I18" s="11" t="s">
        <v>70</v>
      </c>
    </row>
    <row r="19" spans="3:15" ht="14.1" customHeight="1" x14ac:dyDescent="0.25">
      <c r="D19" s="6"/>
      <c r="E19" s="6"/>
      <c r="F19" s="6"/>
      <c r="G19" s="7" t="s">
        <v>67</v>
      </c>
      <c r="H19" s="7" t="s">
        <v>49</v>
      </c>
      <c r="I19" s="7" t="s">
        <v>71</v>
      </c>
    </row>
    <row r="20" spans="3:15" ht="14.1" customHeight="1" x14ac:dyDescent="0.25">
      <c r="D20" s="4" t="str">
        <f>D7</f>
        <v>Reconnect/Disconnect (site visit)</v>
      </c>
      <c r="O20" s="127"/>
    </row>
    <row r="21" spans="3:15" ht="14.1" customHeight="1" x14ac:dyDescent="0.25">
      <c r="E21" s="4" t="str">
        <f>E8</f>
        <v>Site Visit</v>
      </c>
      <c r="G21" s="21">
        <f>ServiceHistory!G51</f>
        <v>0</v>
      </c>
      <c r="H21" s="17">
        <f>ServiceHistory!I51</f>
        <v>0.7</v>
      </c>
      <c r="I21" s="68">
        <f>H21</f>
        <v>0.7</v>
      </c>
      <c r="O21" s="128"/>
    </row>
    <row r="22" spans="3:15" ht="14.1" customHeight="1" x14ac:dyDescent="0.25">
      <c r="D22" s="4" t="str">
        <f>D9</f>
        <v>Reconnect/Disconnect Completed</v>
      </c>
      <c r="O22" s="127"/>
    </row>
    <row r="23" spans="3:15" ht="14.1" customHeight="1" x14ac:dyDescent="0.25">
      <c r="E23" s="4" t="str">
        <f>E10</f>
        <v>Reconnect/Disconnect Completed</v>
      </c>
      <c r="G23" s="21">
        <f>ServiceHistory!G53</f>
        <v>0</v>
      </c>
      <c r="H23" s="17">
        <f>ServiceHistory!I53</f>
        <v>0.92914726855478491</v>
      </c>
      <c r="I23" s="68">
        <f t="shared" ref="I23" si="0">H23</f>
        <v>0.92914726855478491</v>
      </c>
      <c r="O23" s="128"/>
    </row>
    <row r="24" spans="3:15" ht="14.1" customHeight="1" x14ac:dyDescent="0.25">
      <c r="D24" s="4" t="str">
        <f>D11</f>
        <v>Reconnect/Disconnect - Technical</v>
      </c>
      <c r="O24" s="127"/>
    </row>
    <row r="25" spans="3:15" ht="14.1" customHeight="1" x14ac:dyDescent="0.25">
      <c r="E25" s="4" t="str">
        <f>E12</f>
        <v>Reconnect/Disconnect - Technical</v>
      </c>
      <c r="G25" s="21">
        <f>ServiceHistory!G55</f>
        <v>0</v>
      </c>
      <c r="H25" s="17">
        <f>ServiceHistory!I55</f>
        <v>0.92914726855478491</v>
      </c>
      <c r="I25" s="68">
        <f t="shared" ref="I25" si="1">H25</f>
        <v>0.92914726855478491</v>
      </c>
      <c r="O25" s="128"/>
    </row>
    <row r="26" spans="3:15" ht="14.1" customHeight="1" x14ac:dyDescent="0.25">
      <c r="D26" s="4" t="str">
        <f>D13</f>
        <v>Reconnect/Disconnect - Pillar or Pole Completed</v>
      </c>
      <c r="O26" s="127"/>
    </row>
    <row r="27" spans="3:15" ht="14.1" customHeight="1" x14ac:dyDescent="0.25">
      <c r="E27" s="4" t="str">
        <f>E14</f>
        <v>Reconnect/Disconnect - Pillar or Pole Completed</v>
      </c>
      <c r="G27" s="21">
        <f>ServiceHistory!G57</f>
        <v>0</v>
      </c>
      <c r="H27" s="17">
        <f>ServiceHistory!I57</f>
        <v>3.4398218027347358</v>
      </c>
      <c r="I27" s="68">
        <f t="shared" ref="I27:I29" si="2">H27</f>
        <v>3.4398218027347358</v>
      </c>
      <c r="O27" s="128"/>
    </row>
    <row r="28" spans="3:15" ht="14.1" customHeight="1" x14ac:dyDescent="0.25">
      <c r="D28" s="4" t="str">
        <f>D15</f>
        <v>Reconnect/Disconnect - Out of Business Hours</v>
      </c>
      <c r="G28" s="21"/>
      <c r="H28" s="17"/>
      <c r="I28" s="104"/>
      <c r="O28" s="127"/>
    </row>
    <row r="29" spans="3:15" ht="14.1" customHeight="1" x14ac:dyDescent="0.25">
      <c r="E29" s="4" t="str">
        <f>E16</f>
        <v>Reconnect/Disconnect - Out of Business Hours</v>
      </c>
      <c r="G29" s="21">
        <f>ServiceHistory!G59</f>
        <v>0</v>
      </c>
      <c r="H29" s="17">
        <f>ServiceHistory!I59</f>
        <v>0.78333333333333333</v>
      </c>
      <c r="I29" s="68">
        <f t="shared" si="2"/>
        <v>0.78333333333333333</v>
      </c>
      <c r="O29" s="129"/>
    </row>
    <row r="31" spans="3:15" ht="14.1" customHeight="1" x14ac:dyDescent="0.25">
      <c r="C31" s="4" t="s">
        <v>50</v>
      </c>
      <c r="G31" s="11" t="s">
        <v>48</v>
      </c>
      <c r="H31" s="11" t="s">
        <v>121</v>
      </c>
    </row>
    <row r="32" spans="3:15" ht="14.1" customHeight="1" x14ac:dyDescent="0.25">
      <c r="D32" s="6"/>
      <c r="E32" s="6"/>
      <c r="F32" s="6"/>
      <c r="G32" s="7" t="s">
        <v>49</v>
      </c>
      <c r="H32" s="7" t="s">
        <v>71</v>
      </c>
    </row>
    <row r="34" spans="3:16" ht="14.1" customHeight="1" x14ac:dyDescent="0.25">
      <c r="C34" s="4" t="s">
        <v>74</v>
      </c>
      <c r="K34" s="23"/>
    </row>
    <row r="35" spans="3:16" ht="14.1" customHeight="1" x14ac:dyDescent="0.25">
      <c r="D35" s="6"/>
      <c r="E35" s="6"/>
      <c r="F35" s="6"/>
      <c r="G35" s="7" t="s">
        <v>52</v>
      </c>
      <c r="H35" s="6" t="s">
        <v>0</v>
      </c>
      <c r="I35" s="6"/>
      <c r="J35" s="6"/>
    </row>
    <row r="36" spans="3:16" ht="14.1" customHeight="1" x14ac:dyDescent="0.25">
      <c r="D36" s="4" t="str">
        <f>D7</f>
        <v>Reconnect/Disconnect (site visit)</v>
      </c>
      <c r="O36" s="127"/>
      <c r="P36" s="4" t="s">
        <v>134</v>
      </c>
    </row>
    <row r="37" spans="3:16" ht="14.1" customHeight="1" x14ac:dyDescent="0.25">
      <c r="E37" s="4" t="str">
        <f>E8</f>
        <v>Site Visit</v>
      </c>
      <c r="G37" s="69" t="s">
        <v>36</v>
      </c>
      <c r="H37" s="4" t="str">
        <f>VLOOKUP(G37,GlobalInputs!$C$17:$G$26,3,FALSE)</f>
        <v>Field Worker</v>
      </c>
      <c r="O37" s="128"/>
    </row>
    <row r="38" spans="3:16" ht="14.1" customHeight="1" x14ac:dyDescent="0.25">
      <c r="D38" s="4" t="str">
        <f>D9</f>
        <v>Reconnect/Disconnect Completed</v>
      </c>
      <c r="G38" s="11"/>
      <c r="O38" s="128"/>
      <c r="P38" s="4" t="s">
        <v>135</v>
      </c>
    </row>
    <row r="39" spans="3:16" ht="14.1" customHeight="1" x14ac:dyDescent="0.25">
      <c r="E39" s="4" t="str">
        <f>E10</f>
        <v>Reconnect/Disconnect Completed</v>
      </c>
      <c r="G39" s="69" t="s">
        <v>36</v>
      </c>
      <c r="H39" s="4" t="str">
        <f>VLOOKUP(G39,GlobalInputs!$C$17:$G$26,3,FALSE)</f>
        <v>Field Worker</v>
      </c>
      <c r="O39" s="128"/>
    </row>
    <row r="40" spans="3:16" ht="14.1" customHeight="1" x14ac:dyDescent="0.25">
      <c r="D40" s="4" t="str">
        <f>D11</f>
        <v>Reconnect/Disconnect - Technical</v>
      </c>
      <c r="G40" s="11"/>
      <c r="O40" s="128"/>
      <c r="P40" s="4" t="s">
        <v>136</v>
      </c>
    </row>
    <row r="41" spans="3:16" ht="14.1" customHeight="1" x14ac:dyDescent="0.25">
      <c r="E41" s="4" t="str">
        <f>E12</f>
        <v>Reconnect/Disconnect - Technical</v>
      </c>
      <c r="G41" s="69" t="s">
        <v>36</v>
      </c>
      <c r="H41" s="4" t="str">
        <f>VLOOKUP(G41,GlobalInputs!$C$17:$G$26,3,FALSE)</f>
        <v>Field Worker</v>
      </c>
      <c r="O41" s="128"/>
    </row>
    <row r="42" spans="3:16" ht="14.1" customHeight="1" x14ac:dyDescent="0.25">
      <c r="D42" s="4" t="str">
        <f>D13</f>
        <v>Reconnect/Disconnect - Pillar or Pole Completed</v>
      </c>
      <c r="O42" s="128"/>
      <c r="P42" s="4" t="s">
        <v>137</v>
      </c>
    </row>
    <row r="43" spans="3:16" ht="14.1" customHeight="1" x14ac:dyDescent="0.25">
      <c r="E43" s="4" t="str">
        <f>E14</f>
        <v>Reconnect/Disconnect - Pillar or Pole Completed</v>
      </c>
      <c r="G43" s="69" t="s">
        <v>36</v>
      </c>
      <c r="H43" s="4" t="str">
        <f>VLOOKUP(G43,GlobalInputs!$C$17:$G$26,3,FALSE)</f>
        <v>Field Worker</v>
      </c>
      <c r="O43" s="128"/>
    </row>
    <row r="44" spans="3:16" ht="14.1" customHeight="1" x14ac:dyDescent="0.25">
      <c r="D44" s="4" t="str">
        <f>D15</f>
        <v>Reconnect/Disconnect - Out of Business Hours</v>
      </c>
      <c r="G44" s="11"/>
      <c r="O44" s="128"/>
      <c r="P44" s="4" t="s">
        <v>139</v>
      </c>
    </row>
    <row r="45" spans="3:16" ht="14.1" customHeight="1" x14ac:dyDescent="0.25">
      <c r="E45" s="4" t="str">
        <f>E16</f>
        <v>Reconnect/Disconnect - Out of Business Hours</v>
      </c>
      <c r="G45" s="69" t="s">
        <v>36</v>
      </c>
      <c r="H45" s="4" t="str">
        <f>VLOOKUP(G45,GlobalInputs!$C$17:$G$26,3,FALSE)</f>
        <v>Field Worker</v>
      </c>
      <c r="I45" s="4" t="s">
        <v>168</v>
      </c>
      <c r="O45" s="129"/>
    </row>
    <row r="47" spans="3:16" ht="14.1" customHeight="1" x14ac:dyDescent="0.25">
      <c r="C47" s="4" t="s">
        <v>103</v>
      </c>
    </row>
    <row r="48" spans="3:16" ht="14.1" customHeight="1" x14ac:dyDescent="0.25">
      <c r="G48" s="92" t="s">
        <v>95</v>
      </c>
      <c r="H48" s="92" t="s">
        <v>96</v>
      </c>
      <c r="I48" s="4" t="s">
        <v>154</v>
      </c>
      <c r="J48" s="92" t="s">
        <v>98</v>
      </c>
    </row>
    <row r="49" spans="3:16" ht="14.1" customHeight="1" x14ac:dyDescent="0.25">
      <c r="D49" s="6"/>
      <c r="E49" s="90" t="s">
        <v>99</v>
      </c>
      <c r="F49" s="6"/>
      <c r="G49" s="100" t="s">
        <v>83</v>
      </c>
      <c r="H49" s="100" t="s">
        <v>84</v>
      </c>
      <c r="I49" s="6" t="s">
        <v>155</v>
      </c>
      <c r="J49" s="91" t="s">
        <v>102</v>
      </c>
    </row>
    <row r="50" spans="3:16" ht="14.1" customHeight="1" x14ac:dyDescent="0.25">
      <c r="D50" s="4" t="str">
        <f>D36</f>
        <v>Reconnect/Disconnect (site visit)</v>
      </c>
      <c r="O50" s="127" t="s">
        <v>166</v>
      </c>
    </row>
    <row r="51" spans="3:16" ht="14.1" customHeight="1" x14ac:dyDescent="0.25">
      <c r="E51" s="4" t="str">
        <f>E37</f>
        <v>Site Visit</v>
      </c>
      <c r="F51" s="4" t="s">
        <v>29</v>
      </c>
      <c r="G51" s="21">
        <f>VLOOKUP($G37,GlobalInputs!$C$17:$K$26,5,FALSE)</f>
        <v>87.320000000000007</v>
      </c>
      <c r="H51" s="21">
        <f>VLOOKUP($G37,GlobalInputs!$C$17:$K$26,6,FALSE)</f>
        <v>31.711683221871283</v>
      </c>
      <c r="I51" s="21">
        <f>SUM(G51:H51)*0.0221</f>
        <v>2.6306001992033559</v>
      </c>
      <c r="J51" s="21">
        <f>VLOOKUP($G37,GlobalInputs!$C$17:$K$26,8,FALSE)</f>
        <v>121.6620467874102</v>
      </c>
      <c r="O51" s="128"/>
    </row>
    <row r="52" spans="3:16" ht="14.1" customHeight="1" x14ac:dyDescent="0.25">
      <c r="D52" s="4" t="str">
        <f>D38</f>
        <v>Reconnect/Disconnect Completed</v>
      </c>
      <c r="H52" s="21"/>
      <c r="O52" s="128"/>
    </row>
    <row r="53" spans="3:16" ht="14.1" customHeight="1" x14ac:dyDescent="0.25">
      <c r="E53" s="4" t="str">
        <f>E39</f>
        <v>Reconnect/Disconnect Completed</v>
      </c>
      <c r="G53" s="21">
        <f>VLOOKUP($G39,GlobalInputs!$C$17:$K$26,5,FALSE)+G96</f>
        <v>87.804315043728153</v>
      </c>
      <c r="H53" s="21">
        <f>VLOOKUP($G39,GlobalInputs!$C$17:$K$26,6,FALSE)+H96</f>
        <v>31.913497300592802</v>
      </c>
      <c r="I53" s="21">
        <f>SUM(G53:H53)*0.0221</f>
        <v>2.6457636528094932</v>
      </c>
      <c r="J53" s="21">
        <f>VLOOKUP($G39,GlobalInputs!$C$17:$K$26,8,FALSE)+J96</f>
        <v>122.34817590985988</v>
      </c>
      <c r="O53" s="128"/>
    </row>
    <row r="54" spans="3:16" ht="14.1" customHeight="1" x14ac:dyDescent="0.25">
      <c r="D54" s="4" t="str">
        <f>D40</f>
        <v>Reconnect/Disconnect - Technical</v>
      </c>
      <c r="H54" s="21"/>
      <c r="O54" s="128"/>
    </row>
    <row r="55" spans="3:16" ht="14.1" customHeight="1" x14ac:dyDescent="0.25">
      <c r="E55" s="4" t="str">
        <f>E41</f>
        <v>Reconnect/Disconnect - Technical</v>
      </c>
      <c r="G55" s="21">
        <f>VLOOKUP($G41,GlobalInputs!$C$17:$K$26,5,FALSE)+G99</f>
        <v>87.804315043728153</v>
      </c>
      <c r="H55" s="21">
        <f>VLOOKUP($G41,GlobalInputs!$C$17:$K$26,6,FALSE)+H99</f>
        <v>31.913497300592802</v>
      </c>
      <c r="I55" s="21">
        <f>SUM(G55:H55)*0.0221</f>
        <v>2.6457636528094932</v>
      </c>
      <c r="J55" s="21">
        <f>VLOOKUP($G41,GlobalInputs!$C$17:$K$26,8,FALSE)+J99</f>
        <v>122.34817590985988</v>
      </c>
      <c r="O55" s="128"/>
    </row>
    <row r="56" spans="3:16" ht="14.1" customHeight="1" x14ac:dyDescent="0.25">
      <c r="D56" s="4" t="str">
        <f>D42</f>
        <v>Reconnect/Disconnect - Pillar or Pole Completed</v>
      </c>
      <c r="H56" s="21"/>
      <c r="O56" s="128"/>
    </row>
    <row r="57" spans="3:16" ht="14.1" customHeight="1" x14ac:dyDescent="0.25">
      <c r="E57" s="4" t="str">
        <f>E43</f>
        <v>Reconnect/Disconnect - Pillar or Pole Completed</v>
      </c>
      <c r="G57" s="21">
        <f>VLOOKUP($G43,GlobalInputs!$C$17:$K$26,5,FALSE)+G102</f>
        <v>87.450820730202437</v>
      </c>
      <c r="H57" s="21">
        <f>VLOOKUP($G43,GlobalInputs!$C$17:$K$26,6,FALSE)+H102</f>
        <v>31.766196220146636</v>
      </c>
      <c r="I57" s="21">
        <f>SUM(G57:H57)*0.0221</f>
        <v>2.6346960746027146</v>
      </c>
      <c r="J57" s="21">
        <f>VLOOKUP($G43,GlobalInputs!$C$17:$K$26,8,FALSE)+J102</f>
        <v>121.84738051588799</v>
      </c>
      <c r="O57" s="128"/>
    </row>
    <row r="58" spans="3:16" ht="14.1" customHeight="1" x14ac:dyDescent="0.25">
      <c r="D58" s="4" t="str">
        <f>D44</f>
        <v>Reconnect/Disconnect - Out of Business Hours</v>
      </c>
      <c r="H58" s="21"/>
      <c r="O58" s="128"/>
    </row>
    <row r="59" spans="3:16" ht="14.1" customHeight="1" x14ac:dyDescent="0.25">
      <c r="E59" s="4" t="str">
        <f>E45</f>
        <v>Reconnect/Disconnect - Out of Business Hours</v>
      </c>
      <c r="G59" s="116">
        <f>GlobalInputs!G31+G104</f>
        <v>103.03623638297873</v>
      </c>
      <c r="H59" s="116">
        <f>G59*H92+G59*H93</f>
        <v>37.417558794802559</v>
      </c>
      <c r="I59" s="21">
        <f>SUM(G59:H59)*0.0221</f>
        <v>3.1040288734289665</v>
      </c>
      <c r="J59" s="116">
        <f>SUM(G59:H59)*(1+I92)+J104</f>
        <v>144.24226518807265</v>
      </c>
      <c r="O59" s="129"/>
    </row>
    <row r="60" spans="3:16" ht="14.1" customHeight="1" x14ac:dyDescent="0.25">
      <c r="H60" s="21"/>
    </row>
    <row r="62" spans="3:16" ht="14.1" customHeight="1" x14ac:dyDescent="0.25">
      <c r="C62" s="4" t="s">
        <v>51</v>
      </c>
      <c r="G62" s="11" t="s">
        <v>48</v>
      </c>
    </row>
    <row r="63" spans="3:16" ht="14.1" customHeight="1" x14ac:dyDescent="0.25">
      <c r="D63" s="6"/>
      <c r="E63" s="6"/>
      <c r="F63" s="6"/>
      <c r="G63" s="7" t="s">
        <v>49</v>
      </c>
      <c r="H63" s="7" t="str">
        <f>GlobalInputs!G12</f>
        <v>2014/15</v>
      </c>
      <c r="I63" s="7" t="str">
        <f>GlobalInputs!H12</f>
        <v>2015/16</v>
      </c>
      <c r="J63" s="7" t="str">
        <f>GlobalInputs!I12</f>
        <v>2016/17</v>
      </c>
      <c r="K63" s="7" t="str">
        <f>GlobalInputs!J12</f>
        <v>2017/18</v>
      </c>
      <c r="L63" s="7" t="str">
        <f>GlobalInputs!K12</f>
        <v>2018/19</v>
      </c>
    </row>
    <row r="64" spans="3:16" ht="14.1" customHeight="1" x14ac:dyDescent="0.25">
      <c r="D64" s="4" t="str">
        <f>D36</f>
        <v>Reconnect/Disconnect (site visit)</v>
      </c>
      <c r="O64" s="123" t="s">
        <v>162</v>
      </c>
      <c r="P64" s="4" t="s">
        <v>134</v>
      </c>
    </row>
    <row r="65" spans="2:16" ht="14.1" customHeight="1" x14ac:dyDescent="0.25">
      <c r="E65" s="4" t="str">
        <f>E37</f>
        <v>Site Visit</v>
      </c>
      <c r="G65" s="22">
        <f>ServiceHistory!G$41</f>
        <v>3765.56589740136</v>
      </c>
      <c r="H65" s="65">
        <v>3684.9413089524628</v>
      </c>
      <c r="I65" s="65">
        <v>3684.9413089524628</v>
      </c>
      <c r="J65" s="65">
        <v>3684.9413089524628</v>
      </c>
      <c r="K65" s="65">
        <v>3684.9413089524628</v>
      </c>
      <c r="L65" s="65">
        <v>3684.9413089524628</v>
      </c>
      <c r="O65" s="124"/>
    </row>
    <row r="66" spans="2:16" ht="14.1" customHeight="1" x14ac:dyDescent="0.25">
      <c r="D66" s="4" t="str">
        <f>D38</f>
        <v>Reconnect/Disconnect Completed</v>
      </c>
      <c r="G66" s="22"/>
      <c r="H66" s="22"/>
      <c r="I66" s="22"/>
      <c r="J66" s="22"/>
      <c r="K66" s="22"/>
      <c r="L66" s="22"/>
      <c r="O66" s="124"/>
      <c r="P66" s="4" t="s">
        <v>135</v>
      </c>
    </row>
    <row r="67" spans="2:16" ht="14.1" customHeight="1" x14ac:dyDescent="0.25">
      <c r="E67" s="4" t="str">
        <f>E39</f>
        <v>Reconnect/Disconnect Completed</v>
      </c>
      <c r="G67" s="22">
        <f>ServiceHistory!G$42</f>
        <v>13229.757179521717</v>
      </c>
      <c r="H67" s="65">
        <v>9815.1364238410606</v>
      </c>
      <c r="I67" s="65">
        <v>9815.1364238410606</v>
      </c>
      <c r="J67" s="65">
        <v>9815.1364238410606</v>
      </c>
      <c r="K67" s="65">
        <v>9815.1364238410606</v>
      </c>
      <c r="L67" s="65">
        <v>9815.1364238410606</v>
      </c>
      <c r="O67" s="124"/>
    </row>
    <row r="68" spans="2:16" ht="14.1" customHeight="1" x14ac:dyDescent="0.25">
      <c r="D68" s="4" t="str">
        <f>D40</f>
        <v>Reconnect/Disconnect - Technical</v>
      </c>
      <c r="G68" s="22"/>
      <c r="H68" s="22"/>
      <c r="I68" s="22"/>
      <c r="J68" s="22"/>
      <c r="K68" s="22"/>
      <c r="L68" s="22"/>
      <c r="O68" s="124"/>
      <c r="P68" s="4" t="s">
        <v>136</v>
      </c>
    </row>
    <row r="69" spans="2:16" ht="14.1" customHeight="1" x14ac:dyDescent="0.25">
      <c r="E69" s="4" t="str">
        <f>E41</f>
        <v>Reconnect/Disconnect - Technical</v>
      </c>
      <c r="G69" s="22">
        <f>ServiceHistory!G$43</f>
        <v>8.476923076923077</v>
      </c>
      <c r="H69" s="65">
        <v>1.7538461538461543</v>
      </c>
      <c r="I69" s="65">
        <v>1.7538461538461543</v>
      </c>
      <c r="J69" s="65">
        <v>1.7538461538461543</v>
      </c>
      <c r="K69" s="65">
        <v>1.7538461538461543</v>
      </c>
      <c r="L69" s="65">
        <v>1.7538461538461543</v>
      </c>
      <c r="O69" s="124"/>
    </row>
    <row r="70" spans="2:16" ht="14.1" customHeight="1" x14ac:dyDescent="0.25">
      <c r="D70" s="4" t="str">
        <f>D42</f>
        <v>Reconnect/Disconnect - Pillar or Pole Completed</v>
      </c>
      <c r="G70" s="22"/>
      <c r="H70" s="20"/>
      <c r="I70" s="20"/>
      <c r="J70" s="20"/>
      <c r="K70" s="20"/>
      <c r="L70" s="20"/>
      <c r="O70" s="124"/>
      <c r="P70" s="4" t="s">
        <v>137</v>
      </c>
    </row>
    <row r="71" spans="2:16" ht="14.1" customHeight="1" x14ac:dyDescent="0.25">
      <c r="E71" s="4" t="str">
        <f>E43</f>
        <v>Reconnect/Disconnect - Pillar or Pole Completed</v>
      </c>
      <c r="G71" s="22">
        <f>ServiceHistory!G44</f>
        <v>63.237460317460311</v>
      </c>
      <c r="H71" s="65">
        <v>57.73714285714285</v>
      </c>
      <c r="I71" s="65">
        <v>57.73714285714285</v>
      </c>
      <c r="J71" s="65">
        <v>57.73714285714285</v>
      </c>
      <c r="K71" s="65">
        <v>57.73714285714285</v>
      </c>
      <c r="L71" s="65">
        <v>57.73714285714285</v>
      </c>
      <c r="O71" s="124"/>
    </row>
    <row r="72" spans="2:16" ht="14.1" customHeight="1" x14ac:dyDescent="0.25">
      <c r="D72" s="4" t="str">
        <f>D44</f>
        <v>Reconnect/Disconnect - Out of Business Hours</v>
      </c>
      <c r="G72" s="22"/>
      <c r="H72" s="22"/>
      <c r="I72" s="22"/>
      <c r="J72" s="22"/>
      <c r="K72" s="22"/>
      <c r="L72" s="22"/>
      <c r="O72" s="124"/>
      <c r="P72" s="4" t="s">
        <v>139</v>
      </c>
    </row>
    <row r="73" spans="2:16" ht="14.1" customHeight="1" x14ac:dyDescent="0.25">
      <c r="E73" s="4" t="str">
        <f>E45</f>
        <v>Reconnect/Disconnect - Out of Business Hours</v>
      </c>
      <c r="G73" s="22">
        <f>ServiceHistory!G$45</f>
        <v>5159</v>
      </c>
      <c r="H73" s="65">
        <v>5155.2000000000007</v>
      </c>
      <c r="I73" s="65">
        <v>5155.2000000000007</v>
      </c>
      <c r="J73" s="65">
        <v>5155.2000000000007</v>
      </c>
      <c r="K73" s="65">
        <v>5155.2000000000007</v>
      </c>
      <c r="L73" s="65">
        <v>5155.2000000000007</v>
      </c>
      <c r="O73" s="125"/>
    </row>
    <row r="75" spans="2:16" ht="14.1" customHeight="1" x14ac:dyDescent="0.25">
      <c r="B75" s="51" t="s">
        <v>125</v>
      </c>
      <c r="C75" s="51"/>
      <c r="D75" s="51"/>
      <c r="E75" s="51"/>
      <c r="F75" s="51"/>
      <c r="G75" s="101" t="s">
        <v>118</v>
      </c>
      <c r="H75" s="51"/>
      <c r="I75" s="51"/>
      <c r="J75" s="51"/>
      <c r="K75" s="51"/>
      <c r="L75" s="51"/>
      <c r="M75" s="51"/>
      <c r="N75" s="51"/>
      <c r="O75" s="51"/>
    </row>
    <row r="76" spans="2:16" ht="14.1" customHeight="1" x14ac:dyDescent="0.25">
      <c r="B76" s="51"/>
      <c r="C76" s="51" t="str">
        <f>D64</f>
        <v>Reconnect/Disconnect (site visit)</v>
      </c>
      <c r="D76" s="51"/>
      <c r="E76" s="51"/>
      <c r="F76" s="51"/>
      <c r="G76" s="101"/>
      <c r="H76" s="51"/>
      <c r="I76" s="51"/>
      <c r="J76" s="51"/>
      <c r="K76" s="51"/>
      <c r="L76" s="51"/>
      <c r="M76" s="51"/>
      <c r="N76" s="51"/>
      <c r="O76" s="123" t="s">
        <v>163</v>
      </c>
      <c r="P76" s="51" t="s">
        <v>134</v>
      </c>
    </row>
    <row r="77" spans="2:16" ht="14.1" customHeight="1" x14ac:dyDescent="0.25">
      <c r="B77" s="51"/>
      <c r="C77" s="51"/>
      <c r="D77" s="51" t="s">
        <v>124</v>
      </c>
      <c r="E77" s="51"/>
      <c r="F77" s="51"/>
      <c r="G77" s="48">
        <v>1</v>
      </c>
      <c r="H77" s="51"/>
      <c r="I77" s="51"/>
      <c r="J77" s="51"/>
      <c r="K77" s="51"/>
      <c r="L77" s="51"/>
      <c r="M77" s="51"/>
      <c r="N77" s="51"/>
      <c r="O77" s="124"/>
      <c r="P77" s="51"/>
    </row>
    <row r="78" spans="2:16" ht="14.1" customHeight="1" x14ac:dyDescent="0.25">
      <c r="B78" s="51"/>
      <c r="C78" s="51" t="str">
        <f>D66</f>
        <v>Reconnect/Disconnect Completed</v>
      </c>
      <c r="D78" s="51"/>
      <c r="E78" s="51"/>
      <c r="F78" s="51"/>
      <c r="G78" s="101"/>
      <c r="H78" s="51"/>
      <c r="I78" s="51"/>
      <c r="J78" s="51"/>
      <c r="K78" s="51"/>
      <c r="L78" s="51"/>
      <c r="M78" s="51"/>
      <c r="N78" s="51"/>
      <c r="O78" s="124"/>
      <c r="P78" s="51" t="s">
        <v>135</v>
      </c>
    </row>
    <row r="79" spans="2:16" ht="14.1" customHeight="1" x14ac:dyDescent="0.25">
      <c r="B79" s="51"/>
      <c r="C79" s="51"/>
      <c r="D79" s="51" t="s">
        <v>124</v>
      </c>
      <c r="E79" s="51"/>
      <c r="F79" s="51"/>
      <c r="G79" s="48">
        <v>1</v>
      </c>
      <c r="H79" s="51"/>
      <c r="I79" s="51"/>
      <c r="J79" s="51"/>
      <c r="K79" s="51"/>
      <c r="L79" s="51"/>
      <c r="M79" s="51"/>
      <c r="N79" s="51"/>
      <c r="O79" s="124"/>
      <c r="P79" s="51"/>
    </row>
    <row r="80" spans="2:16" ht="14.1" customHeight="1" x14ac:dyDescent="0.25">
      <c r="B80" s="51"/>
      <c r="C80" s="51" t="str">
        <f>D68</f>
        <v>Reconnect/Disconnect - Technical</v>
      </c>
      <c r="D80" s="51"/>
      <c r="E80" s="51"/>
      <c r="F80" s="51"/>
      <c r="G80" s="101"/>
      <c r="H80" s="51"/>
      <c r="I80" s="51"/>
      <c r="J80" s="51"/>
      <c r="K80" s="51"/>
      <c r="L80" s="51"/>
      <c r="M80" s="51"/>
      <c r="N80" s="51"/>
      <c r="O80" s="124"/>
      <c r="P80" s="51" t="s">
        <v>136</v>
      </c>
    </row>
    <row r="81" spans="2:16" ht="14.1" customHeight="1" x14ac:dyDescent="0.25">
      <c r="B81" s="51"/>
      <c r="C81" s="51"/>
      <c r="D81" s="51" t="s">
        <v>124</v>
      </c>
      <c r="E81" s="51"/>
      <c r="F81" s="51"/>
      <c r="G81" s="48">
        <v>1</v>
      </c>
      <c r="H81" s="51"/>
      <c r="I81" s="51"/>
      <c r="J81" s="51"/>
      <c r="K81" s="51"/>
      <c r="L81" s="51"/>
      <c r="M81" s="51"/>
      <c r="N81" s="51"/>
      <c r="O81" s="124"/>
      <c r="P81" s="51"/>
    </row>
    <row r="82" spans="2:16" ht="14.1" customHeight="1" x14ac:dyDescent="0.25">
      <c r="B82" s="51"/>
      <c r="C82" s="51" t="str">
        <f>D70</f>
        <v>Reconnect/Disconnect - Pillar or Pole Completed</v>
      </c>
      <c r="D82" s="51"/>
      <c r="E82" s="51"/>
      <c r="F82" s="51"/>
      <c r="G82" s="101"/>
      <c r="H82" s="51"/>
      <c r="I82" s="51"/>
      <c r="J82" s="51"/>
      <c r="K82" s="51"/>
      <c r="L82" s="51"/>
      <c r="M82" s="51"/>
      <c r="N82" s="51"/>
      <c r="O82" s="124"/>
      <c r="P82" s="51" t="s">
        <v>137</v>
      </c>
    </row>
    <row r="83" spans="2:16" ht="14.1" customHeight="1" x14ac:dyDescent="0.25">
      <c r="B83" s="51"/>
      <c r="C83" s="51"/>
      <c r="D83" s="51" t="s">
        <v>124</v>
      </c>
      <c r="E83" s="51"/>
      <c r="F83" s="51"/>
      <c r="G83" s="48">
        <v>2</v>
      </c>
      <c r="H83" s="51"/>
      <c r="I83" s="51"/>
      <c r="J83" s="51"/>
      <c r="K83" s="51"/>
      <c r="L83" s="51"/>
      <c r="M83" s="51"/>
      <c r="N83" s="51"/>
      <c r="O83" s="124"/>
      <c r="P83" s="51"/>
    </row>
    <row r="84" spans="2:16" ht="14.1" customHeight="1" x14ac:dyDescent="0.25">
      <c r="B84" s="51"/>
      <c r="C84" s="51" t="e">
        <f>#REF!</f>
        <v>#REF!</v>
      </c>
      <c r="D84" s="51"/>
      <c r="E84" s="51"/>
      <c r="F84" s="51"/>
      <c r="G84" s="101"/>
      <c r="H84" s="51"/>
      <c r="I84" s="51"/>
      <c r="J84" s="51"/>
      <c r="K84" s="51"/>
      <c r="L84" s="51"/>
      <c r="M84" s="51"/>
      <c r="N84" s="51"/>
      <c r="O84" s="124"/>
      <c r="P84" s="51" t="s">
        <v>138</v>
      </c>
    </row>
    <row r="85" spans="2:16" ht="14.1" customHeight="1" x14ac:dyDescent="0.25">
      <c r="B85" s="51"/>
      <c r="C85" s="51"/>
      <c r="D85" s="51" t="s">
        <v>124</v>
      </c>
      <c r="E85" s="51"/>
      <c r="F85" s="51"/>
      <c r="G85" s="48">
        <v>1</v>
      </c>
      <c r="H85" s="51"/>
      <c r="I85" s="51"/>
      <c r="J85" s="51"/>
      <c r="K85" s="51"/>
      <c r="L85" s="51"/>
      <c r="M85" s="51"/>
      <c r="N85" s="51"/>
      <c r="O85" s="124"/>
      <c r="P85" s="51"/>
    </row>
    <row r="86" spans="2:16" ht="14.1" customHeight="1" x14ac:dyDescent="0.25">
      <c r="B86" s="51"/>
      <c r="C86" s="51" t="str">
        <f>D72</f>
        <v>Reconnect/Disconnect - Out of Business Hours</v>
      </c>
      <c r="D86" s="51"/>
      <c r="E86" s="51"/>
      <c r="F86" s="51"/>
      <c r="G86" s="101"/>
      <c r="H86" s="51"/>
      <c r="I86" s="51"/>
      <c r="J86" s="51"/>
      <c r="K86" s="51"/>
      <c r="L86" s="51"/>
      <c r="M86" s="51"/>
      <c r="N86" s="51"/>
      <c r="O86" s="124"/>
      <c r="P86" s="51" t="s">
        <v>139</v>
      </c>
    </row>
    <row r="87" spans="2:16" ht="14.1" customHeight="1" x14ac:dyDescent="0.25">
      <c r="B87" s="51"/>
      <c r="C87" s="51"/>
      <c r="D87" s="51" t="s">
        <v>124</v>
      </c>
      <c r="E87" s="51"/>
      <c r="F87" s="51"/>
      <c r="G87" s="48">
        <v>1</v>
      </c>
      <c r="H87" s="51"/>
      <c r="I87" s="51"/>
      <c r="J87" s="51"/>
      <c r="K87" s="51"/>
      <c r="L87" s="51"/>
      <c r="M87" s="51"/>
      <c r="N87" s="51"/>
      <c r="O87" s="125"/>
      <c r="P87" s="51"/>
    </row>
    <row r="88" spans="2:16" ht="14.1" customHeight="1" x14ac:dyDescent="0.25">
      <c r="O88" s="4"/>
    </row>
    <row r="89" spans="2:16" ht="14.1" customHeight="1" x14ac:dyDescent="0.25">
      <c r="O89" s="4"/>
    </row>
    <row r="90" spans="2:16" ht="14.1" customHeight="1" x14ac:dyDescent="0.25">
      <c r="B90" s="8"/>
      <c r="C90" s="8"/>
      <c r="D90" s="8"/>
      <c r="E90" s="8"/>
      <c r="F90" s="8"/>
      <c r="G90" s="8"/>
      <c r="H90" s="8"/>
      <c r="I90" s="8"/>
      <c r="J90" s="8"/>
      <c r="K90" s="8"/>
      <c r="L90" s="8"/>
      <c r="O90" s="4"/>
    </row>
    <row r="91" spans="2:16" ht="14.1" customHeight="1" x14ac:dyDescent="0.25">
      <c r="B91" s="4" t="s">
        <v>140</v>
      </c>
      <c r="F91" s="4" t="s">
        <v>141</v>
      </c>
      <c r="G91" s="4" t="s">
        <v>148</v>
      </c>
      <c r="H91" s="4" t="s">
        <v>142</v>
      </c>
      <c r="I91" s="4" t="s">
        <v>143</v>
      </c>
      <c r="J91" s="4" t="s">
        <v>144</v>
      </c>
      <c r="M91" s="105"/>
      <c r="O91" s="105"/>
    </row>
    <row r="92" spans="2:16" ht="14.1" customHeight="1" x14ac:dyDescent="0.25">
      <c r="H92" s="106">
        <f>[1]Inputs!$G47</f>
        <v>0.16954291842552457</v>
      </c>
      <c r="I92" s="106">
        <f>[1]Inputs!$G$52</f>
        <v>2.2080000000000002E-2</v>
      </c>
      <c r="M92" s="105"/>
      <c r="O92" s="105"/>
    </row>
    <row r="93" spans="2:16" ht="14.1" customHeight="1" x14ac:dyDescent="0.25">
      <c r="H93" s="106">
        <f>[1]Inputs!$G48</f>
        <v>0.19360659196346147</v>
      </c>
      <c r="M93" s="105"/>
      <c r="O93" s="105"/>
    </row>
    <row r="94" spans="2:16" ht="14.1" customHeight="1" x14ac:dyDescent="0.25">
      <c r="C94" s="4" t="str">
        <f>D9</f>
        <v>Reconnect/Disconnect Completed</v>
      </c>
      <c r="G94" s="107"/>
      <c r="H94" s="110"/>
      <c r="I94" s="110"/>
      <c r="J94" s="110"/>
      <c r="M94" s="108"/>
      <c r="O94" s="123" t="s">
        <v>167</v>
      </c>
    </row>
    <row r="95" spans="2:16" ht="14.1" customHeight="1" x14ac:dyDescent="0.25">
      <c r="D95" s="4" t="str">
        <f>E10</f>
        <v>Reconnect/Disconnect Completed</v>
      </c>
      <c r="F95" s="109"/>
      <c r="G95" s="109"/>
      <c r="H95" s="109"/>
      <c r="I95" s="109"/>
      <c r="J95" s="109"/>
      <c r="M95" s="108"/>
      <c r="O95" s="124"/>
    </row>
    <row r="96" spans="2:16" ht="14.1" customHeight="1" x14ac:dyDescent="0.25">
      <c r="E96" s="4" t="s">
        <v>145</v>
      </c>
      <c r="F96" s="111">
        <v>0.45</v>
      </c>
      <c r="G96" s="109">
        <f>F96/ServiceHistory!I53</f>
        <v>0.4843150437281481</v>
      </c>
      <c r="H96" s="110">
        <f t="shared" ref="H96:H99" si="3">G96*0.1725+G96*0.2442</f>
        <v>0.2018140787215193</v>
      </c>
      <c r="I96" s="110">
        <f>ROUND(H96*$I$92,2)</f>
        <v>0</v>
      </c>
      <c r="J96" s="110">
        <f t="shared" ref="J96" si="4">SUM(G96:I96)</f>
        <v>0.68612912244966739</v>
      </c>
      <c r="M96" s="108"/>
      <c r="O96" s="124"/>
      <c r="P96" s="4" t="s">
        <v>135</v>
      </c>
    </row>
    <row r="97" spans="3:16" ht="14.1" customHeight="1" x14ac:dyDescent="0.25">
      <c r="C97" s="4" t="str">
        <f>D11</f>
        <v>Reconnect/Disconnect - Technical</v>
      </c>
      <c r="G97" s="107"/>
      <c r="H97" s="110"/>
      <c r="I97" s="110"/>
      <c r="J97" s="110"/>
      <c r="M97" s="105"/>
      <c r="O97" s="124"/>
    </row>
    <row r="98" spans="3:16" ht="14.1" customHeight="1" x14ac:dyDescent="0.25">
      <c r="D98" s="4" t="str">
        <f>E12</f>
        <v>Reconnect/Disconnect - Technical</v>
      </c>
      <c r="G98" s="107"/>
      <c r="H98" s="110"/>
      <c r="I98" s="110"/>
      <c r="J98" s="110"/>
      <c r="M98" s="108"/>
      <c r="O98" s="124"/>
    </row>
    <row r="99" spans="3:16" ht="14.1" customHeight="1" x14ac:dyDescent="0.25">
      <c r="E99" s="4" t="s">
        <v>145</v>
      </c>
      <c r="F99" s="111">
        <v>0.45</v>
      </c>
      <c r="G99" s="109">
        <f>F99/ServiceHistory!I55</f>
        <v>0.4843150437281481</v>
      </c>
      <c r="H99" s="110">
        <f t="shared" si="3"/>
        <v>0.2018140787215193</v>
      </c>
      <c r="I99" s="110">
        <f>ROUND(H99*$I$92,2)</f>
        <v>0</v>
      </c>
      <c r="J99" s="110">
        <f t="shared" ref="J99" si="5">SUM(G99:I99)</f>
        <v>0.68612912244966739</v>
      </c>
      <c r="M99" s="108"/>
      <c r="O99" s="124"/>
      <c r="P99" s="4" t="s">
        <v>136</v>
      </c>
    </row>
    <row r="100" spans="3:16" ht="14.1" customHeight="1" x14ac:dyDescent="0.25">
      <c r="C100" s="4" t="str">
        <f>D13</f>
        <v>Reconnect/Disconnect - Pillar or Pole Completed</v>
      </c>
      <c r="O100" s="124"/>
    </row>
    <row r="101" spans="3:16" ht="14.1" customHeight="1" x14ac:dyDescent="0.25">
      <c r="D101" s="4" t="str">
        <f>E14</f>
        <v>Reconnect/Disconnect - Pillar or Pole Completed</v>
      </c>
      <c r="O101" s="124"/>
    </row>
    <row r="102" spans="3:16" ht="14.1" customHeight="1" x14ac:dyDescent="0.25">
      <c r="E102" s="4" t="s">
        <v>145</v>
      </c>
      <c r="F102" s="111">
        <v>0.45</v>
      </c>
      <c r="G102" s="109">
        <f>F102/ServiceHistory!I57</f>
        <v>0.13082073020243079</v>
      </c>
      <c r="H102" s="110">
        <f t="shared" ref="H102" si="6">G102*0.1725+G102*0.2442</f>
        <v>5.4512998275352907E-2</v>
      </c>
      <c r="I102" s="110">
        <f>ROUND(H102*$I$92,2)</f>
        <v>0</v>
      </c>
      <c r="J102" s="110">
        <f t="shared" ref="J102" si="7">SUM(G102:I102)</f>
        <v>0.1853337284777837</v>
      </c>
      <c r="O102" s="124"/>
      <c r="P102" s="4" t="s">
        <v>137</v>
      </c>
    </row>
    <row r="103" spans="3:16" ht="14.1" customHeight="1" x14ac:dyDescent="0.25">
      <c r="C103" s="4" t="str">
        <f>D15</f>
        <v>Reconnect/Disconnect - Out of Business Hours</v>
      </c>
      <c r="O103" s="124"/>
    </row>
    <row r="104" spans="3:16" ht="14.1" customHeight="1" x14ac:dyDescent="0.25">
      <c r="D104" s="4" t="str">
        <f>E16</f>
        <v>Reconnect/Disconnect - Out of Business Hours</v>
      </c>
      <c r="F104" s="111">
        <v>0.38</v>
      </c>
      <c r="G104" s="109">
        <f>F104/ServiceHistory!I59</f>
        <v>0.48510638297872344</v>
      </c>
      <c r="H104" s="110">
        <f t="shared" ref="H104" si="8">G104*0.1725+G104*0.2442</f>
        <v>0.20214382978723405</v>
      </c>
      <c r="I104" s="110">
        <f>ROUND(H104*$I$92,2)</f>
        <v>0</v>
      </c>
      <c r="J104" s="110">
        <f t="shared" ref="J104" si="9">SUM(G104:I104)</f>
        <v>0.68725021276595744</v>
      </c>
      <c r="O104" s="125"/>
      <c r="P104" s="4" t="s">
        <v>139</v>
      </c>
    </row>
    <row r="105" spans="3:16" ht="14.1" customHeight="1" x14ac:dyDescent="0.25">
      <c r="O105" s="4"/>
    </row>
    <row r="106" spans="3:16" ht="14.1" customHeight="1" x14ac:dyDescent="0.25">
      <c r="O106" s="4"/>
    </row>
    <row r="107" spans="3:16" ht="14.1" customHeight="1" x14ac:dyDescent="0.25">
      <c r="O107" s="4"/>
    </row>
    <row r="108" spans="3:16" ht="14.1" customHeight="1" x14ac:dyDescent="0.25">
      <c r="O108" s="4"/>
    </row>
    <row r="109" spans="3:16" ht="14.1" customHeight="1" x14ac:dyDescent="0.25">
      <c r="O109" s="4"/>
    </row>
    <row r="110" spans="3:16" ht="14.1" customHeight="1" x14ac:dyDescent="0.25">
      <c r="O110" s="4"/>
    </row>
    <row r="111" spans="3:16" ht="14.1" customHeight="1" x14ac:dyDescent="0.25">
      <c r="O111" s="4"/>
    </row>
    <row r="112" spans="3:16" ht="14.1" customHeight="1" x14ac:dyDescent="0.25">
      <c r="O112" s="4"/>
    </row>
    <row r="113" spans="15:15" ht="14.1" customHeight="1" x14ac:dyDescent="0.25">
      <c r="O113" s="4"/>
    </row>
    <row r="114" spans="15:15" ht="14.1" customHeight="1" x14ac:dyDescent="0.25">
      <c r="O114" s="4"/>
    </row>
    <row r="115" spans="15:15" ht="14.1" customHeight="1" x14ac:dyDescent="0.25">
      <c r="O115" s="4"/>
    </row>
    <row r="116" spans="15:15" ht="14.1" customHeight="1" x14ac:dyDescent="0.25">
      <c r="O116" s="4"/>
    </row>
  </sheetData>
  <mergeCells count="11">
    <mergeCell ref="O7:O16"/>
    <mergeCell ref="O26:O27"/>
    <mergeCell ref="O20:O21"/>
    <mergeCell ref="O22:O23"/>
    <mergeCell ref="O24:O25"/>
    <mergeCell ref="O94:O104"/>
    <mergeCell ref="O50:O59"/>
    <mergeCell ref="O28:O29"/>
    <mergeCell ref="O36:O45"/>
    <mergeCell ref="O64:O73"/>
    <mergeCell ref="O76:O87"/>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18"/>
  <sheetViews>
    <sheetView zoomScaleNormal="100" zoomScalePageLayoutView="125" workbookViewId="0">
      <pane xSplit="5" ySplit="6" topLeftCell="F7" activePane="bottomRight" state="frozenSplit"/>
      <selection pane="topRight" activeCell="E1" sqref="E1"/>
      <selection pane="bottomLeft" activeCell="A7" sqref="A7"/>
      <selection pane="bottomRight" activeCell="K16" sqref="K16"/>
    </sheetView>
  </sheetViews>
  <sheetFormatPr defaultColWidth="9.140625" defaultRowHeight="14.1" customHeight="1" x14ac:dyDescent="0.25"/>
  <cols>
    <col min="1" max="3" width="2.140625" style="4" customWidth="1"/>
    <col min="4" max="4" width="1.85546875" style="4" customWidth="1"/>
    <col min="5" max="5" width="42.140625" style="4" customWidth="1"/>
    <col min="6" max="8" width="10.42578125" style="4" customWidth="1"/>
    <col min="9" max="9" width="1.7109375" style="4" customWidth="1"/>
    <col min="10" max="12" width="10.42578125" style="4" customWidth="1"/>
    <col min="13" max="13" width="2" style="4" customWidth="1"/>
    <col min="14" max="16" width="10.42578125" style="4" customWidth="1"/>
    <col min="17" max="19" width="9.140625" style="4"/>
    <col min="20" max="20" width="1.85546875" style="4" customWidth="1"/>
    <col min="21" max="25" width="10.7109375" style="4" bestFit="1" customWidth="1"/>
    <col min="26" max="26" width="1.85546875" style="4" customWidth="1"/>
    <col min="27" max="27" width="10.42578125" style="4" customWidth="1"/>
    <col min="28" max="32" width="10.7109375" style="4" bestFit="1" customWidth="1"/>
    <col min="33" max="33" width="1.85546875" style="4" customWidth="1"/>
    <col min="34" max="39" width="10.42578125" style="4" customWidth="1"/>
    <col min="40" max="40" width="1.42578125" style="4" customWidth="1"/>
    <col min="41" max="41" width="9.140625" style="4"/>
    <col min="42" max="46" width="10.7109375" style="4" bestFit="1" customWidth="1"/>
    <col min="47" max="16384" width="9.140625" style="4"/>
  </cols>
  <sheetData>
    <row r="1" spans="1:46" ht="14.1" customHeight="1" x14ac:dyDescent="0.2">
      <c r="A1" s="13" t="s">
        <v>15</v>
      </c>
      <c r="B1" s="13"/>
      <c r="C1" s="13"/>
      <c r="D1" s="13"/>
      <c r="E1" s="13"/>
      <c r="F1" s="13"/>
      <c r="G1" s="13"/>
      <c r="H1" s="13"/>
    </row>
    <row r="2" spans="1:46" ht="14.1" customHeight="1" x14ac:dyDescent="0.25">
      <c r="A2" s="15" t="s">
        <v>62</v>
      </c>
      <c r="B2" s="14"/>
      <c r="C2" s="14"/>
      <c r="D2" s="14"/>
      <c r="E2" s="14"/>
      <c r="F2" s="14"/>
      <c r="G2" s="14"/>
      <c r="H2" s="14"/>
    </row>
    <row r="3" spans="1:46" ht="14.1" customHeight="1" x14ac:dyDescent="0.25">
      <c r="A3" s="4" t="str">
        <f>GlobalInputs!G8</f>
        <v>Disconnection and reconnection fees</v>
      </c>
    </row>
    <row r="4" spans="1:46" ht="14.1" customHeight="1" x14ac:dyDescent="0.2">
      <c r="E4" s="45" t="str">
        <f>IF(ROUND($E$5,6)=0,"ok","Problem - review CheckSheet")</f>
        <v>ok</v>
      </c>
    </row>
    <row r="5" spans="1:46" ht="14.1" customHeight="1" x14ac:dyDescent="0.25">
      <c r="B5" s="26"/>
      <c r="C5" s="8"/>
      <c r="D5" s="8"/>
      <c r="E5" s="27"/>
      <c r="F5" s="131" t="s">
        <v>73</v>
      </c>
      <c r="G5" s="132"/>
      <c r="H5" s="133"/>
      <c r="J5" s="131" t="s">
        <v>105</v>
      </c>
      <c r="K5" s="132"/>
      <c r="L5" s="133"/>
      <c r="N5" s="131" t="s">
        <v>51</v>
      </c>
      <c r="O5" s="132"/>
      <c r="P5" s="132"/>
      <c r="Q5" s="132"/>
      <c r="R5" s="132"/>
      <c r="S5" s="133"/>
      <c r="U5" s="131" t="s">
        <v>107</v>
      </c>
      <c r="V5" s="132"/>
      <c r="W5" s="132"/>
      <c r="X5" s="132"/>
      <c r="Y5" s="133"/>
      <c r="AA5" s="131" t="s">
        <v>108</v>
      </c>
      <c r="AB5" s="132"/>
      <c r="AC5" s="132"/>
      <c r="AD5" s="132"/>
      <c r="AE5" s="132"/>
      <c r="AF5" s="133"/>
      <c r="AH5" s="131" t="s">
        <v>110</v>
      </c>
      <c r="AI5" s="132"/>
      <c r="AJ5" s="132"/>
      <c r="AK5" s="132"/>
      <c r="AL5" s="132"/>
      <c r="AM5" s="133"/>
      <c r="AO5" s="131" t="s">
        <v>164</v>
      </c>
      <c r="AP5" s="132"/>
      <c r="AQ5" s="132"/>
      <c r="AR5" s="132"/>
      <c r="AS5" s="132"/>
      <c r="AT5" s="133"/>
    </row>
    <row r="6" spans="1:46" ht="14.1" customHeight="1" x14ac:dyDescent="0.25">
      <c r="B6" s="10" t="s">
        <v>63</v>
      </c>
      <c r="C6" s="9"/>
      <c r="D6" s="9"/>
      <c r="E6" s="28"/>
      <c r="F6" s="24" t="s">
        <v>64</v>
      </c>
      <c r="G6" s="7" t="s">
        <v>65</v>
      </c>
      <c r="H6" s="31" t="s">
        <v>66</v>
      </c>
      <c r="J6" s="24" t="s">
        <v>64</v>
      </c>
      <c r="K6" s="7" t="s">
        <v>104</v>
      </c>
      <c r="L6" s="31" t="s">
        <v>106</v>
      </c>
      <c r="N6" s="24" t="s">
        <v>75</v>
      </c>
      <c r="O6" s="7" t="str">
        <f>GlobalInputs!G12</f>
        <v>2014/15</v>
      </c>
      <c r="P6" s="7" t="str">
        <f>GlobalInputs!H12</f>
        <v>2015/16</v>
      </c>
      <c r="Q6" s="7" t="str">
        <f>GlobalInputs!I12</f>
        <v>2016/17</v>
      </c>
      <c r="R6" s="7" t="str">
        <f>GlobalInputs!J12</f>
        <v>2017/18</v>
      </c>
      <c r="S6" s="31" t="str">
        <f>GlobalInputs!K12</f>
        <v>2018/19</v>
      </c>
      <c r="U6" s="24" t="str">
        <f>O6</f>
        <v>2014/15</v>
      </c>
      <c r="V6" s="7" t="str">
        <f t="shared" ref="V6:Y6" si="0">P6</f>
        <v>2015/16</v>
      </c>
      <c r="W6" s="7" t="str">
        <f t="shared" si="0"/>
        <v>2016/17</v>
      </c>
      <c r="X6" s="7" t="str">
        <f t="shared" si="0"/>
        <v>2017/18</v>
      </c>
      <c r="Y6" s="31" t="str">
        <f t="shared" si="0"/>
        <v>2018/19</v>
      </c>
      <c r="AA6" s="24" t="s">
        <v>109</v>
      </c>
      <c r="AB6" s="7" t="str">
        <f>U6</f>
        <v>2014/15</v>
      </c>
      <c r="AC6" s="7" t="str">
        <f t="shared" ref="AC6:AF6" si="1">V6</f>
        <v>2015/16</v>
      </c>
      <c r="AD6" s="7" t="str">
        <f t="shared" si="1"/>
        <v>2016/17</v>
      </c>
      <c r="AE6" s="7" t="str">
        <f t="shared" si="1"/>
        <v>2017/18</v>
      </c>
      <c r="AF6" s="31" t="str">
        <f t="shared" si="1"/>
        <v>2018/19</v>
      </c>
      <c r="AH6" s="24" t="s">
        <v>109</v>
      </c>
      <c r="AI6" s="7" t="str">
        <f>AB6</f>
        <v>2014/15</v>
      </c>
      <c r="AJ6" s="7" t="str">
        <f t="shared" ref="AJ6:AM6" si="2">AC6</f>
        <v>2015/16</v>
      </c>
      <c r="AK6" s="7" t="str">
        <f t="shared" si="2"/>
        <v>2016/17</v>
      </c>
      <c r="AL6" s="7" t="str">
        <f t="shared" si="2"/>
        <v>2017/18</v>
      </c>
      <c r="AM6" s="31" t="str">
        <f t="shared" si="2"/>
        <v>2018/19</v>
      </c>
      <c r="AO6" s="24" t="s">
        <v>109</v>
      </c>
      <c r="AP6" s="7" t="str">
        <f>AI6</f>
        <v>2014/15</v>
      </c>
      <c r="AQ6" s="7" t="str">
        <f t="shared" ref="AQ6" si="3">AJ6</f>
        <v>2015/16</v>
      </c>
      <c r="AR6" s="7" t="str">
        <f t="shared" ref="AR6" si="4">AK6</f>
        <v>2016/17</v>
      </c>
      <c r="AS6" s="7" t="str">
        <f t="shared" ref="AS6" si="5">AL6</f>
        <v>2017/18</v>
      </c>
      <c r="AT6" s="31" t="str">
        <f t="shared" ref="AT6" si="6">AM6</f>
        <v>2018/19</v>
      </c>
    </row>
    <row r="7" spans="1:46" ht="14.1" customHeight="1" x14ac:dyDescent="0.25">
      <c r="B7" s="10"/>
      <c r="C7" s="9" t="str">
        <f>ServiceProjections!D7</f>
        <v>Reconnect/Disconnect (site visit)</v>
      </c>
      <c r="D7" s="9"/>
      <c r="E7" s="28"/>
      <c r="F7" s="10"/>
      <c r="G7" s="9"/>
      <c r="H7" s="28"/>
      <c r="J7" s="10"/>
      <c r="K7" s="9"/>
      <c r="L7" s="28"/>
      <c r="N7" s="10"/>
      <c r="O7" s="9"/>
      <c r="P7" s="9"/>
      <c r="Q7" s="9"/>
      <c r="R7" s="9"/>
      <c r="S7" s="28"/>
      <c r="U7" s="10"/>
      <c r="V7" s="9"/>
      <c r="W7" s="9"/>
      <c r="X7" s="9"/>
      <c r="Y7" s="28"/>
      <c r="AA7" s="10"/>
      <c r="AB7" s="9"/>
      <c r="AC7" s="9"/>
      <c r="AD7" s="9"/>
      <c r="AE7" s="9"/>
      <c r="AF7" s="28"/>
      <c r="AH7" s="10"/>
      <c r="AI7" s="9"/>
      <c r="AJ7" s="9"/>
      <c r="AK7" s="9"/>
      <c r="AL7" s="9"/>
      <c r="AM7" s="28"/>
      <c r="AO7" s="26"/>
      <c r="AP7" s="8"/>
      <c r="AQ7" s="8"/>
      <c r="AR7" s="8"/>
      <c r="AS7" s="8"/>
      <c r="AT7" s="27"/>
    </row>
    <row r="8" spans="1:46" ht="14.1" customHeight="1" x14ac:dyDescent="0.25">
      <c r="B8" s="10"/>
      <c r="C8" s="9"/>
      <c r="D8" s="9" t="str">
        <f>ServiceProjections!E8</f>
        <v>Site Visit</v>
      </c>
      <c r="E8" s="28"/>
      <c r="F8" s="32">
        <f>ServiceHistory!G51</f>
        <v>0</v>
      </c>
      <c r="G8" s="33">
        <f>H8</f>
        <v>44</v>
      </c>
      <c r="H8" s="34">
        <f>ServiceHistory!G7</f>
        <v>44</v>
      </c>
      <c r="J8" s="32">
        <f>ServiceProjections!I21</f>
        <v>0.7</v>
      </c>
      <c r="K8" s="33">
        <f>ServiceProjections!J51</f>
        <v>121.6620467874102</v>
      </c>
      <c r="L8" s="36">
        <f>J8*K8</f>
        <v>85.163432751187145</v>
      </c>
      <c r="N8" s="10"/>
      <c r="O8" s="37">
        <f>ServiceProjections!H65</f>
        <v>3684.9413089524628</v>
      </c>
      <c r="P8" s="37">
        <f>ServiceProjections!I65</f>
        <v>3684.9413089524628</v>
      </c>
      <c r="Q8" s="37">
        <f>ServiceProjections!J65</f>
        <v>3684.9413089524628</v>
      </c>
      <c r="R8" s="37">
        <f>ServiceProjections!K65</f>
        <v>3684.9413089524628</v>
      </c>
      <c r="S8" s="38">
        <f>ServiceProjections!L65</f>
        <v>3684.9413089524628</v>
      </c>
      <c r="U8" s="41">
        <f>O8*$L8</f>
        <v>313822.25135704462</v>
      </c>
      <c r="V8" s="37">
        <f t="shared" ref="V8:Y8" si="7">P8*$L8</f>
        <v>313822.25135704462</v>
      </c>
      <c r="W8" s="37">
        <f t="shared" si="7"/>
        <v>313822.25135704462</v>
      </c>
      <c r="X8" s="37">
        <f t="shared" si="7"/>
        <v>313822.25135704462</v>
      </c>
      <c r="Y8" s="38">
        <f t="shared" si="7"/>
        <v>313822.25135704462</v>
      </c>
      <c r="AA8" s="44">
        <f>ServiceProjections!G51*FeeConstruction!J8</f>
        <v>61.124000000000002</v>
      </c>
      <c r="AB8" s="37">
        <f>O8*$AA8</f>
        <v>225238.35256841034</v>
      </c>
      <c r="AC8" s="37">
        <f t="shared" ref="AC8:AF8" si="8">P8*$AA8</f>
        <v>225238.35256841034</v>
      </c>
      <c r="AD8" s="37">
        <f t="shared" si="8"/>
        <v>225238.35256841034</v>
      </c>
      <c r="AE8" s="37">
        <f t="shared" si="8"/>
        <v>225238.35256841034</v>
      </c>
      <c r="AF8" s="38">
        <f t="shared" si="8"/>
        <v>225238.35256841034</v>
      </c>
      <c r="AH8" s="44">
        <f>ServiceProjections!H51*J8</f>
        <v>22.198178255309898</v>
      </c>
      <c r="AI8" s="37">
        <f>O8*$AH8</f>
        <v>81798.98403648175</v>
      </c>
      <c r="AJ8" s="37">
        <f t="shared" ref="AJ8:AM8" si="9">P8*$AH8</f>
        <v>81798.98403648175</v>
      </c>
      <c r="AK8" s="37">
        <f t="shared" si="9"/>
        <v>81798.98403648175</v>
      </c>
      <c r="AL8" s="37">
        <f t="shared" si="9"/>
        <v>81798.98403648175</v>
      </c>
      <c r="AM8" s="38">
        <f t="shared" si="9"/>
        <v>81798.98403648175</v>
      </c>
      <c r="AO8" s="112">
        <f>L8-AA8-AH8</f>
        <v>1.8412544958772443</v>
      </c>
      <c r="AP8" s="33">
        <f>$AO8*O8</f>
        <v>6784.9147521525001</v>
      </c>
      <c r="AQ8" s="33">
        <f t="shared" ref="AQ8:AT8" si="10">$AO8*P8</f>
        <v>6784.9147521525001</v>
      </c>
      <c r="AR8" s="33">
        <f t="shared" si="10"/>
        <v>6784.9147521525001</v>
      </c>
      <c r="AS8" s="33">
        <f t="shared" si="10"/>
        <v>6784.9147521525001</v>
      </c>
      <c r="AT8" s="34">
        <f t="shared" si="10"/>
        <v>6784.9147521525001</v>
      </c>
    </row>
    <row r="9" spans="1:46" ht="14.1" customHeight="1" x14ac:dyDescent="0.25">
      <c r="B9" s="10"/>
      <c r="C9" s="9" t="str">
        <f>ServiceProjections!D9</f>
        <v>Reconnect/Disconnect Completed</v>
      </c>
      <c r="D9" s="9"/>
      <c r="E9" s="28"/>
      <c r="F9" s="10"/>
      <c r="G9" s="9"/>
      <c r="H9" s="28"/>
      <c r="J9" s="10"/>
      <c r="K9" s="9"/>
      <c r="L9" s="28"/>
      <c r="N9" s="10"/>
      <c r="O9" s="9"/>
      <c r="P9" s="9"/>
      <c r="Q9" s="9"/>
      <c r="R9" s="9"/>
      <c r="S9" s="28"/>
      <c r="U9" s="10"/>
      <c r="V9" s="9"/>
      <c r="W9" s="9"/>
      <c r="X9" s="9"/>
      <c r="Y9" s="28"/>
      <c r="AA9" s="10"/>
      <c r="AB9" s="9"/>
      <c r="AC9" s="9"/>
      <c r="AD9" s="9"/>
      <c r="AE9" s="9"/>
      <c r="AF9" s="28"/>
      <c r="AH9" s="10"/>
      <c r="AI9" s="9"/>
      <c r="AJ9" s="9"/>
      <c r="AK9" s="9"/>
      <c r="AL9" s="9"/>
      <c r="AM9" s="28"/>
      <c r="AO9" s="10"/>
      <c r="AP9" s="9"/>
      <c r="AQ9" s="9"/>
      <c r="AR9" s="9"/>
      <c r="AS9" s="9"/>
      <c r="AT9" s="28"/>
    </row>
    <row r="10" spans="1:46" ht="14.1" customHeight="1" x14ac:dyDescent="0.25">
      <c r="B10" s="10"/>
      <c r="C10" s="9"/>
      <c r="D10" s="9" t="str">
        <f>ServiceProjections!E10</f>
        <v>Reconnect/Disconnect Completed</v>
      </c>
      <c r="E10" s="28"/>
      <c r="F10" s="32">
        <f>ServiceHistory!G53</f>
        <v>0</v>
      </c>
      <c r="G10" s="33">
        <f>H10</f>
        <v>88</v>
      </c>
      <c r="H10" s="34">
        <f>ServiceHistory!G9</f>
        <v>88</v>
      </c>
      <c r="J10" s="32">
        <f>ServiceProjections!I23</f>
        <v>0.92914726855478491</v>
      </c>
      <c r="K10" s="33">
        <f>ServiceProjections!J53</f>
        <v>122.34817590985988</v>
      </c>
      <c r="L10" s="36">
        <f t="shared" ref="L10" si="11">J10*K10</f>
        <v>113.67947345930664</v>
      </c>
      <c r="N10" s="10"/>
      <c r="O10" s="37">
        <f>ServiceProjections!H67</f>
        <v>9815.1364238410606</v>
      </c>
      <c r="P10" s="37">
        <f>ServiceProjections!I67</f>
        <v>9815.1364238410606</v>
      </c>
      <c r="Q10" s="37">
        <f>ServiceProjections!J67</f>
        <v>9815.1364238410606</v>
      </c>
      <c r="R10" s="37">
        <f>ServiceProjections!K67</f>
        <v>9815.1364238410606</v>
      </c>
      <c r="S10" s="38">
        <f>ServiceProjections!L67</f>
        <v>9815.1364238410606</v>
      </c>
      <c r="U10" s="41">
        <f t="shared" ref="U10" si="12">O10*$L10</f>
        <v>1115779.5405935138</v>
      </c>
      <c r="V10" s="37">
        <f t="shared" ref="V10" si="13">P10*$L10</f>
        <v>1115779.5405935138</v>
      </c>
      <c r="W10" s="37">
        <f t="shared" ref="W10" si="14">Q10*$L10</f>
        <v>1115779.5405935138</v>
      </c>
      <c r="X10" s="37">
        <f t="shared" ref="X10" si="15">R10*$L10</f>
        <v>1115779.5405935138</v>
      </c>
      <c r="Y10" s="38">
        <f t="shared" ref="Y10" si="16">S10*$L10</f>
        <v>1115779.5405935138</v>
      </c>
      <c r="AA10" s="44">
        <f>ServiceProjections!G53*FeeConstruction!J10</f>
        <v>81.58313949020382</v>
      </c>
      <c r="AB10" s="37">
        <f>O10*$AA10</f>
        <v>800749.64398160554</v>
      </c>
      <c r="AC10" s="37">
        <f t="shared" ref="AC10" si="17">P10*$AA10</f>
        <v>800749.64398160554</v>
      </c>
      <c r="AD10" s="37">
        <f t="shared" ref="AD10" si="18">Q10*$AA10</f>
        <v>800749.64398160554</v>
      </c>
      <c r="AE10" s="37">
        <f t="shared" ref="AE10" si="19">R10*$AA10</f>
        <v>800749.64398160554</v>
      </c>
      <c r="AF10" s="38">
        <f t="shared" ref="AF10" si="20">S10*$AA10</f>
        <v>800749.64398160554</v>
      </c>
      <c r="AH10" s="44">
        <f>ServiceProjections!H53*J10</f>
        <v>29.652338846876305</v>
      </c>
      <c r="AI10" s="37">
        <f t="shared" ref="AI10" si="21">O10*$AH10</f>
        <v>291041.75106805284</v>
      </c>
      <c r="AJ10" s="37">
        <f t="shared" ref="AJ10" si="22">P10*$AH10</f>
        <v>291041.75106805284</v>
      </c>
      <c r="AK10" s="37">
        <f t="shared" ref="AK10" si="23">Q10*$AH10</f>
        <v>291041.75106805284</v>
      </c>
      <c r="AL10" s="37">
        <f t="shared" ref="AL10" si="24">R10*$AH10</f>
        <v>291041.75106805284</v>
      </c>
      <c r="AM10" s="38">
        <f t="shared" ref="AM10" si="25">S10*$AH10</f>
        <v>291041.75106805284</v>
      </c>
      <c r="AO10" s="112">
        <f>L10-AA10-AH10</f>
        <v>2.4439951222265108</v>
      </c>
      <c r="AP10" s="33">
        <f>$AO10*O10</f>
        <v>23988.145543855313</v>
      </c>
      <c r="AQ10" s="33">
        <f t="shared" ref="AQ10" si="26">$AO10*P10</f>
        <v>23988.145543855313</v>
      </c>
      <c r="AR10" s="33">
        <f t="shared" ref="AR10" si="27">$AO10*Q10</f>
        <v>23988.145543855313</v>
      </c>
      <c r="AS10" s="33">
        <f t="shared" ref="AS10" si="28">$AO10*R10</f>
        <v>23988.145543855313</v>
      </c>
      <c r="AT10" s="34">
        <f t="shared" ref="AT10" si="29">$AO10*S10</f>
        <v>23988.145543855313</v>
      </c>
    </row>
    <row r="11" spans="1:46" ht="14.1" customHeight="1" x14ac:dyDescent="0.25">
      <c r="B11" s="10"/>
      <c r="C11" s="9" t="str">
        <f>ServiceProjections!D11</f>
        <v>Reconnect/Disconnect - Technical</v>
      </c>
      <c r="D11" s="9"/>
      <c r="E11" s="28"/>
      <c r="F11" s="10"/>
      <c r="G11" s="9"/>
      <c r="H11" s="28"/>
      <c r="J11" s="10"/>
      <c r="K11" s="9"/>
      <c r="L11" s="28"/>
      <c r="N11" s="10"/>
      <c r="O11" s="9"/>
      <c r="P11" s="9"/>
      <c r="Q11" s="9"/>
      <c r="R11" s="9"/>
      <c r="S11" s="28"/>
      <c r="U11" s="10"/>
      <c r="V11" s="9"/>
      <c r="W11" s="9"/>
      <c r="X11" s="9"/>
      <c r="Y11" s="28"/>
      <c r="AA11" s="10"/>
      <c r="AB11" s="9"/>
      <c r="AC11" s="9"/>
      <c r="AD11" s="9"/>
      <c r="AE11" s="9"/>
      <c r="AF11" s="28"/>
      <c r="AH11" s="10"/>
      <c r="AI11" s="9"/>
      <c r="AJ11" s="9"/>
      <c r="AK11" s="9"/>
      <c r="AL11" s="9"/>
      <c r="AM11" s="28"/>
      <c r="AO11" s="10"/>
      <c r="AP11" s="9"/>
      <c r="AQ11" s="9"/>
      <c r="AR11" s="9"/>
      <c r="AS11" s="9"/>
      <c r="AT11" s="28"/>
    </row>
    <row r="12" spans="1:46" ht="14.1" customHeight="1" x14ac:dyDescent="0.25">
      <c r="B12" s="10"/>
      <c r="C12" s="9"/>
      <c r="D12" s="9" t="str">
        <f>ServiceProjections!E12</f>
        <v>Reconnect/Disconnect - Technical</v>
      </c>
      <c r="E12" s="28"/>
      <c r="F12" s="32">
        <f>ServiceHistory!G55</f>
        <v>0</v>
      </c>
      <c r="G12" s="33">
        <f>H12</f>
        <v>88</v>
      </c>
      <c r="H12" s="34">
        <f>ServiceHistory!G11</f>
        <v>88</v>
      </c>
      <c r="J12" s="32">
        <f>ServiceProjections!I25</f>
        <v>0.92914726855478491</v>
      </c>
      <c r="K12" s="33">
        <f>ServiceProjections!J55</f>
        <v>122.34817590985988</v>
      </c>
      <c r="L12" s="36">
        <f t="shared" ref="L12:L14" si="30">J12*K12</f>
        <v>113.67947345930664</v>
      </c>
      <c r="N12" s="10"/>
      <c r="O12" s="37">
        <f>ServiceProjections!H69</f>
        <v>1.7538461538461543</v>
      </c>
      <c r="P12" s="37">
        <f>ServiceProjections!I69</f>
        <v>1.7538461538461543</v>
      </c>
      <c r="Q12" s="37">
        <f>ServiceProjections!J69</f>
        <v>1.7538461538461543</v>
      </c>
      <c r="R12" s="37">
        <f>ServiceProjections!K69</f>
        <v>1.7538461538461543</v>
      </c>
      <c r="S12" s="38">
        <f>ServiceProjections!L69</f>
        <v>1.7538461538461543</v>
      </c>
      <c r="U12" s="41">
        <f t="shared" ref="U12" si="31">O12*$L12</f>
        <v>199.3763072978609</v>
      </c>
      <c r="V12" s="37">
        <f t="shared" ref="V12" si="32">P12*$L12</f>
        <v>199.3763072978609</v>
      </c>
      <c r="W12" s="37">
        <f t="shared" ref="W12" si="33">Q12*$L12</f>
        <v>199.3763072978609</v>
      </c>
      <c r="X12" s="37">
        <f t="shared" ref="X12" si="34">R12*$L12</f>
        <v>199.3763072978609</v>
      </c>
      <c r="Y12" s="38">
        <f t="shared" ref="Y12" si="35">S12*$L12</f>
        <v>199.3763072978609</v>
      </c>
      <c r="AA12" s="44">
        <f>ServiceProjections!G55*FeeConstruction!J12</f>
        <v>81.58313949020382</v>
      </c>
      <c r="AB12" s="37">
        <f t="shared" ref="AB12" si="36">O12*$AA12</f>
        <v>143.08427541358827</v>
      </c>
      <c r="AC12" s="37">
        <f t="shared" ref="AC12" si="37">P12*$AA12</f>
        <v>143.08427541358827</v>
      </c>
      <c r="AD12" s="37">
        <f t="shared" ref="AD12" si="38">Q12*$AA12</f>
        <v>143.08427541358827</v>
      </c>
      <c r="AE12" s="37">
        <f t="shared" ref="AE12" si="39">R12*$AA12</f>
        <v>143.08427541358827</v>
      </c>
      <c r="AF12" s="38">
        <f t="shared" ref="AF12" si="40">S12*$AA12</f>
        <v>143.08427541358827</v>
      </c>
      <c r="AH12" s="44">
        <f>ServiceProjections!H55*J12</f>
        <v>29.652338846876305</v>
      </c>
      <c r="AI12" s="37">
        <f t="shared" ref="AI12" si="41">O12*$AH12</f>
        <v>52.005640439136918</v>
      </c>
      <c r="AJ12" s="37">
        <f t="shared" ref="AJ12" si="42">P12*$AH12</f>
        <v>52.005640439136918</v>
      </c>
      <c r="AK12" s="37">
        <f t="shared" ref="AK12" si="43">Q12*$AH12</f>
        <v>52.005640439136918</v>
      </c>
      <c r="AL12" s="37">
        <f t="shared" ref="AL12" si="44">R12*$AH12</f>
        <v>52.005640439136918</v>
      </c>
      <c r="AM12" s="38">
        <f t="shared" ref="AM12" si="45">S12*$AH12</f>
        <v>52.005640439136918</v>
      </c>
      <c r="AO12" s="112">
        <f>L12-AA12-AH12</f>
        <v>2.4439951222265108</v>
      </c>
      <c r="AP12" s="33">
        <f>$AO12*O12</f>
        <v>4.2863914451357275</v>
      </c>
      <c r="AQ12" s="33">
        <f t="shared" ref="AQ12" si="46">$AO12*P12</f>
        <v>4.2863914451357275</v>
      </c>
      <c r="AR12" s="33">
        <f t="shared" ref="AR12" si="47">$AO12*Q12</f>
        <v>4.2863914451357275</v>
      </c>
      <c r="AS12" s="33">
        <f t="shared" ref="AS12" si="48">$AO12*R12</f>
        <v>4.2863914451357275</v>
      </c>
      <c r="AT12" s="34">
        <f t="shared" ref="AT12" si="49">$AO12*S12</f>
        <v>4.2863914451357275</v>
      </c>
    </row>
    <row r="13" spans="1:46" ht="14.1" customHeight="1" x14ac:dyDescent="0.25">
      <c r="B13" s="10"/>
      <c r="C13" s="9" t="str">
        <f>ServiceProjections!D13</f>
        <v>Reconnect/Disconnect - Pillar or Pole Completed</v>
      </c>
      <c r="D13" s="9"/>
      <c r="E13" s="28"/>
      <c r="F13" s="10"/>
      <c r="G13" s="9"/>
      <c r="H13" s="28"/>
      <c r="J13" s="10"/>
      <c r="K13" s="9"/>
      <c r="L13" s="28"/>
      <c r="N13" s="10"/>
      <c r="O13" s="9"/>
      <c r="P13" s="9"/>
      <c r="Q13" s="9"/>
      <c r="R13" s="9"/>
      <c r="S13" s="28"/>
      <c r="U13" s="10"/>
      <c r="V13" s="9"/>
      <c r="W13" s="9"/>
      <c r="X13" s="9"/>
      <c r="Y13" s="28"/>
      <c r="AA13" s="10"/>
      <c r="AB13" s="9"/>
      <c r="AC13" s="9"/>
      <c r="AD13" s="9"/>
      <c r="AE13" s="9"/>
      <c r="AF13" s="28"/>
      <c r="AH13" s="10"/>
      <c r="AI13" s="9"/>
      <c r="AJ13" s="9"/>
      <c r="AK13" s="9"/>
      <c r="AL13" s="9"/>
      <c r="AM13" s="28"/>
      <c r="AO13" s="10"/>
      <c r="AP13" s="9"/>
      <c r="AQ13" s="9"/>
      <c r="AR13" s="9"/>
      <c r="AS13" s="9"/>
      <c r="AT13" s="28"/>
    </row>
    <row r="14" spans="1:46" ht="14.1" customHeight="1" x14ac:dyDescent="0.25">
      <c r="B14" s="10"/>
      <c r="C14" s="9"/>
      <c r="D14" s="9" t="str">
        <f>ServiceProjections!E14</f>
        <v>Reconnect/Disconnect - Pillar or Pole Completed</v>
      </c>
      <c r="E14" s="28"/>
      <c r="F14" s="12" t="s">
        <v>69</v>
      </c>
      <c r="G14" s="35">
        <f>H14</f>
        <v>148</v>
      </c>
      <c r="H14" s="34">
        <f>ServiceHistory!G13</f>
        <v>148</v>
      </c>
      <c r="J14" s="12">
        <v>3.44</v>
      </c>
      <c r="K14" s="33">
        <f>ServiceProjections!J57</f>
        <v>121.84738051588799</v>
      </c>
      <c r="L14" s="36">
        <f t="shared" si="30"/>
        <v>419.15498897465466</v>
      </c>
      <c r="N14" s="32"/>
      <c r="O14" s="39">
        <f>ServiceProjections!H71</f>
        <v>57.73714285714285</v>
      </c>
      <c r="P14" s="39">
        <f>ServiceProjections!I71</f>
        <v>57.73714285714285</v>
      </c>
      <c r="Q14" s="39">
        <f>ServiceProjections!J71</f>
        <v>57.73714285714285</v>
      </c>
      <c r="R14" s="39">
        <f>ServiceProjections!K71</f>
        <v>57.73714285714285</v>
      </c>
      <c r="S14" s="40">
        <f>ServiceProjections!L71</f>
        <v>57.73714285714285</v>
      </c>
      <c r="U14" s="41">
        <f t="shared" ref="U14" si="50">O14*$L14</f>
        <v>24200.811477713771</v>
      </c>
      <c r="V14" s="37">
        <f t="shared" ref="V14" si="51">P14*$L14</f>
        <v>24200.811477713771</v>
      </c>
      <c r="W14" s="37">
        <f t="shared" ref="W14" si="52">Q14*$L14</f>
        <v>24200.811477713771</v>
      </c>
      <c r="X14" s="37">
        <f t="shared" ref="X14" si="53">R14*$L14</f>
        <v>24200.811477713771</v>
      </c>
      <c r="Y14" s="38">
        <f t="shared" ref="Y14" si="54">S14*$L14</f>
        <v>24200.811477713771</v>
      </c>
      <c r="AA14" s="44">
        <f>ServiceProjections!G57*J14</f>
        <v>300.83082331189638</v>
      </c>
      <c r="AB14" s="37">
        <f>O14*$AA14</f>
        <v>17369.11222139086</v>
      </c>
      <c r="AC14" s="37">
        <f t="shared" ref="AC14" si="55">P14*$AA14</f>
        <v>17369.11222139086</v>
      </c>
      <c r="AD14" s="37">
        <f t="shared" ref="AD14" si="56">Q14*$AA14</f>
        <v>17369.11222139086</v>
      </c>
      <c r="AE14" s="37">
        <f t="shared" ref="AE14" si="57">R14*$AA14</f>
        <v>17369.11222139086</v>
      </c>
      <c r="AF14" s="38">
        <f t="shared" ref="AF14" si="58">S14*$AA14</f>
        <v>17369.11222139086</v>
      </c>
      <c r="AH14" s="44">
        <f>ServiceProjections!H57*J14</f>
        <v>109.27571499730442</v>
      </c>
      <c r="AI14" s="37">
        <f>O14*$AH14</f>
        <v>6309.2675676157924</v>
      </c>
      <c r="AJ14" s="37">
        <f t="shared" ref="AJ14" si="59">P14*$AH14</f>
        <v>6309.2675676157924</v>
      </c>
      <c r="AK14" s="37">
        <f t="shared" ref="AK14" si="60">Q14*$AH14</f>
        <v>6309.2675676157924</v>
      </c>
      <c r="AL14" s="37">
        <f t="shared" ref="AL14" si="61">R14*$AH14</f>
        <v>6309.2675676157924</v>
      </c>
      <c r="AM14" s="38">
        <f t="shared" ref="AM14" si="62">S14*$AH14</f>
        <v>6309.2675676157924</v>
      </c>
      <c r="AO14" s="112">
        <f>L14-AA14-AH14</f>
        <v>9.0484506654538563</v>
      </c>
      <c r="AP14" s="33">
        <f>$AO14*O14</f>
        <v>522.43168870711861</v>
      </c>
      <c r="AQ14" s="33">
        <f t="shared" ref="AQ14" si="63">$AO14*P14</f>
        <v>522.43168870711861</v>
      </c>
      <c r="AR14" s="33">
        <f t="shared" ref="AR14" si="64">$AO14*Q14</f>
        <v>522.43168870711861</v>
      </c>
      <c r="AS14" s="33">
        <f t="shared" ref="AS14" si="65">$AO14*R14</f>
        <v>522.43168870711861</v>
      </c>
      <c r="AT14" s="34">
        <f t="shared" ref="AT14" si="66">$AO14*S14</f>
        <v>522.43168870711861</v>
      </c>
    </row>
    <row r="15" spans="1:46" ht="14.1" customHeight="1" x14ac:dyDescent="0.25">
      <c r="B15" s="10"/>
      <c r="C15" s="9" t="str">
        <f>ServiceProjections!D15</f>
        <v>Reconnect/Disconnect - Out of Business Hours</v>
      </c>
      <c r="D15" s="9"/>
      <c r="E15" s="28"/>
      <c r="F15" s="10"/>
      <c r="G15" s="9"/>
      <c r="H15" s="28"/>
      <c r="J15" s="10"/>
      <c r="K15" s="9"/>
      <c r="L15" s="36"/>
      <c r="N15" s="10"/>
      <c r="O15" s="9"/>
      <c r="P15" s="9"/>
      <c r="Q15" s="9"/>
      <c r="R15" s="9"/>
      <c r="S15" s="28"/>
      <c r="U15" s="10"/>
      <c r="V15" s="9"/>
      <c r="W15" s="9"/>
      <c r="X15" s="9"/>
      <c r="Y15" s="28"/>
      <c r="AA15" s="10"/>
      <c r="AB15" s="9"/>
      <c r="AC15" s="9"/>
      <c r="AD15" s="9"/>
      <c r="AE15" s="9"/>
      <c r="AF15" s="28"/>
      <c r="AH15" s="10"/>
      <c r="AI15" s="9"/>
      <c r="AJ15" s="9"/>
      <c r="AK15" s="9"/>
      <c r="AL15" s="9"/>
      <c r="AM15" s="28"/>
      <c r="AO15" s="10"/>
      <c r="AP15" s="9"/>
      <c r="AQ15" s="9"/>
      <c r="AR15" s="9"/>
      <c r="AS15" s="9"/>
      <c r="AT15" s="28"/>
    </row>
    <row r="16" spans="1:46" ht="14.1" customHeight="1" x14ac:dyDescent="0.25">
      <c r="B16" s="10"/>
      <c r="C16" s="9"/>
      <c r="D16" s="9" t="str">
        <f>ServiceProjections!E16</f>
        <v>Reconnect/Disconnect - Out of Business Hours</v>
      </c>
      <c r="E16" s="28"/>
      <c r="F16" s="32">
        <f>ServiceHistory!G59</f>
        <v>0</v>
      </c>
      <c r="G16" s="33">
        <f>H16</f>
        <v>95</v>
      </c>
      <c r="H16" s="34">
        <f>ServiceHistory!G15</f>
        <v>95</v>
      </c>
      <c r="J16" s="32">
        <v>0.78</v>
      </c>
      <c r="K16" s="33">
        <f>ServiceProjections!J59</f>
        <v>144.24226518807265</v>
      </c>
      <c r="L16" s="36">
        <f>J16*K16</f>
        <v>112.50896684669667</v>
      </c>
      <c r="N16" s="10"/>
      <c r="O16" s="37">
        <f>ServiceProjections!H73</f>
        <v>5155.2000000000007</v>
      </c>
      <c r="P16" s="37">
        <f>ServiceProjections!I73</f>
        <v>5155.2000000000007</v>
      </c>
      <c r="Q16" s="37">
        <f>ServiceProjections!J73</f>
        <v>5155.2000000000007</v>
      </c>
      <c r="R16" s="37">
        <f>ServiceProjections!K73</f>
        <v>5155.2000000000007</v>
      </c>
      <c r="S16" s="38">
        <f>ServiceProjections!L73</f>
        <v>5155.2000000000007</v>
      </c>
      <c r="U16" s="41">
        <f t="shared" ref="U16" si="67">O16*$L16</f>
        <v>580006.22588809079</v>
      </c>
      <c r="V16" s="37">
        <f t="shared" ref="V16" si="68">P16*$L16</f>
        <v>580006.22588809079</v>
      </c>
      <c r="W16" s="37">
        <f t="shared" ref="W16" si="69">Q16*$L16</f>
        <v>580006.22588809079</v>
      </c>
      <c r="X16" s="37">
        <f t="shared" ref="X16" si="70">R16*$L16</f>
        <v>580006.22588809079</v>
      </c>
      <c r="Y16" s="38">
        <f t="shared" ref="Y16" si="71">S16*$L16</f>
        <v>580006.22588809079</v>
      </c>
      <c r="AA16" s="44">
        <f>ServiceProjections!G59*FeeConstruction!J16</f>
        <v>80.36826437872341</v>
      </c>
      <c r="AB16" s="37">
        <f t="shared" ref="AB16" si="72">O16*$AA16</f>
        <v>414314.476525195</v>
      </c>
      <c r="AC16" s="37">
        <f t="shared" ref="AC16" si="73">P16*$AA16</f>
        <v>414314.476525195</v>
      </c>
      <c r="AD16" s="37">
        <f t="shared" ref="AD16" si="74">Q16*$AA16</f>
        <v>414314.476525195</v>
      </c>
      <c r="AE16" s="37">
        <f t="shared" ref="AE16" si="75">R16*$AA16</f>
        <v>414314.476525195</v>
      </c>
      <c r="AF16" s="38">
        <f t="shared" ref="AF16" si="76">S16*$AA16</f>
        <v>414314.476525195</v>
      </c>
      <c r="AH16" s="44">
        <f>ServiceProjections!H59*J16</f>
        <v>29.185695859945998</v>
      </c>
      <c r="AI16" s="37">
        <f t="shared" ref="AI16" si="77">O16*$AH16</f>
        <v>150458.09929719364</v>
      </c>
      <c r="AJ16" s="37">
        <f t="shared" ref="AJ16" si="78">P16*$AH16</f>
        <v>150458.09929719364</v>
      </c>
      <c r="AK16" s="37">
        <f t="shared" ref="AK16" si="79">Q16*$AH16</f>
        <v>150458.09929719364</v>
      </c>
      <c r="AL16" s="37">
        <f t="shared" ref="AL16" si="80">R16*$AH16</f>
        <v>150458.09929719364</v>
      </c>
      <c r="AM16" s="38">
        <f t="shared" ref="AM16" si="81">S16*$AH16</f>
        <v>150458.09929719364</v>
      </c>
      <c r="AO16" s="112">
        <f>L16-AA16-AH16</f>
        <v>2.9550066080272579</v>
      </c>
      <c r="AP16" s="113">
        <f>$AO16*O16</f>
        <v>15233.650065702122</v>
      </c>
      <c r="AQ16" s="113">
        <f t="shared" ref="AQ16" si="82">$AO16*P16</f>
        <v>15233.650065702122</v>
      </c>
      <c r="AR16" s="113">
        <f t="shared" ref="AR16" si="83">$AO16*Q16</f>
        <v>15233.650065702122</v>
      </c>
      <c r="AS16" s="113">
        <f t="shared" ref="AS16" si="84">$AO16*R16</f>
        <v>15233.650065702122</v>
      </c>
      <c r="AT16" s="114">
        <f t="shared" ref="AT16" si="85">$AO16*S16</f>
        <v>15233.650065702122</v>
      </c>
    </row>
    <row r="17" spans="2:46" ht="14.1" customHeight="1" x14ac:dyDescent="0.25">
      <c r="B17" s="10"/>
      <c r="C17" s="9"/>
      <c r="D17" s="9"/>
      <c r="E17" s="28"/>
      <c r="F17" s="10"/>
      <c r="G17" s="9"/>
      <c r="H17" s="28"/>
      <c r="J17" s="10"/>
      <c r="K17" s="9"/>
      <c r="L17" s="28"/>
      <c r="N17" s="10"/>
      <c r="O17" s="9"/>
      <c r="P17" s="9"/>
      <c r="Q17" s="9"/>
      <c r="R17" s="9"/>
      <c r="S17" s="28"/>
      <c r="U17" s="42">
        <f>SUM(U8:U16)</f>
        <v>2034008.2056236607</v>
      </c>
      <c r="V17" s="25">
        <f t="shared" ref="V17:Y17" si="86">SUM(V8:V16)</f>
        <v>2034008.2056236607</v>
      </c>
      <c r="W17" s="25">
        <f t="shared" si="86"/>
        <v>2034008.2056236607</v>
      </c>
      <c r="X17" s="25">
        <f t="shared" si="86"/>
        <v>2034008.2056236607</v>
      </c>
      <c r="Y17" s="43">
        <f t="shared" si="86"/>
        <v>2034008.2056236607</v>
      </c>
      <c r="AA17" s="10"/>
      <c r="AB17" s="25"/>
      <c r="AC17" s="25"/>
      <c r="AD17" s="25"/>
      <c r="AE17" s="25"/>
      <c r="AF17" s="43"/>
      <c r="AH17" s="10"/>
      <c r="AI17" s="25"/>
      <c r="AJ17" s="25"/>
      <c r="AK17" s="25"/>
      <c r="AL17" s="25"/>
      <c r="AM17" s="43"/>
      <c r="AO17" s="10"/>
      <c r="AP17" s="9"/>
      <c r="AQ17" s="9"/>
      <c r="AR17" s="9"/>
      <c r="AS17" s="9"/>
      <c r="AT17" s="28"/>
    </row>
    <row r="18" spans="2:46" ht="14.1" customHeight="1" x14ac:dyDescent="0.25">
      <c r="B18" s="29"/>
      <c r="C18" s="6"/>
      <c r="D18" s="6"/>
      <c r="E18" s="30"/>
      <c r="F18" s="29"/>
      <c r="G18" s="6"/>
      <c r="H18" s="30"/>
      <c r="J18" s="29"/>
      <c r="K18" s="6"/>
      <c r="L18" s="30"/>
      <c r="N18" s="29"/>
      <c r="O18" s="6"/>
      <c r="P18" s="6"/>
      <c r="Q18" s="6"/>
      <c r="R18" s="6"/>
      <c r="S18" s="30"/>
      <c r="U18" s="29"/>
      <c r="V18" s="6"/>
      <c r="W18" s="6"/>
      <c r="X18" s="6"/>
      <c r="Y18" s="30"/>
      <c r="AA18" s="29"/>
      <c r="AB18" s="6"/>
      <c r="AC18" s="6"/>
      <c r="AD18" s="6"/>
      <c r="AE18" s="6"/>
      <c r="AF18" s="30"/>
      <c r="AH18" s="29"/>
      <c r="AI18" s="6"/>
      <c r="AJ18" s="6"/>
      <c r="AK18" s="6"/>
      <c r="AL18" s="6"/>
      <c r="AM18" s="30"/>
      <c r="AO18" s="29"/>
      <c r="AP18" s="6"/>
      <c r="AQ18" s="6"/>
      <c r="AR18" s="6"/>
      <c r="AS18" s="6"/>
      <c r="AT18" s="30"/>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856BA56E-67B9-4F04-98E2-DF9981724168}"/>
</file>

<file path=customXml/itemProps2.xml><?xml version="1.0" encoding="utf-8"?>
<ds:datastoreItem xmlns:ds="http://schemas.openxmlformats.org/officeDocument/2006/customXml" ds:itemID="{FA164188-E17A-4ABD-B721-6A0BF46034E0}"/>
</file>

<file path=customXml/itemProps3.xml><?xml version="1.0" encoding="utf-8"?>
<ds:datastoreItem xmlns:ds="http://schemas.openxmlformats.org/officeDocument/2006/customXml" ds:itemID="{6B390666-C7E8-4E39-AB9B-F91A1299C91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2014-05-19T22:28:39Z</cp:lastPrinted>
  <dcterms:created xsi:type="dcterms:W3CDTF">2013-06-17T01:25:32Z</dcterms:created>
  <dcterms:modified xsi:type="dcterms:W3CDTF">2015-01-06T03:05:02Z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