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ilnsw.sharepoint.com/sites/EDOProjectHub/Licence Condition Variations/ProjectDocuments/Cost Pass Through Application/Documents submitted to AER/"/>
    </mc:Choice>
  </mc:AlternateContent>
  <xr:revisionPtr revIDLastSave="23" documentId="13_ncr:1_{51F109D1-24D3-4279-B5C8-9F1658253B51}" xr6:coauthVersionLast="47" xr6:coauthVersionMax="47" xr10:uidLastSave="{E45C18C3-4D64-4C09-A1C4-28650D0C4297}"/>
  <bookViews>
    <workbookView xWindow="-120" yWindow="-120" windowWidth="29040" windowHeight="15840" tabRatio="723" xr2:uid="{0A694395-6FFF-4EFB-B01A-9AB97D4DF4C8}"/>
  </bookViews>
  <sheets>
    <sheet name="Summary" sheetId="3" r:id="rId1"/>
    <sheet name="Property" sheetId="1" r:id="rId2"/>
    <sheet name="Cyber-data combined" sheetId="7" r:id="rId3"/>
    <sheet name="Inflators Electricity" sheetId="2" r:id="rId4"/>
    <sheet name="Tables for application" sheetId="8" r:id="rId5"/>
  </sheets>
  <definedNames>
    <definedName name="_xlnm.Print_Area" localSheetId="3">'Inflators Electricity'!$A$1:$S$23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7"/>
  <c r="D21" i="8" l="1"/>
  <c r="E21" i="8"/>
  <c r="F21" i="8"/>
  <c r="G21" i="8"/>
  <c r="C21" i="8"/>
  <c r="H20" i="8"/>
  <c r="H19" i="8"/>
  <c r="D19" i="8"/>
  <c r="E19" i="8"/>
  <c r="F19" i="8"/>
  <c r="G19" i="8"/>
  <c r="C19" i="8"/>
  <c r="H13" i="8"/>
  <c r="D13" i="8"/>
  <c r="E13" i="8"/>
  <c r="F13" i="8"/>
  <c r="G13" i="8"/>
  <c r="C13" i="8"/>
  <c r="X9" i="3"/>
  <c r="X4" i="3"/>
  <c r="H21" i="8" l="1"/>
  <c r="B16" i="7" l="1"/>
  <c r="C16" i="7"/>
  <c r="D16" i="7"/>
  <c r="E16" i="7"/>
  <c r="F16" i="7"/>
  <c r="C18" i="1"/>
  <c r="B18" i="1"/>
  <c r="D18" i="1"/>
  <c r="E18" i="1"/>
  <c r="F18" i="1"/>
  <c r="B14" i="7"/>
  <c r="C14" i="7"/>
  <c r="D14" i="7"/>
  <c r="E14" i="7"/>
  <c r="F14" i="7"/>
  <c r="B14" i="1"/>
  <c r="C14" i="1"/>
  <c r="D14" i="1"/>
  <c r="E14" i="1"/>
  <c r="F14" i="1"/>
  <c r="B19" i="1" l="1"/>
  <c r="F19" i="1"/>
  <c r="G14" i="1"/>
  <c r="E19" i="1"/>
  <c r="D19" i="1"/>
  <c r="G18" i="1"/>
  <c r="C19" i="1"/>
  <c r="G19" i="1" l="1"/>
  <c r="B41" i="3" l="1"/>
  <c r="J36" i="3" s="1"/>
  <c r="B42" i="3"/>
  <c r="J37" i="3" s="1"/>
  <c r="B43" i="3"/>
  <c r="J38" i="3" s="1"/>
  <c r="B40" i="3"/>
  <c r="J35" i="3" s="1"/>
  <c r="F32" i="3" l="1"/>
  <c r="G32" i="3"/>
  <c r="G30" i="3"/>
  <c r="C32" i="3"/>
  <c r="D30" i="3"/>
  <c r="D32" i="3"/>
  <c r="E32" i="3"/>
  <c r="E30" i="3" l="1"/>
  <c r="F30" i="3"/>
  <c r="C30" i="3"/>
  <c r="H32" i="3"/>
  <c r="J4" i="1"/>
  <c r="D4" i="8" s="1"/>
  <c r="J5" i="1"/>
  <c r="D7" i="8" s="1"/>
  <c r="D13" i="3"/>
  <c r="D39" i="3" s="1"/>
  <c r="H30" i="3" l="1"/>
  <c r="J6" i="1"/>
  <c r="D12" i="3"/>
  <c r="D38" i="3" l="1"/>
  <c r="E40" i="3" l="1"/>
  <c r="M35" i="3" s="1"/>
  <c r="F42" i="3"/>
  <c r="N37" i="3" s="1"/>
  <c r="F40" i="3"/>
  <c r="C42" i="3"/>
  <c r="K37" i="3" s="1"/>
  <c r="D40" i="3"/>
  <c r="L35" i="3" s="1"/>
  <c r="E42" i="3"/>
  <c r="M37" i="3" s="1"/>
  <c r="D42" i="3"/>
  <c r="L37" i="3" s="1"/>
  <c r="C40" i="3"/>
  <c r="G42" i="3"/>
  <c r="O37" i="3" s="1"/>
  <c r="G40" i="3"/>
  <c r="O35" i="3" s="1"/>
  <c r="H40" i="3"/>
  <c r="H42" i="3"/>
  <c r="P37" i="3" l="1"/>
  <c r="N35" i="3"/>
  <c r="K35" i="3"/>
  <c r="P35" i="3" l="1"/>
  <c r="J14" i="3" l="1"/>
  <c r="J21" i="3" s="1"/>
  <c r="B15" i="3"/>
  <c r="J13" i="3"/>
  <c r="J20" i="3" s="1"/>
  <c r="B14" i="3"/>
  <c r="N4" i="1" l="1"/>
  <c r="H4" i="8" s="1"/>
  <c r="M4" i="1"/>
  <c r="G4" i="8" s="1"/>
  <c r="K4" i="1"/>
  <c r="E4" i="8" s="1"/>
  <c r="L5" i="1"/>
  <c r="F7" i="8" s="1"/>
  <c r="K5" i="1"/>
  <c r="E7" i="8" s="1"/>
  <c r="M5" i="1"/>
  <c r="G7" i="8" s="1"/>
  <c r="L4" i="1"/>
  <c r="F4" i="8" s="1"/>
  <c r="I4" i="8" l="1"/>
  <c r="M6" i="1"/>
  <c r="K6" i="1"/>
  <c r="O4" i="1"/>
  <c r="L6" i="1"/>
  <c r="N5" i="1" l="1"/>
  <c r="H7" i="8" s="1"/>
  <c r="D6" i="1"/>
  <c r="I7" i="8" l="1"/>
  <c r="N6" i="1"/>
  <c r="O5" i="1"/>
  <c r="O6" i="1" s="1"/>
  <c r="B6" i="1"/>
  <c r="C6" i="1"/>
  <c r="F6" i="1"/>
  <c r="E6" i="1"/>
  <c r="G4" i="1"/>
  <c r="G16" i="7" s="1"/>
  <c r="G5" i="1"/>
  <c r="G14" i="7" s="1"/>
  <c r="G6" i="1" l="1"/>
  <c r="G33" i="3" l="1"/>
  <c r="G43" i="3" s="1"/>
  <c r="O38" i="3" s="1"/>
  <c r="G31" i="3"/>
  <c r="E33" i="3" l="1"/>
  <c r="E43" i="3" s="1"/>
  <c r="M38" i="3" s="1"/>
  <c r="E31" i="3"/>
  <c r="F11" i="7"/>
  <c r="G34" i="3"/>
  <c r="G41" i="3"/>
  <c r="D11" i="7" l="1"/>
  <c r="F33" i="3"/>
  <c r="F43" i="3" s="1"/>
  <c r="N38" i="3" s="1"/>
  <c r="F31" i="3"/>
  <c r="O36" i="3"/>
  <c r="G44" i="3"/>
  <c r="E34" i="3"/>
  <c r="E41" i="3"/>
  <c r="E11" i="7" l="1"/>
  <c r="M36" i="3"/>
  <c r="E44" i="3"/>
  <c r="F34" i="3"/>
  <c r="F41" i="3"/>
  <c r="N5" i="7" l="1"/>
  <c r="H6" i="8" s="1"/>
  <c r="H8" i="8" s="1"/>
  <c r="G5" i="3"/>
  <c r="N36" i="3"/>
  <c r="F44" i="3"/>
  <c r="M5" i="7"/>
  <c r="G6" i="8" s="1"/>
  <c r="G8" i="8" s="1"/>
  <c r="F5" i="3"/>
  <c r="F15" i="3" l="1"/>
  <c r="N14" i="3" s="1"/>
  <c r="N21" i="3" s="1"/>
  <c r="N5" i="3"/>
  <c r="G15" i="3"/>
  <c r="O14" i="3" s="1"/>
  <c r="O21" i="3" s="1"/>
  <c r="O5" i="3"/>
  <c r="L5" i="7"/>
  <c r="F6" i="8" s="1"/>
  <c r="F8" i="8" s="1"/>
  <c r="E5" i="3"/>
  <c r="D33" i="3" l="1"/>
  <c r="D43" i="3" s="1"/>
  <c r="L38" i="3" s="1"/>
  <c r="N4" i="7"/>
  <c r="H3" i="8" s="1"/>
  <c r="F6" i="7"/>
  <c r="F18" i="7" s="1"/>
  <c r="G4" i="3"/>
  <c r="M5" i="3"/>
  <c r="E15" i="3"/>
  <c r="M14" i="3" s="1"/>
  <c r="M21" i="3" s="1"/>
  <c r="D31" i="3"/>
  <c r="C11" i="7"/>
  <c r="C33" i="3" l="1"/>
  <c r="C6" i="7"/>
  <c r="C18" i="7" s="1"/>
  <c r="K4" i="7"/>
  <c r="E3" i="8" s="1"/>
  <c r="D4" i="3"/>
  <c r="D34" i="3"/>
  <c r="D41" i="3"/>
  <c r="L4" i="7"/>
  <c r="F3" i="8" s="1"/>
  <c r="D6" i="7"/>
  <c r="D18" i="7" s="1"/>
  <c r="E4" i="3"/>
  <c r="G14" i="3"/>
  <c r="O4" i="3"/>
  <c r="O6" i="3" s="1"/>
  <c r="G6" i="3"/>
  <c r="G16" i="3" s="1"/>
  <c r="M4" i="7"/>
  <c r="G3" i="8" s="1"/>
  <c r="E6" i="7"/>
  <c r="E18" i="7" s="1"/>
  <c r="F4" i="3"/>
  <c r="K5" i="7"/>
  <c r="E6" i="8" s="1"/>
  <c r="E8" i="8" s="1"/>
  <c r="D5" i="3"/>
  <c r="N6" i="7"/>
  <c r="H5" i="8"/>
  <c r="H9" i="8" s="1"/>
  <c r="G11" i="7" l="1"/>
  <c r="H11" i="7" s="1"/>
  <c r="C4" i="3"/>
  <c r="J4" i="7"/>
  <c r="G4" i="7"/>
  <c r="B6" i="7"/>
  <c r="B18" i="7" s="1"/>
  <c r="F14" i="3"/>
  <c r="N4" i="3"/>
  <c r="N6" i="3" s="1"/>
  <c r="F6" i="3"/>
  <c r="F16" i="3" s="1"/>
  <c r="F5" i="8"/>
  <c r="F9" i="8" s="1"/>
  <c r="L6" i="7"/>
  <c r="D6" i="3"/>
  <c r="D16" i="3" s="1"/>
  <c r="D14" i="3"/>
  <c r="L4" i="3"/>
  <c r="H33" i="3"/>
  <c r="H43" i="3" s="1"/>
  <c r="C43" i="3"/>
  <c r="K38" i="3" s="1"/>
  <c r="O33" i="3"/>
  <c r="O13" i="3"/>
  <c r="C31" i="3"/>
  <c r="B11" i="7"/>
  <c r="L36" i="3"/>
  <c r="D44" i="3"/>
  <c r="E5" i="8"/>
  <c r="E9" i="8" s="1"/>
  <c r="K6" i="7"/>
  <c r="C5" i="3"/>
  <c r="G5" i="7"/>
  <c r="J5" i="7"/>
  <c r="D15" i="3"/>
  <c r="L14" i="3" s="1"/>
  <c r="L21" i="3" s="1"/>
  <c r="L5" i="3"/>
  <c r="G5" i="8"/>
  <c r="G9" i="8" s="1"/>
  <c r="M6" i="7"/>
  <c r="E14" i="3"/>
  <c r="M4" i="3"/>
  <c r="M6" i="3" s="1"/>
  <c r="E6" i="3"/>
  <c r="E16" i="3" s="1"/>
  <c r="P38" i="3" l="1"/>
  <c r="O39" i="3"/>
  <c r="C15" i="3"/>
  <c r="K14" i="3" s="1"/>
  <c r="K5" i="3"/>
  <c r="P5" i="3" s="1"/>
  <c r="H5" i="3"/>
  <c r="H15" i="3" s="1"/>
  <c r="M33" i="3"/>
  <c r="M13" i="3"/>
  <c r="L13" i="3"/>
  <c r="L33" i="3"/>
  <c r="G6" i="7"/>
  <c r="G18" i="7" s="1"/>
  <c r="L6" i="3"/>
  <c r="D6" i="8"/>
  <c r="O5" i="7"/>
  <c r="H31" i="3"/>
  <c r="C34" i="3"/>
  <c r="C41" i="3"/>
  <c r="D3" i="8"/>
  <c r="J6" i="7"/>
  <c r="O4" i="7"/>
  <c r="O20" i="3"/>
  <c r="O22" i="3" s="1"/>
  <c r="W6" i="3" s="1"/>
  <c r="O15" i="3"/>
  <c r="N33" i="3"/>
  <c r="N13" i="3"/>
  <c r="C14" i="3"/>
  <c r="K4" i="3"/>
  <c r="C6" i="3"/>
  <c r="H4" i="3"/>
  <c r="N39" i="3" l="1"/>
  <c r="M39" i="3"/>
  <c r="L39" i="3"/>
  <c r="K6" i="3"/>
  <c r="P4" i="3"/>
  <c r="P6" i="3" s="1"/>
  <c r="I3" i="8"/>
  <c r="D5" i="8"/>
  <c r="G14" i="8"/>
  <c r="W7" i="3"/>
  <c r="G15" i="8" s="1"/>
  <c r="K36" i="3"/>
  <c r="C44" i="3"/>
  <c r="I6" i="8"/>
  <c r="D8" i="8"/>
  <c r="I8" i="8" s="1"/>
  <c r="L20" i="3"/>
  <c r="L22" i="3" s="1"/>
  <c r="T6" i="3" s="1"/>
  <c r="L15" i="3"/>
  <c r="H41" i="3"/>
  <c r="H44" i="3" s="1"/>
  <c r="H34" i="3"/>
  <c r="K33" i="3"/>
  <c r="C16" i="3"/>
  <c r="K13" i="3"/>
  <c r="H14" i="3"/>
  <c r="H16" i="3" s="1"/>
  <c r="H6" i="3"/>
  <c r="N15" i="3"/>
  <c r="N20" i="3"/>
  <c r="N22" i="3" s="1"/>
  <c r="V6" i="3" s="1"/>
  <c r="O6" i="7"/>
  <c r="M15" i="3"/>
  <c r="M20" i="3"/>
  <c r="M22" i="3" s="1"/>
  <c r="U6" i="3" s="1"/>
  <c r="K21" i="3"/>
  <c r="P21" i="3" s="1"/>
  <c r="P14" i="3"/>
  <c r="P36" i="3" l="1"/>
  <c r="V7" i="3"/>
  <c r="F15" i="8" s="1"/>
  <c r="F14" i="8"/>
  <c r="D14" i="8"/>
  <c r="T7" i="3"/>
  <c r="D15" i="8" s="1"/>
  <c r="D9" i="8"/>
  <c r="I9" i="8" s="1"/>
  <c r="I5" i="8"/>
  <c r="I33" i="3"/>
  <c r="I30" i="3"/>
  <c r="I32" i="3"/>
  <c r="K39" i="3"/>
  <c r="P33" i="3"/>
  <c r="P39" i="3" s="1"/>
  <c r="K15" i="3"/>
  <c r="K20" i="3"/>
  <c r="P13" i="3"/>
  <c r="P15" i="3" s="1"/>
  <c r="U7" i="3"/>
  <c r="E15" i="8" s="1"/>
  <c r="E14" i="8"/>
  <c r="I31" i="3"/>
  <c r="A34" i="3" l="1"/>
  <c r="K22" i="3"/>
  <c r="S6" i="3" s="1"/>
  <c r="Q20" i="3"/>
  <c r="P20" i="3"/>
  <c r="P22" i="3" s="1"/>
  <c r="X6" i="3" s="1"/>
  <c r="X7" i="3" s="1"/>
  <c r="H15" i="8" s="1"/>
  <c r="S7" i="3" l="1"/>
  <c r="C15" i="8" s="1"/>
  <c r="C14" i="8"/>
  <c r="H1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Waddell</author>
  </authors>
  <commentList>
    <comment ref="R3" authorId="0" shapeId="0" xr:uid="{61978275-2101-4622-91D2-1BD33F688089}">
      <text>
        <r>
          <rPr>
            <b/>
            <sz val="9"/>
            <color indexed="81"/>
            <rFont val="Tahoma"/>
            <family val="2"/>
          </rPr>
          <t>Catherine Waddell:</t>
        </r>
        <r>
          <rPr>
            <sz val="9"/>
            <color indexed="81"/>
            <rFont val="Tahoma"/>
            <family val="2"/>
          </rPr>
          <t xml:space="preserve">
rate to use to inflate for revised proposal and prices</t>
        </r>
      </text>
    </comment>
  </commentList>
</comments>
</file>

<file path=xl/sharedStrings.xml><?xml version="1.0" encoding="utf-8"?>
<sst xmlns="http://schemas.openxmlformats.org/spreadsheetml/2006/main" count="231" uniqueCount="94">
  <si>
    <t>FY21$</t>
  </si>
  <si>
    <t>Outputs from the PTRM after inputting changes</t>
  </si>
  <si>
    <t>FY20</t>
  </si>
  <si>
    <t>FY21</t>
  </si>
  <si>
    <t>FY22</t>
  </si>
  <si>
    <t>FY23</t>
  </si>
  <si>
    <t>FY24</t>
  </si>
  <si>
    <t>Total</t>
  </si>
  <si>
    <t>nominal</t>
  </si>
  <si>
    <t>Opex</t>
  </si>
  <si>
    <t>Unsmoothed revenue requirement - base</t>
  </si>
  <si>
    <t>LEAVE THIS VALUE AS BASE</t>
  </si>
  <si>
    <t>Capex</t>
  </si>
  <si>
    <t>totex impact</t>
  </si>
  <si>
    <t>materiality</t>
  </si>
  <si>
    <t>REFER TABLES BELOW</t>
  </si>
  <si>
    <t>Smoothed revenue requirement - base</t>
  </si>
  <si>
    <t>Adjusted from FY21$ back to FY19$</t>
  </si>
  <si>
    <t>Adjusted from FY21$ back to FY19$ for PTRM modelling</t>
  </si>
  <si>
    <t>FY19</t>
  </si>
  <si>
    <t>half year of 2.42%</t>
  </si>
  <si>
    <t>Adjusted to nominal for totex revenue comparison</t>
  </si>
  <si>
    <t>Per PTRM model, cell note on PTRM input page Cell E39 (latest draft model on AER website Dec 2020), inputs are assumed to be in end of year terms</t>
  </si>
  <si>
    <t>Final decision PTRM</t>
  </si>
  <si>
    <t xml:space="preserve">This goes into PTRM </t>
  </si>
  <si>
    <t>years</t>
  </si>
  <si>
    <t>substations</t>
  </si>
  <si>
    <t>IT systems</t>
  </si>
  <si>
    <t>other non-system assets</t>
  </si>
  <si>
    <t>inhouse software</t>
  </si>
  <si>
    <t>opex</t>
  </si>
  <si>
    <t>CAPEX ASSET Allocation</t>
  </si>
  <si>
    <t>Other non-system assets</t>
  </si>
  <si>
    <t>Ekeying</t>
  </si>
  <si>
    <r>
      <t> </t>
    </r>
    <r>
      <rPr>
        <sz val="11"/>
        <color theme="1"/>
        <rFont val="Calibri"/>
        <family val="2"/>
      </rPr>
      <t>Other Non-Systems Assets</t>
    </r>
  </si>
  <si>
    <t xml:space="preserve">Electronic Security </t>
  </si>
  <si>
    <t>Fencing replacement</t>
  </si>
  <si>
    <r>
      <t>Depots:</t>
    </r>
    <r>
      <rPr>
        <sz val="11"/>
        <color rgb="FF000000"/>
        <rFont val="Calibri"/>
        <family val="2"/>
      </rPr>
      <t> </t>
    </r>
    <r>
      <rPr>
        <sz val="11"/>
        <color theme="1"/>
        <rFont val="Calibri"/>
        <family val="2"/>
      </rPr>
      <t>Other Non-Systems Assets 69%</t>
    </r>
  </si>
  <si>
    <t>Zone Sub Stations: Network Assets - Substations 31%</t>
  </si>
  <si>
    <t>Physical Security Barriers</t>
  </si>
  <si>
    <t>network assets - substations</t>
  </si>
  <si>
    <t>check</t>
  </si>
  <si>
    <t>CAPEX ASSET allocation</t>
  </si>
  <si>
    <t>Software</t>
  </si>
  <si>
    <t>total</t>
  </si>
  <si>
    <t>CHECK</t>
  </si>
  <si>
    <t>Property capex</t>
  </si>
  <si>
    <t>Property opex</t>
  </si>
  <si>
    <t>Network CPI's</t>
  </si>
  <si>
    <t>New method, dec on dec (not 4 quarter)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</si>
  <si>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</si>
  <si>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</si>
  <si>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</si>
  <si>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</si>
  <si>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</si>
  <si>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</si>
  <si>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</si>
  <si>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</si>
  <si>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</si>
  <si>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</si>
  <si>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</si>
  <si>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</si>
  <si>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</si>
  <si>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</si>
  <si>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</si>
  <si>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</si>
  <si>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</si>
  <si>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</si>
  <si>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Base year</t>
  </si>
  <si>
    <t>Table 2</t>
  </si>
  <si>
    <t>$M, $FY21</t>
  </si>
  <si>
    <t>2019-20</t>
  </si>
  <si>
    <t>2020-21</t>
  </si>
  <si>
    <t>2021-22</t>
  </si>
  <si>
    <t>2022-23</t>
  </si>
  <si>
    <t>2023-24</t>
  </si>
  <si>
    <t>2019-24</t>
  </si>
  <si>
    <t>Operating expenditure</t>
  </si>
  <si>
    <t>Cyber security</t>
  </si>
  <si>
    <t>Property</t>
  </si>
  <si>
    <t>Total Opex</t>
  </si>
  <si>
    <t>Capital expenditure</t>
  </si>
  <si>
    <t>Total Capex</t>
  </si>
  <si>
    <t>Totals</t>
  </si>
  <si>
    <t>Table 3</t>
  </si>
  <si>
    <t>$ million, Nominal</t>
  </si>
  <si>
    <t>Approved annual revenue unsmoothed</t>
  </si>
  <si>
    <t>Total licence condition costs</t>
  </si>
  <si>
    <t>Percentage shortfall - totex</t>
  </si>
  <si>
    <t>Table 4</t>
  </si>
  <si>
    <t>Approved annual revenue smoothed</t>
  </si>
  <si>
    <t>PLUS Licence condition pass through</t>
  </si>
  <si>
    <t>-</t>
  </si>
  <si>
    <t>Updated annual revenue 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</si>
</sst>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00_);_(* \(#,##0.0000\);_(* &quot;-&quot;??_);_(@_)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000"/>
    <numFmt numFmtId="169" formatCode="_-* #,##0_-;\-* #,##0_-;_-* &quot;-&quot;??_-;_-@_-"/>
    <numFmt numFmtId="170" formatCode="0.0"/>
    <numFmt numFmtId="171" formatCode="&quot;$&quot;#,##0.0;[Red]\-&quot;$&quot;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8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Regular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4D4D4F"/>
      <name val="Arial"/>
      <family val="2"/>
    </font>
    <font>
      <b/>
      <sz val="9"/>
      <color rgb="FF4D4D4F"/>
      <name val="Arial"/>
      <family val="2"/>
    </font>
    <font>
      <sz val="9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FF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6F0F1"/>
        <bgColor indexed="64"/>
      </patternFill>
    </fill>
    <fill>
      <patternFill patternType="solid">
        <fgColor rgb="FFBFD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3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0" fontId="3" fillId="0" borderId="0" xfId="0" applyFont="1"/>
    <xf numFmtId="0" fontId="5" fillId="0" borderId="0" xfId="3" applyFont="1"/>
    <xf numFmtId="0" fontId="4" fillId="0" borderId="0" xfId="3"/>
    <xf numFmtId="0" fontId="4" fillId="2" borderId="0" xfId="3" applyFill="1"/>
    <xf numFmtId="10" fontId="4" fillId="0" borderId="0" xfId="3" applyNumberFormat="1"/>
    <xf numFmtId="0" fontId="6" fillId="0" borderId="0" xfId="3" applyFont="1"/>
    <xf numFmtId="0" fontId="4" fillId="0" borderId="1" xfId="3" applyBorder="1" applyAlignment="1">
      <alignment horizontal="center"/>
    </xf>
    <xf numFmtId="0" fontId="4" fillId="0" borderId="2" xfId="3" applyBorder="1" applyAlignment="1">
      <alignment horizontal="center"/>
    </xf>
    <xf numFmtId="10" fontId="0" fillId="0" borderId="3" xfId="4" applyNumberFormat="1" applyFont="1" applyBorder="1"/>
    <xf numFmtId="10" fontId="5" fillId="0" borderId="1" xfId="4" applyNumberFormat="1" applyFont="1" applyBorder="1"/>
    <xf numFmtId="10" fontId="5" fillId="0" borderId="0" xfId="4" applyNumberFormat="1" applyFont="1" applyBorder="1"/>
    <xf numFmtId="10" fontId="5" fillId="2" borderId="0" xfId="4" applyNumberFormat="1" applyFont="1" applyFill="1" applyBorder="1"/>
    <xf numFmtId="0" fontId="4" fillId="0" borderId="3" xfId="3" applyBorder="1" applyAlignment="1">
      <alignment horizontal="center"/>
    </xf>
    <xf numFmtId="165" fontId="0" fillId="0" borderId="3" xfId="5" applyNumberFormat="1" applyFont="1" applyBorder="1"/>
    <xf numFmtId="165" fontId="0" fillId="0" borderId="0" xfId="5" applyNumberFormat="1" applyFont="1" applyBorder="1"/>
    <xf numFmtId="10" fontId="4" fillId="0" borderId="3" xfId="3" applyNumberFormat="1" applyBorder="1"/>
    <xf numFmtId="0" fontId="4" fillId="0" borderId="3" xfId="3" applyBorder="1"/>
    <xf numFmtId="165" fontId="4" fillId="0" borderId="0" xfId="3" applyNumberFormat="1"/>
    <xf numFmtId="0" fontId="4" fillId="0" borderId="4" xfId="3" applyBorder="1" applyAlignment="1">
      <alignment horizontal="center"/>
    </xf>
    <xf numFmtId="166" fontId="0" fillId="0" borderId="0" xfId="2" applyNumberFormat="1" applyFont="1"/>
    <xf numFmtId="167" fontId="0" fillId="0" borderId="0" xfId="2" applyNumberFormat="1" applyFont="1"/>
    <xf numFmtId="168" fontId="0" fillId="0" borderId="0" xfId="0" applyNumberFormat="1"/>
    <xf numFmtId="168" fontId="0" fillId="0" borderId="0" xfId="2" applyNumberFormat="1" applyFont="1"/>
    <xf numFmtId="44" fontId="0" fillId="0" borderId="0" xfId="0" applyNumberFormat="1"/>
    <xf numFmtId="0" fontId="0" fillId="0" borderId="2" xfId="0" applyBorder="1"/>
    <xf numFmtId="167" fontId="0" fillId="0" borderId="2" xfId="2" applyNumberFormat="1" applyFont="1" applyBorder="1"/>
    <xf numFmtId="0" fontId="0" fillId="3" borderId="0" xfId="0" applyFill="1"/>
    <xf numFmtId="0" fontId="0" fillId="0" borderId="0" xfId="0" applyFill="1"/>
    <xf numFmtId="44" fontId="0" fillId="0" borderId="0" xfId="2" applyFont="1" applyFill="1"/>
    <xf numFmtId="44" fontId="0" fillId="0" borderId="2" xfId="2" applyFont="1" applyFill="1" applyBorder="1"/>
    <xf numFmtId="0" fontId="0" fillId="4" borderId="0" xfId="0" applyFill="1"/>
    <xf numFmtId="0" fontId="0" fillId="5" borderId="0" xfId="0" applyFill="1"/>
    <xf numFmtId="166" fontId="0" fillId="0" borderId="2" xfId="2" applyNumberFormat="1" applyFont="1" applyBorder="1"/>
    <xf numFmtId="168" fontId="9" fillId="6" borderId="5" xfId="0" applyNumberFormat="1" applyFont="1" applyFill="1" applyBorder="1" applyAlignment="1">
      <alignment wrapText="1"/>
    </xf>
    <xf numFmtId="169" fontId="0" fillId="0" borderId="0" xfId="6" applyNumberFormat="1" applyFont="1"/>
    <xf numFmtId="0" fontId="12" fillId="0" borderId="0" xfId="0" applyFont="1"/>
    <xf numFmtId="16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70" fontId="0" fillId="0" borderId="0" xfId="0" applyNumberFormat="1"/>
    <xf numFmtId="0" fontId="0" fillId="0" borderId="1" xfId="0" applyBorder="1"/>
    <xf numFmtId="169" fontId="0" fillId="0" borderId="10" xfId="0" applyNumberFormat="1" applyBorder="1"/>
    <xf numFmtId="169" fontId="0" fillId="0" borderId="11" xfId="0" applyNumberFormat="1" applyBorder="1"/>
    <xf numFmtId="0" fontId="0" fillId="0" borderId="3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169" fontId="0" fillId="0" borderId="14" xfId="0" applyNumberFormat="1" applyBorder="1"/>
    <xf numFmtId="169" fontId="0" fillId="0" borderId="15" xfId="0" applyNumberFormat="1" applyBorder="1"/>
    <xf numFmtId="170" fontId="0" fillId="4" borderId="0" xfId="0" applyNumberFormat="1" applyFill="1"/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vertical="center" wrapText="1"/>
    </xf>
    <xf numFmtId="0" fontId="14" fillId="8" borderId="19" xfId="0" applyFont="1" applyFill="1" applyBorder="1" applyAlignment="1">
      <alignment vertical="center" wrapText="1"/>
    </xf>
    <xf numFmtId="0" fontId="14" fillId="9" borderId="20" xfId="0" applyFont="1" applyFill="1" applyBorder="1" applyAlignment="1">
      <alignment vertical="center" wrapText="1"/>
    </xf>
    <xf numFmtId="0" fontId="14" fillId="9" borderId="21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vertical="center" wrapText="1"/>
    </xf>
    <xf numFmtId="0" fontId="14" fillId="9" borderId="19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5" fillId="9" borderId="20" xfId="0" applyFont="1" applyFill="1" applyBorder="1" applyAlignment="1">
      <alignment vertical="center" wrapText="1"/>
    </xf>
    <xf numFmtId="0" fontId="15" fillId="9" borderId="21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vertical="center" wrapText="1"/>
    </xf>
    <xf numFmtId="0" fontId="15" fillId="8" borderId="19" xfId="0" applyFont="1" applyFill="1" applyBorder="1" applyAlignment="1">
      <alignment vertical="center" wrapText="1"/>
    </xf>
    <xf numFmtId="0" fontId="15" fillId="9" borderId="18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171" fontId="14" fillId="8" borderId="19" xfId="0" applyNumberFormat="1" applyFont="1" applyFill="1" applyBorder="1" applyAlignment="1">
      <alignment horizontal="center" vertical="center" wrapText="1"/>
    </xf>
    <xf numFmtId="171" fontId="15" fillId="8" borderId="19" xfId="0" applyNumberFormat="1" applyFont="1" applyFill="1" applyBorder="1" applyAlignment="1">
      <alignment horizontal="center" vertical="center" wrapText="1"/>
    </xf>
    <xf numFmtId="171" fontId="14" fillId="9" borderId="21" xfId="0" applyNumberFormat="1" applyFont="1" applyFill="1" applyBorder="1" applyAlignment="1">
      <alignment horizontal="center" vertical="center" wrapText="1"/>
    </xf>
    <xf numFmtId="171" fontId="15" fillId="9" borderId="21" xfId="0" applyNumberFormat="1" applyFont="1" applyFill="1" applyBorder="1" applyAlignment="1">
      <alignment horizontal="center" vertical="center" wrapText="1"/>
    </xf>
    <xf numFmtId="171" fontId="15" fillId="8" borderId="21" xfId="0" applyNumberFormat="1" applyFont="1" applyFill="1" applyBorder="1" applyAlignment="1">
      <alignment horizontal="center" vertical="center" wrapText="1"/>
    </xf>
    <xf numFmtId="171" fontId="14" fillId="9" borderId="19" xfId="0" applyNumberFormat="1" applyFont="1" applyFill="1" applyBorder="1" applyAlignment="1">
      <alignment horizontal="center" vertical="center" wrapText="1"/>
    </xf>
    <xf numFmtId="171" fontId="15" fillId="9" borderId="19" xfId="0" applyNumberFormat="1" applyFont="1" applyFill="1" applyBorder="1" applyAlignment="1">
      <alignment horizontal="center" vertical="center" wrapText="1"/>
    </xf>
    <xf numFmtId="171" fontId="14" fillId="8" borderId="21" xfId="0" applyNumberFormat="1" applyFont="1" applyFill="1" applyBorder="1" applyAlignment="1">
      <alignment horizontal="center" vertical="center" wrapText="1"/>
    </xf>
    <xf numFmtId="171" fontId="16" fillId="8" borderId="19" xfId="0" applyNumberFormat="1" applyFont="1" applyFill="1" applyBorder="1" applyAlignment="1">
      <alignment horizontal="center" vertical="center" wrapText="1"/>
    </xf>
    <xf numFmtId="171" fontId="17" fillId="8" borderId="19" xfId="0" applyNumberFormat="1" applyFont="1" applyFill="1" applyBorder="1" applyAlignment="1">
      <alignment horizontal="center" vertical="center" wrapText="1"/>
    </xf>
    <xf numFmtId="171" fontId="16" fillId="9" borderId="19" xfId="0" applyNumberFormat="1" applyFont="1" applyFill="1" applyBorder="1" applyAlignment="1">
      <alignment horizontal="center" vertical="center" wrapText="1"/>
    </xf>
    <xf numFmtId="171" fontId="17" fillId="9" borderId="19" xfId="0" applyNumberFormat="1" applyFont="1" applyFill="1" applyBorder="1" applyAlignment="1">
      <alignment horizontal="center" vertical="center" wrapText="1"/>
    </xf>
    <xf numFmtId="164" fontId="17" fillId="8" borderId="19" xfId="0" applyNumberFormat="1" applyFont="1" applyFill="1" applyBorder="1" applyAlignment="1">
      <alignment horizontal="center" vertical="center" wrapText="1"/>
    </xf>
    <xf numFmtId="0" fontId="0" fillId="10" borderId="0" xfId="0" applyFill="1"/>
    <xf numFmtId="168" fontId="0" fillId="10" borderId="0" xfId="0" applyNumberFormat="1" applyFill="1"/>
    <xf numFmtId="44" fontId="0" fillId="10" borderId="0" xfId="2" applyFont="1" applyFill="1"/>
    <xf numFmtId="167" fontId="0" fillId="0" borderId="0" xfId="2" applyNumberFormat="1" applyFont="1" applyFill="1"/>
    <xf numFmtId="166" fontId="0" fillId="0" borderId="0" xfId="2" applyNumberFormat="1" applyFont="1" applyFill="1"/>
    <xf numFmtId="167" fontId="0" fillId="0" borderId="2" xfId="2" applyNumberFormat="1" applyFont="1" applyFill="1" applyBorder="1"/>
    <xf numFmtId="166" fontId="0" fillId="0" borderId="2" xfId="2" applyNumberFormat="1" applyFont="1" applyFill="1" applyBorder="1"/>
    <xf numFmtId="168" fontId="0" fillId="0" borderId="0" xfId="2" applyNumberFormat="1" applyFont="1" applyFill="1"/>
    <xf numFmtId="10" fontId="0" fillId="0" borderId="0" xfId="1" applyNumberFormat="1" applyFont="1" applyFill="1"/>
    <xf numFmtId="44" fontId="0" fillId="0" borderId="0" xfId="0" applyNumberFormat="1" applyFill="1"/>
    <xf numFmtId="0" fontId="0" fillId="0" borderId="2" xfId="0" applyFill="1" applyBorder="1"/>
    <xf numFmtId="170" fontId="0" fillId="0" borderId="0" xfId="0" applyNumberFormat="1" applyFill="1"/>
    <xf numFmtId="164" fontId="0" fillId="0" borderId="0" xfId="1" applyNumberFormat="1" applyFont="1" applyFill="1"/>
    <xf numFmtId="169" fontId="0" fillId="0" borderId="0" xfId="6" applyNumberFormat="1" applyFont="1" applyFill="1"/>
    <xf numFmtId="0" fontId="11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167" fontId="0" fillId="3" borderId="0" xfId="2" applyNumberFormat="1" applyFont="1" applyFill="1"/>
    <xf numFmtId="0" fontId="0" fillId="11" borderId="0" xfId="0" applyFill="1"/>
    <xf numFmtId="0" fontId="10" fillId="0" borderId="9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</cellXfs>
  <cellStyles count="7">
    <cellStyle name="Comma" xfId="6" builtinId="3"/>
    <cellStyle name="Comma 2" xfId="5" xr:uid="{6D17F914-3268-494B-ABFE-C65870612AEA}"/>
    <cellStyle name="Currency" xfId="2" builtinId="4"/>
    <cellStyle name="Normal" xfId="0" builtinId="0"/>
    <cellStyle name="Normal 2" xfId="3" xr:uid="{045C88CC-7C3D-43B0-B2BF-B7247ACEE13A}"/>
    <cellStyle name="Percent" xfId="1" builtinId="5"/>
    <cellStyle name="Percent 2" xfId="4" xr:uid="{D519D859-FCFC-4003-8E8A-45AD7E9749FC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7BCB-3BE0-450C-857B-8F93B51B2B26}">
  <dimension ref="A2:AA44"/>
  <sheetViews>
    <sheetView tabSelected="1" zoomScale="110" zoomScaleNormal="110" workbookViewId="0">
      <selection activeCell="R28" sqref="R28"/>
    </sheetView>
  </sheetViews>
  <sheetFormatPr defaultRowHeight="15"/>
  <cols>
    <col min="2" max="2" width="23" bestFit="1" customWidth="1"/>
    <col min="3" max="3" width="12.5703125" customWidth="1"/>
    <col min="4" max="4" width="14.7109375" customWidth="1"/>
    <col min="5" max="5" width="13.5703125" customWidth="1"/>
    <col min="6" max="6" width="13.7109375" customWidth="1"/>
    <col min="7" max="7" width="12.5703125" customWidth="1"/>
    <col min="8" max="8" width="13.140625" customWidth="1"/>
    <col min="11" max="11" width="8" customWidth="1"/>
    <col min="12" max="12" width="8.5703125" customWidth="1"/>
    <col min="13" max="13" width="8.85546875" customWidth="1"/>
    <col min="14" max="14" width="9.28515625" customWidth="1"/>
    <col min="15" max="15" width="8" customWidth="1"/>
    <col min="16" max="16" width="8.85546875" customWidth="1"/>
    <col min="18" max="18" width="42.42578125" bestFit="1" customWidth="1"/>
  </cols>
  <sheetData>
    <row r="2" spans="2:27">
      <c r="C2" t="s">
        <v>0</v>
      </c>
      <c r="K2" t="s">
        <v>0</v>
      </c>
      <c r="R2" s="36" t="s">
        <v>1</v>
      </c>
    </row>
    <row r="3" spans="2:27"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P3" t="s">
        <v>7</v>
      </c>
      <c r="R3" s="5" t="s">
        <v>8</v>
      </c>
      <c r="S3" t="s">
        <v>2</v>
      </c>
      <c r="T3" t="s">
        <v>3</v>
      </c>
      <c r="U3" t="s">
        <v>4</v>
      </c>
      <c r="V3" t="s">
        <v>5</v>
      </c>
      <c r="W3" t="s">
        <v>6</v>
      </c>
      <c r="X3" t="s">
        <v>7</v>
      </c>
    </row>
    <row r="4" spans="2:27">
      <c r="B4" t="s">
        <v>9</v>
      </c>
      <c r="C4" s="25">
        <f>Property!B4+'Cyber-data combined'!B4</f>
        <v>362442.87061458855</v>
      </c>
      <c r="D4" s="25">
        <f>Property!C4+'Cyber-data combined'!C4</f>
        <v>2219277.0252762213</v>
      </c>
      <c r="E4" s="25">
        <f>Property!D4+'Cyber-data combined'!D4</f>
        <v>4533408.3476250004</v>
      </c>
      <c r="F4" s="25">
        <f>Property!E4+'Cyber-data combined'!E4</f>
        <v>11985952.660625</v>
      </c>
      <c r="G4" s="25">
        <f>Property!F4+'Cyber-data combined'!F4</f>
        <v>4103518.3606250002</v>
      </c>
      <c r="H4" s="25">
        <f>SUM(C4:G4)</f>
        <v>23204599.264765806</v>
      </c>
      <c r="J4" t="s">
        <v>9</v>
      </c>
      <c r="K4" s="24">
        <f t="shared" ref="K4:O5" si="0">(C4)/1000000</f>
        <v>0.36244287061458857</v>
      </c>
      <c r="L4" s="24">
        <f t="shared" si="0"/>
        <v>2.2192770252762215</v>
      </c>
      <c r="M4" s="24">
        <f t="shared" si="0"/>
        <v>4.5334083476250004</v>
      </c>
      <c r="N4" s="24">
        <f t="shared" si="0"/>
        <v>11.985952660624999</v>
      </c>
      <c r="O4" s="24">
        <f t="shared" si="0"/>
        <v>4.1035183606250003</v>
      </c>
      <c r="P4" s="24">
        <f>SUM(K4:O4)</f>
        <v>23.204599264765807</v>
      </c>
      <c r="R4" s="35" t="s">
        <v>10</v>
      </c>
      <c r="S4" s="54">
        <v>938.52482729585836</v>
      </c>
      <c r="T4" s="54">
        <v>1003.4512974203485</v>
      </c>
      <c r="U4" s="54">
        <v>1020.323493075444</v>
      </c>
      <c r="V4" s="54">
        <v>1058.1409390645726</v>
      </c>
      <c r="W4" s="54">
        <v>1043.6065075284846</v>
      </c>
      <c r="X4" s="54">
        <f>SUM(S4:W4)</f>
        <v>5064.0470643847084</v>
      </c>
      <c r="Y4" s="35" t="s">
        <v>11</v>
      </c>
      <c r="Z4" s="35"/>
      <c r="AA4" s="35"/>
    </row>
    <row r="5" spans="2:27">
      <c r="B5" t="s">
        <v>12</v>
      </c>
      <c r="C5" s="25">
        <f>Property!B5+'Cyber-data combined'!B5</f>
        <v>1826921.5965854116</v>
      </c>
      <c r="D5" s="92">
        <f>Property!C5+'Cyber-data combined'!C5</f>
        <v>7834717.1617237786</v>
      </c>
      <c r="E5" s="92">
        <f>Property!D5+'Cyber-data combined'!D5</f>
        <v>3816010.3640000001</v>
      </c>
      <c r="F5" s="92">
        <f>Property!E5+'Cyber-data combined'!E5</f>
        <v>2698305</v>
      </c>
      <c r="G5" s="92">
        <f>Property!F5+'Cyber-data combined'!F5</f>
        <v>355000</v>
      </c>
      <c r="H5" s="92">
        <f>SUM(C5:G5)</f>
        <v>16530954.122309189</v>
      </c>
      <c r="I5" s="32"/>
      <c r="J5" s="32" t="s">
        <v>12</v>
      </c>
      <c r="K5" s="93">
        <f t="shared" si="0"/>
        <v>1.8269215965854115</v>
      </c>
      <c r="L5" s="93">
        <f t="shared" si="0"/>
        <v>7.8347171617237787</v>
      </c>
      <c r="M5" s="93">
        <f t="shared" si="0"/>
        <v>3.8160103640000003</v>
      </c>
      <c r="N5" s="93">
        <f t="shared" si="0"/>
        <v>2.698305</v>
      </c>
      <c r="O5" s="24">
        <f t="shared" si="0"/>
        <v>0.35499999999999998</v>
      </c>
      <c r="P5" s="24">
        <f>SUM(K5:O5)</f>
        <v>16.53095412230919</v>
      </c>
    </row>
    <row r="6" spans="2:27">
      <c r="C6" s="30">
        <f>SUM(C4:C5)</f>
        <v>2189364.4672000003</v>
      </c>
      <c r="D6" s="94">
        <f t="shared" ref="D6:G6" si="1">SUM(D4:D5)</f>
        <v>10053994.186999999</v>
      </c>
      <c r="E6" s="94">
        <f t="shared" si="1"/>
        <v>8349418.7116250005</v>
      </c>
      <c r="F6" s="94">
        <f t="shared" si="1"/>
        <v>14684257.660625</v>
      </c>
      <c r="G6" s="94">
        <f t="shared" si="1"/>
        <v>4458518.3606250007</v>
      </c>
      <c r="H6" s="94">
        <f>SUM(H4:H5)</f>
        <v>39735553.387074992</v>
      </c>
      <c r="I6" s="32"/>
      <c r="J6" s="32"/>
      <c r="K6" s="95">
        <f>SUM(K4:K5)</f>
        <v>2.1893644671999999</v>
      </c>
      <c r="L6" s="95">
        <f t="shared" ref="L6:O6" si="2">SUM(L4:L5)</f>
        <v>10.053994187000001</v>
      </c>
      <c r="M6" s="95">
        <f t="shared" si="2"/>
        <v>8.3494187116250007</v>
      </c>
      <c r="N6" s="95">
        <f t="shared" si="2"/>
        <v>14.684257660624999</v>
      </c>
      <c r="O6" s="37">
        <f t="shared" si="2"/>
        <v>4.4585183606249998</v>
      </c>
      <c r="P6" s="37">
        <f>SUM(P4:P5)</f>
        <v>39.735553387075001</v>
      </c>
      <c r="R6" t="s">
        <v>13</v>
      </c>
      <c r="S6" s="44">
        <f t="shared" ref="S6:X6" si="3">K22</f>
        <v>2.1895073926325352</v>
      </c>
      <c r="T6" s="100">
        <f t="shared" si="3"/>
        <v>10.298463201401669</v>
      </c>
      <c r="U6" s="100">
        <f t="shared" si="3"/>
        <v>8.7598258798776829</v>
      </c>
      <c r="V6" s="44">
        <f t="shared" si="3"/>
        <v>15.779624720557624</v>
      </c>
      <c r="W6" s="44">
        <f t="shared" si="3"/>
        <v>4.9072781461802943</v>
      </c>
      <c r="X6" s="44">
        <f t="shared" si="3"/>
        <v>41.934699340649807</v>
      </c>
    </row>
    <row r="7" spans="2:27">
      <c r="C7" s="25"/>
      <c r="D7" s="92"/>
      <c r="E7" s="92"/>
      <c r="F7" s="92"/>
      <c r="G7" s="92"/>
      <c r="H7" s="92"/>
      <c r="I7" s="32"/>
      <c r="J7" s="32"/>
      <c r="K7" s="32"/>
      <c r="L7" s="32"/>
      <c r="M7" s="32"/>
      <c r="N7" s="32"/>
      <c r="R7" t="s">
        <v>14</v>
      </c>
      <c r="S7" s="3">
        <f t="shared" ref="S7:X7" si="4">S6/S4</f>
        <v>2.3329243179864437E-3</v>
      </c>
      <c r="T7" s="101">
        <f t="shared" si="4"/>
        <v>1.0263042389677249E-2</v>
      </c>
      <c r="U7" s="101">
        <f t="shared" si="4"/>
        <v>8.5853417463455095E-3</v>
      </c>
      <c r="V7" s="3">
        <f t="shared" si="4"/>
        <v>1.4912592583845467E-2</v>
      </c>
      <c r="W7" s="3">
        <f t="shared" si="4"/>
        <v>4.7022303049852852E-3</v>
      </c>
      <c r="X7" s="3">
        <f t="shared" si="4"/>
        <v>8.280866825977052E-3</v>
      </c>
    </row>
    <row r="8" spans="2:27">
      <c r="C8" s="25"/>
      <c r="D8" s="92"/>
      <c r="E8" s="92"/>
      <c r="F8" s="92"/>
      <c r="G8" s="92"/>
      <c r="H8" s="92"/>
      <c r="I8" s="32"/>
      <c r="J8" s="32"/>
      <c r="K8" s="32"/>
      <c r="L8" s="32"/>
      <c r="M8" s="32"/>
      <c r="N8" s="32"/>
    </row>
    <row r="9" spans="2:27">
      <c r="C9" s="25"/>
      <c r="D9" s="92"/>
      <c r="E9" s="92"/>
      <c r="F9" s="92"/>
      <c r="G9" s="92"/>
      <c r="H9" s="92"/>
      <c r="I9" s="32"/>
      <c r="J9" s="32"/>
      <c r="K9" s="32" t="s">
        <v>15</v>
      </c>
      <c r="L9" s="32"/>
      <c r="M9" s="32"/>
      <c r="N9" s="32"/>
      <c r="R9" s="35" t="s">
        <v>16</v>
      </c>
      <c r="S9" s="54">
        <v>1001.7</v>
      </c>
      <c r="T9" s="54">
        <v>1006.8</v>
      </c>
      <c r="U9" s="54">
        <v>1007.6</v>
      </c>
      <c r="V9" s="54">
        <v>1014.6</v>
      </c>
      <c r="W9" s="54">
        <v>1021.7</v>
      </c>
      <c r="X9" s="54">
        <f>SUM(S9:W9)</f>
        <v>5052.3999999999996</v>
      </c>
      <c r="Y9" s="35" t="s">
        <v>11</v>
      </c>
    </row>
    <row r="10" spans="2:27">
      <c r="C10" s="25" t="s">
        <v>17</v>
      </c>
      <c r="D10" s="92"/>
      <c r="E10" s="92"/>
      <c r="F10" s="92"/>
      <c r="G10" s="92"/>
      <c r="H10" s="92"/>
      <c r="I10" s="32"/>
      <c r="J10" s="32"/>
      <c r="K10" s="32" t="s">
        <v>18</v>
      </c>
      <c r="L10" s="32"/>
      <c r="M10" s="32"/>
      <c r="N10" s="32"/>
    </row>
    <row r="11" spans="2:27">
      <c r="B11" t="s">
        <v>19</v>
      </c>
      <c r="C11" s="25" t="s">
        <v>2</v>
      </c>
      <c r="D11" s="92" t="s">
        <v>3</v>
      </c>
      <c r="E11" s="92" t="s">
        <v>4</v>
      </c>
      <c r="F11" s="92" t="s">
        <v>5</v>
      </c>
      <c r="G11" s="92" t="s">
        <v>6</v>
      </c>
      <c r="H11" s="92"/>
      <c r="I11" s="32"/>
      <c r="J11" s="32" t="s">
        <v>19</v>
      </c>
      <c r="K11" s="32" t="s">
        <v>2</v>
      </c>
      <c r="L11" s="32" t="s">
        <v>3</v>
      </c>
      <c r="M11" s="32" t="s">
        <v>4</v>
      </c>
      <c r="N11" s="32" t="s">
        <v>5</v>
      </c>
      <c r="O11" s="32" t="s">
        <v>6</v>
      </c>
      <c r="P11" s="32"/>
    </row>
    <row r="12" spans="2:27">
      <c r="B12" s="26"/>
      <c r="C12" s="27"/>
      <c r="D12" s="96">
        <f>1/'Inflators Electricity'!S20</f>
        <v>0.96471600688468151</v>
      </c>
      <c r="E12" s="92"/>
      <c r="F12" s="92"/>
      <c r="G12" s="92"/>
      <c r="H12" s="92"/>
      <c r="I12" s="32"/>
      <c r="J12" s="32"/>
      <c r="K12" s="32"/>
      <c r="L12" s="32"/>
      <c r="M12" s="32"/>
      <c r="N12" s="32"/>
      <c r="O12" s="32"/>
      <c r="P12" s="32"/>
    </row>
    <row r="13" spans="2:27">
      <c r="B13" s="26" t="s">
        <v>20</v>
      </c>
      <c r="C13" s="27"/>
      <c r="D13" s="96">
        <f>I26/2+1</f>
        <v>1.0121</v>
      </c>
      <c r="E13" s="92"/>
      <c r="F13" s="92"/>
      <c r="G13" s="92"/>
      <c r="H13" s="92"/>
      <c r="I13" s="32"/>
      <c r="J13" s="32" t="str">
        <f>J4</f>
        <v>Opex</v>
      </c>
      <c r="K13" s="33">
        <f t="shared" ref="K13:O14" si="5">(C14)/1000000</f>
        <v>0.35388525757337097</v>
      </c>
      <c r="L13" s="33">
        <f t="shared" si="5"/>
        <v>2.166877832042335</v>
      </c>
      <c r="M13" s="33">
        <f t="shared" si="5"/>
        <v>4.4263703630427242</v>
      </c>
      <c r="N13" s="33">
        <f t="shared" si="5"/>
        <v>11.702953178179524</v>
      </c>
      <c r="O13" s="33">
        <f t="shared" si="5"/>
        <v>4.0066304781893098</v>
      </c>
      <c r="P13" s="33">
        <f>SUM(K13:O13)</f>
        <v>22.656717109027262</v>
      </c>
    </row>
    <row r="14" spans="2:27">
      <c r="B14" t="str">
        <f>B4</f>
        <v>Opex</v>
      </c>
      <c r="C14" s="25">
        <f t="shared" ref="C14:H15" si="6">C4*$D$12*$D$13</f>
        <v>353885.257573371</v>
      </c>
      <c r="D14" s="92">
        <f t="shared" si="6"/>
        <v>2166877.8320423351</v>
      </c>
      <c r="E14" s="92">
        <f t="shared" si="6"/>
        <v>4426370.3630427243</v>
      </c>
      <c r="F14" s="92">
        <f t="shared" si="6"/>
        <v>11702953.178179523</v>
      </c>
      <c r="G14" s="92">
        <f t="shared" si="6"/>
        <v>4006630.4781893101</v>
      </c>
      <c r="H14" s="92">
        <f t="shared" si="6"/>
        <v>22656717.109027263</v>
      </c>
      <c r="I14" s="32"/>
      <c r="J14" s="32" t="str">
        <f>J5</f>
        <v>Capex</v>
      </c>
      <c r="K14" s="33">
        <f t="shared" si="5"/>
        <v>1.7837862796906112</v>
      </c>
      <c r="L14" s="33">
        <f t="shared" si="5"/>
        <v>7.6497322076985306</v>
      </c>
      <c r="M14" s="33">
        <f t="shared" si="5"/>
        <v>3.7259108125837623</v>
      </c>
      <c r="N14" s="33">
        <f t="shared" si="5"/>
        <v>2.6345955110589498</v>
      </c>
      <c r="O14" s="33">
        <f t="shared" si="5"/>
        <v>0.34661812005163506</v>
      </c>
      <c r="P14" s="33">
        <f>SUM(K14:O14)</f>
        <v>16.140642931083487</v>
      </c>
    </row>
    <row r="15" spans="2:27">
      <c r="B15" t="str">
        <f>B5</f>
        <v>Capex</v>
      </c>
      <c r="C15" s="25">
        <f t="shared" si="6"/>
        <v>1783786.2796906112</v>
      </c>
      <c r="D15" s="92">
        <f t="shared" si="6"/>
        <v>7649732.2076985305</v>
      </c>
      <c r="E15" s="92">
        <f t="shared" si="6"/>
        <v>3725910.8125837622</v>
      </c>
      <c r="F15" s="92">
        <f t="shared" si="6"/>
        <v>2634595.5110589499</v>
      </c>
      <c r="G15" s="92">
        <f t="shared" si="6"/>
        <v>346618.12005163508</v>
      </c>
      <c r="H15" s="92">
        <f t="shared" si="6"/>
        <v>16140642.931083489</v>
      </c>
      <c r="I15" s="32"/>
      <c r="J15" s="32"/>
      <c r="K15" s="34">
        <f>SUM(K13:K14)</f>
        <v>2.1376715372639823</v>
      </c>
      <c r="L15" s="34">
        <f t="shared" ref="L15:O15" si="7">SUM(L13:L14)</f>
        <v>9.8166100397408655</v>
      </c>
      <c r="M15" s="34">
        <f t="shared" si="7"/>
        <v>8.1522811756264861</v>
      </c>
      <c r="N15" s="34">
        <f t="shared" si="7"/>
        <v>14.337548689238474</v>
      </c>
      <c r="O15" s="34">
        <f t="shared" si="7"/>
        <v>4.3532485982409446</v>
      </c>
      <c r="P15" s="34">
        <f>SUM(P13:P14)</f>
        <v>38.797360040110746</v>
      </c>
    </row>
    <row r="16" spans="2:27">
      <c r="C16" s="30">
        <f>SUM(C14:C15)</f>
        <v>2137671.537263982</v>
      </c>
      <c r="D16" s="94">
        <f>D6*$D$12</f>
        <v>9699249.1253244393</v>
      </c>
      <c r="E16" s="94">
        <f>E6*$D$12</f>
        <v>8054817.8792871125</v>
      </c>
      <c r="F16" s="94">
        <f>F6*$D$12</f>
        <v>14166138.414423944</v>
      </c>
      <c r="G16" s="94">
        <f>G6*$D$12</f>
        <v>4301204.0294841873</v>
      </c>
      <c r="H16" s="94">
        <f>SUM(H14:H15)</f>
        <v>38797360.040110752</v>
      </c>
      <c r="I16" s="32"/>
      <c r="J16" s="32"/>
      <c r="K16" s="32"/>
      <c r="L16" s="32"/>
      <c r="M16" s="32"/>
      <c r="N16" s="32"/>
    </row>
    <row r="17" spans="1:17">
      <c r="D17" s="32"/>
      <c r="E17" s="32"/>
      <c r="F17" s="32"/>
      <c r="G17" s="32"/>
      <c r="H17" s="32"/>
      <c r="I17" s="32"/>
      <c r="J17" s="32"/>
      <c r="K17" s="97" t="s">
        <v>21</v>
      </c>
      <c r="L17" s="97"/>
      <c r="M17" s="97"/>
      <c r="N17" s="97"/>
      <c r="O17" s="4"/>
      <c r="P17" s="4"/>
    </row>
    <row r="18" spans="1:17">
      <c r="D18" s="32"/>
      <c r="E18" s="32"/>
      <c r="F18" s="32"/>
      <c r="G18" s="32"/>
      <c r="H18" s="32"/>
      <c r="I18" s="32"/>
      <c r="J18" s="32" t="s">
        <v>19</v>
      </c>
      <c r="K18" s="32" t="s">
        <v>2</v>
      </c>
      <c r="L18" s="32" t="s">
        <v>3</v>
      </c>
      <c r="M18" s="32" t="s">
        <v>4</v>
      </c>
      <c r="N18" s="32" t="s">
        <v>5</v>
      </c>
      <c r="O18" t="s">
        <v>6</v>
      </c>
    </row>
    <row r="19" spans="1:17">
      <c r="D19" s="32"/>
      <c r="E19" s="32"/>
      <c r="F19" s="32"/>
      <c r="G19" s="32"/>
      <c r="H19" s="32"/>
      <c r="I19" s="32"/>
      <c r="J19" s="32"/>
      <c r="K19" s="32">
        <v>1.0242487465753967</v>
      </c>
      <c r="L19" s="32">
        <v>1.0490854948612711</v>
      </c>
      <c r="M19" s="32">
        <v>1.0745245031620867</v>
      </c>
      <c r="N19" s="32">
        <v>1.1005803755283181</v>
      </c>
      <c r="O19">
        <v>1.1272680701403592</v>
      </c>
    </row>
    <row r="20" spans="1:17">
      <c r="D20" s="32"/>
      <c r="E20" s="32"/>
      <c r="F20" s="32"/>
      <c r="G20" s="32"/>
      <c r="H20" s="32"/>
      <c r="I20" s="32"/>
      <c r="J20" s="32" t="str">
        <f>J13</f>
        <v>Opex</v>
      </c>
      <c r="K20" s="98">
        <f>K13*K19</f>
        <v>0.36246653150103664</v>
      </c>
      <c r="L20" s="32">
        <f t="shared" ref="L20:O20" si="8">L13*L19</f>
        <v>2.2732401027320512</v>
      </c>
      <c r="M20" s="32">
        <f t="shared" si="8"/>
        <v>4.7562434151598687</v>
      </c>
      <c r="N20" s="32">
        <f t="shared" si="8"/>
        <v>12.880040603631144</v>
      </c>
      <c r="O20">
        <f t="shared" si="8"/>
        <v>4.5165466069140079</v>
      </c>
      <c r="P20">
        <f>SUM(K20:O20)</f>
        <v>24.78853725993811</v>
      </c>
      <c r="Q20" s="28">
        <f>K20*0.5</f>
        <v>0.18123326575051832</v>
      </c>
    </row>
    <row r="21" spans="1:17">
      <c r="D21" s="92"/>
      <c r="E21" s="32"/>
      <c r="F21" s="32"/>
      <c r="G21" s="32"/>
      <c r="H21" s="32"/>
      <c r="I21" s="32"/>
      <c r="J21" s="32" t="str">
        <f>J14</f>
        <v>Capex</v>
      </c>
      <c r="K21" s="98">
        <f>K14*K19</f>
        <v>1.8270408611314986</v>
      </c>
      <c r="L21" s="32">
        <f t="shared" ref="L21:O21" si="9">L14*L19</f>
        <v>8.0252230986696169</v>
      </c>
      <c r="M21" s="32">
        <f t="shared" si="9"/>
        <v>4.0035824647178142</v>
      </c>
      <c r="N21" s="32">
        <f t="shared" si="9"/>
        <v>2.89958411692648</v>
      </c>
      <c r="O21">
        <f t="shared" si="9"/>
        <v>0.39073153926628601</v>
      </c>
      <c r="P21">
        <f>SUM(K21:O21)</f>
        <v>17.146162080711697</v>
      </c>
    </row>
    <row r="22" spans="1:17">
      <c r="D22" s="32"/>
      <c r="E22" s="32"/>
      <c r="F22" s="32"/>
      <c r="G22" s="32"/>
      <c r="H22" s="32"/>
      <c r="I22" s="32"/>
      <c r="J22" s="32"/>
      <c r="K22" s="99">
        <f>SUM(K20:K21)</f>
        <v>2.1895073926325352</v>
      </c>
      <c r="L22" s="99">
        <f t="shared" ref="L22:O22" si="10">SUM(L20:L21)</f>
        <v>10.298463201401669</v>
      </c>
      <c r="M22" s="99">
        <f t="shared" si="10"/>
        <v>8.7598258798776829</v>
      </c>
      <c r="N22" s="99">
        <f t="shared" si="10"/>
        <v>15.779624720557624</v>
      </c>
      <c r="O22" s="29">
        <f t="shared" si="10"/>
        <v>4.9072781461802943</v>
      </c>
      <c r="P22" s="29">
        <f>SUM(P20:P21)</f>
        <v>41.934699340649807</v>
      </c>
    </row>
    <row r="24" spans="1:17">
      <c r="J24" s="42"/>
      <c r="K24" s="28"/>
      <c r="L24" s="28"/>
      <c r="M24" s="28"/>
      <c r="N24" s="28"/>
      <c r="O24" s="28"/>
    </row>
    <row r="25" spans="1:17">
      <c r="J25" s="108" t="s">
        <v>22</v>
      </c>
      <c r="K25" s="108"/>
      <c r="L25" s="108"/>
      <c r="M25" s="108"/>
      <c r="N25" s="108"/>
      <c r="O25" s="108"/>
      <c r="P25" s="108"/>
      <c r="Q25" s="108"/>
    </row>
    <row r="26" spans="1:17">
      <c r="G26" t="s">
        <v>23</v>
      </c>
      <c r="I26" s="38">
        <v>2.4199999999999999E-2</v>
      </c>
    </row>
    <row r="27" spans="1:17">
      <c r="I27" s="26"/>
    </row>
    <row r="28" spans="1:17">
      <c r="J28" s="89" t="s">
        <v>24</v>
      </c>
      <c r="K28" s="89"/>
      <c r="L28" s="89"/>
      <c r="M28" s="89"/>
    </row>
    <row r="29" spans="1:17">
      <c r="A29" t="s">
        <v>25</v>
      </c>
      <c r="B29" t="s">
        <v>12</v>
      </c>
      <c r="C29" s="25" t="s">
        <v>2</v>
      </c>
      <c r="D29" s="25" t="s">
        <v>3</v>
      </c>
      <c r="E29" s="25" t="s">
        <v>4</v>
      </c>
      <c r="F29" s="25" t="s">
        <v>5</v>
      </c>
      <c r="G29" s="25" t="s">
        <v>6</v>
      </c>
    </row>
    <row r="30" spans="1:17">
      <c r="A30">
        <v>40.200000000000003</v>
      </c>
      <c r="B30" t="s">
        <v>26</v>
      </c>
      <c r="C30" s="39">
        <f>Property!B18</f>
        <v>0</v>
      </c>
      <c r="D30" s="39">
        <f>Property!C18</f>
        <v>459860.32399999996</v>
      </c>
      <c r="E30" s="39">
        <f>Property!D18</f>
        <v>-16740</v>
      </c>
      <c r="F30" s="39">
        <f>Property!E18</f>
        <v>-16740</v>
      </c>
      <c r="G30" s="39">
        <f>Property!F18</f>
        <v>-16740</v>
      </c>
      <c r="H30" s="39">
        <f>SUM(C30:G30)</f>
        <v>409640.32399999996</v>
      </c>
      <c r="I30" s="43">
        <f>H30/$H$34</f>
        <v>2.4780198467018538E-2</v>
      </c>
      <c r="K30" t="s">
        <v>18</v>
      </c>
    </row>
    <row r="31" spans="1:17">
      <c r="A31">
        <v>5</v>
      </c>
      <c r="B31" t="s">
        <v>27</v>
      </c>
      <c r="C31" s="39">
        <f>'Cyber-data combined'!B9</f>
        <v>0</v>
      </c>
      <c r="D31" s="39">
        <f>'Cyber-data combined'!C9</f>
        <v>42231.75</v>
      </c>
      <c r="E31" s="39">
        <f>'Cyber-data combined'!D9</f>
        <v>1870200</v>
      </c>
      <c r="F31" s="39">
        <f>'Cyber-data combined'!E9</f>
        <v>1579400</v>
      </c>
      <c r="G31" s="39">
        <f>'Cyber-data combined'!F9</f>
        <v>392500</v>
      </c>
      <c r="H31" s="39">
        <f t="shared" ref="H31:H33" si="11">SUM(C31:G31)</f>
        <v>3884331.75</v>
      </c>
      <c r="I31" s="43">
        <f t="shared" ref="I31:I33" si="12">H31/$H$34</f>
        <v>0.23497323392591948</v>
      </c>
      <c r="J31" s="32" t="s">
        <v>19</v>
      </c>
      <c r="K31" s="89" t="s">
        <v>2</v>
      </c>
      <c r="L31" s="89" t="s">
        <v>3</v>
      </c>
      <c r="M31" s="89" t="s">
        <v>4</v>
      </c>
      <c r="N31" s="89" t="s">
        <v>5</v>
      </c>
      <c r="O31" s="89" t="s">
        <v>6</v>
      </c>
      <c r="P31" s="32"/>
    </row>
    <row r="32" spans="1:17">
      <c r="A32">
        <v>15</v>
      </c>
      <c r="B32" t="s">
        <v>28</v>
      </c>
      <c r="C32" s="39">
        <f>Property!B14</f>
        <v>0</v>
      </c>
      <c r="D32" s="102">
        <f>Property!C14</f>
        <v>5696454.8629999999</v>
      </c>
      <c r="E32" s="102">
        <f>Property!D14</f>
        <v>464110.36400000023</v>
      </c>
      <c r="F32" s="39">
        <f>Property!E14</f>
        <v>-37260</v>
      </c>
      <c r="G32" s="39">
        <f>Property!F14</f>
        <v>-37260</v>
      </c>
      <c r="H32" s="39">
        <f t="shared" si="11"/>
        <v>6086045.227</v>
      </c>
      <c r="I32" s="43">
        <f t="shared" si="12"/>
        <v>0.368160553950521</v>
      </c>
      <c r="J32" s="32"/>
      <c r="K32" s="89"/>
      <c r="L32" s="89"/>
      <c r="M32" s="89"/>
      <c r="N32" s="89"/>
      <c r="O32" s="89"/>
      <c r="P32" s="32"/>
    </row>
    <row r="33" spans="1:16">
      <c r="A33">
        <v>5</v>
      </c>
      <c r="B33" t="s">
        <v>29</v>
      </c>
      <c r="C33" s="39">
        <f>'Cyber-data combined'!B10</f>
        <v>1826921.5965854116</v>
      </c>
      <c r="D33" s="102">
        <f>'Cyber-data combined'!C10</f>
        <v>1636170.2247237782</v>
      </c>
      <c r="E33" s="102">
        <f>'Cyber-data combined'!D10</f>
        <v>1498440</v>
      </c>
      <c r="F33" s="39">
        <f>'Cyber-data combined'!E10</f>
        <v>1172905</v>
      </c>
      <c r="G33" s="39">
        <f>'Cyber-data combined'!F10</f>
        <v>16500</v>
      </c>
      <c r="H33" s="39">
        <f t="shared" si="11"/>
        <v>6150936.8213091902</v>
      </c>
      <c r="I33" s="43">
        <f t="shared" si="12"/>
        <v>0.37208601365654104</v>
      </c>
      <c r="J33" s="32" t="s">
        <v>30</v>
      </c>
      <c r="K33" s="91">
        <f>(C14)/1000000</f>
        <v>0.35388525757337097</v>
      </c>
      <c r="L33" s="91">
        <f t="shared" ref="L33:O33" si="13">(D14)/1000000</f>
        <v>2.166877832042335</v>
      </c>
      <c r="M33" s="91">
        <f t="shared" si="13"/>
        <v>4.4263703630427242</v>
      </c>
      <c r="N33" s="91">
        <f t="shared" si="13"/>
        <v>11.702953178179524</v>
      </c>
      <c r="O33" s="91">
        <f t="shared" si="13"/>
        <v>4.0066304781893098</v>
      </c>
      <c r="P33" s="33">
        <f>SUM(K33:O33)</f>
        <v>22.656717109027262</v>
      </c>
    </row>
    <row r="34" spans="1:16">
      <c r="A34" s="44">
        <f>SUMPRODUCT(A30:A33,I30:I33)</f>
        <v>9.5538685255442637</v>
      </c>
      <c r="C34" s="39">
        <f t="shared" ref="C34:G34" si="14">SUM(C30:C33)</f>
        <v>1826921.5965854116</v>
      </c>
      <c r="D34" s="102">
        <f t="shared" si="14"/>
        <v>7834717.1617237777</v>
      </c>
      <c r="E34" s="102">
        <f t="shared" si="14"/>
        <v>3816010.3640000001</v>
      </c>
      <c r="F34" s="39">
        <f t="shared" si="14"/>
        <v>2698305</v>
      </c>
      <c r="G34" s="39">
        <f t="shared" si="14"/>
        <v>355000</v>
      </c>
      <c r="H34" s="39">
        <f>SUM(H30:H33)</f>
        <v>16530954.122309189</v>
      </c>
      <c r="J34" s="32" t="s">
        <v>12</v>
      </c>
      <c r="K34" s="33"/>
      <c r="L34" s="33"/>
      <c r="M34" s="33"/>
      <c r="N34" s="33"/>
      <c r="O34" s="33"/>
      <c r="P34" s="33"/>
    </row>
    <row r="35" spans="1:16">
      <c r="D35" s="32"/>
      <c r="E35" s="32"/>
      <c r="J35" s="90" t="str">
        <f>B40</f>
        <v>substations</v>
      </c>
      <c r="K35" s="91">
        <f>C40/1000000</f>
        <v>0</v>
      </c>
      <c r="L35" s="91">
        <f t="shared" ref="L35:O38" si="15">D40/1000000</f>
        <v>0.44900259434145295</v>
      </c>
      <c r="M35" s="91">
        <f t="shared" si="15"/>
        <v>-1.6344753041308089E-2</v>
      </c>
      <c r="N35" s="91">
        <f t="shared" si="15"/>
        <v>-1.6344753041308089E-2</v>
      </c>
      <c r="O35" s="91">
        <f t="shared" si="15"/>
        <v>-1.6344753041308089E-2</v>
      </c>
      <c r="P35" s="33">
        <f t="shared" ref="P35:P38" si="16">SUM(K35:O35)</f>
        <v>0.39996833521752861</v>
      </c>
    </row>
    <row r="36" spans="1:16">
      <c r="C36" s="25" t="s">
        <v>17</v>
      </c>
      <c r="D36" s="92"/>
      <c r="E36" s="92"/>
      <c r="F36" s="25"/>
      <c r="G36" s="25"/>
      <c r="H36" s="25"/>
      <c r="J36" s="90" t="str">
        <f t="shared" ref="J36:J38" si="17">B41</f>
        <v>IT systems</v>
      </c>
      <c r="K36" s="91">
        <f t="shared" ref="K36:K38" si="18">C41/1000000</f>
        <v>0</v>
      </c>
      <c r="L36" s="91">
        <f t="shared" si="15"/>
        <v>4.1234619130959556E-2</v>
      </c>
      <c r="M36" s="91">
        <f t="shared" si="15"/>
        <v>1.8260428397762478</v>
      </c>
      <c r="N36" s="91">
        <f t="shared" si="15"/>
        <v>1.5421088980550772</v>
      </c>
      <c r="O36" s="91">
        <f t="shared" si="15"/>
        <v>0.38323271019793453</v>
      </c>
      <c r="P36" s="33">
        <f t="shared" si="16"/>
        <v>3.7926190671602193</v>
      </c>
    </row>
    <row r="37" spans="1:16">
      <c r="B37" t="s">
        <v>19</v>
      </c>
      <c r="C37" s="25" t="s">
        <v>2</v>
      </c>
      <c r="D37" s="92" t="s">
        <v>3</v>
      </c>
      <c r="E37" s="92" t="s">
        <v>4</v>
      </c>
      <c r="F37" s="25" t="s">
        <v>5</v>
      </c>
      <c r="G37" s="25" t="s">
        <v>6</v>
      </c>
      <c r="H37" s="25"/>
      <c r="J37" s="90" t="str">
        <f t="shared" si="17"/>
        <v>other non-system assets</v>
      </c>
      <c r="K37" s="91">
        <f t="shared" si="18"/>
        <v>0</v>
      </c>
      <c r="L37" s="91">
        <f t="shared" si="15"/>
        <v>5.5619562692170543</v>
      </c>
      <c r="M37" s="91">
        <f t="shared" si="15"/>
        <v>0.45315228694692999</v>
      </c>
      <c r="N37" s="91">
        <f t="shared" si="15"/>
        <v>-3.6380256769363163E-2</v>
      </c>
      <c r="O37" s="91">
        <f t="shared" si="15"/>
        <v>-3.6380256769363163E-2</v>
      </c>
      <c r="P37" s="33">
        <f t="shared" si="16"/>
        <v>5.9423480426252571</v>
      </c>
    </row>
    <row r="38" spans="1:16">
      <c r="B38" s="26"/>
      <c r="C38" s="27"/>
      <c r="D38" s="96">
        <f>D12</f>
        <v>0.96471600688468151</v>
      </c>
      <c r="E38" s="92"/>
      <c r="F38" s="25"/>
      <c r="G38" s="25"/>
      <c r="H38" s="25"/>
      <c r="J38" s="90" t="str">
        <f t="shared" si="17"/>
        <v>inhouse software</v>
      </c>
      <c r="K38" s="91">
        <f t="shared" si="18"/>
        <v>1.7837862796906112</v>
      </c>
      <c r="L38" s="91">
        <f t="shared" si="15"/>
        <v>1.5975387250090627</v>
      </c>
      <c r="M38" s="91">
        <f t="shared" si="15"/>
        <v>1.4630604389018931</v>
      </c>
      <c r="N38" s="91">
        <f t="shared" si="15"/>
        <v>1.1452116228145437</v>
      </c>
      <c r="O38" s="91">
        <f t="shared" si="15"/>
        <v>1.611041966437177E-2</v>
      </c>
      <c r="P38" s="33">
        <f t="shared" si="16"/>
        <v>6.0057074860804827</v>
      </c>
    </row>
    <row r="39" spans="1:16">
      <c r="B39" s="26" t="s">
        <v>20</v>
      </c>
      <c r="C39" s="27"/>
      <c r="D39" s="96">
        <f>D13</f>
        <v>1.0121</v>
      </c>
      <c r="E39" s="92"/>
      <c r="F39" s="25"/>
      <c r="G39" s="25"/>
      <c r="H39" s="25"/>
      <c r="J39" s="32"/>
      <c r="K39" s="34">
        <f t="shared" ref="K39:P39" si="19">SUM(K33:K38)</f>
        <v>2.1376715372639823</v>
      </c>
      <c r="L39" s="34">
        <f t="shared" si="19"/>
        <v>9.8166100397408655</v>
      </c>
      <c r="M39" s="34">
        <f t="shared" si="19"/>
        <v>8.1522811756264879</v>
      </c>
      <c r="N39" s="34">
        <f t="shared" si="19"/>
        <v>14.337548689238474</v>
      </c>
      <c r="O39" s="34">
        <f t="shared" si="19"/>
        <v>4.3532485982409446</v>
      </c>
      <c r="P39" s="34">
        <f t="shared" si="19"/>
        <v>38.797360040110753</v>
      </c>
    </row>
    <row r="40" spans="1:16">
      <c r="B40" s="26" t="str">
        <f>B30</f>
        <v>substations</v>
      </c>
      <c r="C40" s="25">
        <f>C30*$D$38*$D$39</f>
        <v>0</v>
      </c>
      <c r="D40" s="92">
        <f t="shared" ref="D40:G40" si="20">D30*$D$38*$D$39</f>
        <v>449002.59434145293</v>
      </c>
      <c r="E40" s="92">
        <f t="shared" si="20"/>
        <v>-16344.753041308088</v>
      </c>
      <c r="F40" s="25">
        <f t="shared" si="20"/>
        <v>-16344.753041308088</v>
      </c>
      <c r="G40" s="25">
        <f t="shared" si="20"/>
        <v>-16344.753041308088</v>
      </c>
      <c r="H40" s="25">
        <f t="shared" ref="H40" si="21">H30*$D$38*$D$39</f>
        <v>399968.33521752869</v>
      </c>
    </row>
    <row r="41" spans="1:16">
      <c r="B41" s="26" t="str">
        <f t="shared" ref="B41:B43" si="22">B31</f>
        <v>IT systems</v>
      </c>
      <c r="C41" s="25">
        <f t="shared" ref="C41:G41" si="23">C31*$D$38*$D$39</f>
        <v>0</v>
      </c>
      <c r="D41" s="92">
        <f t="shared" si="23"/>
        <v>41234.619130959552</v>
      </c>
      <c r="E41" s="92">
        <f t="shared" si="23"/>
        <v>1826042.8397762477</v>
      </c>
      <c r="F41" s="25">
        <f t="shared" si="23"/>
        <v>1542108.8980550773</v>
      </c>
      <c r="G41" s="25">
        <f t="shared" si="23"/>
        <v>383232.71019793453</v>
      </c>
      <c r="H41" s="25">
        <f t="shared" ref="H41" si="24">H31*$D$38*$D$39</f>
        <v>3792619.0671602194</v>
      </c>
    </row>
    <row r="42" spans="1:16">
      <c r="B42" s="26" t="str">
        <f t="shared" si="22"/>
        <v>other non-system assets</v>
      </c>
      <c r="C42" s="25">
        <f t="shared" ref="C42:G42" si="25">C32*$D$38*$D$39</f>
        <v>0</v>
      </c>
      <c r="D42" s="92">
        <f t="shared" si="25"/>
        <v>5561956.2692170544</v>
      </c>
      <c r="E42" s="92">
        <f t="shared" si="25"/>
        <v>453152.28694692999</v>
      </c>
      <c r="F42" s="25">
        <f t="shared" si="25"/>
        <v>-36380.256769363164</v>
      </c>
      <c r="G42" s="25">
        <f t="shared" si="25"/>
        <v>-36380.256769363164</v>
      </c>
      <c r="H42" s="25">
        <f t="shared" ref="H42" si="26">H32*$D$38*$D$39</f>
        <v>5942348.0426252587</v>
      </c>
    </row>
    <row r="43" spans="1:16">
      <c r="B43" s="26" t="str">
        <f t="shared" si="22"/>
        <v>inhouse software</v>
      </c>
      <c r="C43" s="25">
        <f t="shared" ref="C43:G43" si="27">C33*$D$38*$D$39</f>
        <v>1783786.2796906112</v>
      </c>
      <c r="D43" s="92">
        <f t="shared" si="27"/>
        <v>1597538.7250090628</v>
      </c>
      <c r="E43" s="92">
        <f t="shared" si="27"/>
        <v>1463060.4389018931</v>
      </c>
      <c r="F43" s="25">
        <f t="shared" si="27"/>
        <v>1145211.6228145438</v>
      </c>
      <c r="G43" s="25">
        <f t="shared" si="27"/>
        <v>16110.419664371771</v>
      </c>
      <c r="H43" s="25">
        <f t="shared" ref="H43" si="28">H33*$D$38*$D$39</f>
        <v>6005707.4860804835</v>
      </c>
    </row>
    <row r="44" spans="1:16">
      <c r="C44" s="30">
        <f t="shared" ref="C44:G44" si="29">SUM(C40:C43)</f>
        <v>1783786.2796906112</v>
      </c>
      <c r="D44" s="94">
        <f t="shared" si="29"/>
        <v>7649732.2076985296</v>
      </c>
      <c r="E44" s="94">
        <f t="shared" si="29"/>
        <v>3725910.8125837622</v>
      </c>
      <c r="F44" s="30">
        <f t="shared" si="29"/>
        <v>2634595.5110589499</v>
      </c>
      <c r="G44" s="30">
        <f t="shared" si="29"/>
        <v>346618.12005163502</v>
      </c>
      <c r="H44" s="30">
        <f>SUM(H40:H43)</f>
        <v>16140642.931083489</v>
      </c>
    </row>
  </sheetData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7CB1-2A1D-4689-BE29-CE1BF8C53B73}">
  <dimension ref="A2:W23"/>
  <sheetViews>
    <sheetView zoomScale="120" zoomScaleNormal="120" workbookViewId="0">
      <selection activeCell="F27" sqref="F27"/>
    </sheetView>
  </sheetViews>
  <sheetFormatPr defaultRowHeight="15"/>
  <cols>
    <col min="1" max="1" width="26.5703125" bestFit="1" customWidth="1"/>
    <col min="2" max="2" width="9.28515625" bestFit="1" customWidth="1"/>
    <col min="3" max="4" width="14.28515625" bestFit="1" customWidth="1"/>
    <col min="5" max="5" width="12.5703125" bestFit="1" customWidth="1"/>
    <col min="6" max="6" width="10" bestFit="1" customWidth="1"/>
    <col min="7" max="7" width="14.28515625" bestFit="1" customWidth="1"/>
    <col min="9" max="9" width="29" customWidth="1"/>
    <col min="17" max="17" width="42.42578125" bestFit="1" customWidth="1"/>
  </cols>
  <sheetData>
    <row r="2" spans="1:23">
      <c r="B2" t="s">
        <v>0</v>
      </c>
      <c r="I2">
        <v>1000000</v>
      </c>
      <c r="J2" t="s">
        <v>0</v>
      </c>
    </row>
    <row r="3" spans="1:23">
      <c r="B3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/>
      <c r="I3" s="32"/>
      <c r="J3" s="32" t="s">
        <v>2</v>
      </c>
      <c r="K3" s="32" t="s">
        <v>3</v>
      </c>
      <c r="L3" s="32" t="s">
        <v>4</v>
      </c>
      <c r="M3" t="s">
        <v>5</v>
      </c>
      <c r="N3" t="s">
        <v>6</v>
      </c>
      <c r="O3" t="s">
        <v>7</v>
      </c>
      <c r="Q3" s="5"/>
    </row>
    <row r="4" spans="1:23">
      <c r="A4" t="s">
        <v>9</v>
      </c>
      <c r="B4" s="25"/>
      <c r="C4" s="92">
        <v>646734</v>
      </c>
      <c r="D4" s="92">
        <v>709720.84762499994</v>
      </c>
      <c r="E4" s="92">
        <v>1099285.660625</v>
      </c>
      <c r="F4" s="92">
        <v>62730.360625000001</v>
      </c>
      <c r="G4" s="92">
        <f>SUM(B4:F4)</f>
        <v>2518470.8688750002</v>
      </c>
      <c r="H4" s="32"/>
      <c r="I4" s="32" t="s">
        <v>9</v>
      </c>
      <c r="J4" s="93">
        <f t="shared" ref="J4:N5" si="0">(B4)/1000000</f>
        <v>0</v>
      </c>
      <c r="K4" s="93">
        <f t="shared" si="0"/>
        <v>0.64673400000000003</v>
      </c>
      <c r="L4" s="93">
        <f t="shared" si="0"/>
        <v>0.70972084762499998</v>
      </c>
      <c r="M4" s="24">
        <f t="shared" si="0"/>
        <v>1.0992856606250001</v>
      </c>
      <c r="N4" s="24">
        <f t="shared" si="0"/>
        <v>6.2730360624999995E-2</v>
      </c>
      <c r="O4" s="24">
        <f>SUM(J4:N4)</f>
        <v>2.5184708688749997</v>
      </c>
      <c r="R4" s="2"/>
      <c r="S4" s="2"/>
      <c r="T4" s="2"/>
      <c r="U4" s="2"/>
      <c r="V4" s="2"/>
      <c r="W4" s="1"/>
    </row>
    <row r="5" spans="1:23">
      <c r="A5" t="s">
        <v>12</v>
      </c>
      <c r="B5" s="25"/>
      <c r="C5" s="92">
        <v>6156315.1869999999</v>
      </c>
      <c r="D5" s="92">
        <v>447370.36400000023</v>
      </c>
      <c r="E5" s="92">
        <v>-54000</v>
      </c>
      <c r="F5" s="92">
        <v>-54000</v>
      </c>
      <c r="G5" s="92">
        <f>SUM(B5:F5)</f>
        <v>6495685.551</v>
      </c>
      <c r="H5" s="32"/>
      <c r="I5" s="32" t="s">
        <v>12</v>
      </c>
      <c r="J5" s="93">
        <f t="shared" si="0"/>
        <v>0</v>
      </c>
      <c r="K5" s="93">
        <f t="shared" si="0"/>
        <v>6.1563151869999997</v>
      </c>
      <c r="L5" s="93">
        <f t="shared" si="0"/>
        <v>0.44737036400000024</v>
      </c>
      <c r="M5" s="24">
        <f t="shared" si="0"/>
        <v>-5.3999999999999999E-2</v>
      </c>
      <c r="N5" s="24">
        <f t="shared" si="0"/>
        <v>-5.3999999999999999E-2</v>
      </c>
      <c r="O5" s="24">
        <f>SUM(J5:N5)</f>
        <v>6.4956855509999993</v>
      </c>
      <c r="R5" s="2"/>
      <c r="S5" s="2"/>
      <c r="T5" s="2"/>
      <c r="U5" s="2"/>
      <c r="V5" s="2"/>
      <c r="W5" s="1"/>
    </row>
    <row r="6" spans="1:23">
      <c r="B6" s="30">
        <f>SUM(B4:B5)</f>
        <v>0</v>
      </c>
      <c r="C6" s="94">
        <f t="shared" ref="C6:F6" si="1">SUM(C4:C5)</f>
        <v>6803049.1869999999</v>
      </c>
      <c r="D6" s="94">
        <f t="shared" si="1"/>
        <v>1157091.2116250002</v>
      </c>
      <c r="E6" s="94">
        <f t="shared" si="1"/>
        <v>1045285.660625</v>
      </c>
      <c r="F6" s="94">
        <f t="shared" si="1"/>
        <v>8730.3606250000012</v>
      </c>
      <c r="G6" s="94">
        <f>SUM(G4:G5)</f>
        <v>9014156.4198749997</v>
      </c>
      <c r="H6" s="32"/>
      <c r="I6" s="32"/>
      <c r="J6" s="95">
        <f>SUM(J4:J5)</f>
        <v>0</v>
      </c>
      <c r="K6" s="95">
        <f t="shared" ref="K6:N6" si="2">SUM(K4:K5)</f>
        <v>6.8030491870000001</v>
      </c>
      <c r="L6" s="95">
        <f t="shared" si="2"/>
        <v>1.1570912116250003</v>
      </c>
      <c r="M6" s="37">
        <f t="shared" si="2"/>
        <v>1.0452856606250001</v>
      </c>
      <c r="N6" s="37">
        <f t="shared" si="2"/>
        <v>8.7303606249999957E-3</v>
      </c>
      <c r="O6" s="37">
        <f>SUM(O4:O5)</f>
        <v>9.0141564198749986</v>
      </c>
      <c r="R6" s="2"/>
      <c r="S6" s="2"/>
      <c r="T6" s="2"/>
      <c r="U6" s="2"/>
      <c r="V6" s="2"/>
      <c r="W6" s="2"/>
    </row>
    <row r="7" spans="1:23">
      <c r="B7" s="25"/>
      <c r="C7" s="92"/>
      <c r="D7" s="92"/>
      <c r="E7" s="92"/>
      <c r="F7" s="92"/>
      <c r="G7" s="92"/>
      <c r="H7" s="32"/>
      <c r="I7" s="32"/>
      <c r="J7" s="32"/>
      <c r="K7" s="32"/>
      <c r="L7" s="32"/>
      <c r="R7" s="3"/>
      <c r="S7" s="3"/>
      <c r="T7" s="3"/>
      <c r="U7" s="3"/>
      <c r="V7" s="3"/>
      <c r="W7" s="3"/>
    </row>
    <row r="8" spans="1:23">
      <c r="A8" t="s">
        <v>31</v>
      </c>
      <c r="B8" s="25"/>
      <c r="C8" s="92"/>
      <c r="D8" s="92"/>
      <c r="E8" s="92"/>
      <c r="F8" s="92"/>
      <c r="G8" s="92"/>
      <c r="H8" s="32"/>
      <c r="I8" s="32"/>
      <c r="J8" s="32"/>
      <c r="K8" s="32"/>
      <c r="L8" s="32"/>
    </row>
    <row r="9" spans="1:23" ht="15.75" thickBot="1">
      <c r="A9" s="40" t="s">
        <v>32</v>
      </c>
      <c r="B9" s="25"/>
      <c r="C9" s="92"/>
      <c r="D9" s="92"/>
      <c r="E9" s="92"/>
      <c r="F9" s="92"/>
      <c r="G9" s="92"/>
      <c r="H9" s="32"/>
      <c r="I9" s="106" t="s">
        <v>33</v>
      </c>
      <c r="J9" s="103" t="s">
        <v>34</v>
      </c>
      <c r="K9" s="32"/>
      <c r="L9" s="32"/>
      <c r="R9" s="2"/>
      <c r="S9" s="2"/>
      <c r="T9" s="2"/>
      <c r="U9" s="2"/>
      <c r="V9" s="2"/>
      <c r="W9" s="2"/>
    </row>
    <row r="10" spans="1:23" ht="15.75" thickBot="1">
      <c r="A10" t="s">
        <v>33</v>
      </c>
      <c r="B10" s="25"/>
      <c r="C10" s="92">
        <v>2212502.787</v>
      </c>
      <c r="D10" s="92">
        <v>501370.36400000023</v>
      </c>
      <c r="E10" s="92"/>
      <c r="F10" s="92"/>
      <c r="G10" s="92"/>
      <c r="H10" s="32"/>
      <c r="I10" s="106" t="s">
        <v>35</v>
      </c>
      <c r="J10" s="103" t="s">
        <v>34</v>
      </c>
      <c r="K10" s="32"/>
      <c r="L10" s="32"/>
      <c r="R10" s="3"/>
      <c r="S10" s="3"/>
      <c r="T10" s="3"/>
      <c r="U10" s="3"/>
      <c r="V10" s="3"/>
      <c r="W10" s="3"/>
    </row>
    <row r="11" spans="1:23">
      <c r="A11" t="s">
        <v>35</v>
      </c>
      <c r="B11" s="25"/>
      <c r="C11" s="92">
        <v>1436010.0700000003</v>
      </c>
      <c r="D11" s="92"/>
      <c r="E11" s="92"/>
      <c r="F11" s="92"/>
      <c r="G11" s="92"/>
      <c r="H11" s="32"/>
      <c r="I11" s="109" t="s">
        <v>36</v>
      </c>
      <c r="J11" s="104" t="s">
        <v>37</v>
      </c>
      <c r="K11" s="32"/>
      <c r="L11" s="32"/>
    </row>
    <row r="12" spans="1:23" ht="15.75" thickBot="1">
      <c r="A12" t="s">
        <v>36</v>
      </c>
      <c r="B12" s="25"/>
      <c r="C12" s="92">
        <v>1023560.0759999999</v>
      </c>
      <c r="D12" s="92">
        <v>-37260</v>
      </c>
      <c r="E12" s="92">
        <v>-37260</v>
      </c>
      <c r="F12" s="92">
        <v>-37260</v>
      </c>
      <c r="G12" s="92"/>
      <c r="H12" s="32"/>
      <c r="I12" s="110"/>
      <c r="J12" s="105" t="s">
        <v>38</v>
      </c>
      <c r="K12" s="32"/>
      <c r="L12" s="32"/>
    </row>
    <row r="13" spans="1:23" ht="15.75" thickBot="1">
      <c r="A13" t="s">
        <v>39</v>
      </c>
      <c r="B13" s="25"/>
      <c r="C13" s="92">
        <v>1024381.9299999999</v>
      </c>
      <c r="D13" s="92"/>
      <c r="E13" s="92"/>
      <c r="F13" s="92"/>
      <c r="G13" s="92"/>
      <c r="H13" s="32"/>
      <c r="I13" s="106" t="s">
        <v>39</v>
      </c>
      <c r="J13" s="103" t="s">
        <v>34</v>
      </c>
      <c r="K13" s="32"/>
      <c r="L13" s="32"/>
    </row>
    <row r="14" spans="1:23">
      <c r="B14" s="30">
        <f>SUM(B10:B13)</f>
        <v>0</v>
      </c>
      <c r="C14" s="94">
        <f>SUM(C10:C13)</f>
        <v>5696454.8629999999</v>
      </c>
      <c r="D14" s="94">
        <f>SUM(D10:D13)</f>
        <v>464110.36400000023</v>
      </c>
      <c r="E14" s="94">
        <f>SUM(E10:E13)</f>
        <v>-37260</v>
      </c>
      <c r="F14" s="94">
        <f>SUM(F10:F13)</f>
        <v>-37260</v>
      </c>
      <c r="G14" s="94">
        <f>SUM(B14:F14)</f>
        <v>6086045.227</v>
      </c>
      <c r="H14" s="32"/>
      <c r="I14" s="32"/>
      <c r="J14" s="32"/>
      <c r="K14" s="32"/>
      <c r="L14" s="32"/>
    </row>
    <row r="15" spans="1:23">
      <c r="B15" s="25"/>
      <c r="C15" s="25"/>
      <c r="E15" s="25"/>
      <c r="F15" s="25"/>
      <c r="G15" s="25"/>
    </row>
    <row r="16" spans="1:23">
      <c r="A16" s="40" t="s">
        <v>40</v>
      </c>
      <c r="B16" s="25"/>
      <c r="C16" s="25"/>
      <c r="D16" s="25"/>
      <c r="E16" s="25"/>
      <c r="F16" s="25"/>
      <c r="G16" s="25"/>
    </row>
    <row r="17" spans="1:9">
      <c r="A17" t="s">
        <v>36</v>
      </c>
      <c r="B17" s="25"/>
      <c r="C17" s="25">
        <v>459860.32399999996</v>
      </c>
      <c r="D17" s="25">
        <v>-16740</v>
      </c>
      <c r="E17" s="25">
        <v>-16740</v>
      </c>
      <c r="F17" s="25">
        <v>-16740</v>
      </c>
      <c r="G17" s="25"/>
    </row>
    <row r="18" spans="1:9">
      <c r="B18" s="30">
        <f>SUM(B17)</f>
        <v>0</v>
      </c>
      <c r="C18" s="30">
        <f t="shared" ref="C18:F18" si="3">SUM(C17)</f>
        <v>459860.32399999996</v>
      </c>
      <c r="D18" s="30">
        <f t="shared" si="3"/>
        <v>-16740</v>
      </c>
      <c r="E18" s="30">
        <f t="shared" si="3"/>
        <v>-16740</v>
      </c>
      <c r="F18" s="30">
        <f t="shared" si="3"/>
        <v>-16740</v>
      </c>
      <c r="G18" s="30">
        <f>SUM(B18:F18)</f>
        <v>409640.32399999996</v>
      </c>
    </row>
    <row r="19" spans="1:9">
      <c r="B19" s="41">
        <f t="shared" ref="B19:G19" si="4">B18+B14</f>
        <v>0</v>
      </c>
      <c r="C19" s="41">
        <f t="shared" si="4"/>
        <v>6156315.1869999999</v>
      </c>
      <c r="D19" s="41">
        <f t="shared" si="4"/>
        <v>447370.36400000023</v>
      </c>
      <c r="E19" s="41">
        <f t="shared" si="4"/>
        <v>-54000</v>
      </c>
      <c r="F19" s="41">
        <f t="shared" si="4"/>
        <v>-54000</v>
      </c>
      <c r="G19" s="41">
        <f t="shared" si="4"/>
        <v>6495685.551</v>
      </c>
      <c r="H19" s="41">
        <f>G19-G5</f>
        <v>0</v>
      </c>
      <c r="I19" t="s">
        <v>41</v>
      </c>
    </row>
    <row r="23" spans="1:9">
      <c r="C23" s="41"/>
    </row>
  </sheetData>
  <mergeCells count="1">
    <mergeCell ref="I11:I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4011-88D4-43C2-817D-238B9A5E8597}">
  <sheetPr>
    <tabColor rgb="FFFFFF00"/>
  </sheetPr>
  <dimension ref="A2:W25"/>
  <sheetViews>
    <sheetView workbookViewId="0">
      <selection activeCell="G29" sqref="G29"/>
    </sheetView>
  </sheetViews>
  <sheetFormatPr defaultRowHeight="15"/>
  <cols>
    <col min="2" max="2" width="11.5703125" bestFit="1" customWidth="1"/>
    <col min="3" max="4" width="14.28515625" bestFit="1" customWidth="1"/>
    <col min="5" max="5" width="12.5703125" bestFit="1" customWidth="1"/>
    <col min="6" max="6" width="11.5703125" bestFit="1" customWidth="1"/>
    <col min="7" max="7" width="14.28515625" bestFit="1" customWidth="1"/>
    <col min="10" max="10" width="36" bestFit="1" customWidth="1"/>
    <col min="12" max="15" width="11.5703125" bestFit="1" customWidth="1"/>
    <col min="16" max="16" width="18.5703125" customWidth="1"/>
    <col min="17" max="17" width="17" customWidth="1"/>
    <col min="19" max="23" width="11.5703125" bestFit="1" customWidth="1"/>
    <col min="24" max="24" width="12.5703125" bestFit="1" customWidth="1"/>
    <col min="25" max="25" width="11.28515625" customWidth="1"/>
  </cols>
  <sheetData>
    <row r="2" spans="1:23">
      <c r="B2" s="32" t="s">
        <v>0</v>
      </c>
      <c r="I2">
        <v>1000000</v>
      </c>
      <c r="J2" t="s">
        <v>0</v>
      </c>
    </row>
    <row r="3" spans="1:2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J3" t="s">
        <v>2</v>
      </c>
      <c r="K3" t="s">
        <v>3</v>
      </c>
      <c r="L3" t="s">
        <v>4</v>
      </c>
      <c r="M3" t="s">
        <v>5</v>
      </c>
      <c r="N3" t="s">
        <v>6</v>
      </c>
      <c r="O3" t="s">
        <v>7</v>
      </c>
      <c r="Q3" s="5"/>
    </row>
    <row r="4" spans="1:23">
      <c r="A4" t="s">
        <v>9</v>
      </c>
      <c r="B4" s="25">
        <v>362442.87061458855</v>
      </c>
      <c r="C4" s="25">
        <v>1572543.0252762216</v>
      </c>
      <c r="D4" s="25">
        <v>3823687.5</v>
      </c>
      <c r="E4" s="25">
        <v>10886667</v>
      </c>
      <c r="F4" s="25">
        <v>4040788</v>
      </c>
      <c r="G4" s="25">
        <f>SUM(B4:F4)</f>
        <v>20686128.39589081</v>
      </c>
      <c r="I4" t="s">
        <v>9</v>
      </c>
      <c r="J4" s="24">
        <f t="shared" ref="J4:N5" si="0">(B4)/1000000</f>
        <v>0.36244287061458857</v>
      </c>
      <c r="K4" s="24">
        <f t="shared" si="0"/>
        <v>1.5725430252762216</v>
      </c>
      <c r="L4" s="24">
        <f t="shared" si="0"/>
        <v>3.8236875000000001</v>
      </c>
      <c r="M4" s="24">
        <f t="shared" si="0"/>
        <v>10.886666999999999</v>
      </c>
      <c r="N4" s="24">
        <f t="shared" si="0"/>
        <v>4.040788</v>
      </c>
      <c r="O4" s="24">
        <f>SUM(J4:N4)</f>
        <v>20.686128395890808</v>
      </c>
      <c r="R4" s="2"/>
      <c r="S4" s="2"/>
      <c r="T4" s="2"/>
      <c r="U4" s="2"/>
      <c r="V4" s="2"/>
      <c r="W4" s="1"/>
    </row>
    <row r="5" spans="1:23">
      <c r="A5" t="s">
        <v>12</v>
      </c>
      <c r="B5" s="25">
        <v>1826921.5965854116</v>
      </c>
      <c r="C5" s="25">
        <v>1678401.9747237784</v>
      </c>
      <c r="D5" s="25">
        <v>3368640</v>
      </c>
      <c r="E5" s="25">
        <v>2752305</v>
      </c>
      <c r="F5" s="25">
        <v>409000</v>
      </c>
      <c r="G5" s="25">
        <f>SUM(B5:F5)</f>
        <v>10035268.57130919</v>
      </c>
      <c r="I5" t="s">
        <v>12</v>
      </c>
      <c r="J5" s="24">
        <f t="shared" si="0"/>
        <v>1.8269215965854115</v>
      </c>
      <c r="K5" s="24">
        <f t="shared" si="0"/>
        <v>1.6784019747237784</v>
      </c>
      <c r="L5" s="24">
        <f t="shared" si="0"/>
        <v>3.3686400000000001</v>
      </c>
      <c r="M5" s="24">
        <f t="shared" si="0"/>
        <v>2.7523049999999998</v>
      </c>
      <c r="N5" s="24">
        <f t="shared" si="0"/>
        <v>0.40899999999999997</v>
      </c>
      <c r="O5" s="24">
        <f>SUM(J5:N5)</f>
        <v>10.03526857130919</v>
      </c>
      <c r="R5" s="2"/>
      <c r="S5" s="2"/>
      <c r="T5" s="2"/>
      <c r="U5" s="2"/>
      <c r="V5" s="2"/>
      <c r="W5" s="1"/>
    </row>
    <row r="6" spans="1:23">
      <c r="B6" s="30">
        <f>SUM(B4:B5)</f>
        <v>2189364.4672000003</v>
      </c>
      <c r="C6" s="30">
        <f t="shared" ref="C6:F6" si="1">SUM(C4:C5)</f>
        <v>3250945</v>
      </c>
      <c r="D6" s="30">
        <f t="shared" si="1"/>
        <v>7192327.5</v>
      </c>
      <c r="E6" s="30">
        <f t="shared" si="1"/>
        <v>13638972</v>
      </c>
      <c r="F6" s="30">
        <f t="shared" si="1"/>
        <v>4449788</v>
      </c>
      <c r="G6" s="30">
        <f>SUM(G4:G5)</f>
        <v>30721396.9672</v>
      </c>
      <c r="J6" s="37">
        <f>SUM(J4:J5)</f>
        <v>2.1893644671999999</v>
      </c>
      <c r="K6" s="37">
        <f t="shared" ref="K6:N6" si="2">SUM(K4:K5)</f>
        <v>3.2509449999999998</v>
      </c>
      <c r="L6" s="37">
        <f t="shared" si="2"/>
        <v>7.1923275000000002</v>
      </c>
      <c r="M6" s="37">
        <f t="shared" si="2"/>
        <v>13.638971999999999</v>
      </c>
      <c r="N6" s="37">
        <f t="shared" si="2"/>
        <v>4.4497879999999999</v>
      </c>
      <c r="O6" s="37">
        <f>SUM(O4:O5)</f>
        <v>30.7213969672</v>
      </c>
      <c r="R6" s="2"/>
      <c r="S6" s="2"/>
      <c r="T6" s="2"/>
      <c r="U6" s="2"/>
      <c r="V6" s="2"/>
      <c r="W6" s="2"/>
    </row>
    <row r="7" spans="1:23">
      <c r="B7" s="25"/>
      <c r="C7" s="25"/>
      <c r="D7" s="25"/>
      <c r="E7" s="25"/>
      <c r="F7" s="25"/>
      <c r="G7" s="25"/>
      <c r="R7" s="3"/>
      <c r="S7" s="3"/>
      <c r="T7" s="3"/>
      <c r="U7" s="3"/>
      <c r="V7" s="3"/>
      <c r="W7" s="3"/>
    </row>
    <row r="8" spans="1:23">
      <c r="A8" t="s">
        <v>42</v>
      </c>
      <c r="B8" s="25"/>
      <c r="C8" s="25"/>
      <c r="D8" s="25"/>
      <c r="E8" s="25"/>
      <c r="F8" s="25"/>
      <c r="G8" s="25"/>
    </row>
    <row r="9" spans="1:23">
      <c r="A9" t="s">
        <v>27</v>
      </c>
      <c r="B9" s="25">
        <v>0</v>
      </c>
      <c r="C9" s="25">
        <v>42231.75</v>
      </c>
      <c r="D9" s="25">
        <v>1870200</v>
      </c>
      <c r="E9" s="25">
        <v>1579400</v>
      </c>
      <c r="F9" s="25">
        <v>392500</v>
      </c>
      <c r="G9" s="25">
        <v>3884331.7499999995</v>
      </c>
      <c r="I9" s="107"/>
      <c r="J9" s="107"/>
      <c r="K9" s="107"/>
      <c r="L9" s="107"/>
      <c r="M9" s="107"/>
      <c r="N9" s="107"/>
      <c r="O9" s="31"/>
      <c r="P9" s="31"/>
      <c r="Q9" s="31"/>
      <c r="R9" s="31"/>
    </row>
    <row r="10" spans="1:23">
      <c r="A10" t="s">
        <v>43</v>
      </c>
      <c r="B10" s="41">
        <v>1826921.5965854116</v>
      </c>
      <c r="C10" s="41">
        <v>1636170.2247237782</v>
      </c>
      <c r="D10" s="41">
        <v>1498440</v>
      </c>
      <c r="E10" s="41">
        <v>1172905</v>
      </c>
      <c r="F10" s="41">
        <v>16500</v>
      </c>
      <c r="G10" s="41">
        <v>6150936.8213091884</v>
      </c>
      <c r="I10" s="107"/>
      <c r="J10" s="107"/>
      <c r="K10" s="107"/>
      <c r="L10" s="107"/>
      <c r="M10" s="107"/>
      <c r="N10" s="107"/>
      <c r="O10" s="107"/>
      <c r="P10" s="107"/>
      <c r="Q10" s="107"/>
      <c r="R10" s="31"/>
    </row>
    <row r="11" spans="1:23">
      <c r="A11" t="s">
        <v>44</v>
      </c>
      <c r="B11" s="41">
        <f t="shared" ref="B11:G11" si="3">B9+B10</f>
        <v>1826921.5965854116</v>
      </c>
      <c r="C11" s="41">
        <f t="shared" si="3"/>
        <v>1678401.9747237782</v>
      </c>
      <c r="D11" s="41">
        <f t="shared" si="3"/>
        <v>3368640</v>
      </c>
      <c r="E11" s="41">
        <f t="shared" si="3"/>
        <v>2752305</v>
      </c>
      <c r="F11" s="41">
        <f t="shared" si="3"/>
        <v>409000</v>
      </c>
      <c r="G11" s="41">
        <f t="shared" si="3"/>
        <v>10035268.571309188</v>
      </c>
      <c r="H11" s="41">
        <f>G11-G5</f>
        <v>0</v>
      </c>
      <c r="I11" s="31"/>
      <c r="J11" s="31"/>
      <c r="K11" s="31"/>
      <c r="L11" s="107"/>
      <c r="M11" s="107"/>
      <c r="N11" s="107"/>
      <c r="O11" s="107"/>
      <c r="P11" s="107"/>
      <c r="Q11" s="107"/>
      <c r="R11" s="31"/>
    </row>
    <row r="12" spans="1:23">
      <c r="H12" t="s">
        <v>41</v>
      </c>
      <c r="I12" s="31"/>
      <c r="J12" s="31"/>
      <c r="K12" s="31"/>
      <c r="L12" s="107"/>
      <c r="M12" s="107"/>
      <c r="N12" s="107"/>
      <c r="O12" s="107"/>
      <c r="P12" s="107"/>
      <c r="Q12" s="107"/>
      <c r="R12" s="31"/>
    </row>
    <row r="13" spans="1:23">
      <c r="D13" t="s">
        <v>45</v>
      </c>
      <c r="I13" s="31"/>
      <c r="J13" s="31"/>
      <c r="K13" s="31"/>
      <c r="L13" s="107"/>
      <c r="M13" s="107"/>
      <c r="N13" s="107"/>
      <c r="O13" s="107"/>
      <c r="P13" s="107"/>
      <c r="Q13" s="107"/>
      <c r="R13" s="31"/>
    </row>
    <row r="14" spans="1:23">
      <c r="A14" s="45" t="s">
        <v>46</v>
      </c>
      <c r="B14" s="46">
        <f>Property!B5</f>
        <v>0</v>
      </c>
      <c r="C14" s="46">
        <f>Property!C5</f>
        <v>6156315.1869999999</v>
      </c>
      <c r="D14" s="46">
        <f>Property!D5</f>
        <v>447370.36400000023</v>
      </c>
      <c r="E14" s="46">
        <f>Property!E5</f>
        <v>-54000</v>
      </c>
      <c r="F14" s="46">
        <f>Property!F5</f>
        <v>-54000</v>
      </c>
      <c r="G14" s="47">
        <f>Property!G5</f>
        <v>6495685.551</v>
      </c>
      <c r="I14" s="31"/>
      <c r="J14" s="31"/>
      <c r="K14" s="31"/>
      <c r="L14" s="107"/>
      <c r="M14" s="107"/>
      <c r="N14" s="107"/>
      <c r="O14" s="107"/>
      <c r="P14" s="107"/>
      <c r="Q14" s="107"/>
      <c r="R14" s="31"/>
    </row>
    <row r="15" spans="1:23">
      <c r="A15" s="48"/>
      <c r="B15" s="49"/>
      <c r="C15" s="49"/>
      <c r="D15" s="49"/>
      <c r="E15" s="49"/>
      <c r="F15" s="49"/>
      <c r="G15" s="50"/>
      <c r="I15" s="31"/>
      <c r="J15" s="31"/>
      <c r="K15" s="31"/>
      <c r="L15" s="107"/>
      <c r="M15" s="107"/>
      <c r="N15" s="107"/>
      <c r="O15" s="107"/>
      <c r="P15" s="107"/>
      <c r="Q15" s="107"/>
      <c r="R15" s="31"/>
    </row>
    <row r="16" spans="1:23">
      <c r="A16" s="51" t="s">
        <v>47</v>
      </c>
      <c r="B16" s="52">
        <f>Property!B4</f>
        <v>0</v>
      </c>
      <c r="C16" s="52">
        <f>Property!C4</f>
        <v>646734</v>
      </c>
      <c r="D16" s="52">
        <f>Property!D4</f>
        <v>709720.84762499994</v>
      </c>
      <c r="E16" s="52">
        <f>Property!E4</f>
        <v>1099285.660625</v>
      </c>
      <c r="F16" s="52">
        <f>Property!F4</f>
        <v>62730.360625000001</v>
      </c>
      <c r="G16" s="53">
        <f>Property!G4</f>
        <v>2518470.8688750002</v>
      </c>
      <c r="I16" s="31"/>
      <c r="J16" s="31"/>
      <c r="K16" s="31"/>
      <c r="L16" s="107"/>
      <c r="M16" s="107"/>
      <c r="N16" s="107"/>
      <c r="O16" s="107"/>
      <c r="P16" s="107"/>
      <c r="Q16" s="107"/>
      <c r="R16" s="31"/>
    </row>
    <row r="17" spans="1:18">
      <c r="I17" s="31"/>
      <c r="J17" s="31"/>
      <c r="K17" s="31"/>
      <c r="L17" s="107"/>
      <c r="M17" s="107"/>
      <c r="N17" s="107"/>
      <c r="O17" s="107"/>
      <c r="P17" s="107"/>
      <c r="Q17" s="107"/>
      <c r="R17" s="31"/>
    </row>
    <row r="18" spans="1:18">
      <c r="A18" t="s">
        <v>7</v>
      </c>
      <c r="B18" s="41">
        <f t="shared" ref="B18:G18" si="4">B6+B14+B16</f>
        <v>2189364.4672000003</v>
      </c>
      <c r="C18" s="41">
        <f t="shared" si="4"/>
        <v>10053994.186999999</v>
      </c>
      <c r="D18" s="41">
        <f t="shared" si="4"/>
        <v>8349418.7116250005</v>
      </c>
      <c r="E18" s="41">
        <f t="shared" si="4"/>
        <v>14684257.660625</v>
      </c>
      <c r="F18" s="41">
        <f t="shared" si="4"/>
        <v>4458518.3606249997</v>
      </c>
      <c r="G18" s="41">
        <f t="shared" si="4"/>
        <v>39735553.387075</v>
      </c>
      <c r="I18" s="31"/>
      <c r="J18" s="31"/>
      <c r="K18" s="31"/>
      <c r="L18" s="107"/>
      <c r="M18" s="107"/>
      <c r="N18" s="107"/>
      <c r="O18" s="107"/>
      <c r="P18" s="107"/>
      <c r="Q18" s="107"/>
      <c r="R18" s="31"/>
    </row>
    <row r="19" spans="1:18">
      <c r="G19" s="41">
        <f>G18-Summary!H6</f>
        <v>0</v>
      </c>
      <c r="H19" t="s">
        <v>41</v>
      </c>
      <c r="I19" s="31"/>
      <c r="J19" s="31"/>
      <c r="K19" s="31"/>
      <c r="L19" s="107"/>
      <c r="M19" s="107"/>
      <c r="N19" s="107"/>
      <c r="O19" s="107"/>
      <c r="P19" s="107"/>
      <c r="Q19" s="107"/>
      <c r="R19" s="31"/>
    </row>
    <row r="20" spans="1:18">
      <c r="I20" s="31"/>
      <c r="J20" s="31"/>
      <c r="K20" s="31"/>
      <c r="L20" s="107"/>
      <c r="M20" s="107"/>
      <c r="N20" s="107"/>
      <c r="O20" s="107"/>
      <c r="P20" s="107"/>
      <c r="Q20" s="107"/>
      <c r="R20" s="31"/>
    </row>
    <row r="21" spans="1:18">
      <c r="I21" s="31"/>
      <c r="J21" s="31"/>
      <c r="K21" s="31"/>
      <c r="L21" s="107"/>
      <c r="M21" s="107"/>
      <c r="N21" s="107"/>
      <c r="O21" s="107"/>
      <c r="P21" s="107"/>
      <c r="Q21" s="107"/>
      <c r="R21" s="31"/>
    </row>
    <row r="22" spans="1:18">
      <c r="I22" s="107"/>
      <c r="J22" s="31"/>
      <c r="K22" s="31"/>
      <c r="L22" s="107"/>
      <c r="M22" s="107"/>
      <c r="N22" s="107"/>
      <c r="O22" s="107"/>
      <c r="P22" s="107"/>
      <c r="Q22" s="107"/>
      <c r="R22" s="31"/>
    </row>
    <row r="23" spans="1:18">
      <c r="I23" s="31"/>
      <c r="J23" s="31"/>
      <c r="K23" s="31"/>
      <c r="L23" s="107"/>
      <c r="M23" s="107"/>
      <c r="N23" s="107"/>
      <c r="O23" s="107"/>
      <c r="P23" s="107"/>
      <c r="Q23" s="107"/>
      <c r="R23" s="31"/>
    </row>
    <row r="24" spans="1:18">
      <c r="I24" s="31"/>
      <c r="J24" s="31"/>
      <c r="K24" s="31"/>
      <c r="L24" s="107"/>
      <c r="M24" s="107"/>
      <c r="N24" s="107"/>
      <c r="O24" s="107"/>
      <c r="P24" s="107"/>
      <c r="Q24" s="107"/>
      <c r="R24" s="31"/>
    </row>
    <row r="25" spans="1:18">
      <c r="I25" s="31"/>
      <c r="J25" s="31"/>
      <c r="K25" s="31"/>
      <c r="L25" s="107"/>
      <c r="M25" s="107"/>
      <c r="N25" s="107"/>
      <c r="O25" s="107"/>
      <c r="P25" s="107"/>
      <c r="Q25" s="107"/>
      <c r="R25" s="3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7622-009F-44F0-9DC3-21162CB062AC}">
  <sheetPr>
    <tabColor theme="9" tint="-0.249977111117893"/>
    <pageSetUpPr fitToPage="1"/>
  </sheetPr>
  <dimension ref="A1:T23"/>
  <sheetViews>
    <sheetView topLeftCell="A4" workbookViewId="0">
      <selection activeCell="O27" sqref="O27"/>
    </sheetView>
  </sheetViews>
  <sheetFormatPr defaultRowHeight="12.75"/>
  <cols>
    <col min="1" max="16384" width="9.140625" style="7"/>
  </cols>
  <sheetData>
    <row r="1" spans="1:20">
      <c r="A1" s="6" t="s">
        <v>48</v>
      </c>
      <c r="R1" s="8" t="s">
        <v>49</v>
      </c>
    </row>
    <row r="3" spans="1:20">
      <c r="C3" s="9"/>
      <c r="D3" s="9"/>
      <c r="E3" s="9"/>
      <c r="F3" s="9"/>
      <c r="G3" s="9"/>
      <c r="H3" s="9"/>
      <c r="I3" s="9"/>
      <c r="J3" s="9"/>
      <c r="K3" s="9"/>
      <c r="L3" s="9"/>
      <c r="R3" s="10">
        <v>2.4248747000000001E-2</v>
      </c>
    </row>
    <row r="4" spans="1:20">
      <c r="B4" s="11"/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12" t="s">
        <v>63</v>
      </c>
      <c r="Q4" s="12" t="s">
        <v>64</v>
      </c>
      <c r="R4" s="12" t="s">
        <v>65</v>
      </c>
      <c r="S4" s="12" t="s">
        <v>66</v>
      </c>
      <c r="T4" s="12" t="s">
        <v>67</v>
      </c>
    </row>
    <row r="5" spans="1:20" ht="15">
      <c r="B5" s="13"/>
      <c r="C5" s="14">
        <v>2.7699999999999999E-2</v>
      </c>
      <c r="D5" s="15">
        <v>2.3400000000000001E-2</v>
      </c>
      <c r="E5" s="15">
        <v>2.6700000000000002E-2</v>
      </c>
      <c r="F5" s="15">
        <v>3.5400000000000001E-2</v>
      </c>
      <c r="G5" s="15">
        <v>2.3300000000000001E-2</v>
      </c>
      <c r="H5" s="15">
        <v>4.3499999999999997E-2</v>
      </c>
      <c r="I5" s="15">
        <v>1.8200000000000001E-2</v>
      </c>
      <c r="J5" s="15">
        <v>2.8500000000000001E-2</v>
      </c>
      <c r="K5" s="15">
        <v>3.39E-2</v>
      </c>
      <c r="L5" s="15">
        <v>1.7600000000000001E-2</v>
      </c>
      <c r="M5" s="15">
        <v>2.4500000000000001E-2</v>
      </c>
      <c r="N5" s="15">
        <v>2.4879227053139941E-2</v>
      </c>
      <c r="O5" s="15">
        <v>1.5083667216592156E-2</v>
      </c>
      <c r="P5" s="15">
        <v>1.2769909449732886E-2</v>
      </c>
      <c r="Q5" s="15">
        <v>1.9486474094452033E-2</v>
      </c>
      <c r="R5" s="16">
        <v>1.7841213202497874E-2</v>
      </c>
      <c r="S5" s="16">
        <v>1.8404907975460238E-2</v>
      </c>
      <c r="T5" s="16">
        <v>8.6058519793459354E-3</v>
      </c>
    </row>
    <row r="6" spans="1:20" ht="15">
      <c r="A6" s="7" t="s">
        <v>68</v>
      </c>
      <c r="B6" s="17" t="s">
        <v>50</v>
      </c>
      <c r="C6" s="18">
        <v>1</v>
      </c>
      <c r="D6" s="19">
        <v>1.0234000000000001</v>
      </c>
      <c r="E6" s="19">
        <v>1.0507247800000001</v>
      </c>
      <c r="F6" s="19">
        <v>1.0879204372120002</v>
      </c>
      <c r="G6" s="19">
        <v>1.1132689833990399</v>
      </c>
      <c r="H6" s="19">
        <v>1.1616961841768982</v>
      </c>
      <c r="I6" s="19">
        <v>1.1828390547289178</v>
      </c>
      <c r="J6" s="19">
        <v>1.216549967788692</v>
      </c>
      <c r="K6" s="19">
        <v>1.2577910116967286</v>
      </c>
      <c r="L6" s="19">
        <v>1.2799281335025912</v>
      </c>
      <c r="M6" s="19">
        <v>1.3112863727734045</v>
      </c>
      <c r="N6" s="19">
        <v>1.3439101641733224</v>
      </c>
      <c r="O6" s="19">
        <v>1.3641812578587085</v>
      </c>
      <c r="P6" s="19">
        <v>1.381601728994587</v>
      </c>
      <c r="Q6" s="19">
        <v>1.4085242752954901</v>
      </c>
      <c r="R6" s="19">
        <v>1.4336540571919307</v>
      </c>
      <c r="S6" s="19">
        <v>1.4600403281831935</v>
      </c>
      <c r="T6" s="19">
        <v>1.4726052191314138</v>
      </c>
    </row>
    <row r="7" spans="1:20" ht="15">
      <c r="B7" s="17" t="s">
        <v>51</v>
      </c>
      <c r="C7" s="20"/>
      <c r="D7" s="19">
        <v>1</v>
      </c>
      <c r="E7" s="19">
        <v>1.0266999999999999</v>
      </c>
      <c r="F7" s="19">
        <v>1.06304518</v>
      </c>
      <c r="G7" s="19">
        <v>1.0878141326940001</v>
      </c>
      <c r="H7" s="19">
        <v>1.1351340474661891</v>
      </c>
      <c r="I7" s="19">
        <v>1.1557934871300737</v>
      </c>
      <c r="J7" s="19">
        <v>1.1887336015132808</v>
      </c>
      <c r="K7" s="19">
        <v>1.229031670604581</v>
      </c>
      <c r="L7" s="19">
        <v>1.2506626280072217</v>
      </c>
      <c r="M7" s="19">
        <v>1.2813038623933986</v>
      </c>
      <c r="N7" s="19">
        <v>1.3131817121099492</v>
      </c>
      <c r="O7" s="19">
        <v>1.3329893080503303</v>
      </c>
      <c r="P7" s="19">
        <v>1.3500114608115952</v>
      </c>
      <c r="Q7" s="19">
        <v>1.3763184241699136</v>
      </c>
      <c r="R7" s="19">
        <v>1.4008736146100549</v>
      </c>
      <c r="S7" s="19">
        <v>1.4266565645722034</v>
      </c>
      <c r="T7" s="19">
        <v>1.438934159792274</v>
      </c>
    </row>
    <row r="8" spans="1:20" ht="15">
      <c r="B8" s="17" t="s">
        <v>52</v>
      </c>
      <c r="C8" s="20"/>
      <c r="D8" s="9"/>
      <c r="E8" s="19">
        <v>1</v>
      </c>
      <c r="F8" s="19">
        <v>1.0354000000000001</v>
      </c>
      <c r="G8" s="19">
        <v>1.0595248200000003</v>
      </c>
      <c r="H8" s="19">
        <v>1.1056141496700003</v>
      </c>
      <c r="I8" s="19">
        <v>1.1257363271939942</v>
      </c>
      <c r="J8" s="19">
        <v>1.1578198125190229</v>
      </c>
      <c r="K8" s="19">
        <v>1.1970699041634179</v>
      </c>
      <c r="L8" s="19">
        <v>1.2181383344766941</v>
      </c>
      <c r="M8" s="19">
        <v>1.247982723671373</v>
      </c>
      <c r="N8" s="19">
        <v>1.2790315692119891</v>
      </c>
      <c r="O8" s="19">
        <v>1.2983240557614983</v>
      </c>
      <c r="P8" s="19">
        <v>1.3149035363899826</v>
      </c>
      <c r="Q8" s="19">
        <v>1.3405263700885492</v>
      </c>
      <c r="R8" s="19">
        <v>1.3644429868608696</v>
      </c>
      <c r="S8" s="19">
        <v>1.389555434471806</v>
      </c>
      <c r="T8" s="19">
        <v>1.401513742857966</v>
      </c>
    </row>
    <row r="9" spans="1:20" ht="15">
      <c r="B9" s="17" t="s">
        <v>53</v>
      </c>
      <c r="C9" s="20"/>
      <c r="D9" s="9"/>
      <c r="E9" s="9"/>
      <c r="F9" s="19">
        <v>1</v>
      </c>
      <c r="G9" s="19">
        <v>1.0233000000000001</v>
      </c>
      <c r="H9" s="19">
        <v>1.0678135500000001</v>
      </c>
      <c r="I9" s="19">
        <v>1.0872477566100001</v>
      </c>
      <c r="J9" s="19">
        <v>1.1182343176733851</v>
      </c>
      <c r="K9" s="19">
        <v>1.1561424610425128</v>
      </c>
      <c r="L9" s="19">
        <v>1.1764905683568612</v>
      </c>
      <c r="M9" s="19">
        <v>1.2053145872816042</v>
      </c>
      <c r="N9" s="19">
        <v>1.2353018825690449</v>
      </c>
      <c r="O9" s="19">
        <v>1.2539347650777461</v>
      </c>
      <c r="P9" s="19">
        <v>1.2699473984836611</v>
      </c>
      <c r="Q9" s="19">
        <v>1.2946941955655298</v>
      </c>
      <c r="R9" s="19">
        <v>1.3177931107406509</v>
      </c>
      <c r="S9" s="19">
        <v>1.342046971674528</v>
      </c>
      <c r="T9" s="19">
        <v>1.3535964292620886</v>
      </c>
    </row>
    <row r="10" spans="1:20" ht="15">
      <c r="B10" s="17" t="s">
        <v>54</v>
      </c>
      <c r="C10" s="20"/>
      <c r="D10" s="9"/>
      <c r="E10" s="9"/>
      <c r="F10" s="19"/>
      <c r="G10" s="19">
        <v>1</v>
      </c>
      <c r="H10" s="19">
        <v>1.0435000000000001</v>
      </c>
      <c r="I10" s="19">
        <v>1.0624917</v>
      </c>
      <c r="J10" s="19">
        <v>1.09277271345</v>
      </c>
      <c r="K10" s="19">
        <v>1.1298177084359551</v>
      </c>
      <c r="L10" s="19">
        <v>1.1497025001044279</v>
      </c>
      <c r="M10" s="19">
        <v>1.1778702113569863</v>
      </c>
      <c r="N10" s="19">
        <v>1.2071747117844667</v>
      </c>
      <c r="O10" s="19">
        <v>1.2253833334093092</v>
      </c>
      <c r="P10" s="19">
        <v>1.2410313676181579</v>
      </c>
      <c r="Q10" s="19">
        <v>1.2652146932136514</v>
      </c>
      <c r="R10" s="19">
        <v>1.2877876583022092</v>
      </c>
      <c r="S10" s="19">
        <v>1.3114892716451947</v>
      </c>
      <c r="T10" s="19">
        <v>1.3227757541894734</v>
      </c>
    </row>
    <row r="11" spans="1:20" ht="15">
      <c r="B11" s="17" t="s">
        <v>55</v>
      </c>
      <c r="C11" s="21"/>
      <c r="H11" s="19">
        <v>1</v>
      </c>
      <c r="I11" s="19">
        <v>1.0182</v>
      </c>
      <c r="J11" s="19">
        <v>1.0472186999999999</v>
      </c>
      <c r="K11" s="19">
        <v>1.08271941393</v>
      </c>
      <c r="L11" s="19">
        <v>1.1017752756151682</v>
      </c>
      <c r="M11" s="19">
        <v>1.1287687698677398</v>
      </c>
      <c r="N11" s="19">
        <v>1.1568516643837727</v>
      </c>
      <c r="O11" s="19">
        <v>1.1743012299082982</v>
      </c>
      <c r="P11" s="19">
        <v>1.1892969502809372</v>
      </c>
      <c r="Q11" s="19">
        <v>1.2124721544931976</v>
      </c>
      <c r="R11" s="19">
        <v>1.2341041287036025</v>
      </c>
      <c r="S11" s="19">
        <v>1.2568177016245279</v>
      </c>
      <c r="T11" s="19">
        <v>1.2676336887297304</v>
      </c>
    </row>
    <row r="12" spans="1:20" ht="15">
      <c r="B12" s="17" t="s">
        <v>56</v>
      </c>
      <c r="C12" s="21"/>
      <c r="I12" s="22">
        <v>1</v>
      </c>
      <c r="J12" s="19">
        <v>1.0285</v>
      </c>
      <c r="K12" s="19">
        <v>1.06336615</v>
      </c>
      <c r="L12" s="19">
        <v>1.08208139424</v>
      </c>
      <c r="M12" s="19">
        <v>1.10859238839888</v>
      </c>
      <c r="N12" s="19">
        <v>1.1361733101392384</v>
      </c>
      <c r="O12" s="19">
        <v>1.1533109702497526</v>
      </c>
      <c r="P12" s="19">
        <v>1.1680386469072255</v>
      </c>
      <c r="Q12" s="19">
        <v>1.1907996017415019</v>
      </c>
      <c r="R12" s="19">
        <v>1.2120449113176215</v>
      </c>
      <c r="S12" s="19">
        <v>1.2343524863725472</v>
      </c>
      <c r="T12" s="19">
        <v>1.2449751411606069</v>
      </c>
    </row>
    <row r="13" spans="1:20" ht="15">
      <c r="B13" s="17" t="s">
        <v>57</v>
      </c>
      <c r="C13" s="21"/>
      <c r="J13" s="22">
        <v>1</v>
      </c>
      <c r="K13" s="19">
        <v>1.0339</v>
      </c>
      <c r="L13" s="19">
        <v>1.05209664</v>
      </c>
      <c r="M13" s="19">
        <v>1.0778730076800001</v>
      </c>
      <c r="N13" s="19">
        <v>1.1046896549725216</v>
      </c>
      <c r="O13" s="19">
        <v>1.121352426105739</v>
      </c>
      <c r="P13" s="19">
        <v>1.1356719950483476</v>
      </c>
      <c r="Q13" s="19">
        <v>1.157802237959652</v>
      </c>
      <c r="R13" s="19">
        <v>1.1784588345334193</v>
      </c>
      <c r="S13" s="19">
        <v>1.2001482609358749</v>
      </c>
      <c r="T13" s="19">
        <v>1.2104765592227584</v>
      </c>
    </row>
    <row r="14" spans="1:20" ht="15">
      <c r="B14" s="17" t="s">
        <v>58</v>
      </c>
      <c r="C14" s="21"/>
      <c r="K14" s="22">
        <v>1</v>
      </c>
      <c r="L14" s="19">
        <v>1.0176000000000001</v>
      </c>
      <c r="M14" s="19">
        <v>1.0425312</v>
      </c>
      <c r="N14" s="19">
        <v>1.0684685704347825</v>
      </c>
      <c r="O14" s="19">
        <v>1.0845849947826087</v>
      </c>
      <c r="P14" s="19">
        <v>1.0984350469565216</v>
      </c>
      <c r="Q14" s="19">
        <v>1.1198396730434781</v>
      </c>
      <c r="R14" s="19">
        <v>1.1398189714028624</v>
      </c>
      <c r="S14" s="19">
        <v>1.1607972346802158</v>
      </c>
      <c r="T14" s="19">
        <v>1.1707868838599078</v>
      </c>
    </row>
    <row r="15" spans="1:20" ht="15">
      <c r="B15" s="17" t="s">
        <v>59</v>
      </c>
      <c r="C15" s="21"/>
      <c r="L15" s="22">
        <v>1</v>
      </c>
      <c r="M15" s="19">
        <v>1.0245</v>
      </c>
      <c r="N15" s="19">
        <v>1.0499887681159419</v>
      </c>
      <c r="O15" s="19">
        <v>1.0658264492753624</v>
      </c>
      <c r="P15" s="19">
        <v>1.0794369565217392</v>
      </c>
      <c r="Q15" s="19">
        <v>1.1004713768115941</v>
      </c>
      <c r="R15" s="19">
        <v>1.1201051212685362</v>
      </c>
      <c r="S15" s="19">
        <v>1.1407205529483253</v>
      </c>
      <c r="T15" s="19">
        <v>1.1505374251767961</v>
      </c>
    </row>
    <row r="16" spans="1:20" ht="15">
      <c r="B16" s="17" t="s">
        <v>60</v>
      </c>
      <c r="C16" s="21"/>
      <c r="M16" s="22">
        <v>1</v>
      </c>
      <c r="N16" s="19">
        <v>1.0248792270531399</v>
      </c>
      <c r="O16" s="19">
        <v>1.0403381642512077</v>
      </c>
      <c r="P16" s="19">
        <v>1.0536231884057969</v>
      </c>
      <c r="Q16" s="19">
        <v>1.0741545893719804</v>
      </c>
      <c r="R16" s="19">
        <v>1.0933188104134075</v>
      </c>
      <c r="S16" s="19">
        <v>1.113441242506906</v>
      </c>
      <c r="T16" s="19">
        <v>1.1230233530276195</v>
      </c>
    </row>
    <row r="17" spans="2:20" ht="15">
      <c r="B17" s="17" t="s">
        <v>61</v>
      </c>
      <c r="C17" s="21"/>
      <c r="N17" s="22">
        <v>1</v>
      </c>
      <c r="O17" s="19">
        <v>1.0150836672165922</v>
      </c>
      <c r="P17" s="19">
        <v>1.0280461937308509</v>
      </c>
      <c r="Q17" s="19">
        <v>1.0480791892528871</v>
      </c>
      <c r="R17" s="19">
        <v>1.0667781935214491</v>
      </c>
      <c r="S17" s="19">
        <v>1.086412148003439</v>
      </c>
      <c r="T17" s="19">
        <v>1.0957616501377199</v>
      </c>
    </row>
    <row r="18" spans="2:20" ht="15">
      <c r="B18" s="17" t="s">
        <v>62</v>
      </c>
      <c r="C18" s="21"/>
      <c r="N18" s="22"/>
      <c r="O18" s="22">
        <v>1</v>
      </c>
      <c r="P18" s="19">
        <v>1.0127699094497329</v>
      </c>
      <c r="Q18" s="19">
        <v>1.0325052240538657</v>
      </c>
      <c r="R18" s="19">
        <v>1.0509263698889035</v>
      </c>
      <c r="S18" s="19">
        <v>1.0702685730156933</v>
      </c>
      <c r="T18" s="19">
        <v>1.0794791459332123</v>
      </c>
    </row>
    <row r="19" spans="2:20" ht="15">
      <c r="B19" s="23" t="s">
        <v>63</v>
      </c>
      <c r="P19" s="22">
        <v>1</v>
      </c>
      <c r="Q19" s="19">
        <v>1.019486474094452</v>
      </c>
      <c r="R19" s="19">
        <v>1.037675349635834</v>
      </c>
      <c r="S19" s="19">
        <v>1.056773668954285</v>
      </c>
      <c r="T19" s="19">
        <v>1.065868106724976</v>
      </c>
    </row>
    <row r="20" spans="2:20" ht="15">
      <c r="B20" s="23" t="s">
        <v>64</v>
      </c>
      <c r="Q20" s="22">
        <v>1</v>
      </c>
      <c r="R20" s="19">
        <v>1.0178412132024979</v>
      </c>
      <c r="S20" s="19">
        <v>1.0365744870651206</v>
      </c>
      <c r="T20" s="19">
        <v>1.0454950936663694</v>
      </c>
    </row>
    <row r="21" spans="2:20" ht="15">
      <c r="B21" s="23" t="s">
        <v>65</v>
      </c>
      <c r="R21" s="22">
        <v>1</v>
      </c>
      <c r="S21" s="19">
        <v>1.0184049079754602</v>
      </c>
      <c r="T21" s="19">
        <v>1.0271691498685365</v>
      </c>
    </row>
    <row r="22" spans="2:20" ht="15">
      <c r="B22" s="23" t="s">
        <v>66</v>
      </c>
      <c r="S22" s="22">
        <v>1</v>
      </c>
      <c r="T22" s="19">
        <v>1.0086058519793459</v>
      </c>
    </row>
    <row r="23" spans="2:20">
      <c r="B23" s="23" t="s">
        <v>67</v>
      </c>
      <c r="T23" s="22">
        <v>1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0C7E-0FAE-4E65-8650-67867BF5CAE5}">
  <dimension ref="A1:I21"/>
  <sheetViews>
    <sheetView workbookViewId="0">
      <selection activeCell="L19" sqref="L19"/>
    </sheetView>
  </sheetViews>
  <sheetFormatPr defaultRowHeight="15"/>
  <cols>
    <col min="2" max="2" width="12.140625" customWidth="1"/>
  </cols>
  <sheetData>
    <row r="1" spans="1:9" ht="15.75" thickBot="1">
      <c r="A1" t="s">
        <v>69</v>
      </c>
    </row>
    <row r="2" spans="1:9" ht="15.75" thickBot="1">
      <c r="B2" s="55" t="s">
        <v>70</v>
      </c>
      <c r="C2" s="56"/>
      <c r="D2" s="57" t="s">
        <v>71</v>
      </c>
      <c r="E2" s="57" t="s">
        <v>72</v>
      </c>
      <c r="F2" s="57" t="s">
        <v>73</v>
      </c>
      <c r="G2" s="57" t="s">
        <v>74</v>
      </c>
      <c r="H2" s="57" t="s">
        <v>75</v>
      </c>
      <c r="I2" s="57" t="s">
        <v>76</v>
      </c>
    </row>
    <row r="3" spans="1:9" ht="25.5" thickTop="1" thickBot="1">
      <c r="B3" s="58" t="s">
        <v>77</v>
      </c>
      <c r="C3" s="59" t="s">
        <v>78</v>
      </c>
      <c r="D3" s="76">
        <f>'Cyber-data combined'!J4</f>
        <v>0.36244287061458857</v>
      </c>
      <c r="E3" s="76">
        <f>'Cyber-data combined'!K4</f>
        <v>1.5725430252762216</v>
      </c>
      <c r="F3" s="76">
        <f>'Cyber-data combined'!L4</f>
        <v>3.8236875000000001</v>
      </c>
      <c r="G3" s="76">
        <f>'Cyber-data combined'!M4</f>
        <v>10.886666999999999</v>
      </c>
      <c r="H3" s="76">
        <f>'Cyber-data combined'!N4</f>
        <v>4.040788</v>
      </c>
      <c r="I3" s="77">
        <f>SUM(D3:H3)</f>
        <v>20.686128395890808</v>
      </c>
    </row>
    <row r="4" spans="1:9" ht="15.75" thickBot="1">
      <c r="B4" s="60"/>
      <c r="C4" s="61" t="s">
        <v>79</v>
      </c>
      <c r="D4" s="78">
        <f>Property!J4</f>
        <v>0</v>
      </c>
      <c r="E4" s="78">
        <f>Property!K4</f>
        <v>0.64673400000000003</v>
      </c>
      <c r="F4" s="78">
        <f>Property!L4</f>
        <v>0.70972084762499998</v>
      </c>
      <c r="G4" s="78">
        <f>Property!M4</f>
        <v>1.0992856606250001</v>
      </c>
      <c r="H4" s="78">
        <f>Property!N4</f>
        <v>6.2730360624999995E-2</v>
      </c>
      <c r="I4" s="79">
        <f t="shared" ref="I4:I9" si="0">SUM(D4:H4)</f>
        <v>2.5184708688749997</v>
      </c>
    </row>
    <row r="5" spans="1:9" ht="15.75" thickBot="1">
      <c r="B5" s="62" t="s">
        <v>80</v>
      </c>
      <c r="C5" s="63"/>
      <c r="D5" s="80">
        <f>SUM(D3:D4)</f>
        <v>0.36244287061458857</v>
      </c>
      <c r="E5" s="80">
        <f t="shared" ref="E5:H5" si="1">SUM(E3:E4)</f>
        <v>2.2192770252762215</v>
      </c>
      <c r="F5" s="80">
        <f t="shared" si="1"/>
        <v>4.5334083476250004</v>
      </c>
      <c r="G5" s="80">
        <f t="shared" si="1"/>
        <v>11.985952660624999</v>
      </c>
      <c r="H5" s="80">
        <f t="shared" si="1"/>
        <v>4.1035183606250003</v>
      </c>
      <c r="I5" s="80">
        <f t="shared" si="0"/>
        <v>23.204599264765807</v>
      </c>
    </row>
    <row r="6" spans="1:9" ht="24.75" thickBot="1">
      <c r="B6" s="64" t="s">
        <v>81</v>
      </c>
      <c r="C6" s="65" t="s">
        <v>78</v>
      </c>
      <c r="D6" s="81">
        <f>'Cyber-data combined'!J5</f>
        <v>1.8269215965854115</v>
      </c>
      <c r="E6" s="81">
        <f>'Cyber-data combined'!K5</f>
        <v>1.6784019747237784</v>
      </c>
      <c r="F6" s="81">
        <f>'Cyber-data combined'!L5</f>
        <v>3.3686400000000001</v>
      </c>
      <c r="G6" s="81">
        <f>'Cyber-data combined'!M5</f>
        <v>2.7523049999999998</v>
      </c>
      <c r="H6" s="81">
        <f>'Cyber-data combined'!N5</f>
        <v>0.40899999999999997</v>
      </c>
      <c r="I6" s="82">
        <f t="shared" si="0"/>
        <v>10.03526857130919</v>
      </c>
    </row>
    <row r="7" spans="1:9" ht="15.75" thickBot="1">
      <c r="B7" s="66"/>
      <c r="C7" s="67" t="s">
        <v>79</v>
      </c>
      <c r="D7" s="83">
        <f>Property!J5</f>
        <v>0</v>
      </c>
      <c r="E7" s="83">
        <f>Property!K5</f>
        <v>6.1563151869999997</v>
      </c>
      <c r="F7" s="83">
        <f>Property!L5</f>
        <v>0.44737036400000024</v>
      </c>
      <c r="G7" s="83">
        <f>Property!M5</f>
        <v>-5.3999999999999999E-2</v>
      </c>
      <c r="H7" s="83">
        <f>Property!N5</f>
        <v>-5.3999999999999999E-2</v>
      </c>
      <c r="I7" s="80">
        <f t="shared" si="0"/>
        <v>6.4956855509999993</v>
      </c>
    </row>
    <row r="8" spans="1:9" ht="15.75" thickBot="1">
      <c r="B8" s="68" t="s">
        <v>82</v>
      </c>
      <c r="C8" s="69"/>
      <c r="D8" s="80">
        <f>SUM(D6:D7)</f>
        <v>1.8269215965854115</v>
      </c>
      <c r="E8" s="80">
        <f t="shared" ref="E8" si="2">SUM(E6:E7)</f>
        <v>7.8347171617237779</v>
      </c>
      <c r="F8" s="80">
        <f t="shared" ref="F8" si="3">SUM(F6:F7)</f>
        <v>3.8160103640000003</v>
      </c>
      <c r="G8" s="80">
        <f t="shared" ref="G8" si="4">SUM(G6:G7)</f>
        <v>2.698305</v>
      </c>
      <c r="H8" s="80">
        <f t="shared" ref="H8" si="5">SUM(H6:H7)</f>
        <v>0.35499999999999998</v>
      </c>
      <c r="I8" s="79">
        <f t="shared" si="0"/>
        <v>16.53095412230919</v>
      </c>
    </row>
    <row r="9" spans="1:9" ht="15.75" thickBot="1">
      <c r="B9" s="70" t="s">
        <v>83</v>
      </c>
      <c r="C9" s="71"/>
      <c r="D9" s="77">
        <f>D5+D8</f>
        <v>2.1893644671999999</v>
      </c>
      <c r="E9" s="77">
        <f t="shared" ref="E9:H9" si="6">E5+E8</f>
        <v>10.053994186999999</v>
      </c>
      <c r="F9" s="77">
        <f t="shared" si="6"/>
        <v>8.3494187116250007</v>
      </c>
      <c r="G9" s="77">
        <f t="shared" si="6"/>
        <v>14.684257660624999</v>
      </c>
      <c r="H9" s="77">
        <f t="shared" si="6"/>
        <v>4.4585183606249998</v>
      </c>
      <c r="I9" s="77">
        <f t="shared" si="0"/>
        <v>39.735553387075001</v>
      </c>
    </row>
    <row r="11" spans="1:9" ht="15.75" thickBot="1">
      <c r="A11" t="s">
        <v>84</v>
      </c>
    </row>
    <row r="12" spans="1:9" ht="24.75" thickBot="1">
      <c r="B12" s="55" t="s">
        <v>85</v>
      </c>
      <c r="C12" s="57" t="s">
        <v>71</v>
      </c>
      <c r="D12" s="57" t="s">
        <v>72</v>
      </c>
      <c r="E12" s="57" t="s">
        <v>73</v>
      </c>
      <c r="F12" s="57" t="s">
        <v>74</v>
      </c>
      <c r="G12" s="57" t="s">
        <v>75</v>
      </c>
      <c r="H12" s="57" t="s">
        <v>76</v>
      </c>
    </row>
    <row r="13" spans="1:9" ht="49.5" thickTop="1" thickBot="1">
      <c r="B13" s="70" t="s">
        <v>86</v>
      </c>
      <c r="C13" s="84">
        <f>Summary!S4</f>
        <v>938.52482729585836</v>
      </c>
      <c r="D13" s="84">
        <f>Summary!T4</f>
        <v>1003.4512974203485</v>
      </c>
      <c r="E13" s="84">
        <f>Summary!U4</f>
        <v>1020.323493075444</v>
      </c>
      <c r="F13" s="84">
        <f>Summary!V4</f>
        <v>1058.1409390645726</v>
      </c>
      <c r="G13" s="84">
        <f>Summary!W4</f>
        <v>1043.6065075284846</v>
      </c>
      <c r="H13" s="85">
        <f>SUM(C13:G13)</f>
        <v>5064.0470643847084</v>
      </c>
    </row>
    <row r="14" spans="1:9" ht="36.75" thickBot="1">
      <c r="B14" s="72" t="s">
        <v>87</v>
      </c>
      <c r="C14" s="86">
        <f>Summary!S6</f>
        <v>2.1895073926325352</v>
      </c>
      <c r="D14" s="86">
        <f>Summary!T6</f>
        <v>10.298463201401669</v>
      </c>
      <c r="E14" s="86">
        <f>Summary!U6</f>
        <v>8.7598258798776829</v>
      </c>
      <c r="F14" s="86">
        <f>Summary!V6</f>
        <v>15.779624720557624</v>
      </c>
      <c r="G14" s="86">
        <f>Summary!W6</f>
        <v>4.9072781461802943</v>
      </c>
      <c r="H14" s="87">
        <f>SUM(C14:G14)</f>
        <v>41.934699340649807</v>
      </c>
    </row>
    <row r="15" spans="1:9" ht="36.75" thickBot="1">
      <c r="B15" s="70" t="s">
        <v>88</v>
      </c>
      <c r="C15" s="88">
        <f>Summary!S7</f>
        <v>2.3329243179864437E-3</v>
      </c>
      <c r="D15" s="88">
        <f>Summary!T7</f>
        <v>1.0263042389677249E-2</v>
      </c>
      <c r="E15" s="88">
        <f>Summary!U7</f>
        <v>8.5853417463455095E-3</v>
      </c>
      <c r="F15" s="88">
        <f>Summary!V7</f>
        <v>1.4912592583845467E-2</v>
      </c>
      <c r="G15" s="88">
        <f>Summary!W7</f>
        <v>4.7022303049852852E-3</v>
      </c>
      <c r="H15" s="88">
        <f>Summary!X7</f>
        <v>8.280866825977052E-3</v>
      </c>
    </row>
    <row r="17" spans="1:8" ht="15.75" thickBot="1">
      <c r="A17" t="s">
        <v>89</v>
      </c>
    </row>
    <row r="18" spans="1:8" ht="24.75" thickBot="1">
      <c r="B18" s="73" t="s">
        <v>85</v>
      </c>
      <c r="C18" s="57" t="s">
        <v>71</v>
      </c>
      <c r="D18" s="57" t="s">
        <v>72</v>
      </c>
      <c r="E18" s="57" t="s">
        <v>73</v>
      </c>
      <c r="F18" s="57" t="s">
        <v>74</v>
      </c>
      <c r="G18" s="57" t="s">
        <v>75</v>
      </c>
      <c r="H18" s="57" t="s">
        <v>76</v>
      </c>
    </row>
    <row r="19" spans="1:8" ht="49.5" thickTop="1" thickBot="1">
      <c r="B19" s="70" t="s">
        <v>90</v>
      </c>
      <c r="C19" s="76">
        <f>Summary!S9</f>
        <v>1001.7</v>
      </c>
      <c r="D19" s="76">
        <f>Summary!T9</f>
        <v>1006.8</v>
      </c>
      <c r="E19" s="76">
        <f>Summary!U9</f>
        <v>1007.6</v>
      </c>
      <c r="F19" s="76">
        <f>Summary!V9</f>
        <v>1014.6</v>
      </c>
      <c r="G19" s="76">
        <f>Summary!W9</f>
        <v>1021.7</v>
      </c>
      <c r="H19" s="77">
        <f>SUM(C19:G19)</f>
        <v>5052.3999999999996</v>
      </c>
    </row>
    <row r="20" spans="1:8" ht="48.75" thickBot="1">
      <c r="B20" s="72" t="s">
        <v>91</v>
      </c>
      <c r="C20" s="74" t="s">
        <v>92</v>
      </c>
      <c r="D20" s="74" t="s">
        <v>92</v>
      </c>
      <c r="E20" s="75" t="s">
        <v>92</v>
      </c>
      <c r="F20" s="81">
        <v>16.142405812280685</v>
      </c>
      <c r="G20" s="81">
        <v>17.078358859979623</v>
      </c>
      <c r="H20" s="82">
        <f>SUM(C20:G20)</f>
        <v>33.220764672260309</v>
      </c>
    </row>
    <row r="21" spans="1:8" ht="48.75" thickBot="1">
      <c r="B21" s="70" t="s">
        <v>93</v>
      </c>
      <c r="C21" s="85">
        <f>SUM(C19:C20)</f>
        <v>1001.7</v>
      </c>
      <c r="D21" s="85">
        <f t="shared" ref="D21:G21" si="7">SUM(D19:D20)</f>
        <v>1006.8</v>
      </c>
      <c r="E21" s="85">
        <f t="shared" si="7"/>
        <v>1007.6</v>
      </c>
      <c r="F21" s="85">
        <f t="shared" si="7"/>
        <v>1030.7424058122806</v>
      </c>
      <c r="G21" s="85">
        <f t="shared" si="7"/>
        <v>1038.7783588599796</v>
      </c>
      <c r="H21" s="85">
        <f>SUM(C21:G21)</f>
        <v>5085.6207646722596</v>
      </c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CCC350595CDC5C468998737D0D5FDE960049408033A4725C44A745EBB3296447FA" ma:contentTypeVersion="" ma:contentTypeDescription="Add a new project document." ma:contentTypeScope="" ma:versionID="b243346d5433c77f78a0db1db0236b06">
  <xsd:schema xmlns:xsd="http://www.w3.org/2001/XMLSchema" xmlns:xs="http://www.w3.org/2001/XMLSchema" xmlns:p="http://schemas.microsoft.com/office/2006/metadata/properties" xmlns:ns2="cfc25ef1-e938-4922-a8dd-51366dd8470d" xmlns:ns3="ead61a4d-304c-4eeb-9618-a221775463e1" xmlns:ns4="34ef555c-1bb9-447c-bbad-700994fee346" targetNamespace="http://schemas.microsoft.com/office/2006/metadata/properties" ma:root="true" ma:fieldsID="4e2da8c58e40837592366218bc87b672" ns2:_="" ns3:_="" ns4:_="">
    <xsd:import namespace="cfc25ef1-e938-4922-a8dd-51366dd8470d"/>
    <xsd:import namespace="ead61a4d-304c-4eeb-9618-a221775463e1"/>
    <xsd:import namespace="34ef555c-1bb9-447c-bbad-700994fee346"/>
    <xsd:element name="properties">
      <xsd:complexType>
        <xsd:sequence>
          <xsd:element name="documentManagement">
            <xsd:complexType>
              <xsd:all>
                <xsd:element ref="ns2:ProjectPhase" minOccurs="0"/>
                <xsd:element ref="ns3:DocumentOwner" minOccurs="0"/>
                <xsd:element ref="ns4:MediaServiceMetadata" minOccurs="0"/>
                <xsd:element ref="ns4:MediaServiceFastMetadata" minOccurs="0"/>
                <xsd:element ref="ns4:Comment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5ef1-e938-4922-a8dd-51366dd8470d" elementFormDefault="qualified">
    <xsd:import namespace="http://schemas.microsoft.com/office/2006/documentManagement/types"/>
    <xsd:import namespace="http://schemas.microsoft.com/office/infopath/2007/PartnerControls"/>
    <xsd:element name="ProjectPhase" ma:index="8" nillable="true" ma:displayName="Project Phase" ma:default="0. Admin" ma:description="" ma:format="Dropdown" ma:internalName="ProjectPhase">
      <xsd:simpleType>
        <xsd:restriction base="dms:Choice">
          <xsd:enumeration value="0. Admin"/>
          <xsd:enumeration value="1. Identify"/>
          <xsd:enumeration value="2. Define"/>
          <xsd:enumeration value="3. Deliver"/>
          <xsd:enumeration value="4. Close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61a4d-304c-4eeb-9618-a221775463e1" elementFormDefault="qualified">
    <xsd:import namespace="http://schemas.microsoft.com/office/2006/documentManagement/types"/>
    <xsd:import namespace="http://schemas.microsoft.com/office/infopath/2007/PartnerControls"/>
    <xsd:element name="DocumentOwner" ma:index="9" nillable="true" ma:displayName="Document Owner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f555c-1bb9-447c-bbad-700994fee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wner xmlns="ead61a4d-304c-4eeb-9618-a221775463e1">
      <UserInfo>
        <DisplayName/>
        <AccountId xsi:nil="true"/>
        <AccountType/>
      </UserInfo>
    </DocumentOwner>
    <ProjectPhase xmlns="cfc25ef1-e938-4922-a8dd-51366dd8470d">0. Admin</ProjectPhase>
    <Comments xmlns="34ef555c-1bb9-447c-bbad-700994fee346" xsi:nil="true"/>
    <SharedWithUsers xmlns="cfc25ef1-e938-4922-a8dd-51366dd8470d">
      <UserInfo>
        <DisplayName>Paul Sonego</DisplayName>
        <AccountId>5054</AccountId>
        <AccountType/>
      </UserInfo>
      <UserInfo>
        <DisplayName>David Weatherley</DisplayName>
        <AccountId>2178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B0F0BA9-7592-491F-B92B-FBF51E5B4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E323E-D00B-4BAC-8489-9CC29A7E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5ef1-e938-4922-a8dd-51366dd8470d"/>
    <ds:schemaRef ds:uri="ead61a4d-304c-4eeb-9618-a221775463e1"/>
    <ds:schemaRef ds:uri="34ef555c-1bb9-447c-bbad-700994fee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B8751F-C9FD-4C16-B885-CF102A50D44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fc25ef1-e938-4922-a8dd-51366dd8470d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34ef555c-1bb9-447c-bbad-700994fee346"/>
    <ds:schemaRef ds:uri="ead61a4d-304c-4eeb-9618-a221775463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Property</vt:lpstr>
      <vt:lpstr>Cyber-data combined</vt:lpstr>
      <vt:lpstr>Inflators Electricity</vt:lpstr>
      <vt:lpstr>Tables for application</vt:lpstr>
      <vt:lpstr>'Inflators Electricity'!Print_Area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Mary-Clare Crowley</dc:creator>
  <cp:keywords/>
  <dc:description/>
  <cp:lastModifiedBy>Mary-Clare Crowley</cp:lastModifiedBy>
  <cp:revision/>
  <dcterms:created xsi:type="dcterms:W3CDTF">2020-07-29T11:05:34Z</dcterms:created>
  <dcterms:modified xsi:type="dcterms:W3CDTF">2021-09-27T08:43:16Z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0x010100CCC350595CDC5C468998737D0D5FDE960049408033A4725C44A745EBB3296447FA</vt:lpwstr>
  </property>
  <property fmtid="{D5CDD505-2E9C-101B-9397-08002B2CF9AE}" pid="3" name="Order">
    <vt:r8>54400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