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19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ass Through Application\combined bushfire and licence info\QA\Bushfire docs to Deloitte\"/>
    </mc:Choice>
  </mc:AlternateContent>
  <xr:revisionPtr revIDLastSave="0" documentId="13_ncr:1_{75E2E50A-9F34-422B-A970-F28845336A36}" xr6:coauthVersionLast="47" xr6:coauthVersionMax="47" xr10:uidLastSave="{00000000-0000-0000-0000-000000000000}"/>
  <bookViews>
    <workbookView xWindow="-120" yWindow="-120" windowWidth="29040" windowHeight="15840" tabRatio="723" xr2:uid="{0A694395-6FFF-4EFB-B01A-9AB97D4DF4C8}"/>
  </bookViews>
  <sheets>
    <sheet name="Summary" sheetId="3" r:id="rId1"/>
    <sheet name="Inflators Electricity" sheetId="2" r:id="rId2"/>
    <sheet name="Tables for document" sheetId="4" r:id="rId3"/>
  </sheets>
  <externalReferences>
    <externalReference r:id="rId4"/>
    <externalReference r:id="rId5"/>
  </externalReferences>
  <definedNames>
    <definedName name="_xlnm.Print_Area" localSheetId="1">'Inflators Electricity'!$A$1:$S$23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" i="4" l="1"/>
  <c r="F7" i="4"/>
  <c r="G6" i="4"/>
  <c r="G4" i="4"/>
  <c r="F4" i="4"/>
  <c r="G3" i="4"/>
  <c r="F3" i="4"/>
  <c r="E3" i="4"/>
  <c r="C6" i="4"/>
  <c r="C4" i="4"/>
  <c r="C3" i="4"/>
  <c r="C1" i="4"/>
  <c r="F5" i="3"/>
  <c r="F15" i="3" s="1"/>
  <c r="N14" i="3" s="1"/>
  <c r="N21" i="3" s="1"/>
  <c r="E5" i="3"/>
  <c r="D5" i="3"/>
  <c r="C5" i="3"/>
  <c r="F4" i="3"/>
  <c r="F14" i="3" s="1"/>
  <c r="N13" i="3" s="1"/>
  <c r="N20" i="3" s="1"/>
  <c r="E4" i="3"/>
  <c r="D4" i="3"/>
  <c r="C4" i="3"/>
  <c r="B5" i="3"/>
  <c r="B4" i="3"/>
  <c r="H20" i="4" l="1"/>
  <c r="D22" i="4"/>
  <c r="E22" i="4"/>
  <c r="C22" i="4"/>
  <c r="G21" i="4"/>
  <c r="G22" i="4" s="1"/>
  <c r="F21" i="4"/>
  <c r="H21" i="4" s="1"/>
  <c r="D20" i="4"/>
  <c r="E20" i="4"/>
  <c r="F20" i="4"/>
  <c r="G20" i="4"/>
  <c r="C20" i="4"/>
  <c r="W9" i="3"/>
  <c r="D14" i="4"/>
  <c r="E14" i="4"/>
  <c r="F14" i="4"/>
  <c r="G14" i="4"/>
  <c r="C14" i="4"/>
  <c r="G8" i="4"/>
  <c r="F5" i="4"/>
  <c r="G5" i="4"/>
  <c r="G9" i="4" l="1"/>
  <c r="F22" i="4"/>
  <c r="H22" i="4" s="1"/>
  <c r="C13" i="3" l="1"/>
  <c r="C12" i="3" l="1"/>
  <c r="I14" i="3" l="1"/>
  <c r="I21" i="3" s="1"/>
  <c r="A15" i="3"/>
  <c r="I13" i="3"/>
  <c r="I20" i="3" s="1"/>
  <c r="A14" i="3"/>
  <c r="W4" i="3" l="1"/>
  <c r="H14" i="4" s="1"/>
  <c r="N6" i="3" l="1"/>
  <c r="N15" i="3" l="1"/>
  <c r="N22" i="3" l="1"/>
  <c r="V6" i="3" s="1"/>
  <c r="G15" i="4" s="1"/>
  <c r="V7" i="3" l="1"/>
  <c r="G16" i="4" s="1"/>
  <c r="B15" i="3" l="1"/>
  <c r="J14" i="3" s="1"/>
  <c r="J5" i="3"/>
  <c r="J21" i="3" l="1"/>
  <c r="B14" i="3" l="1"/>
  <c r="J4" i="3"/>
  <c r="B6" i="3"/>
  <c r="J13" i="3" l="1"/>
  <c r="B16" i="3"/>
  <c r="J6" i="3"/>
  <c r="J20" i="3" l="1"/>
  <c r="J15" i="3"/>
  <c r="J22" i="3" l="1"/>
  <c r="R6" i="3" s="1"/>
  <c r="C15" i="4" s="1"/>
  <c r="P20" i="3"/>
  <c r="R7" i="3" l="1"/>
  <c r="C16" i="4" s="1"/>
  <c r="M5" i="3" l="1"/>
  <c r="E15" i="3"/>
  <c r="M14" i="3" s="1"/>
  <c r="L5" i="3"/>
  <c r="D15" i="3"/>
  <c r="L14" i="3" s="1"/>
  <c r="C15" i="3"/>
  <c r="K14" i="3" s="1"/>
  <c r="K5" i="3"/>
  <c r="G5" i="3"/>
  <c r="G15" i="3" s="1"/>
  <c r="C6" i="3"/>
  <c r="C16" i="3" s="1"/>
  <c r="C14" i="3"/>
  <c r="K13" i="3" s="1"/>
  <c r="K4" i="3"/>
  <c r="O5" i="3" l="1"/>
  <c r="F6" i="3"/>
  <c r="F16" i="3" s="1"/>
  <c r="K6" i="3"/>
  <c r="M21" i="3"/>
  <c r="K15" i="3"/>
  <c r="K20" i="3"/>
  <c r="K21" i="3"/>
  <c r="O14" i="3"/>
  <c r="L21" i="3"/>
  <c r="O21" i="3" l="1"/>
  <c r="M4" i="3"/>
  <c r="M6" i="3" s="1"/>
  <c r="E14" i="3"/>
  <c r="M13" i="3" s="1"/>
  <c r="E6" i="3"/>
  <c r="E16" i="3" s="1"/>
  <c r="D6" i="3"/>
  <c r="D16" i="3" s="1"/>
  <c r="D14" i="3"/>
  <c r="L13" i="3" s="1"/>
  <c r="L4" i="3"/>
  <c r="G4" i="3"/>
  <c r="K22" i="3"/>
  <c r="S6" i="3" s="1"/>
  <c r="D15" i="4" l="1"/>
  <c r="S7" i="3"/>
  <c r="D16" i="4" s="1"/>
  <c r="M15" i="3"/>
  <c r="M20" i="3"/>
  <c r="M22" i="3" s="1"/>
  <c r="U6" i="3" s="1"/>
  <c r="G6" i="3"/>
  <c r="G14" i="3"/>
  <c r="G16" i="3" s="1"/>
  <c r="L6" i="3"/>
  <c r="O4" i="3"/>
  <c r="O6" i="3" s="1"/>
  <c r="L20" i="3"/>
  <c r="L15" i="3"/>
  <c r="O13" i="3"/>
  <c r="O15" i="3" s="1"/>
  <c r="E7" i="4"/>
  <c r="D7" i="4"/>
  <c r="H7" i="4" l="1"/>
  <c r="L22" i="3"/>
  <c r="T6" i="3" s="1"/>
  <c r="O20" i="3"/>
  <c r="O22" i="3" s="1"/>
  <c r="U7" i="3"/>
  <c r="F16" i="4" s="1"/>
  <c r="F15" i="4"/>
  <c r="E15" i="4" l="1"/>
  <c r="T7" i="3"/>
  <c r="E16" i="4" s="1"/>
  <c r="W6" i="3"/>
  <c r="H15" i="4" l="1"/>
  <c r="W7" i="3"/>
  <c r="H16" i="4" s="1"/>
  <c r="F6" i="4" l="1"/>
  <c r="F8" i="4" s="1"/>
  <c r="F9" i="4" s="1"/>
  <c r="E6" i="4" l="1"/>
  <c r="E8" i="4" s="1"/>
  <c r="E4" i="4"/>
  <c r="E5" i="4" s="1"/>
  <c r="E9" i="4" l="1"/>
  <c r="D3" i="4"/>
  <c r="D6" i="4" l="1"/>
  <c r="D8" i="4" s="1"/>
  <c r="D4" i="4"/>
  <c r="D5" i="4"/>
  <c r="H3" i="4"/>
  <c r="D9" i="4" l="1"/>
  <c r="H4" i="4" l="1"/>
  <c r="C5" i="4"/>
  <c r="H5" i="4" s="1"/>
  <c r="C8" i="4"/>
  <c r="H6" i="4"/>
  <c r="C9" i="4" l="1"/>
  <c r="H9" i="4" s="1"/>
  <c r="H8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Catherine Waddell</author>
  </authors>
  <commentList>
    <comment ref="R3" authorId="0" shapeId="0" xr:uid="{61978275-2101-4622-91D2-1BD33F688089}">
      <text>
        <r>
          <rPr>
            <b/>
            <sz val="9"/>
            <color indexed="81"/>
            <rFont val="Tahoma"/>
            <family val="2"/>
          </rPr>
          <t>Catherine Waddell:</t>
        </r>
        <r>
          <rPr>
            <sz val="9"/>
            <color indexed="81"/>
            <rFont val="Tahoma"/>
            <family val="2"/>
          </rPr>
          <t xml:space="preserve">
rate to use to inflate for revised proposal and prices</t>
        </r>
      </text>
    </comment>
  </commentList>
</comments>
</file>

<file path=xl/sharedStrings.xml><?xml version="1.0" encoding="utf-8"?>
<sst xmlns="http://schemas.openxmlformats.org/spreadsheetml/2006/main" count="142" uniqueCount="73">
  <si>
    <t>FY20 uplifted by 1.84%</t>
  </si>
  <si>
    <t>FY21$</t>
  </si>
  <si>
    <t>Materiality</t>
  </si>
  <si>
    <t>PTRM (FY22 ROD update)</t>
  </si>
  <si>
    <t>FY20</t>
  </si>
  <si>
    <t>FY21</t>
  </si>
  <si>
    <t>FY22</t>
  </si>
  <si>
    <t>FY23</t>
  </si>
  <si>
    <t>FY24</t>
  </si>
  <si>
    <t>Total</t>
  </si>
  <si>
    <t>nominal</t>
  </si>
  <si>
    <t>Opex</t>
  </si>
  <si>
    <t>-</t>
  </si>
  <si>
    <t>Unsmoothed revenue requirement - base</t>
  </si>
  <si>
    <t>LEAVE THIS VALUE AS BASE</t>
  </si>
  <si>
    <t>Capex</t>
  </si>
  <si>
    <t>totex impact</t>
  </si>
  <si>
    <t>materiality</t>
  </si>
  <si>
    <t>This goes into PTRM - all capex into distribution lines</t>
  </si>
  <si>
    <t>Smoothed revenue requirement - base</t>
  </si>
  <si>
    <t>Adjusted from FY21$ back to FY19$</t>
  </si>
  <si>
    <t>Adjusted from FY21$ back to FY19$ for PTRM modelling</t>
  </si>
  <si>
    <t>FY19</t>
  </si>
  <si>
    <t>half year of 2.42%</t>
  </si>
  <si>
    <t>Adjusted to nominal for totex revenue comparison</t>
  </si>
  <si>
    <t>Per PTRM model, cell note on PTRM input page Cell E39 (latest draft model on AER website Dec 2020), inputs are assumed to be in end of year terms</t>
  </si>
  <si>
    <t>Final decision PTRM</t>
  </si>
  <si>
    <t>Network CPI's</t>
  </si>
  <si>
    <t>New method, dec on dec (not 4 quarter)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</si>
  <si>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</si>
  <si>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</si>
  <si>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</si>
  <si>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</si>
  <si>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</si>
  <si>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</si>
  <si>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</si>
  <si>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</si>
  <si>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</si>
  <si>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</si>
  <si>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</si>
  <si>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</si>
  <si>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</si>
  <si>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</si>
  <si>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</si>
  <si>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</si>
  <si>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</si>
  <si>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</si>
  <si>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Base year</t>
  </si>
  <si>
    <t>Table 1</t>
  </si>
  <si>
    <t>$M FY21</t>
  </si>
  <si>
    <t>2019-20</t>
  </si>
  <si>
    <t>2020-21</t>
  </si>
  <si>
    <t>2021-22</t>
  </si>
  <si>
    <t>2022-23</t>
  </si>
  <si>
    <t>2023-24</t>
  </si>
  <si>
    <t>2019-24</t>
  </si>
  <si>
    <t>Opex - Vegetation</t>
  </si>
  <si>
    <t>Opex – contractors/other</t>
  </si>
  <si>
    <t>Opex - Total</t>
  </si>
  <si>
    <t>Capex - Asset rectification</t>
  </si>
  <si>
    <t xml:space="preserve">Capex - Network rebuild </t>
  </si>
  <si>
    <t>Capex - total</t>
  </si>
  <si>
    <t>Total costs</t>
  </si>
  <si>
    <t>Numbers may not add due to rounding</t>
  </si>
  <si>
    <t>Table 2</t>
  </si>
  <si>
    <t>$ million, Nominal</t>
  </si>
  <si>
    <t>Approved annual revenue unsmoothed</t>
  </si>
  <si>
    <t>Total bushfire costs</t>
  </si>
  <si>
    <t>Percentage shortfall - totex</t>
  </si>
  <si>
    <t>Tabl 3</t>
  </si>
  <si>
    <t>Approved annual revenue smoothed</t>
  </si>
  <si>
    <t>PLUS 2019-20 bushfires pass through</t>
  </si>
  <si>
    <t>Updated annual revenue smoothed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</si>
</sst>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$&quot;* #,##0.00_-;\-&quot;$&quot;* #,##0.00_-;_-&quot;$&quot;* &quot;-&quot;??_-;_-@_-"/>
    <numFmt numFmtId="43" formatCode="_-* #,##0.00_-;\-* #,##0.00_-;_-* &quot;-&quot;??_-;_-@_-"/>
    <numFmt numFmtId="164" formatCode="0.0%"/>
    <numFmt numFmtId="165" formatCode="_(* #,##0.0000_);_(* \(#,##0.0000\);_(* &quot;-&quot;??_);_(@_)"/>
    <numFmt numFmtId="166" formatCode="_-&quot;$&quot;* #,##0_-;\-&quot;$&quot;* #,##0_-;_-&quot;$&quot;* &quot;-&quot;??_-;_-@_-"/>
    <numFmt numFmtId="167" formatCode="0.0000"/>
    <numFmt numFmtId="168" formatCode="_-* #,##0_-;\-* #,##0_-;_-* &quot;-&quot;??_-;_-@_-"/>
    <numFmt numFmtId="169" formatCode="0.0"/>
    <numFmt numFmtId="170" formatCode="&quot;$&quot;#,##0.0;[Red]\-&quot;$&quot;#,##0.0"/>
    <numFmt numFmtId="171" formatCode="_-* #,##0.0000_-;\-* #,##0.0000_-;_-* &quot;-&quot;??_-;_-@_-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8" tint="-0.499984740745262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 Regular"/>
      <charset val="1"/>
    </font>
    <font>
      <b/>
      <sz val="9"/>
      <color rgb="FFFFFFFF"/>
      <name val="Arial"/>
      <family val="2"/>
    </font>
    <font>
      <sz val="9"/>
      <color rgb="FF000000"/>
      <name val="Arial"/>
      <family val="2"/>
    </font>
    <font>
      <b/>
      <i/>
      <sz val="9"/>
      <color rgb="FF000000"/>
      <name val="Arial"/>
      <family val="2"/>
    </font>
    <font>
      <i/>
      <sz val="9"/>
      <color rgb="FF000000"/>
      <name val="Arial"/>
      <family val="2"/>
    </font>
    <font>
      <b/>
      <sz val="9"/>
      <color rgb="FF000000"/>
      <name val="Arial"/>
      <family val="2"/>
    </font>
    <font>
      <i/>
      <sz val="8"/>
      <color rgb="FF000000"/>
      <name val="Arial"/>
      <family val="2"/>
    </font>
    <font>
      <sz val="9"/>
      <color rgb="FF4D4D4F"/>
      <name val="Arial"/>
      <family val="2"/>
    </font>
    <font>
      <b/>
      <sz val="9"/>
      <color rgb="FF4D4D4F"/>
      <name val="Arial"/>
      <family val="2"/>
    </font>
    <font>
      <sz val="9"/>
      <color rgb="FFFFFFFF"/>
      <name val="Arial"/>
      <family val="2"/>
    </font>
    <font>
      <sz val="9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0FFFF"/>
        <bgColor indexed="64"/>
      </patternFill>
    </fill>
    <fill>
      <patternFill patternType="solid">
        <fgColor rgb="FF006A71"/>
        <bgColor indexed="64"/>
      </patternFill>
    </fill>
    <fill>
      <patternFill patternType="solid">
        <fgColor rgb="FFE6F0F1"/>
        <bgColor indexed="64"/>
      </patternFill>
    </fill>
    <fill>
      <patternFill patternType="solid">
        <fgColor rgb="FFBFDADC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808080"/>
      </left>
      <right/>
      <top style="thin">
        <color rgb="FF808080"/>
      </top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9">
    <xf numFmtId="0" fontId="0" fillId="0" borderId="0" xfId="0"/>
    <xf numFmtId="164" fontId="0" fillId="0" borderId="0" xfId="1" applyNumberFormat="1" applyFont="1"/>
    <xf numFmtId="10" fontId="0" fillId="0" borderId="0" xfId="1" applyNumberFormat="1" applyFont="1"/>
    <xf numFmtId="0" fontId="2" fillId="0" borderId="0" xfId="0" applyFont="1"/>
    <xf numFmtId="0" fontId="4" fillId="0" borderId="0" xfId="3" applyFont="1"/>
    <xf numFmtId="0" fontId="3" fillId="0" borderId="0" xfId="3"/>
    <xf numFmtId="0" fontId="3" fillId="2" borderId="0" xfId="3" applyFill="1"/>
    <xf numFmtId="10" fontId="3" fillId="0" borderId="0" xfId="3" applyNumberFormat="1"/>
    <xf numFmtId="0" fontId="5" fillId="0" borderId="0" xfId="3" applyFont="1"/>
    <xf numFmtId="0" fontId="3" fillId="0" borderId="1" xfId="3" applyBorder="1" applyAlignment="1">
      <alignment horizontal="center"/>
    </xf>
    <xf numFmtId="0" fontId="3" fillId="0" borderId="2" xfId="3" applyBorder="1" applyAlignment="1">
      <alignment horizontal="center"/>
    </xf>
    <xf numFmtId="10" fontId="0" fillId="0" borderId="3" xfId="4" applyNumberFormat="1" applyFont="1" applyBorder="1"/>
    <xf numFmtId="10" fontId="4" fillId="0" borderId="1" xfId="4" applyNumberFormat="1" applyFont="1" applyBorder="1"/>
    <xf numFmtId="10" fontId="4" fillId="0" borderId="0" xfId="4" applyNumberFormat="1" applyFont="1" applyBorder="1"/>
    <xf numFmtId="10" fontId="4" fillId="2" borderId="0" xfId="4" applyNumberFormat="1" applyFont="1" applyFill="1" applyBorder="1"/>
    <xf numFmtId="0" fontId="3" fillId="0" borderId="3" xfId="3" applyBorder="1" applyAlignment="1">
      <alignment horizontal="center"/>
    </xf>
    <xf numFmtId="165" fontId="0" fillId="0" borderId="3" xfId="5" applyNumberFormat="1" applyFont="1" applyBorder="1"/>
    <xf numFmtId="165" fontId="0" fillId="0" borderId="0" xfId="5" applyNumberFormat="1" applyFont="1" applyBorder="1"/>
    <xf numFmtId="10" fontId="3" fillId="0" borderId="3" xfId="3" applyNumberFormat="1" applyBorder="1"/>
    <xf numFmtId="0" fontId="3" fillId="0" borderId="3" xfId="3" applyBorder="1"/>
    <xf numFmtId="165" fontId="3" fillId="0" borderId="0" xfId="3" applyNumberFormat="1"/>
    <xf numFmtId="0" fontId="3" fillId="0" borderId="4" xfId="3" applyBorder="1" applyAlignment="1">
      <alignment horizontal="center"/>
    </xf>
    <xf numFmtId="44" fontId="0" fillId="0" borderId="0" xfId="2" applyFont="1"/>
    <xf numFmtId="166" fontId="0" fillId="0" borderId="0" xfId="2" applyNumberFormat="1" applyFont="1"/>
    <xf numFmtId="167" fontId="0" fillId="0" borderId="0" xfId="0" applyNumberFormat="1"/>
    <xf numFmtId="167" fontId="0" fillId="0" borderId="0" xfId="2" applyNumberFormat="1" applyFont="1"/>
    <xf numFmtId="44" fontId="0" fillId="0" borderId="0" xfId="0" applyNumberFormat="1"/>
    <xf numFmtId="0" fontId="0" fillId="0" borderId="2" xfId="0" applyBorder="1"/>
    <xf numFmtId="44" fontId="0" fillId="0" borderId="2" xfId="2" applyFont="1" applyBorder="1"/>
    <xf numFmtId="166" fontId="0" fillId="0" borderId="2" xfId="2" applyNumberFormat="1" applyFont="1" applyBorder="1"/>
    <xf numFmtId="0" fontId="0" fillId="3" borderId="0" xfId="0" applyFill="1"/>
    <xf numFmtId="0" fontId="0" fillId="0" borderId="0" xfId="0" applyFill="1"/>
    <xf numFmtId="0" fontId="0" fillId="4" borderId="0" xfId="0" applyFill="1"/>
    <xf numFmtId="44" fontId="0" fillId="4" borderId="0" xfId="2" applyFont="1" applyFill="1"/>
    <xf numFmtId="44" fontId="0" fillId="0" borderId="0" xfId="2" applyFont="1" applyFill="1"/>
    <xf numFmtId="44" fontId="0" fillId="0" borderId="2" xfId="2" applyFont="1" applyFill="1" applyBorder="1"/>
    <xf numFmtId="0" fontId="0" fillId="5" borderId="0" xfId="0" applyFill="1"/>
    <xf numFmtId="167" fontId="8" fillId="6" borderId="5" xfId="0" applyNumberFormat="1" applyFont="1" applyFill="1" applyBorder="1" applyAlignment="1">
      <alignment wrapText="1"/>
    </xf>
    <xf numFmtId="168" fontId="0" fillId="0" borderId="0" xfId="6" applyNumberFormat="1" applyFont="1"/>
    <xf numFmtId="169" fontId="0" fillId="5" borderId="0" xfId="0" applyNumberFormat="1" applyFill="1"/>
    <xf numFmtId="169" fontId="0" fillId="0" borderId="0" xfId="0" applyNumberFormat="1"/>
    <xf numFmtId="0" fontId="9" fillId="7" borderId="6" xfId="0" applyFont="1" applyFill="1" applyBorder="1" applyAlignment="1">
      <alignment vertical="center" wrapText="1"/>
    </xf>
    <xf numFmtId="0" fontId="9" fillId="7" borderId="7" xfId="0" applyFont="1" applyFill="1" applyBorder="1" applyAlignment="1">
      <alignment horizontal="center" vertical="center" wrapText="1"/>
    </xf>
    <xf numFmtId="0" fontId="10" fillId="8" borderId="8" xfId="0" applyFont="1" applyFill="1" applyBorder="1" applyAlignment="1">
      <alignment vertical="center" wrapText="1"/>
    </xf>
    <xf numFmtId="0" fontId="10" fillId="9" borderId="8" xfId="0" applyFont="1" applyFill="1" applyBorder="1" applyAlignment="1">
      <alignment vertical="center" wrapText="1"/>
    </xf>
    <xf numFmtId="0" fontId="10" fillId="9" borderId="9" xfId="0" applyFont="1" applyFill="1" applyBorder="1" applyAlignment="1">
      <alignment horizontal="center" vertical="center" wrapText="1"/>
    </xf>
    <xf numFmtId="0" fontId="11" fillId="8" borderId="8" xfId="0" applyFont="1" applyFill="1" applyBorder="1" applyAlignment="1">
      <alignment vertical="center" wrapText="1"/>
    </xf>
    <xf numFmtId="0" fontId="11" fillId="9" borderId="8" xfId="0" applyFont="1" applyFill="1" applyBorder="1" applyAlignment="1">
      <alignment vertical="center" wrapText="1"/>
    </xf>
    <xf numFmtId="0" fontId="13" fillId="8" borderId="8" xfId="0" applyFont="1" applyFill="1" applyBorder="1" applyAlignment="1">
      <alignment vertical="center" wrapText="1"/>
    </xf>
    <xf numFmtId="170" fontId="10" fillId="8" borderId="9" xfId="0" applyNumberFormat="1" applyFont="1" applyFill="1" applyBorder="1" applyAlignment="1">
      <alignment horizontal="center" vertical="center" wrapText="1"/>
    </xf>
    <xf numFmtId="170" fontId="10" fillId="9" borderId="9" xfId="0" applyNumberFormat="1" applyFont="1" applyFill="1" applyBorder="1" applyAlignment="1">
      <alignment horizontal="center" vertical="center" wrapText="1"/>
    </xf>
    <xf numFmtId="170" fontId="12" fillId="8" borderId="9" xfId="0" applyNumberFormat="1" applyFont="1" applyFill="1" applyBorder="1" applyAlignment="1">
      <alignment horizontal="center" vertical="center" wrapText="1"/>
    </xf>
    <xf numFmtId="170" fontId="11" fillId="8" borderId="9" xfId="0" applyNumberFormat="1" applyFont="1" applyFill="1" applyBorder="1" applyAlignment="1">
      <alignment horizontal="center" vertical="center" wrapText="1"/>
    </xf>
    <xf numFmtId="170" fontId="12" fillId="9" borderId="9" xfId="0" applyNumberFormat="1" applyFont="1" applyFill="1" applyBorder="1" applyAlignment="1">
      <alignment horizontal="center" vertical="center" wrapText="1"/>
    </xf>
    <xf numFmtId="170" fontId="11" fillId="9" borderId="9" xfId="0" applyNumberFormat="1" applyFont="1" applyFill="1" applyBorder="1" applyAlignment="1">
      <alignment horizontal="center" vertical="center" wrapText="1"/>
    </xf>
    <xf numFmtId="170" fontId="13" fillId="8" borderId="9" xfId="0" applyNumberFormat="1" applyFont="1" applyFill="1" applyBorder="1" applyAlignment="1">
      <alignment horizontal="center" vertical="center" wrapText="1"/>
    </xf>
    <xf numFmtId="0" fontId="13" fillId="9" borderId="8" xfId="0" applyFont="1" applyFill="1" applyBorder="1" applyAlignment="1">
      <alignment vertical="center" wrapText="1"/>
    </xf>
    <xf numFmtId="0" fontId="15" fillId="9" borderId="9" xfId="0" applyFont="1" applyFill="1" applyBorder="1" applyAlignment="1">
      <alignment horizontal="center" vertical="center" wrapText="1"/>
    </xf>
    <xf numFmtId="169" fontId="15" fillId="9" borderId="9" xfId="0" applyNumberFormat="1" applyFont="1" applyFill="1" applyBorder="1" applyAlignment="1">
      <alignment horizontal="center" vertical="center" wrapText="1"/>
    </xf>
    <xf numFmtId="169" fontId="16" fillId="9" borderId="9" xfId="0" applyNumberFormat="1" applyFont="1" applyFill="1" applyBorder="1" applyAlignment="1">
      <alignment horizontal="center" vertical="center" wrapText="1"/>
    </xf>
    <xf numFmtId="164" fontId="16" fillId="8" borderId="9" xfId="0" applyNumberFormat="1" applyFont="1" applyFill="1" applyBorder="1" applyAlignment="1">
      <alignment horizontal="center" vertical="center" wrapText="1"/>
    </xf>
    <xf numFmtId="0" fontId="17" fillId="7" borderId="6" xfId="0" applyFont="1" applyFill="1" applyBorder="1" applyAlignment="1">
      <alignment vertical="center" wrapText="1"/>
    </xf>
    <xf numFmtId="170" fontId="13" fillId="9" borderId="9" xfId="0" applyNumberFormat="1" applyFont="1" applyFill="1" applyBorder="1" applyAlignment="1">
      <alignment horizontal="center" vertical="center" wrapText="1"/>
    </xf>
    <xf numFmtId="170" fontId="16" fillId="8" borderId="9" xfId="0" applyNumberFormat="1" applyFont="1" applyFill="1" applyBorder="1" applyAlignment="1">
      <alignment horizontal="center" vertical="center" wrapText="1"/>
    </xf>
    <xf numFmtId="171" fontId="0" fillId="0" borderId="0" xfId="6" applyNumberFormat="1" applyFont="1"/>
    <xf numFmtId="170" fontId="18" fillId="8" borderId="9" xfId="0" applyNumberFormat="1" applyFont="1" applyFill="1" applyBorder="1" applyAlignment="1">
      <alignment horizontal="center" vertical="center" wrapText="1"/>
    </xf>
    <xf numFmtId="0" fontId="14" fillId="0" borderId="10" xfId="0" applyFont="1" applyBorder="1" applyAlignment="1">
      <alignment vertical="center" wrapText="1"/>
    </xf>
    <xf numFmtId="0" fontId="14" fillId="0" borderId="11" xfId="0" applyFont="1" applyBorder="1" applyAlignment="1">
      <alignment vertical="center" wrapText="1"/>
    </xf>
    <xf numFmtId="0" fontId="14" fillId="0" borderId="12" xfId="0" applyFont="1" applyBorder="1" applyAlignment="1">
      <alignment vertical="center" wrapText="1"/>
    </xf>
  </cellXfs>
  <cellStyles count="7">
    <cellStyle name="Comma" xfId="6" builtinId="3"/>
    <cellStyle name="Comma 2" xfId="5" xr:uid="{6D17F914-3268-494B-ABFE-C65870612AEA}"/>
    <cellStyle name="Currency" xfId="2" builtinId="4"/>
    <cellStyle name="Normal" xfId="0" builtinId="0"/>
    <cellStyle name="Normal 2" xfId="3" xr:uid="{045C88CC-7C3D-43B0-B2BF-B7247ACEE13A}"/>
    <cellStyle name="Percent" xfId="1" builtinId="5"/>
    <cellStyle name="Percent 2" xfId="4" xr:uid="{D519D859-FCFC-4003-8E8A-45AD7E9749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2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Network CPI History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(year applied to)</a:t>
            </a:r>
          </a:p>
        </c:rich>
      </c:tx>
      <c:layout>
        <c:manualLayout>
          <c:xMode val="edge"/>
          <c:yMode val="edge"/>
          <c:x val="0.36358423338675583"/>
          <c:y val="2.8776865525261298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</c:spPr>
          <c:invertIfNegative val="0"/>
          <c:cat>
            <c:strRef>
              <c:f>'Inflators Electricity'!$C$4:$N$4</c:f>
              <c:strCache>
                <c:ptCount val="12"/>
                <c:pt idx="0">
                  <c:v>2004/05</c:v>
                </c:pt>
                <c:pt idx="1">
                  <c:v>2005/06</c:v>
                </c:pt>
                <c:pt idx="2">
                  <c:v>2006/07</c:v>
                </c:pt>
                <c:pt idx="3">
                  <c:v>2007/08</c:v>
                </c:pt>
                <c:pt idx="4">
                  <c:v>2008/09</c:v>
                </c:pt>
                <c:pt idx="5">
                  <c:v>2009/10</c:v>
                </c:pt>
                <c:pt idx="6">
                  <c:v>2010/11</c:v>
                </c:pt>
                <c:pt idx="7">
                  <c:v>2011/12</c:v>
                </c:pt>
                <c:pt idx="8">
                  <c:v>2012/13</c:v>
                </c:pt>
                <c:pt idx="9">
                  <c:v>2013/14</c:v>
                </c:pt>
                <c:pt idx="10">
                  <c:v>2014/15</c:v>
                </c:pt>
                <c:pt idx="11">
                  <c:v>2015/16</c:v>
                </c:pt>
              </c:strCache>
            </c:strRef>
          </c:cat>
          <c:val>
            <c:numRef>
              <c:f>'Inflators Electricity'!$C$5:$N$5</c:f>
              <c:numCache>
                <c:formatCode>0.00%</c:formatCode>
                <c:ptCount val="12"/>
                <c:pt idx="0">
                  <c:v>2.7699999999999999E-2</c:v>
                </c:pt>
                <c:pt idx="1">
                  <c:v>2.3400000000000001E-2</c:v>
                </c:pt>
                <c:pt idx="2">
                  <c:v>2.6700000000000002E-2</c:v>
                </c:pt>
                <c:pt idx="3">
                  <c:v>3.5400000000000001E-2</c:v>
                </c:pt>
                <c:pt idx="4">
                  <c:v>2.3300000000000001E-2</c:v>
                </c:pt>
                <c:pt idx="5">
                  <c:v>4.3499999999999997E-2</c:v>
                </c:pt>
                <c:pt idx="6">
                  <c:v>1.8200000000000001E-2</c:v>
                </c:pt>
                <c:pt idx="7">
                  <c:v>2.8500000000000001E-2</c:v>
                </c:pt>
                <c:pt idx="8">
                  <c:v>3.39E-2</c:v>
                </c:pt>
                <c:pt idx="9">
                  <c:v>1.7600000000000001E-2</c:v>
                </c:pt>
                <c:pt idx="10">
                  <c:v>2.4500000000000001E-2</c:v>
                </c:pt>
                <c:pt idx="11">
                  <c:v>2.4879227053139941E-2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F5-4063-B2B1-C4DAD9FD5A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3107400"/>
        <c:axId val="1"/>
      </c:barChart>
      <c:catAx>
        <c:axId val="603107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-174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03107400"/>
        <c:crosses val="autoZero"/>
        <c:crossBetween val="between"/>
      </c:valAx>
    </c:plotArea>
    <c:plotVisOnly val="1"/>
    <c:dispBlanksAs val="gap"/>
    <c:showDLblsOverMax val="0"/>
  </c:chart>
  <c:spPr>
    <a:ln>
      <a:solidFill>
        <a:schemeClr val="accent1"/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695325</xdr:colOff>
      <xdr:row>26</xdr:row>
      <xdr:rowOff>28575</xdr:rowOff>
    </xdr:from>
    <xdr:to>
      <xdr:col>9</xdr:col>
      <xdr:colOff>504825</xdr:colOff>
      <xdr:row>42</xdr:row>
      <xdr:rowOff>114300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793E3B1A-2A7B-4607-A538-074F48C147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b.%20Bushfire%20Cost%20Breakdown%20MASTER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4b.%20Essential%20FD%20PTRM%20-%202021-22%20RoD%20update_bushfires%20recovery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iew by Year - Consol"/>
      <sheetName val="Transactional Pivot"/>
      <sheetName val="Transcation Data"/>
      <sheetName val="Nymboida Invoice Sum"/>
      <sheetName val="Peak Alone Cubramurru Pivot"/>
      <sheetName val="Peak Alone Cabramurru Data"/>
      <sheetName val="Aerial Inspection Task Est"/>
      <sheetName val="Asset Data"/>
      <sheetName val="Bushfire Phasing"/>
      <sheetName val="Bushfire VMA Depot Data"/>
    </sheetNames>
    <sheetDataSet>
      <sheetData sheetId="0">
        <row r="14">
          <cell r="C14">
            <v>684589.78000000026</v>
          </cell>
          <cell r="D14">
            <v>43243213.850000069</v>
          </cell>
          <cell r="E14">
            <v>311623.17999999988</v>
          </cell>
          <cell r="F14">
            <v>1290341.5799999998</v>
          </cell>
        </row>
        <row r="16">
          <cell r="C16">
            <v>10120933.700000394</v>
          </cell>
          <cell r="E16">
            <v>4046980.710000033</v>
          </cell>
        </row>
        <row r="18">
          <cell r="F18">
            <v>290188.49</v>
          </cell>
          <cell r="H18">
            <v>6574449.0099999998</v>
          </cell>
        </row>
        <row r="19">
          <cell r="F19">
            <v>796805.97000000009</v>
          </cell>
        </row>
        <row r="23">
          <cell r="G23">
            <v>1001666</v>
          </cell>
          <cell r="H23">
            <v>8521612.8084717281</v>
          </cell>
          <cell r="I23">
            <v>0</v>
          </cell>
          <cell r="J23">
            <v>101928</v>
          </cell>
          <cell r="K23">
            <v>0</v>
          </cell>
          <cell r="L23">
            <v>0</v>
          </cell>
        </row>
        <row r="26">
          <cell r="G26">
            <v>3952364</v>
          </cell>
          <cell r="I26">
            <v>-84162</v>
          </cell>
          <cell r="K26">
            <v>-67938</v>
          </cell>
        </row>
        <row r="27">
          <cell r="C27">
            <v>10805523.480000395</v>
          </cell>
          <cell r="D27">
            <v>43243213.850000069</v>
          </cell>
          <cell r="E27">
            <v>4358603.8900000332</v>
          </cell>
          <cell r="F27">
            <v>2377336.04</v>
          </cell>
          <cell r="G27">
            <v>4954030</v>
          </cell>
          <cell r="H27">
            <v>8521612.8084717281</v>
          </cell>
          <cell r="I27">
            <v>-84162</v>
          </cell>
          <cell r="J27">
            <v>101928</v>
          </cell>
          <cell r="K27">
            <v>-67938</v>
          </cell>
          <cell r="L27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NRs"/>
      <sheetName val="AER lookups"/>
      <sheetName val="AER ETL"/>
      <sheetName val="Business &amp; other details"/>
      <sheetName val="Intro"/>
      <sheetName val="DMS input"/>
      <sheetName val="Cost pass through"/>
      <sheetName val="PTRM input"/>
      <sheetName val="WACC"/>
      <sheetName val="Assets"/>
      <sheetName val="Analysis"/>
      <sheetName val="Forecast revenues"/>
      <sheetName val="X factors"/>
      <sheetName val="Revenue summary"/>
      <sheetName val="Equity raising costs"/>
      <sheetName val="Chart 1-Revenue"/>
      <sheetName val="Chart 2-Price path"/>
      <sheetName val="Chart 3-Building block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90">
          <cell r="J190">
            <v>16.431063728500931</v>
          </cell>
          <cell r="K190">
            <v>17.383753454708053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27BCB-3BE0-450C-857B-8F93B51B2B26}">
  <dimension ref="A1:Z44"/>
  <sheetViews>
    <sheetView tabSelected="1" zoomScale="112" zoomScaleNormal="112" workbookViewId="0">
      <selection activeCell="T18" sqref="T18"/>
    </sheetView>
  </sheetViews>
  <sheetFormatPr defaultRowHeight="15"/>
  <cols>
    <col min="1" max="1" width="23" bestFit="1" customWidth="1"/>
    <col min="2" max="2" width="15.42578125" customWidth="1"/>
    <col min="3" max="3" width="14.7109375" customWidth="1"/>
    <col min="4" max="4" width="13.42578125" customWidth="1"/>
    <col min="5" max="6" width="12.5703125" customWidth="1"/>
    <col min="7" max="7" width="13.85546875" customWidth="1"/>
    <col min="10" max="10" width="9.42578125" customWidth="1"/>
    <col min="11" max="11" width="8.5703125" customWidth="1"/>
    <col min="12" max="12" width="8.85546875" customWidth="1"/>
    <col min="13" max="13" width="9.28515625" customWidth="1"/>
    <col min="14" max="14" width="8.28515625" customWidth="1"/>
    <col min="15" max="15" width="8.85546875" customWidth="1"/>
    <col min="17" max="17" width="42.42578125" bestFit="1" customWidth="1"/>
  </cols>
  <sheetData>
    <row r="1" spans="1:26">
      <c r="B1" t="s">
        <v>0</v>
      </c>
    </row>
    <row r="2" spans="1:26">
      <c r="B2" t="s">
        <v>1</v>
      </c>
      <c r="I2">
        <v>1000000</v>
      </c>
      <c r="J2" t="s">
        <v>1</v>
      </c>
      <c r="Q2" t="s">
        <v>2</v>
      </c>
      <c r="R2" t="s">
        <v>3</v>
      </c>
    </row>
    <row r="3" spans="1:26">
      <c r="B3" t="s">
        <v>4</v>
      </c>
      <c r="C3" t="s">
        <v>5</v>
      </c>
      <c r="D3" t="s">
        <v>6</v>
      </c>
      <c r="E3" t="s">
        <v>7</v>
      </c>
      <c r="F3" t="s">
        <v>8</v>
      </c>
      <c r="G3" t="s">
        <v>9</v>
      </c>
      <c r="J3" t="s">
        <v>4</v>
      </c>
      <c r="K3" t="s">
        <v>5</v>
      </c>
      <c r="L3" t="s">
        <v>6</v>
      </c>
      <c r="M3" t="s">
        <v>7</v>
      </c>
      <c r="N3" t="s">
        <v>8</v>
      </c>
      <c r="O3" t="s">
        <v>9</v>
      </c>
      <c r="Q3" s="3" t="s">
        <v>10</v>
      </c>
      <c r="R3" t="s">
        <v>4</v>
      </c>
      <c r="S3" t="s">
        <v>5</v>
      </c>
      <c r="T3" t="s">
        <v>6</v>
      </c>
      <c r="U3" t="s">
        <v>7</v>
      </c>
      <c r="V3" t="s">
        <v>8</v>
      </c>
      <c r="W3" t="s">
        <v>9</v>
      </c>
    </row>
    <row r="4" spans="1:26">
      <c r="A4" t="s">
        <v>11</v>
      </c>
      <c r="B4" s="23">
        <f>'[1]View by Year - Consol'!$C$27*(1+'Inflators Electricity'!S5)</f>
        <v>11004398.145276478</v>
      </c>
      <c r="C4" s="23">
        <f>'[1]View by Year - Consol'!$E$27</f>
        <v>4358603.8900000332</v>
      </c>
      <c r="D4" s="23">
        <f>'[1]View by Year - Consol'!$G$27</f>
        <v>4954030</v>
      </c>
      <c r="E4" s="23">
        <f>'[1]View by Year - Consol'!$I$27</f>
        <v>-84162</v>
      </c>
      <c r="F4" s="23">
        <f>'[1]View by Year - Consol'!$K$27</f>
        <v>-67938</v>
      </c>
      <c r="G4" s="23">
        <f>SUM(B4:F4)</f>
        <v>20164932.03527651</v>
      </c>
      <c r="I4" t="s">
        <v>11</v>
      </c>
      <c r="J4" s="22">
        <f t="shared" ref="J4:M5" si="0">(B4)/1000000</f>
        <v>11.004398145276477</v>
      </c>
      <c r="K4" s="22">
        <f t="shared" si="0"/>
        <v>4.3586038900000332</v>
      </c>
      <c r="L4" s="22">
        <f t="shared" si="0"/>
        <v>4.9540300000000004</v>
      </c>
      <c r="M4" s="22">
        <f t="shared" si="0"/>
        <v>-8.4162000000000001E-2</v>
      </c>
      <c r="N4" s="22" t="s">
        <v>12</v>
      </c>
      <c r="O4" s="22">
        <f>SUM(J4:N4)</f>
        <v>20.232870035276513</v>
      </c>
      <c r="Q4" s="36" t="s">
        <v>13</v>
      </c>
      <c r="R4" s="39">
        <v>938.52482729585836</v>
      </c>
      <c r="S4" s="39">
        <v>1003.4502653133604</v>
      </c>
      <c r="T4" s="39">
        <v>1020.3225147586656</v>
      </c>
      <c r="U4" s="39">
        <v>1058.1399130290179</v>
      </c>
      <c r="V4" s="39">
        <v>1043.6054979088728</v>
      </c>
      <c r="W4" s="39">
        <f>SUM(R4:V4)</f>
        <v>5064.0430183057751</v>
      </c>
      <c r="X4" s="36" t="s">
        <v>14</v>
      </c>
      <c r="Y4" s="36"/>
      <c r="Z4" s="36"/>
    </row>
    <row r="5" spans="1:26">
      <c r="A5" t="s">
        <v>15</v>
      </c>
      <c r="B5" s="23">
        <f>'[1]View by Year - Consol'!$D$27*(1+'Inflators Electricity'!S5)</f>
        <v>44039101.221472465</v>
      </c>
      <c r="C5" s="23">
        <f>'[1]View by Year - Consol'!$F$27</f>
        <v>2377336.04</v>
      </c>
      <c r="D5" s="23">
        <f>'[1]View by Year - Consol'!$H$27</f>
        <v>8521612.8084717281</v>
      </c>
      <c r="E5" s="23">
        <f>'[1]View by Year - Consol'!$J$27</f>
        <v>101928</v>
      </c>
      <c r="F5" s="23">
        <f>'[1]View by Year - Consol'!$L$27</f>
        <v>0</v>
      </c>
      <c r="G5" s="23">
        <f>SUM(B5:F5)</f>
        <v>55039978.069944188</v>
      </c>
      <c r="I5" t="s">
        <v>15</v>
      </c>
      <c r="J5" s="22">
        <f t="shared" si="0"/>
        <v>44.039101221472464</v>
      </c>
      <c r="K5" s="22">
        <f t="shared" si="0"/>
        <v>2.3773360399999999</v>
      </c>
      <c r="L5" s="22">
        <f t="shared" si="0"/>
        <v>8.521612808471728</v>
      </c>
      <c r="M5" s="22">
        <f t="shared" si="0"/>
        <v>0.101928</v>
      </c>
      <c r="N5" s="22" t="s">
        <v>12</v>
      </c>
      <c r="O5" s="22">
        <f>SUM(J5:N5)</f>
        <v>55.039978069944198</v>
      </c>
    </row>
    <row r="6" spans="1:26">
      <c r="B6" s="29">
        <f>SUM(B4:B5)</f>
        <v>55043499.366748944</v>
      </c>
      <c r="C6" s="29">
        <f t="shared" ref="C6:F6" si="1">SUM(C4:C5)</f>
        <v>6735939.9300000332</v>
      </c>
      <c r="D6" s="29">
        <f t="shared" si="1"/>
        <v>13475642.808471728</v>
      </c>
      <c r="E6" s="29">
        <f t="shared" si="1"/>
        <v>17766</v>
      </c>
      <c r="F6" s="29">
        <f t="shared" si="1"/>
        <v>-67938</v>
      </c>
      <c r="G6" s="29">
        <f>SUM(G4:G5)</f>
        <v>75204910.105220705</v>
      </c>
      <c r="J6" s="28">
        <f>SUM(J4:J5)</f>
        <v>55.043499366748939</v>
      </c>
      <c r="K6" s="28">
        <f t="shared" ref="K6:N6" si="2">SUM(K4:K5)</f>
        <v>6.7359399300000327</v>
      </c>
      <c r="L6" s="28">
        <f t="shared" si="2"/>
        <v>13.475642808471729</v>
      </c>
      <c r="M6" s="28">
        <f t="shared" si="2"/>
        <v>1.7766000000000004E-2</v>
      </c>
      <c r="N6" s="28">
        <f t="shared" si="2"/>
        <v>0</v>
      </c>
      <c r="O6" s="28">
        <f>SUM(O4:O5)</f>
        <v>75.272848105220703</v>
      </c>
      <c r="Q6" t="s">
        <v>16</v>
      </c>
      <c r="R6" s="40">
        <f>J22</f>
        <v>55.047092699916213</v>
      </c>
      <c r="S6" s="40">
        <f>K22</f>
        <v>6.899728426902608</v>
      </c>
      <c r="T6" s="40">
        <f>L22</f>
        <v>14.138024298300394</v>
      </c>
      <c r="U6" s="40">
        <f>M22</f>
        <v>1.9091248550966569E-2</v>
      </c>
      <c r="V6" s="40">
        <f>N22</f>
        <v>-7.4776110745557581E-2</v>
      </c>
      <c r="W6" s="40">
        <f>SUM(R6:V6)</f>
        <v>76.029160562924616</v>
      </c>
    </row>
    <row r="7" spans="1:26">
      <c r="B7" s="23"/>
      <c r="C7" s="23"/>
      <c r="D7" s="23"/>
      <c r="E7" s="23"/>
      <c r="F7" s="23"/>
      <c r="G7" s="23"/>
      <c r="Q7" t="s">
        <v>17</v>
      </c>
      <c r="R7" s="1">
        <f t="shared" ref="R7:W7" si="3">R6/R4</f>
        <v>5.865278264243861E-2</v>
      </c>
      <c r="S7" s="1">
        <f t="shared" si="3"/>
        <v>6.8760043874700064E-3</v>
      </c>
      <c r="T7" s="1">
        <f t="shared" si="3"/>
        <v>1.3856426858956872E-2</v>
      </c>
      <c r="U7" s="1">
        <f t="shared" si="3"/>
        <v>1.8042272402631713E-5</v>
      </c>
      <c r="V7" s="1">
        <f t="shared" si="3"/>
        <v>-7.1651702578599285E-5</v>
      </c>
      <c r="W7" s="1">
        <f t="shared" si="3"/>
        <v>1.5013529760329901E-2</v>
      </c>
    </row>
    <row r="8" spans="1:26">
      <c r="B8" s="23"/>
      <c r="C8" s="23"/>
      <c r="D8" s="23"/>
      <c r="E8" s="23"/>
      <c r="F8" s="23"/>
      <c r="G8" s="23"/>
    </row>
    <row r="9" spans="1:26">
      <c r="B9" s="23"/>
      <c r="C9" s="23"/>
      <c r="D9" s="23"/>
      <c r="E9" s="23"/>
      <c r="F9" s="23"/>
      <c r="G9" s="23"/>
      <c r="I9" s="32" t="s">
        <v>18</v>
      </c>
      <c r="J9" s="32"/>
      <c r="K9" s="32"/>
      <c r="L9" s="32"/>
      <c r="M9" s="32"/>
      <c r="N9" s="32"/>
      <c r="Q9" s="36" t="s">
        <v>19</v>
      </c>
      <c r="R9" s="39">
        <v>1001.7290087315907</v>
      </c>
      <c r="S9" s="39">
        <v>1006.787119803775</v>
      </c>
      <c r="T9" s="39">
        <v>1007.5642267687042</v>
      </c>
      <c r="U9" s="39">
        <v>1014.6182072981685</v>
      </c>
      <c r="V9" s="39">
        <v>1021.7215729089885</v>
      </c>
      <c r="W9" s="39">
        <f>SUM(R9:V9)</f>
        <v>5052.4201355112264</v>
      </c>
      <c r="X9" s="36" t="s">
        <v>14</v>
      </c>
      <c r="Y9" s="36"/>
      <c r="Z9" s="36"/>
    </row>
    <row r="10" spans="1:26">
      <c r="B10" s="23" t="s">
        <v>20</v>
      </c>
      <c r="C10" s="23"/>
      <c r="D10" s="23"/>
      <c r="E10" s="23"/>
      <c r="F10" s="23"/>
      <c r="G10" s="23"/>
      <c r="J10" t="s">
        <v>21</v>
      </c>
    </row>
    <row r="11" spans="1:26">
      <c r="A11" t="s">
        <v>22</v>
      </c>
      <c r="B11" s="23" t="s">
        <v>4</v>
      </c>
      <c r="C11" s="23" t="s">
        <v>5</v>
      </c>
      <c r="D11" s="23" t="s">
        <v>6</v>
      </c>
      <c r="E11" s="23" t="s">
        <v>7</v>
      </c>
      <c r="F11" s="23" t="s">
        <v>8</v>
      </c>
      <c r="G11" s="23"/>
      <c r="I11" s="31" t="s">
        <v>22</v>
      </c>
      <c r="J11" s="32" t="s">
        <v>4</v>
      </c>
      <c r="K11" s="32" t="s">
        <v>5</v>
      </c>
      <c r="L11" s="32" t="s">
        <v>6</v>
      </c>
      <c r="M11" s="32" t="s">
        <v>7</v>
      </c>
      <c r="N11" s="32" t="s">
        <v>8</v>
      </c>
      <c r="O11" s="31"/>
    </row>
    <row r="12" spans="1:26">
      <c r="A12" s="24"/>
      <c r="B12" s="25"/>
      <c r="C12" s="25">
        <f>1/'Inflators Electricity'!S20</f>
        <v>0.96471600688468151</v>
      </c>
      <c r="D12" s="23"/>
      <c r="E12" s="23"/>
      <c r="F12" s="23"/>
      <c r="G12" s="23"/>
      <c r="I12" s="31"/>
      <c r="J12" s="32"/>
      <c r="K12" s="32"/>
      <c r="L12" s="32"/>
      <c r="M12" s="32"/>
      <c r="N12" s="32"/>
      <c r="O12" s="31"/>
    </row>
    <row r="13" spans="1:26">
      <c r="A13" s="24" t="s">
        <v>23</v>
      </c>
      <c r="B13" s="25"/>
      <c r="C13" s="25">
        <f>H26/2+1</f>
        <v>1.0121</v>
      </c>
      <c r="D13" s="23"/>
      <c r="E13" s="23"/>
      <c r="F13" s="23"/>
      <c r="G13" s="23"/>
      <c r="I13" s="31" t="str">
        <f>I4</f>
        <v>Opex</v>
      </c>
      <c r="J13" s="33">
        <f t="shared" ref="J13:N14" si="4">(B14)/1000000</f>
        <v>10.74457407722657</v>
      </c>
      <c r="K13" s="33">
        <f t="shared" si="4"/>
        <v>4.2556932011311419</v>
      </c>
      <c r="L13" s="33">
        <f t="shared" si="4"/>
        <v>4.8370607472659204</v>
      </c>
      <c r="M13" s="33">
        <f t="shared" si="4"/>
        <v>-8.2174856957142856E-2</v>
      </c>
      <c r="N13" s="33">
        <f t="shared" si="4"/>
        <v>-6.633392067624784E-2</v>
      </c>
      <c r="O13" s="34">
        <f>SUM(J13:N13)</f>
        <v>19.688819247990242</v>
      </c>
    </row>
    <row r="14" spans="1:26">
      <c r="A14" t="str">
        <f>A4</f>
        <v>Opex</v>
      </c>
      <c r="B14" s="23">
        <f t="shared" ref="B14:F15" si="5">B4*$C$12*$C$13</f>
        <v>10744574.07722657</v>
      </c>
      <c r="C14" s="23">
        <f t="shared" si="5"/>
        <v>4255693.2011311417</v>
      </c>
      <c r="D14" s="23">
        <f t="shared" si="5"/>
        <v>4837060.74726592</v>
      </c>
      <c r="E14" s="23">
        <f t="shared" si="5"/>
        <v>-82174.856957142852</v>
      </c>
      <c r="F14" s="23">
        <f>F4*$C$12*$C$13</f>
        <v>-66333.920676247842</v>
      </c>
      <c r="G14" s="23">
        <f>G4*$C$12*$C$13</f>
        <v>19688819.247990239</v>
      </c>
      <c r="I14" s="31" t="str">
        <f>I5</f>
        <v>Capex</v>
      </c>
      <c r="J14" s="33">
        <f t="shared" si="4"/>
        <v>42.999297110282967</v>
      </c>
      <c r="K14" s="33">
        <f t="shared" si="4"/>
        <v>2.3212049265233765</v>
      </c>
      <c r="L14" s="33">
        <f t="shared" si="4"/>
        <v>8.3204096098039564</v>
      </c>
      <c r="M14" s="33">
        <f t="shared" si="4"/>
        <v>9.9521385184853692E-2</v>
      </c>
      <c r="N14" s="33">
        <f t="shared" si="4"/>
        <v>0</v>
      </c>
      <c r="O14" s="34">
        <f>SUM(J14:N14)</f>
        <v>53.740433031795156</v>
      </c>
    </row>
    <row r="15" spans="1:26">
      <c r="A15" t="str">
        <f>A5</f>
        <v>Capex</v>
      </c>
      <c r="B15" s="23">
        <f t="shared" si="5"/>
        <v>42999297.110282965</v>
      </c>
      <c r="C15" s="23">
        <f t="shared" si="5"/>
        <v>2321204.9265233767</v>
      </c>
      <c r="D15" s="23">
        <f t="shared" si="5"/>
        <v>8320409.6098039569</v>
      </c>
      <c r="E15" s="23">
        <f t="shared" si="5"/>
        <v>99521.385184853687</v>
      </c>
      <c r="F15" s="23">
        <f t="shared" si="5"/>
        <v>0</v>
      </c>
      <c r="G15" s="23">
        <f>G5*$C$12*$C$13</f>
        <v>53740433.031795144</v>
      </c>
      <c r="I15" s="31"/>
      <c r="J15" s="35">
        <f>SUM(J13:J14)</f>
        <v>53.743871187509541</v>
      </c>
      <c r="K15" s="35">
        <f t="shared" ref="K15:N15" si="6">SUM(K13:K14)</f>
        <v>6.576898127654518</v>
      </c>
      <c r="L15" s="35">
        <f t="shared" si="6"/>
        <v>13.157470357069876</v>
      </c>
      <c r="M15" s="35">
        <f t="shared" si="6"/>
        <v>1.7346528227710836E-2</v>
      </c>
      <c r="N15" s="35">
        <f t="shared" si="6"/>
        <v>-6.633392067624784E-2</v>
      </c>
      <c r="O15" s="35">
        <f>SUM(O13:O14)</f>
        <v>73.429252279785402</v>
      </c>
    </row>
    <row r="16" spans="1:26">
      <c r="B16" s="29">
        <f>SUM(B14:B15)</f>
        <v>53743871.187509537</v>
      </c>
      <c r="C16" s="29">
        <f>C6*$C$12</f>
        <v>6498269.0718847131</v>
      </c>
      <c r="D16" s="29">
        <f>D6*$C$12</f>
        <v>13000168.320393121</v>
      </c>
      <c r="E16" s="29">
        <f>E6*$C$12</f>
        <v>17139.144578313251</v>
      </c>
      <c r="F16" s="29">
        <f>F6*$C$12</f>
        <v>-65540.876075731489</v>
      </c>
      <c r="G16" s="29">
        <f>SUM(G14:G15)</f>
        <v>73429252.27978538</v>
      </c>
    </row>
    <row r="17" spans="2:19">
      <c r="J17" s="2" t="s">
        <v>24</v>
      </c>
      <c r="K17" s="2"/>
      <c r="L17" s="2"/>
      <c r="M17" s="2"/>
      <c r="N17" s="2"/>
      <c r="O17" s="2"/>
    </row>
    <row r="18" spans="2:19">
      <c r="I18" t="s">
        <v>22</v>
      </c>
      <c r="J18" t="s">
        <v>4</v>
      </c>
      <c r="K18" t="s">
        <v>5</v>
      </c>
      <c r="L18" t="s">
        <v>6</v>
      </c>
      <c r="M18" t="s">
        <v>7</v>
      </c>
      <c r="N18" t="s">
        <v>8</v>
      </c>
    </row>
    <row r="19" spans="2:19">
      <c r="J19">
        <v>1.0242487465753967</v>
      </c>
      <c r="K19">
        <v>1.0490854948612711</v>
      </c>
      <c r="L19">
        <v>1.0745245031620867</v>
      </c>
      <c r="M19">
        <v>1.1005803755283181</v>
      </c>
      <c r="N19">
        <v>1.1272680701403592</v>
      </c>
    </row>
    <row r="20" spans="2:19">
      <c r="I20" t="str">
        <f>I13</f>
        <v>Opex</v>
      </c>
      <c r="J20" s="26">
        <f>J13*J19</f>
        <v>11.005116531085813</v>
      </c>
      <c r="K20">
        <f t="shared" ref="K20:N20" si="7">K13*K19</f>
        <v>4.4645860078864112</v>
      </c>
      <c r="L20">
        <f t="shared" si="7"/>
        <v>5.1975402962207449</v>
      </c>
      <c r="M20">
        <f t="shared" si="7"/>
        <v>-9.0440034928878102E-2</v>
      </c>
      <c r="N20">
        <f t="shared" si="7"/>
        <v>-7.4776110745557581E-2</v>
      </c>
      <c r="O20">
        <f>SUM(J20:N20)</f>
        <v>20.502026689518534</v>
      </c>
      <c r="P20" s="26">
        <f>J20*0.5</f>
        <v>5.5025582655429064</v>
      </c>
    </row>
    <row r="21" spans="2:19">
      <c r="C21" s="23"/>
      <c r="I21" t="str">
        <f>I14</f>
        <v>Capex</v>
      </c>
      <c r="J21" s="26">
        <f>J14*J19</f>
        <v>44.041976168830402</v>
      </c>
      <c r="K21">
        <f t="shared" ref="K21:N21" si="8">K14*K19</f>
        <v>2.4351424190161968</v>
      </c>
      <c r="L21">
        <f t="shared" si="8"/>
        <v>8.9404840020796481</v>
      </c>
      <c r="M21">
        <f t="shared" si="8"/>
        <v>0.10953128347984467</v>
      </c>
      <c r="N21">
        <f t="shared" si="8"/>
        <v>0</v>
      </c>
      <c r="O21">
        <f>SUM(J21:N21)</f>
        <v>55.527133873406093</v>
      </c>
    </row>
    <row r="22" spans="2:19">
      <c r="J22" s="27">
        <f>SUM(J20:J21)</f>
        <v>55.047092699916213</v>
      </c>
      <c r="K22" s="27">
        <f t="shared" ref="K22:N22" si="9">SUM(K20:K21)</f>
        <v>6.899728426902608</v>
      </c>
      <c r="L22" s="27">
        <f t="shared" si="9"/>
        <v>14.138024298300394</v>
      </c>
      <c r="M22" s="27">
        <f t="shared" si="9"/>
        <v>1.9091248550966569E-2</v>
      </c>
      <c r="N22" s="27">
        <f t="shared" si="9"/>
        <v>-7.4776110745557581E-2</v>
      </c>
      <c r="O22" s="27">
        <f>SUM(O20:O21)</f>
        <v>76.029160562924631</v>
      </c>
    </row>
    <row r="25" spans="2:19">
      <c r="I25" s="30" t="s">
        <v>25</v>
      </c>
      <c r="J25" s="30"/>
      <c r="K25" s="30"/>
      <c r="L25" s="30"/>
      <c r="M25" s="30"/>
      <c r="N25" s="30"/>
      <c r="O25" s="30"/>
      <c r="P25" s="30"/>
      <c r="Q25" s="30"/>
      <c r="R25" s="30"/>
      <c r="S25" s="30"/>
    </row>
    <row r="26" spans="2:19">
      <c r="F26" t="s">
        <v>26</v>
      </c>
      <c r="H26" s="37">
        <v>2.4199999999999999E-2</v>
      </c>
    </row>
    <row r="27" spans="2:19">
      <c r="H27" s="24"/>
    </row>
    <row r="29" spans="2:19">
      <c r="B29" s="23"/>
      <c r="C29" s="23"/>
      <c r="D29" s="23"/>
      <c r="E29" s="23"/>
      <c r="F29" s="23"/>
    </row>
    <row r="30" spans="2:19">
      <c r="B30" s="38"/>
      <c r="C30" s="38"/>
      <c r="D30" s="38"/>
      <c r="E30" s="38"/>
      <c r="F30" s="38"/>
      <c r="G30" s="38"/>
    </row>
    <row r="31" spans="2:19">
      <c r="B31" s="38"/>
      <c r="C31" s="38"/>
      <c r="D31" s="38"/>
      <c r="E31" s="38"/>
      <c r="F31" s="38"/>
      <c r="G31" s="38"/>
    </row>
    <row r="32" spans="2:19">
      <c r="B32" s="38"/>
      <c r="C32" s="38"/>
      <c r="D32" s="38"/>
      <c r="E32" s="38"/>
      <c r="F32" s="38"/>
      <c r="G32" s="38"/>
    </row>
    <row r="33" spans="1:7">
      <c r="B33" s="38"/>
      <c r="C33" s="38"/>
      <c r="D33" s="38"/>
      <c r="E33" s="38"/>
      <c r="F33" s="38"/>
      <c r="G33" s="38"/>
    </row>
    <row r="34" spans="1:7">
      <c r="B34" s="38"/>
      <c r="C34" s="38"/>
      <c r="D34" s="38"/>
      <c r="E34" s="38"/>
      <c r="F34" s="38"/>
      <c r="G34" s="38"/>
    </row>
    <row r="36" spans="1:7">
      <c r="B36" s="23"/>
      <c r="C36" s="23"/>
      <c r="D36" s="23"/>
      <c r="E36" s="23"/>
      <c r="F36" s="23"/>
      <c r="G36" s="23"/>
    </row>
    <row r="37" spans="1:7">
      <c r="B37" s="23"/>
      <c r="C37" s="23"/>
      <c r="D37" s="23"/>
      <c r="E37" s="23"/>
      <c r="F37" s="23"/>
      <c r="G37" s="23"/>
    </row>
    <row r="38" spans="1:7">
      <c r="A38" s="24"/>
      <c r="B38" s="25"/>
      <c r="C38" s="25"/>
      <c r="D38" s="23"/>
      <c r="E38" s="23"/>
      <c r="F38" s="23"/>
      <c r="G38" s="23"/>
    </row>
    <row r="39" spans="1:7">
      <c r="A39" s="24"/>
      <c r="B39" s="25"/>
      <c r="C39" s="25"/>
      <c r="D39" s="23"/>
      <c r="E39" s="23"/>
      <c r="F39" s="23"/>
      <c r="G39" s="23"/>
    </row>
    <row r="40" spans="1:7">
      <c r="A40" s="24"/>
      <c r="B40" s="23"/>
      <c r="C40" s="23"/>
      <c r="D40" s="23"/>
      <c r="E40" s="23"/>
      <c r="F40" s="23"/>
      <c r="G40" s="23"/>
    </row>
    <row r="41" spans="1:7">
      <c r="A41" s="24"/>
      <c r="B41" s="23"/>
      <c r="C41" s="23"/>
      <c r="D41" s="23"/>
      <c r="E41" s="23"/>
      <c r="F41" s="23"/>
      <c r="G41" s="23"/>
    </row>
    <row r="42" spans="1:7">
      <c r="A42" s="24"/>
      <c r="B42" s="23"/>
      <c r="C42" s="23"/>
      <c r="D42" s="23"/>
      <c r="E42" s="23"/>
      <c r="F42" s="23"/>
      <c r="G42" s="23"/>
    </row>
    <row r="43" spans="1:7">
      <c r="A43" s="24"/>
      <c r="B43" s="23"/>
      <c r="C43" s="23"/>
      <c r="D43" s="23"/>
      <c r="E43" s="23"/>
      <c r="F43" s="23"/>
      <c r="G43" s="23"/>
    </row>
    <row r="44" spans="1:7">
      <c r="B44" s="29"/>
      <c r="C44" s="29"/>
      <c r="D44" s="29"/>
      <c r="E44" s="29"/>
      <c r="F44" s="29"/>
      <c r="G44" s="29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A7622-009F-44F0-9DC3-21162CB062AC}">
  <sheetPr>
    <tabColor theme="9" tint="-0.249977111117893"/>
    <pageSetUpPr fitToPage="1"/>
  </sheetPr>
  <dimension ref="A1:T23"/>
  <sheetViews>
    <sheetView topLeftCell="A4" workbookViewId="0">
      <selection activeCell="U5" sqref="U5"/>
    </sheetView>
  </sheetViews>
  <sheetFormatPr defaultRowHeight="12.75"/>
  <cols>
    <col min="1" max="16384" width="9.140625" style="5"/>
  </cols>
  <sheetData>
    <row r="1" spans="1:20">
      <c r="A1" s="4" t="s">
        <v>27</v>
      </c>
      <c r="R1" s="6" t="s">
        <v>28</v>
      </c>
    </row>
    <row r="3" spans="1:20">
      <c r="C3" s="7"/>
      <c r="D3" s="7"/>
      <c r="E3" s="7"/>
      <c r="F3" s="7"/>
      <c r="G3" s="7"/>
      <c r="H3" s="7"/>
      <c r="I3" s="7"/>
      <c r="J3" s="7"/>
      <c r="K3" s="7"/>
      <c r="L3" s="7"/>
      <c r="R3" s="8">
        <v>2.4248747000000001E-2</v>
      </c>
    </row>
    <row r="4" spans="1:20">
      <c r="B4" s="9"/>
      <c r="C4" s="10" t="s">
        <v>29</v>
      </c>
      <c r="D4" s="10" t="s">
        <v>30</v>
      </c>
      <c r="E4" s="10" t="s">
        <v>31</v>
      </c>
      <c r="F4" s="10" t="s">
        <v>32</v>
      </c>
      <c r="G4" s="10" t="s">
        <v>33</v>
      </c>
      <c r="H4" s="10" t="s">
        <v>34</v>
      </c>
      <c r="I4" s="10" t="s">
        <v>35</v>
      </c>
      <c r="J4" s="10" t="s">
        <v>36</v>
      </c>
      <c r="K4" s="10" t="s">
        <v>37</v>
      </c>
      <c r="L4" s="10" t="s">
        <v>38</v>
      </c>
      <c r="M4" s="10" t="s">
        <v>39</v>
      </c>
      <c r="N4" s="10" t="s">
        <v>40</v>
      </c>
      <c r="O4" s="10" t="s">
        <v>41</v>
      </c>
      <c r="P4" s="10" t="s">
        <v>42</v>
      </c>
      <c r="Q4" s="10" t="s">
        <v>43</v>
      </c>
      <c r="R4" s="10" t="s">
        <v>44</v>
      </c>
      <c r="S4" s="10" t="s">
        <v>45</v>
      </c>
      <c r="T4" s="10" t="s">
        <v>46</v>
      </c>
    </row>
    <row r="5" spans="1:20" ht="15">
      <c r="B5" s="11"/>
      <c r="C5" s="12">
        <v>2.7699999999999999E-2</v>
      </c>
      <c r="D5" s="13">
        <v>2.3400000000000001E-2</v>
      </c>
      <c r="E5" s="13">
        <v>2.6700000000000002E-2</v>
      </c>
      <c r="F5" s="13">
        <v>3.5400000000000001E-2</v>
      </c>
      <c r="G5" s="13">
        <v>2.3300000000000001E-2</v>
      </c>
      <c r="H5" s="13">
        <v>4.3499999999999997E-2</v>
      </c>
      <c r="I5" s="13">
        <v>1.8200000000000001E-2</v>
      </c>
      <c r="J5" s="13">
        <v>2.8500000000000001E-2</v>
      </c>
      <c r="K5" s="13">
        <v>3.39E-2</v>
      </c>
      <c r="L5" s="13">
        <v>1.7600000000000001E-2</v>
      </c>
      <c r="M5" s="13">
        <v>2.4500000000000001E-2</v>
      </c>
      <c r="N5" s="13">
        <v>2.4879227053139941E-2</v>
      </c>
      <c r="O5" s="13">
        <v>1.5083667216592156E-2</v>
      </c>
      <c r="P5" s="13">
        <v>1.2769909449732886E-2</v>
      </c>
      <c r="Q5" s="13">
        <v>1.9486474094452033E-2</v>
      </c>
      <c r="R5" s="14">
        <v>1.7841213202497874E-2</v>
      </c>
      <c r="S5" s="14">
        <v>1.8404907975460238E-2</v>
      </c>
      <c r="T5" s="14">
        <v>8.6058519793459354E-3</v>
      </c>
    </row>
    <row r="6" spans="1:20" ht="15">
      <c r="A6" s="5" t="s">
        <v>47</v>
      </c>
      <c r="B6" s="15" t="s">
        <v>29</v>
      </c>
      <c r="C6" s="16">
        <v>1</v>
      </c>
      <c r="D6" s="17">
        <v>1.0234000000000001</v>
      </c>
      <c r="E6" s="17">
        <v>1.0507247800000001</v>
      </c>
      <c r="F6" s="17">
        <v>1.0879204372120002</v>
      </c>
      <c r="G6" s="17">
        <v>1.1132689833990399</v>
      </c>
      <c r="H6" s="17">
        <v>1.1616961841768982</v>
      </c>
      <c r="I6" s="17">
        <v>1.1828390547289178</v>
      </c>
      <c r="J6" s="17">
        <v>1.216549967788692</v>
      </c>
      <c r="K6" s="17">
        <v>1.2577910116967286</v>
      </c>
      <c r="L6" s="17">
        <v>1.2799281335025912</v>
      </c>
      <c r="M6" s="17">
        <v>1.3112863727734045</v>
      </c>
      <c r="N6" s="17">
        <v>1.3439101641733224</v>
      </c>
      <c r="O6" s="17">
        <v>1.3641812578587085</v>
      </c>
      <c r="P6" s="17">
        <v>1.381601728994587</v>
      </c>
      <c r="Q6" s="17">
        <v>1.4085242752954901</v>
      </c>
      <c r="R6" s="17">
        <v>1.4336540571919307</v>
      </c>
      <c r="S6" s="17">
        <v>1.4600403281831935</v>
      </c>
      <c r="T6" s="17">
        <v>1.4726052191314138</v>
      </c>
    </row>
    <row r="7" spans="1:20" ht="15">
      <c r="B7" s="15" t="s">
        <v>30</v>
      </c>
      <c r="C7" s="18"/>
      <c r="D7" s="17">
        <v>1</v>
      </c>
      <c r="E7" s="17">
        <v>1.0266999999999999</v>
      </c>
      <c r="F7" s="17">
        <v>1.06304518</v>
      </c>
      <c r="G7" s="17">
        <v>1.0878141326940001</v>
      </c>
      <c r="H7" s="17">
        <v>1.1351340474661891</v>
      </c>
      <c r="I7" s="17">
        <v>1.1557934871300737</v>
      </c>
      <c r="J7" s="17">
        <v>1.1887336015132808</v>
      </c>
      <c r="K7" s="17">
        <v>1.229031670604581</v>
      </c>
      <c r="L7" s="17">
        <v>1.2506626280072217</v>
      </c>
      <c r="M7" s="17">
        <v>1.2813038623933986</v>
      </c>
      <c r="N7" s="17">
        <v>1.3131817121099492</v>
      </c>
      <c r="O7" s="17">
        <v>1.3329893080503303</v>
      </c>
      <c r="P7" s="17">
        <v>1.3500114608115952</v>
      </c>
      <c r="Q7" s="17">
        <v>1.3763184241699136</v>
      </c>
      <c r="R7" s="17">
        <v>1.4008736146100549</v>
      </c>
      <c r="S7" s="17">
        <v>1.4266565645722034</v>
      </c>
      <c r="T7" s="17">
        <v>1.438934159792274</v>
      </c>
    </row>
    <row r="8" spans="1:20" ht="15">
      <c r="B8" s="15" t="s">
        <v>31</v>
      </c>
      <c r="C8" s="18"/>
      <c r="D8" s="7"/>
      <c r="E8" s="17">
        <v>1</v>
      </c>
      <c r="F8" s="17">
        <v>1.0354000000000001</v>
      </c>
      <c r="G8" s="17">
        <v>1.0595248200000003</v>
      </c>
      <c r="H8" s="17">
        <v>1.1056141496700003</v>
      </c>
      <c r="I8" s="17">
        <v>1.1257363271939942</v>
      </c>
      <c r="J8" s="17">
        <v>1.1578198125190229</v>
      </c>
      <c r="K8" s="17">
        <v>1.1970699041634179</v>
      </c>
      <c r="L8" s="17">
        <v>1.2181383344766941</v>
      </c>
      <c r="M8" s="17">
        <v>1.247982723671373</v>
      </c>
      <c r="N8" s="17">
        <v>1.2790315692119891</v>
      </c>
      <c r="O8" s="17">
        <v>1.2983240557614983</v>
      </c>
      <c r="P8" s="17">
        <v>1.3149035363899826</v>
      </c>
      <c r="Q8" s="17">
        <v>1.3405263700885492</v>
      </c>
      <c r="R8" s="17">
        <v>1.3644429868608696</v>
      </c>
      <c r="S8" s="17">
        <v>1.389555434471806</v>
      </c>
      <c r="T8" s="17">
        <v>1.401513742857966</v>
      </c>
    </row>
    <row r="9" spans="1:20" ht="15">
      <c r="B9" s="15" t="s">
        <v>32</v>
      </c>
      <c r="C9" s="18"/>
      <c r="D9" s="7"/>
      <c r="E9" s="7"/>
      <c r="F9" s="17">
        <v>1</v>
      </c>
      <c r="G9" s="17">
        <v>1.0233000000000001</v>
      </c>
      <c r="H9" s="17">
        <v>1.0678135500000001</v>
      </c>
      <c r="I9" s="17">
        <v>1.0872477566100001</v>
      </c>
      <c r="J9" s="17">
        <v>1.1182343176733851</v>
      </c>
      <c r="K9" s="17">
        <v>1.1561424610425128</v>
      </c>
      <c r="L9" s="17">
        <v>1.1764905683568612</v>
      </c>
      <c r="M9" s="17">
        <v>1.2053145872816042</v>
      </c>
      <c r="N9" s="17">
        <v>1.2353018825690449</v>
      </c>
      <c r="O9" s="17">
        <v>1.2539347650777461</v>
      </c>
      <c r="P9" s="17">
        <v>1.2699473984836611</v>
      </c>
      <c r="Q9" s="17">
        <v>1.2946941955655298</v>
      </c>
      <c r="R9" s="17">
        <v>1.3177931107406509</v>
      </c>
      <c r="S9" s="17">
        <v>1.342046971674528</v>
      </c>
      <c r="T9" s="17">
        <v>1.3535964292620886</v>
      </c>
    </row>
    <row r="10" spans="1:20" ht="15">
      <c r="B10" s="15" t="s">
        <v>33</v>
      </c>
      <c r="C10" s="18"/>
      <c r="D10" s="7"/>
      <c r="E10" s="7"/>
      <c r="F10" s="17"/>
      <c r="G10" s="17">
        <v>1</v>
      </c>
      <c r="H10" s="17">
        <v>1.0435000000000001</v>
      </c>
      <c r="I10" s="17">
        <v>1.0624917</v>
      </c>
      <c r="J10" s="17">
        <v>1.09277271345</v>
      </c>
      <c r="K10" s="17">
        <v>1.1298177084359551</v>
      </c>
      <c r="L10" s="17">
        <v>1.1497025001044279</v>
      </c>
      <c r="M10" s="17">
        <v>1.1778702113569863</v>
      </c>
      <c r="N10" s="17">
        <v>1.2071747117844667</v>
      </c>
      <c r="O10" s="17">
        <v>1.2253833334093092</v>
      </c>
      <c r="P10" s="17">
        <v>1.2410313676181579</v>
      </c>
      <c r="Q10" s="17">
        <v>1.2652146932136514</v>
      </c>
      <c r="R10" s="17">
        <v>1.2877876583022092</v>
      </c>
      <c r="S10" s="17">
        <v>1.3114892716451947</v>
      </c>
      <c r="T10" s="17">
        <v>1.3227757541894734</v>
      </c>
    </row>
    <row r="11" spans="1:20" ht="15">
      <c r="B11" s="15" t="s">
        <v>34</v>
      </c>
      <c r="C11" s="19"/>
      <c r="H11" s="17">
        <v>1</v>
      </c>
      <c r="I11" s="17">
        <v>1.0182</v>
      </c>
      <c r="J11" s="17">
        <v>1.0472186999999999</v>
      </c>
      <c r="K11" s="17">
        <v>1.08271941393</v>
      </c>
      <c r="L11" s="17">
        <v>1.1017752756151682</v>
      </c>
      <c r="M11" s="17">
        <v>1.1287687698677398</v>
      </c>
      <c r="N11" s="17">
        <v>1.1568516643837727</v>
      </c>
      <c r="O11" s="17">
        <v>1.1743012299082982</v>
      </c>
      <c r="P11" s="17">
        <v>1.1892969502809372</v>
      </c>
      <c r="Q11" s="17">
        <v>1.2124721544931976</v>
      </c>
      <c r="R11" s="17">
        <v>1.2341041287036025</v>
      </c>
      <c r="S11" s="17">
        <v>1.2568177016245279</v>
      </c>
      <c r="T11" s="17">
        <v>1.2676336887297304</v>
      </c>
    </row>
    <row r="12" spans="1:20" ht="15">
      <c r="B12" s="15" t="s">
        <v>35</v>
      </c>
      <c r="C12" s="19"/>
      <c r="I12" s="20">
        <v>1</v>
      </c>
      <c r="J12" s="17">
        <v>1.0285</v>
      </c>
      <c r="K12" s="17">
        <v>1.06336615</v>
      </c>
      <c r="L12" s="17">
        <v>1.08208139424</v>
      </c>
      <c r="M12" s="17">
        <v>1.10859238839888</v>
      </c>
      <c r="N12" s="17">
        <v>1.1361733101392384</v>
      </c>
      <c r="O12" s="17">
        <v>1.1533109702497526</v>
      </c>
      <c r="P12" s="17">
        <v>1.1680386469072255</v>
      </c>
      <c r="Q12" s="17">
        <v>1.1907996017415019</v>
      </c>
      <c r="R12" s="17">
        <v>1.2120449113176215</v>
      </c>
      <c r="S12" s="17">
        <v>1.2343524863725472</v>
      </c>
      <c r="T12" s="17">
        <v>1.2449751411606069</v>
      </c>
    </row>
    <row r="13" spans="1:20" ht="15">
      <c r="B13" s="15" t="s">
        <v>36</v>
      </c>
      <c r="C13" s="19"/>
      <c r="J13" s="20">
        <v>1</v>
      </c>
      <c r="K13" s="17">
        <v>1.0339</v>
      </c>
      <c r="L13" s="17">
        <v>1.05209664</v>
      </c>
      <c r="M13" s="17">
        <v>1.0778730076800001</v>
      </c>
      <c r="N13" s="17">
        <v>1.1046896549725216</v>
      </c>
      <c r="O13" s="17">
        <v>1.121352426105739</v>
      </c>
      <c r="P13" s="17">
        <v>1.1356719950483476</v>
      </c>
      <c r="Q13" s="17">
        <v>1.157802237959652</v>
      </c>
      <c r="R13" s="17">
        <v>1.1784588345334193</v>
      </c>
      <c r="S13" s="17">
        <v>1.2001482609358749</v>
      </c>
      <c r="T13" s="17">
        <v>1.2104765592227584</v>
      </c>
    </row>
    <row r="14" spans="1:20" ht="15">
      <c r="B14" s="15" t="s">
        <v>37</v>
      </c>
      <c r="C14" s="19"/>
      <c r="K14" s="20">
        <v>1</v>
      </c>
      <c r="L14" s="17">
        <v>1.0176000000000001</v>
      </c>
      <c r="M14" s="17">
        <v>1.0425312</v>
      </c>
      <c r="N14" s="17">
        <v>1.0684685704347825</v>
      </c>
      <c r="O14" s="17">
        <v>1.0845849947826087</v>
      </c>
      <c r="P14" s="17">
        <v>1.0984350469565216</v>
      </c>
      <c r="Q14" s="17">
        <v>1.1198396730434781</v>
      </c>
      <c r="R14" s="17">
        <v>1.1398189714028624</v>
      </c>
      <c r="S14" s="17">
        <v>1.1607972346802158</v>
      </c>
      <c r="T14" s="17">
        <v>1.1707868838599078</v>
      </c>
    </row>
    <row r="15" spans="1:20" ht="15">
      <c r="B15" s="15" t="s">
        <v>38</v>
      </c>
      <c r="C15" s="19"/>
      <c r="L15" s="20">
        <v>1</v>
      </c>
      <c r="M15" s="17">
        <v>1.0245</v>
      </c>
      <c r="N15" s="17">
        <v>1.0499887681159419</v>
      </c>
      <c r="O15" s="17">
        <v>1.0658264492753624</v>
      </c>
      <c r="P15" s="17">
        <v>1.0794369565217392</v>
      </c>
      <c r="Q15" s="17">
        <v>1.1004713768115941</v>
      </c>
      <c r="R15" s="17">
        <v>1.1201051212685362</v>
      </c>
      <c r="S15" s="17">
        <v>1.1407205529483253</v>
      </c>
      <c r="T15" s="17">
        <v>1.1505374251767961</v>
      </c>
    </row>
    <row r="16" spans="1:20" ht="15">
      <c r="B16" s="15" t="s">
        <v>39</v>
      </c>
      <c r="C16" s="19"/>
      <c r="M16" s="20">
        <v>1</v>
      </c>
      <c r="N16" s="17">
        <v>1.0248792270531399</v>
      </c>
      <c r="O16" s="17">
        <v>1.0403381642512077</v>
      </c>
      <c r="P16" s="17">
        <v>1.0536231884057969</v>
      </c>
      <c r="Q16" s="17">
        <v>1.0741545893719804</v>
      </c>
      <c r="R16" s="17">
        <v>1.0933188104134075</v>
      </c>
      <c r="S16" s="17">
        <v>1.113441242506906</v>
      </c>
      <c r="T16" s="17">
        <v>1.1230233530276195</v>
      </c>
    </row>
    <row r="17" spans="2:20" ht="15">
      <c r="B17" s="15" t="s">
        <v>40</v>
      </c>
      <c r="C17" s="19"/>
      <c r="N17" s="20">
        <v>1</v>
      </c>
      <c r="O17" s="17">
        <v>1.0150836672165922</v>
      </c>
      <c r="P17" s="17">
        <v>1.0280461937308509</v>
      </c>
      <c r="Q17" s="17">
        <v>1.0480791892528871</v>
      </c>
      <c r="R17" s="17">
        <v>1.0667781935214491</v>
      </c>
      <c r="S17" s="17">
        <v>1.086412148003439</v>
      </c>
      <c r="T17" s="17">
        <v>1.0957616501377199</v>
      </c>
    </row>
    <row r="18" spans="2:20" ht="15">
      <c r="B18" s="15" t="s">
        <v>41</v>
      </c>
      <c r="C18" s="19"/>
      <c r="N18" s="20"/>
      <c r="O18" s="20">
        <v>1</v>
      </c>
      <c r="P18" s="17">
        <v>1.0127699094497329</v>
      </c>
      <c r="Q18" s="17">
        <v>1.0325052240538657</v>
      </c>
      <c r="R18" s="17">
        <v>1.0509263698889035</v>
      </c>
      <c r="S18" s="17">
        <v>1.0702685730156933</v>
      </c>
      <c r="T18" s="17">
        <v>1.0794791459332123</v>
      </c>
    </row>
    <row r="19" spans="2:20" ht="15">
      <c r="B19" s="21" t="s">
        <v>42</v>
      </c>
      <c r="P19" s="20">
        <v>1</v>
      </c>
      <c r="Q19" s="17">
        <v>1.019486474094452</v>
      </c>
      <c r="R19" s="17">
        <v>1.037675349635834</v>
      </c>
      <c r="S19" s="17">
        <v>1.056773668954285</v>
      </c>
      <c r="T19" s="17">
        <v>1.065868106724976</v>
      </c>
    </row>
    <row r="20" spans="2:20" ht="15">
      <c r="B20" s="21" t="s">
        <v>43</v>
      </c>
      <c r="Q20" s="20">
        <v>1</v>
      </c>
      <c r="R20" s="17">
        <v>1.0178412132024979</v>
      </c>
      <c r="S20" s="17">
        <v>1.0365744870651206</v>
      </c>
      <c r="T20" s="17">
        <v>1.0454950936663694</v>
      </c>
    </row>
    <row r="21" spans="2:20" ht="15">
      <c r="B21" s="21" t="s">
        <v>44</v>
      </c>
      <c r="R21" s="20">
        <v>1</v>
      </c>
      <c r="S21" s="17">
        <v>1.0184049079754602</v>
      </c>
      <c r="T21" s="17">
        <v>1.0271691498685365</v>
      </c>
    </row>
    <row r="22" spans="2:20" ht="15">
      <c r="B22" s="21" t="s">
        <v>45</v>
      </c>
      <c r="S22" s="20">
        <v>1</v>
      </c>
      <c r="T22" s="17">
        <v>1.0086058519793459</v>
      </c>
    </row>
    <row r="23" spans="2:20">
      <c r="B23" s="21" t="s">
        <v>46</v>
      </c>
      <c r="T23" s="20">
        <v>1</v>
      </c>
    </row>
  </sheetData>
  <pageMargins left="0.70866141732283472" right="0.70866141732283472" top="0.74803149606299213" bottom="0.74803149606299213" header="0.31496062992125984" footer="0.31496062992125984"/>
  <pageSetup paperSize="9" scale="73" orientation="landscape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5D20D9-E8E0-47F0-B5AE-B28BF4F79847}">
  <dimension ref="A1:H22"/>
  <sheetViews>
    <sheetView topLeftCell="A14" zoomScale="130" zoomScaleNormal="130" workbookViewId="0">
      <selection activeCell="C22" sqref="C22:H22"/>
    </sheetView>
  </sheetViews>
  <sheetFormatPr defaultRowHeight="15"/>
  <cols>
    <col min="3" max="3" width="13.42578125" bestFit="1" customWidth="1"/>
    <col min="4" max="4" width="11.28515625" bestFit="1" customWidth="1"/>
  </cols>
  <sheetData>
    <row r="1" spans="1:8" ht="15.75" thickBot="1">
      <c r="A1" t="s">
        <v>48</v>
      </c>
      <c r="C1" s="64">
        <f>1+'Inflators Electricity'!S5</f>
        <v>1.0184049079754602</v>
      </c>
    </row>
    <row r="2" spans="1:8" ht="15.75" thickBot="1">
      <c r="B2" s="41" t="s">
        <v>49</v>
      </c>
      <c r="C2" s="42" t="s">
        <v>50</v>
      </c>
      <c r="D2" s="42" t="s">
        <v>51</v>
      </c>
      <c r="E2" s="42" t="s">
        <v>52</v>
      </c>
      <c r="F2" s="42" t="s">
        <v>53</v>
      </c>
      <c r="G2" s="42" t="s">
        <v>54</v>
      </c>
      <c r="H2" s="42" t="s">
        <v>55</v>
      </c>
    </row>
    <row r="3" spans="1:8" ht="37.5" thickTop="1" thickBot="1">
      <c r="B3" s="43" t="s">
        <v>56</v>
      </c>
      <c r="C3" s="49">
        <f>'[1]View by Year - Consol'!$C$16*$C$1/1000000</f>
        <v>10.307208553374634</v>
      </c>
      <c r="D3" s="49">
        <f>'[1]View by Year - Consol'!$E$16/1000000</f>
        <v>4.0469807100000335</v>
      </c>
      <c r="E3" s="65">
        <f>'[1]View by Year - Consol'!$G$26/1000000</f>
        <v>3.9523640000000002</v>
      </c>
      <c r="F3" s="65">
        <f>'[1]View by Year - Consol'!$I$26/1000000</f>
        <v>-8.4162000000000001E-2</v>
      </c>
      <c r="G3" s="65">
        <f>'[1]View by Year - Consol'!$K$26/1000000</f>
        <v>-6.7937999999999998E-2</v>
      </c>
      <c r="H3" s="49">
        <f>SUM(C3:G3)</f>
        <v>18.154453263374666</v>
      </c>
    </row>
    <row r="4" spans="1:8" ht="36.75" thickBot="1">
      <c r="B4" s="44" t="s">
        <v>57</v>
      </c>
      <c r="C4" s="50">
        <f>'[1]View by Year - Consol'!$C$14*$C$1/1000000</f>
        <v>0.69718959190184082</v>
      </c>
      <c r="D4" s="50">
        <f>'[1]View by Year - Consol'!$E$14/1000000</f>
        <v>0.31162317999999989</v>
      </c>
      <c r="E4" s="50">
        <f>'[1]View by Year - Consol'!$G$23/1000000</f>
        <v>1.0016659999999999</v>
      </c>
      <c r="F4" s="50">
        <f>'[1]View by Year - Consol'!$I$23/1000000</f>
        <v>0</v>
      </c>
      <c r="G4" s="50">
        <f>'[1]View by Year - Consol'!$K$23/1000000</f>
        <v>0</v>
      </c>
      <c r="H4" s="50">
        <f>SUM(C4:G4)</f>
        <v>2.0104787719018407</v>
      </c>
    </row>
    <row r="5" spans="1:8" ht="24.75" thickBot="1">
      <c r="B5" s="46" t="s">
        <v>58</v>
      </c>
      <c r="C5" s="51">
        <f>SUM(C3:C4)</f>
        <v>11.004398145276475</v>
      </c>
      <c r="D5" s="51">
        <f t="shared" ref="D5:G5" si="0">SUM(D3:D4)</f>
        <v>4.3586038900000332</v>
      </c>
      <c r="E5" s="51">
        <f t="shared" si="0"/>
        <v>4.9540300000000004</v>
      </c>
      <c r="F5" s="51">
        <f t="shared" si="0"/>
        <v>-8.4162000000000001E-2</v>
      </c>
      <c r="G5" s="51">
        <f t="shared" si="0"/>
        <v>-6.7937999999999998E-2</v>
      </c>
      <c r="H5" s="52">
        <f t="shared" ref="H5:H9" si="1">SUM(C5:G5)</f>
        <v>20.164932035276507</v>
      </c>
    </row>
    <row r="6" spans="1:8" ht="48.75" thickBot="1">
      <c r="B6" s="44" t="s">
        <v>59</v>
      </c>
      <c r="C6" s="50">
        <f>'[1]View by Year - Consol'!$D$14*$C$1/1000000</f>
        <v>44.039101221472464</v>
      </c>
      <c r="D6" s="50">
        <f>('[1]View by Year - Consol'!$F$14+'[1]View by Year - Consol'!$F$19)/1000000</f>
        <v>2.0871475499999996</v>
      </c>
      <c r="E6" s="50">
        <f>('[1]View by Year - Consol'!$H$23-'[1]View by Year - Consol'!$H$18)/1000000</f>
        <v>1.9471637984717283</v>
      </c>
      <c r="F6" s="50">
        <f>'[1]View by Year - Consol'!$J$23/1000000</f>
        <v>0.101928</v>
      </c>
      <c r="G6" s="50">
        <f>'[1]View by Year - Consol'!$L$23/1000000</f>
        <v>0</v>
      </c>
      <c r="H6" s="50">
        <f t="shared" si="1"/>
        <v>48.17534056994419</v>
      </c>
    </row>
    <row r="7" spans="1:8" ht="36.75" thickBot="1">
      <c r="B7" s="43" t="s">
        <v>60</v>
      </c>
      <c r="C7" s="49" t="s">
        <v>12</v>
      </c>
      <c r="D7" s="49">
        <f>'[1]View by Year - Consol'!$F$18/1000000</f>
        <v>0.29018848999999997</v>
      </c>
      <c r="E7" s="49">
        <f>'[1]View by Year - Consol'!$H$18/1000000</f>
        <v>6.5744490099999995</v>
      </c>
      <c r="F7" s="49">
        <f>'[1]View by Year - Consol'!$J$18/1000000</f>
        <v>0</v>
      </c>
      <c r="G7" s="49">
        <f>'[1]View by Year - Consol'!$L$18/1000000</f>
        <v>0</v>
      </c>
      <c r="H7" s="49">
        <f t="shared" si="1"/>
        <v>6.8646374999999997</v>
      </c>
    </row>
    <row r="8" spans="1:8" ht="24.75" thickBot="1">
      <c r="B8" s="47" t="s">
        <v>61</v>
      </c>
      <c r="C8" s="53">
        <f>SUM(C6:C7)</f>
        <v>44.039101221472464</v>
      </c>
      <c r="D8" s="53">
        <f t="shared" ref="D8" si="2">SUM(D6:D7)</f>
        <v>2.3773360399999994</v>
      </c>
      <c r="E8" s="53">
        <f t="shared" ref="E8" si="3">SUM(E6:E7)</f>
        <v>8.521612808471728</v>
      </c>
      <c r="F8" s="53">
        <f t="shared" ref="F8" si="4">SUM(F6:F7)</f>
        <v>0.101928</v>
      </c>
      <c r="G8" s="53">
        <f t="shared" ref="G8" si="5">SUM(G6:G7)</f>
        <v>0</v>
      </c>
      <c r="H8" s="54">
        <f t="shared" ref="H8" si="6">SUM(C8:G8)</f>
        <v>55.039978069944198</v>
      </c>
    </row>
    <row r="9" spans="1:8" ht="24.75" thickBot="1">
      <c r="B9" s="48" t="s">
        <v>62</v>
      </c>
      <c r="C9" s="55">
        <f>C8+C5</f>
        <v>55.043499366748939</v>
      </c>
      <c r="D9" s="55">
        <f t="shared" ref="D9:G9" si="7">D8+D5</f>
        <v>6.7359399300000327</v>
      </c>
      <c r="E9" s="55">
        <f t="shared" si="7"/>
        <v>13.475642808471729</v>
      </c>
      <c r="F9" s="55">
        <f t="shared" si="7"/>
        <v>1.7766000000000004E-2</v>
      </c>
      <c r="G9" s="55">
        <f t="shared" si="7"/>
        <v>-6.7937999999999998E-2</v>
      </c>
      <c r="H9" s="55">
        <f t="shared" si="1"/>
        <v>75.204910105220705</v>
      </c>
    </row>
    <row r="10" spans="1:8" ht="15.75" thickBot="1">
      <c r="B10" s="66" t="s">
        <v>63</v>
      </c>
      <c r="C10" s="67"/>
      <c r="D10" s="67"/>
      <c r="E10" s="67"/>
      <c r="F10" s="67"/>
      <c r="G10" s="67"/>
      <c r="H10" s="68"/>
    </row>
    <row r="12" spans="1:8" ht="15.75" thickBot="1">
      <c r="A12" t="s">
        <v>64</v>
      </c>
    </row>
    <row r="13" spans="1:8" ht="24.75" thickBot="1">
      <c r="B13" s="41" t="s">
        <v>65</v>
      </c>
      <c r="C13" s="42" t="s">
        <v>50</v>
      </c>
      <c r="D13" s="42" t="s">
        <v>51</v>
      </c>
      <c r="E13" s="42" t="s">
        <v>52</v>
      </c>
      <c r="F13" s="42" t="s">
        <v>53</v>
      </c>
      <c r="G13" s="42" t="s">
        <v>54</v>
      </c>
      <c r="H13" s="42" t="s">
        <v>55</v>
      </c>
    </row>
    <row r="14" spans="1:8" ht="61.5" thickTop="1" thickBot="1">
      <c r="B14" s="48" t="s">
        <v>66</v>
      </c>
      <c r="C14" s="49">
        <f>Summary!R4</f>
        <v>938.52482729585836</v>
      </c>
      <c r="D14" s="49">
        <f>Summary!S4</f>
        <v>1003.4502653133604</v>
      </c>
      <c r="E14" s="49">
        <f>Summary!T4</f>
        <v>1020.3225147586656</v>
      </c>
      <c r="F14" s="49">
        <f>Summary!U4</f>
        <v>1058.1399130290179</v>
      </c>
      <c r="G14" s="49">
        <f>Summary!V4</f>
        <v>1043.6054979088728</v>
      </c>
      <c r="H14" s="55">
        <f>Summary!W4</f>
        <v>5064.0430183057751</v>
      </c>
    </row>
    <row r="15" spans="1:8" ht="36.75" thickBot="1">
      <c r="B15" s="56" t="s">
        <v>67</v>
      </c>
      <c r="C15" s="58">
        <f>Summary!R6</f>
        <v>55.047092699916213</v>
      </c>
      <c r="D15" s="58">
        <f>Summary!S6</f>
        <v>6.899728426902608</v>
      </c>
      <c r="E15" s="58">
        <f>Summary!T6</f>
        <v>14.138024298300394</v>
      </c>
      <c r="F15" s="58">
        <f>Summary!U6</f>
        <v>1.9091248550966569E-2</v>
      </c>
      <c r="G15" s="58">
        <f>Summary!V6</f>
        <v>-7.4776110745557581E-2</v>
      </c>
      <c r="H15" s="59">
        <f>Summary!W6</f>
        <v>76.029160562924616</v>
      </c>
    </row>
    <row r="16" spans="1:8" ht="48.75" thickBot="1">
      <c r="B16" s="48" t="s">
        <v>68</v>
      </c>
      <c r="C16" s="60">
        <f>Summary!R7</f>
        <v>5.865278264243861E-2</v>
      </c>
      <c r="D16" s="60">
        <f>Summary!S7</f>
        <v>6.8760043874700064E-3</v>
      </c>
      <c r="E16" s="60">
        <f>Summary!T7</f>
        <v>1.3856426858956872E-2</v>
      </c>
      <c r="F16" s="60">
        <f>Summary!U7</f>
        <v>1.8042272402631713E-5</v>
      </c>
      <c r="G16" s="60">
        <f>Summary!V7</f>
        <v>-7.1651702578599285E-5</v>
      </c>
      <c r="H16" s="60">
        <f>Summary!W7</f>
        <v>1.5013529760329901E-2</v>
      </c>
    </row>
    <row r="18" spans="1:8" ht="15.75" thickBot="1">
      <c r="A18" t="s">
        <v>69</v>
      </c>
    </row>
    <row r="19" spans="1:8" ht="24.75" thickBot="1">
      <c r="B19" s="61" t="s">
        <v>65</v>
      </c>
      <c r="C19" s="42" t="s">
        <v>50</v>
      </c>
      <c r="D19" s="42" t="s">
        <v>51</v>
      </c>
      <c r="E19" s="42" t="s">
        <v>52</v>
      </c>
      <c r="F19" s="42" t="s">
        <v>53</v>
      </c>
      <c r="G19" s="42" t="s">
        <v>54</v>
      </c>
      <c r="H19" s="42" t="s">
        <v>55</v>
      </c>
    </row>
    <row r="20" spans="1:8" ht="49.5" thickTop="1" thickBot="1">
      <c r="B20" s="48" t="s">
        <v>70</v>
      </c>
      <c r="C20" s="49">
        <f>Summary!R9</f>
        <v>1001.7290087315907</v>
      </c>
      <c r="D20" s="49">
        <f>Summary!S9</f>
        <v>1006.787119803775</v>
      </c>
      <c r="E20" s="49">
        <f>Summary!T9</f>
        <v>1007.5642267687042</v>
      </c>
      <c r="F20" s="49">
        <f>Summary!U9</f>
        <v>1014.6182072981685</v>
      </c>
      <c r="G20" s="49">
        <f>Summary!V9</f>
        <v>1021.7215729089885</v>
      </c>
      <c r="H20" s="55">
        <f>SUM(C20:G20)</f>
        <v>5052.4201355112264</v>
      </c>
    </row>
    <row r="21" spans="1:8" ht="60.75" thickBot="1">
      <c r="B21" s="56" t="s">
        <v>71</v>
      </c>
      <c r="C21" s="57" t="s">
        <v>12</v>
      </c>
      <c r="D21" s="57" t="s">
        <v>12</v>
      </c>
      <c r="E21" s="45" t="s">
        <v>12</v>
      </c>
      <c r="F21" s="50">
        <f>'[2]Cost pass through'!$J$190</f>
        <v>16.431063728500931</v>
      </c>
      <c r="G21" s="50">
        <f>'[2]Cost pass through'!$K$190</f>
        <v>17.383753454708053</v>
      </c>
      <c r="H21" s="62">
        <f>SUM(C21:G21)</f>
        <v>33.814817183208987</v>
      </c>
    </row>
    <row r="22" spans="1:8" ht="48.75" thickBot="1">
      <c r="B22" s="48" t="s">
        <v>72</v>
      </c>
      <c r="C22" s="63">
        <f>SUM(C20:C21)</f>
        <v>1001.7290087315907</v>
      </c>
      <c r="D22" s="63">
        <f t="shared" ref="D22:G22" si="8">SUM(D20:D21)</f>
        <v>1006.787119803775</v>
      </c>
      <c r="E22" s="63">
        <f t="shared" si="8"/>
        <v>1007.5642267687042</v>
      </c>
      <c r="F22" s="63">
        <f t="shared" si="8"/>
        <v>1031.0492710266694</v>
      </c>
      <c r="G22" s="63">
        <f t="shared" si="8"/>
        <v>1039.1053263636966</v>
      </c>
      <c r="H22" s="55">
        <f>SUM(C22:G22)</f>
        <v>5086.2349526944354</v>
      </c>
    </row>
  </sheetData>
  <mergeCells count="1">
    <mergeCell ref="B10:H10"/>
  </mergeCells>
  <pageMargins left="0.7" right="0.7" top="0.75" bottom="0.75" header="0.3" footer="0.3"/>
  <pageSetup paperSize="9" orientation="portrait" horizontalDpi="200" verticalDpi="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1570D6EBB1C8441BDFC253C628B244B" ma:contentTypeVersion="8" ma:contentTypeDescription="Create a new document." ma:contentTypeScope="" ma:versionID="94f7b6df7865a78ca6aceff0c7c377d3">
  <xsd:schema xmlns:xsd="http://www.w3.org/2001/XMLSchema" xmlns:xs="http://www.w3.org/2001/XMLSchema" xmlns:p="http://schemas.microsoft.com/office/2006/metadata/properties" xmlns:ns2="228604f8-0024-48ef-9f0b-d0224c1567ea" xmlns:ns3="5bde70a5-7d82-4179-8dd2-999247eba205" targetNamespace="http://schemas.microsoft.com/office/2006/metadata/properties" ma:root="true" ma:fieldsID="2a044116fab107709b81aa93225eba6c" ns2:_="" ns3:_="">
    <xsd:import namespace="228604f8-0024-48ef-9f0b-d0224c1567ea"/>
    <xsd:import namespace="5bde70a5-7d82-4179-8dd2-999247eba20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8604f8-0024-48ef-9f0b-d0224c1567e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de70a5-7d82-4179-8dd2-999247eba20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E751DF4-A76E-45D0-91D7-41E4891914CD}"/>
</file>

<file path=customXml/itemProps2.xml><?xml version="1.0" encoding="utf-8"?>
<ds:datastoreItem xmlns:ds="http://schemas.openxmlformats.org/officeDocument/2006/customXml" ds:itemID="{1B0F0BA9-7592-491F-B92B-FBF51E5B4F57}"/>
</file>

<file path=customXml/itemProps3.xml><?xml version="1.0" encoding="utf-8"?>
<ds:datastoreItem xmlns:ds="http://schemas.openxmlformats.org/officeDocument/2006/customXml" ds:itemID="{59B8751F-C9FD-4C16-B885-CF102A50D44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Mary-Clare Crowley</dc:creator>
  <cp:keywords/>
  <dc:description/>
  <cp:lastModifiedBy>Christina Gornall</cp:lastModifiedBy>
  <cp:revision/>
  <dcterms:created xsi:type="dcterms:W3CDTF">2020-07-29T11:05:34Z</dcterms:created>
  <dcterms:modified xsi:type="dcterms:W3CDTF">2021-09-28T00:01:25Z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0x010100C1570D6EBB1C8441BDFC253C628B244B</vt:lpwstr>
  </property>
</Properties>
</file>