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3.xml" ContentType="application/vnd.openxmlformats-officedocument.drawing+xml"/>
  <Override PartName="/xl/worksheets/sheet2.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codeName="ThisWorkbook" defaultThemeVersion="124226"/>
  <mc:AlternateContent xmlns:mc="http://schemas.openxmlformats.org/markup-compatibility/2006">
    <mc:Choice Requires="x15">
      <x15ac:absPath xmlns:x15ac="http://schemas.microsoft.com/office/spreadsheetml/2010/11/ac" url="Y:\Coy1-Fin\Reg_Affairs\2019 Determination\RINs\RESET RIN\AER Templates\To be submitted to AER on 300418\"/>
    </mc:Choice>
  </mc:AlternateContent>
  <xr:revisionPtr revIDLastSave="0" documentId="13_ncr:1_{A466063F-4CB3-4BCB-AA0E-250974515E48}" xr6:coauthVersionLast="28" xr6:coauthVersionMax="28" xr10:uidLastSave="{00000000-0000-0000-0000-000000000000}"/>
  <bookViews>
    <workbookView xWindow="-12" yWindow="-12" windowWidth="14400" windowHeight="11832" firstSheet="1" activeTab="2" xr2:uid="{00000000-000D-0000-FFFF-FFFF00000000}"/>
  </bookViews>
  <sheets>
    <sheet name="AER only" sheetId="4" state="veryHidden" r:id="rId1"/>
    <sheet name="Business &amp; other details" sheetId="3" r:id="rId2"/>
    <sheet name="CESS" sheetId="2" r:id="rId3"/>
  </sheets>
  <externalReferences>
    <externalReference r:id="rId4"/>
    <externalReference r:id="rId5"/>
  </externalReferences>
  <definedNames>
    <definedName name="_xlnm._FilterDatabase" localSheetId="0" hidden="1">'AER only'!$B$8:$AA$48</definedName>
    <definedName name="_xlnm._FilterDatabase" localSheetId="1" hidden="1">'[1]AER only'!$G$1:$G$71</definedName>
    <definedName name="anscount" hidden="1">1</definedName>
    <definedName name="CRCP_span" comment="Generic cover sheet" localSheetId="0">CONCATENATE('AER only'!CRCP_y1, " to ",'AER only'!CRCP_y5)</definedName>
    <definedName name="CRCP_span" comment="Generic cover sheet">CONCATENATE(CRCP_y1, " to ",CRCP_y5)</definedName>
    <definedName name="CRCP_y1" localSheetId="0">'Business &amp; other details'!$C$38</definedName>
    <definedName name="CRCP_y1">'Business &amp; other details'!$C$38</definedName>
    <definedName name="CRCP_y10">'Business &amp; other details'!$L$38</definedName>
    <definedName name="CRCP_y2" localSheetId="0">'Business &amp; other details'!$D$38</definedName>
    <definedName name="CRCP_y2">'Business &amp; other details'!$D$38</definedName>
    <definedName name="CRCP_y3" localSheetId="0">'Business &amp; other details'!$E$38</definedName>
    <definedName name="CRCP_y3">'Business &amp; other details'!$E$38</definedName>
    <definedName name="CRCP_y4" localSheetId="0">'Business &amp; other details'!$F$38</definedName>
    <definedName name="CRCP_y4">'Business &amp; other details'!$F$38</definedName>
    <definedName name="CRCP_y5" localSheetId="0">'Business &amp; other details'!$G$38</definedName>
    <definedName name="CRCP_y5">'Business &amp; other details'!$G$38</definedName>
    <definedName name="CRCP_y6" localSheetId="0">'Business &amp; other details'!$H$38</definedName>
    <definedName name="CRCP_y6">'Business &amp; other details'!$H$38</definedName>
    <definedName name="CRCP_y7" localSheetId="0">'Business &amp; other details'!$I$38</definedName>
    <definedName name="CRCP_y7">'Business &amp; other details'!$I$38</definedName>
    <definedName name="CRCP_y8" localSheetId="0">'Business &amp; other details'!$J$38</definedName>
    <definedName name="CRCP_y8">'Business &amp; other details'!$J$38</definedName>
    <definedName name="CRCP_y9" localSheetId="0">'Business &amp; other details'!$K$38</definedName>
    <definedName name="CRCP_y9">'Business &amp; other details'!$K$38</definedName>
    <definedName name="CRY" localSheetId="0">'Business &amp; other details'!$C$44</definedName>
    <definedName name="CRY">'Business &amp; other details'!$C$44</definedName>
    <definedName name="CRY___financial">'AER only'!$M$92:$M$111</definedName>
    <definedName name="CRY_calendar">'AER only'!$O$92:$O$111</definedName>
    <definedName name="dms_0203_ProjectType">'AER only'!$N$54:$N$61</definedName>
    <definedName name="dms_020303_01_UOM">'AER only'!$O$54:$O$60</definedName>
    <definedName name="dms_020501_01_UOM">'AER only'!$P$54:$P$66</definedName>
    <definedName name="dms_020501_02_UOM">'AER only'!$Q$54:$Q$62</definedName>
    <definedName name="dms_020501_03_UOM">'AER only'!$R$54:$R$63</definedName>
    <definedName name="dms_020501_04_UOM">'AER only'!$S$54:$S$62</definedName>
    <definedName name="dms_020603_01_UOM">'AER only'!$T$54:$T$58</definedName>
    <definedName name="dms_030601_01_UOM">'AER only'!$W$54:$W$57</definedName>
    <definedName name="dms_030601_02_UOM">'AER only'!$X$54:$X$57</definedName>
    <definedName name="dms_030701_01_UOM">'AER only'!$Y$54:$Y$56</definedName>
    <definedName name="dms_030702_01_UOM">'AER only'!$Z$54:$Z$67</definedName>
    <definedName name="dms_030703_01_UOM">'AER only'!$AA$54</definedName>
    <definedName name="dms_040102_01_UOM">'AER only'!$U$54:$U$57</definedName>
    <definedName name="dms_040102_04_UOM">'AER only'!$V$54:$V$57</definedName>
    <definedName name="dms_663">'Business &amp; other details'!$C$84</definedName>
    <definedName name="dms_663_List">'AER only'!$M$9:$M$48</definedName>
    <definedName name="dms_ABN">'Business &amp; other details'!$C$15</definedName>
    <definedName name="dms_ABN_List">'AER only'!$D$9:$D$48</definedName>
    <definedName name="dms_Addr1">'Business &amp; other details'!$E$18</definedName>
    <definedName name="dms_Addr1_List">'AER only'!$O$9:$O$48</definedName>
    <definedName name="dms_Addr2">'Business &amp; other details'!$E$19</definedName>
    <definedName name="dms_Addr2_List">'AER only'!$P$9:$P$48</definedName>
    <definedName name="dms_AmendmentReason">'Business &amp; other details'!$C$54</definedName>
    <definedName name="dms_ARR">'Business &amp; other details'!$C$74</definedName>
    <definedName name="dms_CA">'Business &amp; other details'!$C$73</definedName>
    <definedName name="dms_CalYears">'AER only'!$P$92:$P$111</definedName>
    <definedName name="dms_CBD_flag">'AER only'!$AC$9:$AC$48</definedName>
    <definedName name="dms_CFinalYear_List">'AER only'!$E$92:$E$106</definedName>
    <definedName name="dms_Classification">'Business &amp; other details'!$C$62</definedName>
    <definedName name="dms_ContactEmail">'Business &amp; other details'!$C$31</definedName>
    <definedName name="dms_ContactEmail_List">'AER only'!$AA$9:$AA$48</definedName>
    <definedName name="dms_ContactEmail2">'Business &amp; other details'!$F$31</definedName>
    <definedName name="dms_ContactName1">'Business &amp; other details'!$C$29</definedName>
    <definedName name="dms_ContactName1_List">'AER only'!$Y$9:$Y$48</definedName>
    <definedName name="dms_ContactName2">'Business &amp; other details'!$F$29</definedName>
    <definedName name="dms_ContactPh1">'Business &amp; other details'!$C$30</definedName>
    <definedName name="dms_ContactPh1_List">'AER only'!$Z$9:$Z$48</definedName>
    <definedName name="dms_ContactPh2">'Business &amp; other details'!$F$30</definedName>
    <definedName name="dms_crcp_cy1">'AER only'!$H$110</definedName>
    <definedName name="dms_crcp_cy10">'AER only'!$H$119</definedName>
    <definedName name="dms_crcp_cy11">'AER only'!$H$120</definedName>
    <definedName name="dms_crcp_cy12">'AER only'!$H$121</definedName>
    <definedName name="dms_crcp_cy13">'AER only'!$H$122</definedName>
    <definedName name="dms_crcp_cy14">'AER only'!$H$123</definedName>
    <definedName name="dms_crcp_cy15">'AER only'!$H$124</definedName>
    <definedName name="dms_crcp_cy2">'AER only'!$H$111</definedName>
    <definedName name="dms_crcp_cy3">'AER only'!$H$112</definedName>
    <definedName name="dms_crcp_cy4">'AER only'!$H$113</definedName>
    <definedName name="dms_crcp_cy5">'AER only'!$H$114</definedName>
    <definedName name="dms_crcp_cy6">'AER only'!$H$115</definedName>
    <definedName name="dms_crcp_cy7">'AER only'!$H$116</definedName>
    <definedName name="dms_crcp_cy8">'AER only'!$H$117</definedName>
    <definedName name="dms_crcp_cy9">'AER only'!$H$118</definedName>
    <definedName name="dms_CRCP_FinalYear_Ref">'Business &amp; other details'!$C$81</definedName>
    <definedName name="dms_CRCP_FinalYear_Result" localSheetId="0">'Business &amp; other details'!$C$83</definedName>
    <definedName name="dms_CRCP_FinalYear_Result">'Business &amp; other details'!$C$83</definedName>
    <definedName name="dms_CRCP_FirstYear_Result" localSheetId="0">'Business &amp; other details'!$C$82</definedName>
    <definedName name="dms_CRCP_FirstYear_Result">'Business &amp; other details'!$C$82</definedName>
    <definedName name="dms_CRCP_index">'AER only'!$J$92:$J$106</definedName>
    <definedName name="dms_CRCP_years">'AER only'!$H$92:$H$106</definedName>
    <definedName name="dms_CRCP_yM">'AER only'!$H$105</definedName>
    <definedName name="dms_CRCP_yN">'AER only'!$H$104</definedName>
    <definedName name="dms_CRCP_yO">'AER only'!$H$103</definedName>
    <definedName name="dms_CRCP_yP">'AER only'!$H$102</definedName>
    <definedName name="dms_CRCP_yQ">'AER only'!$H$101</definedName>
    <definedName name="dms_CRCP_yR">'AER only'!$H$100</definedName>
    <definedName name="dms_CRCP_yS">'AER only'!$H$99</definedName>
    <definedName name="dms_CRCP_yT">'AER only'!$H$98</definedName>
    <definedName name="dms_CRCP_yU">'AER only'!$H$97</definedName>
    <definedName name="dms_CRCP_yV">'AER only'!$H$96</definedName>
    <definedName name="dms_CRCP_yW">'AER only'!$H$95</definedName>
    <definedName name="dms_CRCP_yX">'AER only'!$H$94</definedName>
    <definedName name="dms_CRCP_yY">'AER only'!$H$93</definedName>
    <definedName name="dms_CRCP_yZ">'AER only'!$H$92</definedName>
    <definedName name="dms_CRCPlength_List">'AER only'!$K$9:$K$48</definedName>
    <definedName name="dms_CRCPlength_Num" localSheetId="0">'Business &amp; other details'!$C$80</definedName>
    <definedName name="dms_CRCPlength_Num">'Business &amp; other details'!$C$80</definedName>
    <definedName name="dms_CRCPlength_Num_List">'AER only'!$D$92:$D$106</definedName>
    <definedName name="dms_CRY_ListC">'AER only'!$D$110:$D$129</definedName>
    <definedName name="dms_CRY_ListF">'AER only'!$C$110:$C$129</definedName>
    <definedName name="dms_CRYc_y1">'AER only'!$O$92</definedName>
    <definedName name="dms_CRYc_y10">'AER only'!$O$101</definedName>
    <definedName name="dms_CRYc_y11">'AER only'!$O$102</definedName>
    <definedName name="dms_CRYc_y12">'AER only'!$O$103</definedName>
    <definedName name="dms_CRYc_y13">'AER only'!$O$104</definedName>
    <definedName name="dms_CRYc_y14">'AER only'!$O$105</definedName>
    <definedName name="dms_CRYc_y15">'AER only'!$O$106</definedName>
    <definedName name="dms_CRYc_y16">'AER only'!$O$107</definedName>
    <definedName name="dms_CRYc_y17">'AER only'!$O$108</definedName>
    <definedName name="dms_CRYc_y18">'AER only'!$O$109</definedName>
    <definedName name="dms_CRYc_y19">'AER only'!$O$110</definedName>
    <definedName name="dms_CRYc_y2">'AER only'!$O$93</definedName>
    <definedName name="dms_CRYc_y20">'AER only'!$O$111</definedName>
    <definedName name="dms_CRYc_y3">'AER only'!$O$94</definedName>
    <definedName name="dms_CRYc_y4">'AER only'!$O$95</definedName>
    <definedName name="dms_CRYc_y5">'AER only'!$O$96</definedName>
    <definedName name="dms_CRYc_y6">'AER only'!$O$97</definedName>
    <definedName name="dms_CRYc_y7">'AER only'!$O$98</definedName>
    <definedName name="dms_CRYc_y8">'AER only'!$O$99</definedName>
    <definedName name="dms_CRYc_y9">'AER only'!$O$100</definedName>
    <definedName name="dms_CRYf_y1">'AER only'!$M$92</definedName>
    <definedName name="dms_CRYf_y10">'AER only'!$M$101</definedName>
    <definedName name="dms_CRYf_y11">'AER only'!$M$102</definedName>
    <definedName name="dms_CRYf_y12">'AER only'!$M$103</definedName>
    <definedName name="dms_CRYf_y13">'AER only'!$M$104</definedName>
    <definedName name="dms_CRYf_y14">'AER only'!$M$105</definedName>
    <definedName name="dms_CRYf_y15">'AER only'!$M$106</definedName>
    <definedName name="dms_CRYf_y16">'AER only'!$M$107</definedName>
    <definedName name="dms_CRYf_y17">'AER only'!$M$108</definedName>
    <definedName name="dms_CRYf_y18">'AER only'!$M$109</definedName>
    <definedName name="dms_CRYf_y19">'AER only'!$M$110</definedName>
    <definedName name="dms_CRYf_y2">'AER only'!$M$93</definedName>
    <definedName name="dms_CRYf_y20">'AER only'!$M$111</definedName>
    <definedName name="dms_CRYf_y3">'AER only'!$M$94</definedName>
    <definedName name="dms_CRYf_y4">'AER only'!$M$95</definedName>
    <definedName name="dms_CRYf_y5">'AER only'!$M$96</definedName>
    <definedName name="dms_CRYf_y6">'AER only'!$M$97</definedName>
    <definedName name="dms_CRYf_y7">'AER only'!$M$98</definedName>
    <definedName name="dms_CRYf_y8">'AER only'!$M$99</definedName>
    <definedName name="dms_CRYf_y9">'AER only'!$M$100</definedName>
    <definedName name="dms_cy1">'AER only'!$D$110</definedName>
    <definedName name="dms_cy10">'AER only'!$D$119</definedName>
    <definedName name="dms_cy11">'AER only'!$D$120</definedName>
    <definedName name="dms_cy12">'AER only'!$D$121</definedName>
    <definedName name="dms_cy13">'AER only'!$D$122</definedName>
    <definedName name="dms_cy14">'AER only'!$D$123</definedName>
    <definedName name="dms_cy15">'AER only'!$D$124</definedName>
    <definedName name="dms_cy16">'AER only'!$D$125</definedName>
    <definedName name="dms_cy17">'AER only'!$D$126</definedName>
    <definedName name="dms_cy18">'AER only'!$D$127</definedName>
    <definedName name="dms_cy19">'AER only'!$D$128</definedName>
    <definedName name="dms_cy2">'AER only'!$D$111</definedName>
    <definedName name="dms_cy20">'AER only'!$D$129</definedName>
    <definedName name="dms_cy3">'AER only'!$D$112</definedName>
    <definedName name="dms_cy4">'AER only'!$D$113</definedName>
    <definedName name="dms_cy5">'AER only'!$D$114</definedName>
    <definedName name="dms_cy6">'AER only'!$D$115</definedName>
    <definedName name="dms_cy7">'AER only'!$D$116</definedName>
    <definedName name="dms_cy8">'AER only'!$D$117</definedName>
    <definedName name="dms_cy9">'AER only'!$D$118</definedName>
    <definedName name="dms_DataQuality" localSheetId="0">'Business &amp; other details'!$C$53</definedName>
    <definedName name="dms_DataQuality">'Business &amp; other details'!$C$53</definedName>
    <definedName name="dms_DataQuality_List">'AER only'!$B$64:$B$68</definedName>
    <definedName name="dms_Defined_Names_Used">'Business &amp; other details'!$C$96</definedName>
    <definedName name="dms_DeterminationRef">'Business &amp; other details'!$C$85</definedName>
    <definedName name="dms_DeterminationRef_List">'AER only'!$N$9:$N$48</definedName>
    <definedName name="dms_DollarReal">'Business &amp; other details'!$C$65</definedName>
    <definedName name="dms_DollarReal_Prev">'Business &amp; other details'!$C$66</definedName>
    <definedName name="dms_EB">'Business &amp; other details'!$C$72</definedName>
    <definedName name="dms_EBSS_status">'Business &amp; other details'!$C$56</definedName>
    <definedName name="dms_FeederCat_1">'AER only'!$AI$9:$AL$9</definedName>
    <definedName name="dms_FeederCat_2">'AER only'!$AI$43:$AM$43</definedName>
    <definedName name="dms_FeederName_1">'AER only'!$AI$9:$AI$48</definedName>
    <definedName name="dms_FeederName_2">'AER only'!$AJ$9:$AJ$48</definedName>
    <definedName name="dms_FeederName_3">'AER only'!$AK$9:$AK$48</definedName>
    <definedName name="dms_FeederName_4">'AER only'!$AL$9:$AL$48</definedName>
    <definedName name="dms_FeederName_5">'AER only'!$AM$9:$AM$48</definedName>
    <definedName name="dms_FeederType_5_flag">'AER only'!$AG$9:$AG$48</definedName>
    <definedName name="dms_FinalYear_List">'AER only'!$C$92:$C$106</definedName>
    <definedName name="dms_FinYears">'AER only'!$N$92:$N$111</definedName>
    <definedName name="dms_FormControl">'Business &amp; other details'!$C$67</definedName>
    <definedName name="dms_FormControl_Choices">'AER only'!$C$72:$C$74</definedName>
    <definedName name="dms_FormControl_List">'AER only'!$H$9:$H$48</definedName>
    <definedName name="dms_FRCP_cyear_list">'AER only'!$I$110:$I$124</definedName>
    <definedName name="dms_frcp_fy1">'AER only'!$G$110</definedName>
    <definedName name="dms_frcp_fy10">'AER only'!$G$119</definedName>
    <definedName name="dms_frcp_fy11">'AER only'!$G$120</definedName>
    <definedName name="dms_frcp_fy12">'AER only'!$G$121</definedName>
    <definedName name="dms_frcp_fy13">'AER only'!$G$122</definedName>
    <definedName name="dms_frcp_fy14">'AER only'!$G$123</definedName>
    <definedName name="dms_frcp_fy15">'AER only'!$G$124</definedName>
    <definedName name="dms_frcp_fy2">'AER only'!$G$111</definedName>
    <definedName name="dms_frcp_fy3">'AER only'!$G$112</definedName>
    <definedName name="dms_frcp_fy4">'AER only'!$G$113</definedName>
    <definedName name="dms_frcp_fy5">'AER only'!$G$114</definedName>
    <definedName name="dms_frcp_fy6">'AER only'!$G$115</definedName>
    <definedName name="dms_frcp_fy7">'AER only'!$G$116</definedName>
    <definedName name="dms_frcp_fy8">'AER only'!$G$117</definedName>
    <definedName name="dms_frcp_fy9">'AER only'!$G$118</definedName>
    <definedName name="dms_FRCP_fyear_list">'AER only'!$F$110:$F$124</definedName>
    <definedName name="dms_FRCP_ListC">'AER only'!$H$110:$H$124</definedName>
    <definedName name="dms_FRCP_ListF">'AER only'!$G$110:$G$124</definedName>
    <definedName name="dms_FRCP_y1">'AER only'!$F$92</definedName>
    <definedName name="dms_FRCP_y10">'AER only'!$F$101</definedName>
    <definedName name="dms_FRCP_y11">'AER only'!$F$102</definedName>
    <definedName name="dms_FRCP_y12">'AER only'!$F$103</definedName>
    <definedName name="dms_FRCP_y13">'AER only'!$F$104</definedName>
    <definedName name="dms_FRCP_y14">'AER only'!$F$105</definedName>
    <definedName name="dms_FRCP_y2">'AER only'!$F$93</definedName>
    <definedName name="dms_FRCP_y3">'AER only'!$F$94</definedName>
    <definedName name="dms_FRCP_y4">'AER only'!$F$95</definedName>
    <definedName name="dms_FRCP_y5">'AER only'!$F$96</definedName>
    <definedName name="dms_FRCP_y6">'AER only'!$F$97</definedName>
    <definedName name="dms_FRCP_y7">'AER only'!$F$98</definedName>
    <definedName name="dms_FRCP_y8">'AER only'!$F$99</definedName>
    <definedName name="dms_FRCP_y9">'AER only'!$F$100</definedName>
    <definedName name="dms_FRCP_years">'AER only'!$F$92:$F$106</definedName>
    <definedName name="dms_FRCPlength_List">'AER only'!$L$9:$L$48</definedName>
    <definedName name="dms_FRCPlength_Num" localSheetId="0">'Business &amp; other details'!$C$77</definedName>
    <definedName name="dms_FRCPlength_Num">'Business &amp; other details'!$C$77</definedName>
    <definedName name="dms_FRCPlength_Num_List">'AER only'!$B$92:$B$106</definedName>
    <definedName name="dms_fy1">'AER only'!$C$110</definedName>
    <definedName name="dms_fy10">'AER only'!$C$119</definedName>
    <definedName name="dms_fy11">'AER only'!$C$120</definedName>
    <definedName name="dms_fy12">'AER only'!$C$121</definedName>
    <definedName name="dms_fy13">'AER only'!$C$122</definedName>
    <definedName name="dms_fy14">'AER only'!$C$123</definedName>
    <definedName name="dms_fy15">'AER only'!$C$124</definedName>
    <definedName name="dms_fy16">'AER only'!$C$125</definedName>
    <definedName name="dms_fy17">'AER only'!$C$126</definedName>
    <definedName name="dms_fy18">'AER only'!$C$127</definedName>
    <definedName name="dms_fy19">'AER only'!$C$128</definedName>
    <definedName name="dms_fy2">'AER only'!$C$111</definedName>
    <definedName name="dms_fy20">'AER only'!$C$129</definedName>
    <definedName name="dms_fy3">'AER only'!$C$112</definedName>
    <definedName name="dms_fy4">'AER only'!$C$113</definedName>
    <definedName name="dms_fy5">'AER only'!$C$114</definedName>
    <definedName name="dms_fy6">'AER only'!$C$115</definedName>
    <definedName name="dms_fy7">'AER only'!$C$116</definedName>
    <definedName name="dms_fy8">'AER only'!$C$117</definedName>
    <definedName name="dms_fy9">'AER only'!$C$118</definedName>
    <definedName name="dms_Jurisdiction">'Business &amp; other details'!$C$69</definedName>
    <definedName name="dms_JurisdictionList">'AER only'!$E$9:$E$48</definedName>
    <definedName name="dms_LongRural_flag">'AER only'!$AF$9:$AF$48</definedName>
    <definedName name="dms_MAIFI_flag_List">'AER only'!$AH$9:$AH$48</definedName>
    <definedName name="dms_Model" localSheetId="0">'Business &amp; other details'!$C$61</definedName>
    <definedName name="dms_Model">'Business &amp; other details'!$C$61</definedName>
    <definedName name="dms_Model_List">'AER only'!$B$54:$B$61</definedName>
    <definedName name="dms_MultiYear_FinalYear_Ref" localSheetId="0">'Business &amp; other details'!$C$78</definedName>
    <definedName name="dms_MultiYear_FinalYear_Ref">'Business &amp; other details'!$C$78</definedName>
    <definedName name="dms_MultiYear_FinalYear_Result" localSheetId="0">'Business &amp; other details'!$C$79</definedName>
    <definedName name="dms_MultiYear_FinalYear_Result">'Business &amp; other details'!$C$79</definedName>
    <definedName name="dms_MultiYear_Flag" localSheetId="0">'Business &amp; other details'!$C$70</definedName>
    <definedName name="dms_MultiYear_Flag">'Business &amp; other details'!$C$70</definedName>
    <definedName name="dms_PAddr1">'Business &amp; other details'!$E$23</definedName>
    <definedName name="dms_PAddr1_List">'AER only'!$T$9:$T$48</definedName>
    <definedName name="dms_PAddr2">'Business &amp; other details'!$E$24</definedName>
    <definedName name="dms_PAddr2_List">'AER only'!$U$9:$U$48</definedName>
    <definedName name="dms_PostCode">'Business &amp; other details'!$G$21</definedName>
    <definedName name="dms_PostCode_List">'AER only'!$S$9:$S$48</definedName>
    <definedName name="dms_PPostCode">'Business &amp; other details'!$G$26</definedName>
    <definedName name="dms_PPostCode_List">'AER only'!$X$9:$X$48</definedName>
    <definedName name="dms_PState">'Business &amp; other details'!$E$26</definedName>
    <definedName name="dms_PState_List">'AER only'!$W$9:$W$48</definedName>
    <definedName name="dms_PSuburb">'Business &amp; other details'!$E$25</definedName>
    <definedName name="dms_PSuburb_List">'AER only'!$V$9:$V$48</definedName>
    <definedName name="dms_RCP_cyear_list">'AER only'!$E$110:$E$129</definedName>
    <definedName name="dms_RCP_fyear_list">'AER only'!$B$110:$B$129</definedName>
    <definedName name="dms_Reason_Interruption">'AER only'!$AK$53:$AK$68</definedName>
    <definedName name="dms_Reason_Interruption_Detailed">'AER only'!$AJ$53:$AJ$75</definedName>
    <definedName name="dms_Reg_Year_Span">'Business &amp; other details'!$B$3</definedName>
    <definedName name="dms_RINversion">'Business &amp; other details'!$C$68</definedName>
    <definedName name="dms_RPT" localSheetId="0">'Business &amp; other details'!$C$60</definedName>
    <definedName name="dms_RPT">'Business &amp; other details'!$C$60</definedName>
    <definedName name="dms_RPT_List">'AER only'!$I$9:$I$48</definedName>
    <definedName name="dms_RPTMonth" localSheetId="0">'Business &amp; other details'!$C$64</definedName>
    <definedName name="dms_RPTMonth">'Business &amp; other details'!$C$64</definedName>
    <definedName name="dms_RPTMonth_List">'AER only'!$J$9:$J$48</definedName>
    <definedName name="DMS_RSwapc2">'AER only'!$O$72</definedName>
    <definedName name="dms_RYE">'Business &amp; other details'!$C$59</definedName>
    <definedName name="dms_RYE_Formula_Result">'AER only'!$E$54:$E$61</definedName>
    <definedName name="dms_Sector">'Business &amp; other details'!$C$57</definedName>
    <definedName name="dms_Sector_List">'AER only'!$F$9:$F$48</definedName>
    <definedName name="dms_Segment" localSheetId="0">'Business &amp; other details'!$C$58</definedName>
    <definedName name="dms_Segment">'Business &amp; other details'!$C$58</definedName>
    <definedName name="dms_Segment_List">'AER only'!$G$9:$G$48</definedName>
    <definedName name="dms_ShortRural_flag">'AER only'!$AE$9:$AE$48</definedName>
    <definedName name="dms_SingleYear_FinalYear_Ref" localSheetId="0">'Business &amp; other details'!$C$75</definedName>
    <definedName name="dms_SingleYear_FinalYear_Ref">'Business &amp; other details'!$C$75</definedName>
    <definedName name="dms_SingleYear_FinalYear_Result" localSheetId="0">'Business &amp; other details'!$C$76</definedName>
    <definedName name="dms_SingleYear_FinalYear_Result">'Business &amp; other details'!$C$76</definedName>
    <definedName name="dms_SingleYear_Model" localSheetId="0">'Business &amp; other details'!$C$72:$C$74</definedName>
    <definedName name="dms_SingleYear_Model">'Business &amp; other details'!$C$72:$C$74</definedName>
    <definedName name="dms_Source">'Business &amp; other details'!$C$52</definedName>
    <definedName name="dms_SourceList">'AER only'!$B$72:$B$84</definedName>
    <definedName name="dms_Specified_FinalYear" localSheetId="0">'Business &amp; other details'!$C$71</definedName>
    <definedName name="dms_Specified_FinalYear">'Business &amp; other details'!$C$71</definedName>
    <definedName name="dms_State">'Business &amp; other details'!$E$21</definedName>
    <definedName name="dms_State_List">'AER only'!$R$9:$R$48</definedName>
    <definedName name="dms_STPIS_exclusions">'AER only'!$AI$77:$AI$82</definedName>
    <definedName name="dms_SubmissionDate">'Business &amp; other details'!$C$55</definedName>
    <definedName name="dms_Suburb">'Business &amp; other details'!$E$20</definedName>
    <definedName name="dms_Suburb_List">'AER only'!$Q$9:$Q$48</definedName>
    <definedName name="dms_TemplateNumber">'Business &amp; other details'!$C$63</definedName>
    <definedName name="dms_TradingName" localSheetId="0">'Business &amp; other details'!$C$14</definedName>
    <definedName name="dms_TradingName">'Business &amp; other details'!$C$14</definedName>
    <definedName name="dms_TradingName_List">'AER only'!$B$9:$B$48</definedName>
    <definedName name="dms_TradingNameFull">'Business &amp; other details'!$B$2</definedName>
    <definedName name="dms_TradingNameFull_List">'AER only'!$C$9:$C$48</definedName>
    <definedName name="dms_Urban_flag">'AER only'!$AD$9:$AD$48</definedName>
    <definedName name="dms_Worksheet_List">'AER only'!$C$54:$C$61</definedName>
    <definedName name="DMS_Xfactor">'AER only'!$O$72</definedName>
    <definedName name="FRCP_1to5">"2015-16 to 2019-20"</definedName>
    <definedName name="FRCP_span" comment="Generic cover sheet" localSheetId="0">CONCATENATE('AER only'!FRCP_y1, " to ", 'AER only'!FRCP_y5)</definedName>
    <definedName name="FRCP_span" comment="Generic cover sheet">CONCATENATE(FRCP_y1, " to ", FRCP_y5)</definedName>
    <definedName name="FRCP_y1" localSheetId="0">'Business &amp; other details'!$C$35</definedName>
    <definedName name="FRCP_y1">'Business &amp; other details'!$C$35</definedName>
    <definedName name="FRCP_y10">'Business &amp; other details'!$L$35</definedName>
    <definedName name="FRCP_y2">'Business &amp; other details'!$D$35</definedName>
    <definedName name="FRCP_y3">'Business &amp; other details'!$E$35</definedName>
    <definedName name="FRCP_y4">'Business &amp; other details'!$F$35</definedName>
    <definedName name="FRCP_y5" localSheetId="0">'Business &amp; other details'!$G$35</definedName>
    <definedName name="FRCP_y5">'Business &amp; other details'!$G$35</definedName>
    <definedName name="FRCP_y6">'Business &amp; other details'!$H$35</definedName>
    <definedName name="FRCP_y7">'Business &amp; other details'!$I$35</definedName>
    <definedName name="FRCP_y8">'Business &amp; other details'!$J$35</definedName>
    <definedName name="FRCP_y9">'Business &amp; other details'!$K$35</definedName>
    <definedName name="FRY" localSheetId="0">'Business &amp; other details'!$C$46</definedName>
    <definedName name="FRY">'Business &amp; other details'!$C$46</definedName>
    <definedName name="MAIFI_flag">'AER only'!$AH$7</definedName>
    <definedName name="percent">'[2]Lookup|Tables'!$G$14</definedName>
    <definedName name="PRCP_y1">'Business &amp; other details'!$C$41</definedName>
    <definedName name="PRCP_y2" localSheetId="0">'Business &amp; other details'!$D$41</definedName>
    <definedName name="PRCP_y2">'Business &amp; other details'!$D$41</definedName>
    <definedName name="PRCP_y3" localSheetId="0">'Business &amp; other details'!$E$41</definedName>
    <definedName name="PRCP_y3">'Business &amp; other details'!$E$41</definedName>
    <definedName name="PRCP_y4" localSheetId="0">'Business &amp; other details'!$F$41</definedName>
    <definedName name="PRCP_y4">'Business &amp; other details'!$F$41</definedName>
    <definedName name="PRCP_y5" localSheetId="0">'Business &amp; other details'!$G$41</definedName>
    <definedName name="PRCP_y5">'Business &amp; other details'!$G$41</definedName>
    <definedName name="RCP_1to5">"2015-16 to 2019-20"</definedName>
    <definedName name="SheetHeader">'Business &amp; other details'!$B$1</definedName>
    <definedName name="Years">'Business &amp; other details'!$C$38:$H$38</definedName>
  </definedNames>
  <calcPr calcId="171027"/>
</workbook>
</file>

<file path=xl/calcChain.xml><?xml version="1.0" encoding="utf-8"?>
<calcChain xmlns="http://schemas.openxmlformats.org/spreadsheetml/2006/main">
  <c r="B9" i="2" l="1"/>
  <c r="B8" i="2" l="1"/>
  <c r="D22" i="2"/>
  <c r="E22" i="2"/>
  <c r="F22" i="2"/>
  <c r="G22" i="2"/>
  <c r="C22" i="2"/>
  <c r="B2" i="2"/>
  <c r="O92" i="4" l="1"/>
  <c r="O93" i="4" s="1"/>
  <c r="O94" i="4" s="1"/>
  <c r="O95" i="4" s="1"/>
  <c r="O96" i="4" s="1"/>
  <c r="O97" i="4" s="1"/>
  <c r="O98" i="4" s="1"/>
  <c r="O99" i="4" s="1"/>
  <c r="O100" i="4" s="1"/>
  <c r="O101" i="4" s="1"/>
  <c r="O102" i="4" s="1"/>
  <c r="O103" i="4" s="1"/>
  <c r="O104" i="4" s="1"/>
  <c r="O105" i="4" s="1"/>
  <c r="O106" i="4" s="1"/>
  <c r="O107" i="4" s="1"/>
  <c r="O108" i="4" s="1"/>
  <c r="O109" i="4" s="1"/>
  <c r="O110" i="4" s="1"/>
  <c r="O111" i="4" s="1"/>
  <c r="M92" i="4"/>
  <c r="M93" i="4" s="1"/>
  <c r="M94" i="4" s="1"/>
  <c r="M95" i="4" s="1"/>
  <c r="M96" i="4" s="1"/>
  <c r="M97" i="4" s="1"/>
  <c r="M98" i="4" s="1"/>
  <c r="M99" i="4" s="1"/>
  <c r="M100" i="4" s="1"/>
  <c r="M101" i="4" s="1"/>
  <c r="M102" i="4" s="1"/>
  <c r="M103" i="4" s="1"/>
  <c r="M104" i="4" s="1"/>
  <c r="M105" i="4" s="1"/>
  <c r="M106" i="4" s="1"/>
  <c r="M107" i="4" s="1"/>
  <c r="M108" i="4" s="1"/>
  <c r="M109" i="4" s="1"/>
  <c r="M110" i="4" s="1"/>
  <c r="M111" i="4" s="1"/>
  <c r="L92" i="4"/>
  <c r="F92" i="4"/>
  <c r="C93" i="3"/>
  <c r="C92" i="3"/>
  <c r="C91" i="3"/>
  <c r="C90" i="3"/>
  <c r="C85" i="3"/>
  <c r="C84" i="3"/>
  <c r="C80" i="3"/>
  <c r="C81" i="3" s="1"/>
  <c r="C77" i="3"/>
  <c r="C78" i="3" s="1"/>
  <c r="C74" i="3"/>
  <c r="C73" i="3"/>
  <c r="C72" i="3"/>
  <c r="C69" i="3"/>
  <c r="C67" i="3"/>
  <c r="C64" i="3"/>
  <c r="C60" i="3"/>
  <c r="C58" i="3"/>
  <c r="C57" i="3"/>
  <c r="G26" i="3"/>
  <c r="E26" i="3"/>
  <c r="E25" i="3"/>
  <c r="E24" i="3"/>
  <c r="E23" i="3"/>
  <c r="G21" i="3"/>
  <c r="E21" i="3"/>
  <c r="E20" i="3"/>
  <c r="E18" i="3"/>
  <c r="C15" i="3"/>
  <c r="B2" i="3"/>
  <c r="C76" i="3"/>
  <c r="H92" i="4" l="1"/>
  <c r="H93" i="4" s="1"/>
  <c r="H94" i="4" s="1"/>
  <c r="H95" i="4" s="1"/>
  <c r="H96" i="4" s="1"/>
  <c r="H97" i="4" s="1"/>
  <c r="H98" i="4" s="1"/>
  <c r="H99" i="4" s="1"/>
  <c r="H100" i="4" s="1"/>
  <c r="H101" i="4" s="1"/>
  <c r="H102" i="4" s="1"/>
  <c r="H103" i="4" s="1"/>
  <c r="H104" i="4" s="1"/>
  <c r="H105" i="4" s="1"/>
  <c r="H106" i="4" s="1"/>
  <c r="F93" i="4"/>
  <c r="D35" i="3" s="1"/>
  <c r="F94" i="4"/>
  <c r="C83" i="3" l="1"/>
  <c r="C65" i="3" s="1"/>
  <c r="C82" i="3"/>
  <c r="E35" i="3"/>
  <c r="F95" i="4"/>
  <c r="E60" i="4"/>
  <c r="C38" i="3" l="1"/>
  <c r="G52" i="4" s="1"/>
  <c r="C66" i="3"/>
  <c r="C14" i="2" s="1"/>
  <c r="F35" i="3"/>
  <c r="F96" i="4"/>
  <c r="E55" i="4"/>
  <c r="E57" i="4"/>
  <c r="E54" i="4"/>
  <c r="C79" i="3"/>
  <c r="B3" i="2" l="1"/>
  <c r="C29" i="2"/>
  <c r="G41" i="3"/>
  <c r="F41" i="3" s="1"/>
  <c r="E41" i="3" s="1"/>
  <c r="D41" i="3" s="1"/>
  <c r="C41" i="3" s="1"/>
  <c r="D38" i="3"/>
  <c r="C15" i="2"/>
  <c r="B3" i="3"/>
  <c r="F97" i="4"/>
  <c r="G35" i="3"/>
  <c r="E58" i="4"/>
  <c r="E61" i="4"/>
  <c r="E59" i="4"/>
  <c r="C59" i="3" s="1"/>
  <c r="D15" i="2" l="1"/>
  <c r="E38" i="3"/>
  <c r="D29" i="2"/>
  <c r="H35" i="3"/>
  <c r="F98" i="4"/>
  <c r="E29" i="2" l="1"/>
  <c r="F38" i="3"/>
  <c r="E15" i="2"/>
  <c r="I35" i="3"/>
  <c r="F99" i="4"/>
  <c r="G38" i="3" l="1"/>
  <c r="F29" i="2"/>
  <c r="F15" i="2"/>
  <c r="J35" i="3"/>
  <c r="F100" i="4"/>
  <c r="H38" i="3" l="1"/>
  <c r="I38" i="3" s="1"/>
  <c r="J38" i="3" s="1"/>
  <c r="K38" i="3" s="1"/>
  <c r="L38" i="3" s="1"/>
  <c r="G15" i="2"/>
  <c r="G29" i="2"/>
  <c r="F101" i="4"/>
  <c r="K35" i="3"/>
  <c r="L35" i="3" l="1"/>
  <c r="F102" i="4"/>
  <c r="F103" i="4" s="1"/>
  <c r="F104" i="4" s="1"/>
  <c r="F105" i="4" s="1"/>
  <c r="F106" i="4" s="1"/>
  <c r="D36" i="2" l="1"/>
  <c r="E36" i="2"/>
  <c r="F36" i="2"/>
  <c r="G36" i="2"/>
  <c r="C3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Hogan, Susan</author>
  </authors>
  <commentList>
    <comment ref="AN45" authorId="0" shapeId="0" xr:uid="{00000000-0006-0000-0000-000001000000}">
      <text>
        <r>
          <rPr>
            <b/>
            <sz val="9"/>
            <color indexed="81"/>
            <rFont val="Tahoma"/>
            <family val="2"/>
          </rPr>
          <t xml:space="preserve">20161017: </t>
        </r>
        <r>
          <rPr>
            <sz val="9"/>
            <color indexed="81"/>
            <rFont val="Tahoma"/>
            <family val="2"/>
          </rPr>
          <t xml:space="preserve">Updated ABN and contact person </t>
        </r>
      </text>
    </comment>
    <comment ref="F92" authorId="0" shapeId="0" xr:uid="{00000000-0006-0000-0000-000002000000}">
      <text>
        <r>
          <rPr>
            <b/>
            <sz val="9"/>
            <color rgb="FF000000"/>
            <rFont val="Tahoma"/>
            <family val="2"/>
          </rPr>
          <t>Hogan, Susan:</t>
        </r>
        <r>
          <rPr>
            <sz val="9"/>
            <color rgb="FF000000"/>
            <rFont val="Tahoma"/>
            <family val="2"/>
          </rPr>
          <t xml:space="preserve">
This is populated from FRCP_y1 which is selected by the business on the cover sheet.</t>
        </r>
      </text>
    </comment>
    <comment ref="H92" authorId="0" shapeId="0" xr:uid="{00000000-0006-0000-0000-000003000000}">
      <text>
        <r>
          <rPr>
            <b/>
            <sz val="9"/>
            <color rgb="FF000000"/>
            <rFont val="Tahoma"/>
            <family val="2"/>
          </rPr>
          <t>Hogan, Susan:</t>
        </r>
        <r>
          <rPr>
            <sz val="9"/>
            <color rgb="FF000000"/>
            <rFont val="Tahoma"/>
            <family val="2"/>
          </rPr>
          <t xml:space="preserve">
This is the last year in the CRCP. The years count backward from FRCP_y1.
</t>
        </r>
      </text>
    </comment>
  </commentList>
</comments>
</file>

<file path=xl/sharedStrings.xml><?xml version="1.0" encoding="utf-8"?>
<sst xmlns="http://schemas.openxmlformats.org/spreadsheetml/2006/main" count="1787" uniqueCount="840">
  <si>
    <t>2013-14</t>
  </si>
  <si>
    <t>Current regulatory control period</t>
  </si>
  <si>
    <t>Actual</t>
  </si>
  <si>
    <t>REGULATORY REPORTING STATEMENT</t>
  </si>
  <si>
    <t>2014-15</t>
  </si>
  <si>
    <t>2015-16</t>
  </si>
  <si>
    <t>2016-17</t>
  </si>
  <si>
    <t>2017-18</t>
  </si>
  <si>
    <t>Instructions</t>
  </si>
  <si>
    <t>Forthcoming regulatory control period</t>
  </si>
  <si>
    <t>2012-13</t>
  </si>
  <si>
    <t>2018-19</t>
  </si>
  <si>
    <t>2019-20</t>
  </si>
  <si>
    <t>2020-21</t>
  </si>
  <si>
    <t>2021-22</t>
  </si>
  <si>
    <t>2022-23</t>
  </si>
  <si>
    <t>BUSINESS &amp; OTHER DETAILS</t>
  </si>
  <si>
    <r>
      <t xml:space="preserve">Complete the following business details regulatory template </t>
    </r>
    <r>
      <rPr>
        <b/>
        <sz val="10"/>
        <color indexed="10"/>
        <rFont val="Arial"/>
        <family val="2"/>
      </rPr>
      <t>before</t>
    </r>
    <r>
      <rPr>
        <sz val="11"/>
        <color theme="1"/>
        <rFont val="Calibri"/>
        <family val="2"/>
        <scheme val="minor"/>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</si>
  <si>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SHEETS</t>
  </si>
  <si>
    <t>ENTITY DETAILS</t>
  </si>
  <si>
    <t>Short name</t>
  </si>
  <si>
    <t>Australian Distribution Co.</t>
  </si>
  <si>
    <t>Select business name from drop down list first</t>
  </si>
  <si>
    <t>ACN / ABN</t>
  </si>
  <si>
    <t>Business address</t>
  </si>
  <si>
    <t>Address 1</t>
  </si>
  <si>
    <t>Address 2</t>
  </si>
  <si>
    <t>Suburb</t>
  </si>
  <si>
    <t>State</t>
  </si>
  <si>
    <t>p/code</t>
  </si>
  <si>
    <t>Postal address</t>
  </si>
  <si>
    <t>Contact name/s</t>
  </si>
  <si>
    <t>Contact phone/s</t>
  </si>
  <si>
    <t>Contact email address/s</t>
  </si>
  <si>
    <t>REGULATORY CONTROL PERIODS</t>
  </si>
  <si>
    <t>Previous regulatory control period</t>
  </si>
  <si>
    <t>Commencing regulatory year</t>
  </si>
  <si>
    <t>CRY</t>
  </si>
  <si>
    <t>Last completed regulatory year</t>
  </si>
  <si>
    <t>dms_FinalYear</t>
  </si>
  <si>
    <t>DELETE NR 'CRY' IF NOT AN ANNUAL RIN (EB, CA , ARR)</t>
  </si>
  <si>
    <t>APPLY NR 'CRY' IF AN ANNUAL RIN (EB, CA , ARR) - including multi year annual RINs eg. Recast CA. EB</t>
  </si>
  <si>
    <t>Source</t>
  </si>
  <si>
    <t>Reporting</t>
  </si>
  <si>
    <t>Please select the correct submission type from the dropdown list.</t>
  </si>
  <si>
    <t>Data quality (actual, estimate, public, consolidated)</t>
  </si>
  <si>
    <t>Consolidated</t>
  </si>
  <si>
    <t>Amended RIN submission - amendment reason</t>
  </si>
  <si>
    <t>Submission Date</t>
  </si>
  <si>
    <t>dd/mm/yyyy</t>
  </si>
  <si>
    <t>dms_SubmissionDate</t>
  </si>
  <si>
    <t>Please enter date this file submitted to AER (dd/mm/yyyy)</t>
  </si>
  <si>
    <t>EBSS - First application of scheme in forthcoming period?</t>
  </si>
  <si>
    <t>No</t>
  </si>
  <si>
    <t>Sector</t>
  </si>
  <si>
    <t>dms_Sector</t>
  </si>
  <si>
    <t>=INDEX(dms_Sector_List,MATCH(dms_TradingName,dms_TradingName_List))</t>
  </si>
  <si>
    <t>Segment</t>
  </si>
  <si>
    <t>dms_Segment</t>
  </si>
  <si>
    <t>=INDEX(dms_Segment_List,MATCH(dms_TradingName,dms_TradingName_List))</t>
  </si>
  <si>
    <t>Regulatory Year Ending</t>
  </si>
  <si>
    <t>dms_RYE</t>
  </si>
  <si>
    <t>=IF(dms_MultiYear_Flag=1,LEFT(dms_Specified_FinalYear,2)&amp;RIGHT(dms_Specified_FinalYear,2),INDEX(dms_RYE_Formula_Result,MATCH(dms_Model,dms_Model_List)))</t>
  </si>
  <si>
    <t>Reporting Period Type</t>
  </si>
  <si>
    <t>dms_RPT</t>
  </si>
  <si>
    <t>=INDEX(dms_RPT_List,MATCH(dms_TradingName,dms_TradingName_List))</t>
  </si>
  <si>
    <t>Model or RIN Type</t>
  </si>
  <si>
    <t>ARR</t>
  </si>
  <si>
    <t>dms_Model</t>
  </si>
  <si>
    <t>Drop down selection</t>
  </si>
  <si>
    <t>Security Classification</t>
  </si>
  <si>
    <t>Public</t>
  </si>
  <si>
    <t>dms_Classification</t>
  </si>
  <si>
    <t>Always Public</t>
  </si>
  <si>
    <t>Template - version no.</t>
  </si>
  <si>
    <t>dms_TemplateNumber</t>
  </si>
  <si>
    <t>Dollar $ real month</t>
  </si>
  <si>
    <t>dms_RPTMonth</t>
  </si>
  <si>
    <t>=INDEX(dms_RPTMonth_List,MATCH(dms_TradingName,dms_TradingName_List))</t>
  </si>
  <si>
    <t>Dollar $ real  (the last month before the FRCP_y1)</t>
  </si>
  <si>
    <t>dms_DollarReal</t>
  </si>
  <si>
    <t>=IF(SUM(dms_SingleYear_Model)&gt;0,CONCATENATE(dms_RPTMonth)&amp;" "&amp;VALUE((LEFT(CRY,2))&amp;RIGHT(CRY,2)),CONCATENATE(dms_RPTMonth)&amp;" "&amp;VALUE((LEFT(dms_CRCP_FinalYear_Result,2)&amp;RIGHT(dms_CRCP_FinalYear_Result,2))))</t>
  </si>
  <si>
    <t>Form of control</t>
  </si>
  <si>
    <t>dms_FormControl</t>
  </si>
  <si>
    <t>=INDEX(dms_FormControl_List,MATCH(dms_TradingName,dms_TradingName_List))</t>
  </si>
  <si>
    <t>RIN response - version no.</t>
  </si>
  <si>
    <t>dms_RINversion</t>
  </si>
  <si>
    <t>Jurisdiction</t>
  </si>
  <si>
    <t>dms_Jurisdiction</t>
  </si>
  <si>
    <t>=INDEX(dms_JurisdictionList,MATCH(dms_TradingName,dms_TradingName_List))</t>
  </si>
  <si>
    <t>Backcast Multiyear EB, CA or ARR?</t>
  </si>
  <si>
    <t>dms_MultiYear_Flag</t>
  </si>
  <si>
    <t>1=y, 0-n</t>
  </si>
  <si>
    <t>dms_Specified_FinalYear</t>
  </si>
  <si>
    <t>The result here is returned to dms_CRCP_FinalYear_Result if dms_MultiYear_Flag is set to 1</t>
  </si>
  <si>
    <t>Single Year Model T/F</t>
  </si>
  <si>
    <t>dms_EB</t>
  </si>
  <si>
    <t>dms_CA</t>
  </si>
  <si>
    <t>=dms_SingleYear_Model</t>
  </si>
  <si>
    <t>dms_ARR</t>
  </si>
  <si>
    <t>Single Year Final Year Reference</t>
  </si>
  <si>
    <t>dms_SingleYear_FinalYear_Ref</t>
  </si>
  <si>
    <t>This is the reference for EB, CA &amp; ARR RINs</t>
  </si>
  <si>
    <t>Single Year Final Year Result</t>
  </si>
  <si>
    <t>dms_SingleYear_FinalYear_Result</t>
  </si>
  <si>
    <t>=INDIRECT(dms_SingleYear_FinalYear_Ref)</t>
  </si>
  <si>
    <t>Formula errors OK</t>
  </si>
  <si>
    <t>FRCP length in years</t>
  </si>
  <si>
    <t>dms_FRCPlength_Num</t>
  </si>
  <si>
    <t>=INDEX(dms_FRCPlength_List,MATCH(dms_TradingName,dms_TradingName_List))</t>
  </si>
  <si>
    <t>Multi Year Final Year Reference</t>
  </si>
  <si>
    <t>dms_MultiYear_FinalYear_Ref</t>
  </si>
  <si>
    <t>=INDEX(dms_FinalYear_List,MATCH(dms_FRCPlength_Num,dms_FRCPlength_Num_List))</t>
  </si>
  <si>
    <t>Multi Year Final Year Result</t>
  </si>
  <si>
    <t>dms_MultiYear_FinalYear_Result</t>
  </si>
  <si>
    <t>=IF(dms_MultiYear_Flag=0,INDIRECT(dms_MultiYear_FinalYear_Ref),dms_Specified_FinalYear)</t>
  </si>
  <si>
    <t>CRCP length in years</t>
  </si>
  <si>
    <t>dms_CRCPlength_Num</t>
  </si>
  <si>
    <t>=INDEX(dms_CRCPlength_List,MATCH(dms_TradingName,dms_TradingName_List))</t>
  </si>
  <si>
    <t>CRCP Final Year Reference</t>
  </si>
  <si>
    <t>dms_CRCP_FinalYear_Ref</t>
  </si>
  <si>
    <t>=INDEX(dms_CFinalYear_List,MATCH(dms_CRCPlength_Num,dms_CRCPlength_Num_List))</t>
  </si>
  <si>
    <t>CRCP First Year Result</t>
  </si>
  <si>
    <t>dms_CRCP_FirstYear_Result</t>
  </si>
  <si>
    <t>=INDEX(dms_CRCP_years,MATCH(dms_CRCPlength_Num,dms_CRCP_index))</t>
  </si>
  <si>
    <t>CRCP Final Year Result</t>
  </si>
  <si>
    <t>dms_CRCP_FinalYear_Result</t>
  </si>
  <si>
    <t>=IF(dms_MultiYear_Flag=0,(IF(SUM(dms_SingleYear_Model)&gt;0,CRY,dms_CRCP_yZ)),dms_Specified_FinalYear)</t>
  </si>
  <si>
    <t>Table 6.6.3 - Public lighting repair - no. business days</t>
  </si>
  <si>
    <t>dms_663</t>
  </si>
  <si>
    <t>Distribution Determination Reference</t>
  </si>
  <si>
    <t>dms_DeterminationRef</t>
  </si>
  <si>
    <t xml:space="preserve">Backcast templates only - unit of measure </t>
  </si>
  <si>
    <t>$0s</t>
  </si>
  <si>
    <t>dms_Backcast_UOM</t>
  </si>
  <si>
    <r>
      <t xml:space="preserve">If the cover sheet is for </t>
    </r>
    <r>
      <rPr>
        <b/>
        <sz val="11"/>
        <color theme="5" tint="-0.249977111117893"/>
        <rFont val="Arial"/>
        <family val="2"/>
      </rPr>
      <t>Backcast</t>
    </r>
    <r>
      <rPr>
        <sz val="11"/>
        <color theme="5" tint="-0.249977111117893"/>
        <rFont val="Arial"/>
        <family val="2"/>
      </rPr>
      <t xml:space="preserve"> data ensure to apply </t>
    </r>
    <r>
      <rPr>
        <b/>
        <sz val="11"/>
        <color theme="5" tint="-0.249977111117893"/>
        <rFont val="Arial"/>
        <family val="2"/>
      </rPr>
      <t xml:space="preserve">dms_Backcast_UOM </t>
    </r>
    <r>
      <rPr>
        <sz val="11"/>
        <color theme="5" tint="-0.249977111117893"/>
        <rFont val="Arial"/>
        <family val="2"/>
      </rPr>
      <t>named range to this field. Otherwise, do not apply this named range.</t>
    </r>
  </si>
  <si>
    <t>EB/CA Unit of Measure for Monetary Values</t>
  </si>
  <si>
    <t>dms_dollar_nom_UOM</t>
  </si>
  <si>
    <t>If the cover sheet is attached to an EB files make sure this field is set</t>
  </si>
  <si>
    <t>discard this record?</t>
  </si>
  <si>
    <t>NO</t>
  </si>
  <si>
    <t>dms_DISCARD</t>
  </si>
  <si>
    <t>If record is to be discarded from DB set this flag to YES</t>
  </si>
  <si>
    <t>CBD Feeder for this business</t>
  </si>
  <si>
    <t>dms_CBD_flag_NSP</t>
  </si>
  <si>
    <t>Urban Feeder for this business</t>
  </si>
  <si>
    <t>dms_Urban_flag_NSP</t>
  </si>
  <si>
    <t>Short rural Feeder for this business</t>
  </si>
  <si>
    <t>dms_ShortRural_flag_NSP</t>
  </si>
  <si>
    <t>Long rural Feeder for this business</t>
  </si>
  <si>
    <t>dms_LongRural_flag_NSP</t>
  </si>
  <si>
    <t>USES NAMED RANGES FLAG</t>
  </si>
  <si>
    <t>yes</t>
  </si>
  <si>
    <t>dms_Defined_Names_Used</t>
  </si>
  <si>
    <t>Data in these columns used for data validation and database purposes.</t>
  </si>
  <si>
    <t>Date last modified:</t>
  </si>
  <si>
    <t>added (Albury and Victora) for AGN</t>
  </si>
  <si>
    <t>updated TransGrid's correct legal name, corrected TasNetworks (T) to June financial year</t>
  </si>
  <si>
    <t>inserted Power and Water, added NRs (dms_FeederCat_1 and dms_FeederCat_2)</t>
  </si>
  <si>
    <t>inserted AEMO as a business</t>
  </si>
  <si>
    <t>FOR ELECTRICITY BUSINESSES ONLY</t>
  </si>
  <si>
    <t>Feeder Types</t>
  </si>
  <si>
    <t>TasNetworks (D)</t>
  </si>
  <si>
    <t>MAIFI flag</t>
  </si>
  <si>
    <t>Feeder Names</t>
  </si>
  <si>
    <t>CBD</t>
  </si>
  <si>
    <t>Urban</t>
  </si>
  <si>
    <t>Short rural</t>
  </si>
  <si>
    <t>long rural</t>
  </si>
  <si>
    <t>EXTRA</t>
  </si>
  <si>
    <t>dms_TradingName_List</t>
  </si>
  <si>
    <t>dms_TradingNameFull_List</t>
  </si>
  <si>
    <t>dms_ABN_List</t>
  </si>
  <si>
    <t>dms_JurisdictionList</t>
  </si>
  <si>
    <t>dms_Sector_List</t>
  </si>
  <si>
    <t>dms_Segment_List</t>
  </si>
  <si>
    <t>dms_FormControl_List</t>
  </si>
  <si>
    <t>dms_RPT_List</t>
  </si>
  <si>
    <t>dms_RPTMonth_List</t>
  </si>
  <si>
    <t>dms_CRCPlength_List</t>
  </si>
  <si>
    <t>dms_FRCPlength_List</t>
  </si>
  <si>
    <t>dms_663_List</t>
  </si>
  <si>
    <t>dms_DeterminationRef_List</t>
  </si>
  <si>
    <t>dms_Addr1_List</t>
  </si>
  <si>
    <t>dms_Addr2_List</t>
  </si>
  <si>
    <t>dms_Suburb_List</t>
  </si>
  <si>
    <t>dms_State_List</t>
  </si>
  <si>
    <t>dms_PostCode_List</t>
  </si>
  <si>
    <t>dms_PAddr1_List</t>
  </si>
  <si>
    <t>dms_PAddr2_List</t>
  </si>
  <si>
    <t>dms_PSuburb_List</t>
  </si>
  <si>
    <t>dms_PState_List</t>
  </si>
  <si>
    <t>dms_PPostCode_List</t>
  </si>
  <si>
    <t>dms_ContactName1_List</t>
  </si>
  <si>
    <t>dms_ContactPh1_List</t>
  </si>
  <si>
    <t>dms_ContactEmail_List</t>
  </si>
  <si>
    <t>Column1</t>
  </si>
  <si>
    <t>dms_CBD_flag</t>
  </si>
  <si>
    <t>dms_Urban_flag</t>
  </si>
  <si>
    <t>dms_ShortRural_flag</t>
  </si>
  <si>
    <t>dms_LongRural_flag</t>
  </si>
  <si>
    <t>dms_FeederType_5_flag</t>
  </si>
  <si>
    <t>dms_MAIFI_flag_List</t>
  </si>
  <si>
    <t>dms_FeederName_1</t>
  </si>
  <si>
    <t>dms_FeederName_2</t>
  </si>
  <si>
    <t>dms_FeederName_3</t>
  </si>
  <si>
    <t>dms_FeederName_4</t>
  </si>
  <si>
    <t>dms_FeederName_5</t>
  </si>
  <si>
    <t>ActewAGL Distribution</t>
  </si>
  <si>
    <t>ACT</t>
  </si>
  <si>
    <t>Electricity</t>
  </si>
  <si>
    <t>Distribution</t>
  </si>
  <si>
    <t>Revenue cap</t>
  </si>
  <si>
    <t>Financial</t>
  </si>
  <si>
    <t>June</t>
  </si>
  <si>
    <t>2014-19 Distribution Determination</t>
  </si>
  <si>
    <t>40 Bunda Street</t>
  </si>
  <si>
    <t>CANBERRA</t>
  </si>
  <si>
    <t>2600</t>
  </si>
  <si>
    <t>GPO BOX 366</t>
  </si>
  <si>
    <t>Robert Walker</t>
  </si>
  <si>
    <t>02 6248 3847</t>
  </si>
  <si>
    <t>robert.walker@actewagle.com.au</t>
  </si>
  <si>
    <t>YES</t>
  </si>
  <si>
    <t>Long rural</t>
  </si>
  <si>
    <t>ActewAGL Distribution (Tx Assets)</t>
  </si>
  <si>
    <t>distribution determination</t>
  </si>
  <si>
    <t>ActewAGL Gas</t>
  </si>
  <si>
    <t>Gas</t>
  </si>
  <si>
    <t>Weighted average price cap</t>
  </si>
  <si>
    <t>x</t>
  </si>
  <si>
    <t>Philip Deamer</t>
  </si>
  <si>
    <t>02 6248 3438</t>
  </si>
  <si>
    <t>GasAAReview@actewagl.com.au</t>
  </si>
  <si>
    <t>AEMO</t>
  </si>
  <si>
    <t>Australian Energy Market Operator Ltd</t>
  </si>
  <si>
    <t>Vic</t>
  </si>
  <si>
    <t>Transmission</t>
  </si>
  <si>
    <t>-</t>
  </si>
  <si>
    <t>March</t>
  </si>
  <si>
    <t>Level 22</t>
  </si>
  <si>
    <t>530 Collins Street</t>
  </si>
  <si>
    <t>MELBOURNE</t>
  </si>
  <si>
    <t>VIC</t>
  </si>
  <si>
    <t>3000</t>
  </si>
  <si>
    <t>GPO Box 2008</t>
  </si>
  <si>
    <t>3001</t>
  </si>
  <si>
    <t>AGN (Albury and Victoria)</t>
  </si>
  <si>
    <t>Australian Gas Networks Limited (reporting data for Albury and Victoria)</t>
  </si>
  <si>
    <t>Calendar</t>
  </si>
  <si>
    <t>December</t>
  </si>
  <si>
    <t>Level 6</t>
  </si>
  <si>
    <t>400 King William Street</t>
  </si>
  <si>
    <t>ADELAIDE</t>
  </si>
  <si>
    <t>SA</t>
  </si>
  <si>
    <t>5000</t>
  </si>
  <si>
    <t>PO Box 6468</t>
  </si>
  <si>
    <t>Halifax Street</t>
  </si>
  <si>
    <t>Craig de Laine</t>
  </si>
  <si>
    <t xml:space="preserve">08 8418 1129 </t>
  </si>
  <si>
    <t>craig.delaine@agn.com.au</t>
  </si>
  <si>
    <t>AGN (Albury)</t>
  </si>
  <si>
    <t>Australian Gas Networks Limited (reporting data for Albury)</t>
  </si>
  <si>
    <t>AGN (SA)</t>
  </si>
  <si>
    <t>Australian Gas Networks Limited (reporting data for SA)</t>
  </si>
  <si>
    <t>AGN (Victoria)</t>
  </si>
  <si>
    <t>Australian Gas Networks Limited (reporting data for Victoria)</t>
  </si>
  <si>
    <t>Amadeus</t>
  </si>
  <si>
    <t>APT Pipelines (NT) Pty Ltd</t>
  </si>
  <si>
    <t>NT</t>
  </si>
  <si>
    <t>n/a</t>
  </si>
  <si>
    <t>Level 19, HSBC Building</t>
  </si>
  <si>
    <t>580 George Street</t>
  </si>
  <si>
    <t>SYDNEY</t>
  </si>
  <si>
    <t>NSW</t>
  </si>
  <si>
    <t>2000</t>
  </si>
  <si>
    <t>Alexandra Curran</t>
  </si>
  <si>
    <t>02 9275 0020</t>
  </si>
  <si>
    <t>alexandra.curran@apa.com.au</t>
  </si>
  <si>
    <t>APA GasNet</t>
  </si>
  <si>
    <t>APA GasNet Australia (Operations) Pty Ltd</t>
  </si>
  <si>
    <t>065083009</t>
  </si>
  <si>
    <t>PO Box R41</t>
  </si>
  <si>
    <t>ROYAL EXCHANGE</t>
  </si>
  <si>
    <t>1225</t>
  </si>
  <si>
    <t>02 9693 0000</t>
  </si>
  <si>
    <t>Ausgrid</t>
  </si>
  <si>
    <t>570 George St</t>
  </si>
  <si>
    <t>GPO Box 4009</t>
  </si>
  <si>
    <t>2001</t>
  </si>
  <si>
    <t>John Thomson</t>
  </si>
  <si>
    <t>(02) 9269 2312</t>
  </si>
  <si>
    <t>john.thomson@ausgrid.com.au</t>
  </si>
  <si>
    <t>Ausgrid (Tx Assets)</t>
  </si>
  <si>
    <t>AusNet (D)</t>
  </si>
  <si>
    <t>AusNet Electricity Services Pty Ltd</t>
  </si>
  <si>
    <t>2016-20 Distribution Determination</t>
  </si>
  <si>
    <t>Level 32</t>
  </si>
  <si>
    <t>2 Southbank Boulevard</t>
  </si>
  <si>
    <t>SOUTHBANK</t>
  </si>
  <si>
    <t>3006</t>
  </si>
  <si>
    <t>Locked Bag 14051</t>
  </si>
  <si>
    <t>MELBOURNE CITY MAIL CENTRE</t>
  </si>
  <si>
    <t>AusNet (Gas)</t>
  </si>
  <si>
    <t>AusNet Gas Services</t>
  </si>
  <si>
    <t>086015036</t>
  </si>
  <si>
    <t>X</t>
  </si>
  <si>
    <t>AusNet (T)</t>
  </si>
  <si>
    <t>Ausnet Services (Transmission) Ltd</t>
  </si>
  <si>
    <t>transmission determination</t>
  </si>
  <si>
    <t>8001</t>
  </si>
  <si>
    <t>Clare Thompson</t>
  </si>
  <si>
    <t>03 9695 6670</t>
  </si>
  <si>
    <t>clare.e.thompson@ausnetservices.com.au</t>
  </si>
  <si>
    <t>123 Straight Street</t>
  </si>
  <si>
    <t>PO Box 123</t>
  </si>
  <si>
    <t>Bob Smith</t>
  </si>
  <si>
    <t>02 1234 5678</t>
  </si>
  <si>
    <t>bob@auselec.net.au</t>
  </si>
  <si>
    <t>Australian Distribution Co. (Vic)</t>
  </si>
  <si>
    <t>Australian Distribution Co. (Victoria)</t>
  </si>
  <si>
    <t>Australian Transmission Co.</t>
  </si>
  <si>
    <t>CitiPower</t>
  </si>
  <si>
    <t>40 Market Street</t>
  </si>
  <si>
    <t>Locked Bag 14090</t>
  </si>
  <si>
    <t>Hannah Williams</t>
  </si>
  <si>
    <t>03 9683 4088</t>
  </si>
  <si>
    <t>hwilliams@powercor.com.au</t>
  </si>
  <si>
    <t>Directlink</t>
  </si>
  <si>
    <t>Qld</t>
  </si>
  <si>
    <t>Scott Young</t>
  </si>
  <si>
    <t>02 9275 0031</t>
  </si>
  <si>
    <t>scott.young@apa.com.au</t>
  </si>
  <si>
    <t>ElectraNet</t>
  </si>
  <si>
    <t>52-55 East Terrace</t>
  </si>
  <si>
    <t>Rymill Park</t>
  </si>
  <si>
    <t>PO Box 7096</t>
  </si>
  <si>
    <t>Hutt Street Post Office</t>
  </si>
  <si>
    <t>Bill Jackson</t>
  </si>
  <si>
    <t>08 8404 7969</t>
  </si>
  <si>
    <t>jackson.bill@electranet.com.au</t>
  </si>
  <si>
    <t>Endeavour Energy</t>
  </si>
  <si>
    <t>51 Huntingwood Drive</t>
  </si>
  <si>
    <t>HUNTINGWOOD</t>
  </si>
  <si>
    <t>2148</t>
  </si>
  <si>
    <t>PO Box 811</t>
  </si>
  <si>
    <t>SEVEN HILLS</t>
  </si>
  <si>
    <t>1730</t>
  </si>
  <si>
    <t>Jon Hocking</t>
  </si>
  <si>
    <t>02 9853 4386 / 0407 348 156</t>
  </si>
  <si>
    <t>Jon.Hocking@Endeavourenergy.com.au</t>
  </si>
  <si>
    <t>Energex</t>
  </si>
  <si>
    <t>2015-20 Distribution Determination</t>
  </si>
  <si>
    <t>26 Reddacliff Street</t>
  </si>
  <si>
    <t>NEWSTEAD</t>
  </si>
  <si>
    <t>4006</t>
  </si>
  <si>
    <t>QLD</t>
  </si>
  <si>
    <t>Nicola Roscoe</t>
  </si>
  <si>
    <t>07 3664 5891</t>
  </si>
  <si>
    <t>nicolaroscoe@energex.com.au</t>
  </si>
  <si>
    <t>Ergon Energy</t>
  </si>
  <si>
    <t>22 Walker Street</t>
  </si>
  <si>
    <t>TOWNSVILLE</t>
  </si>
  <si>
    <t>4810</t>
  </si>
  <si>
    <t>Po Box 264</t>
  </si>
  <si>
    <t>FORTITUDE VALLEY</t>
  </si>
  <si>
    <t>Jenny Doyle, Group Manager Regulatory Affairs</t>
  </si>
  <si>
    <t>(07) 3851 6416</t>
  </si>
  <si>
    <t>jenny.doyle@ergon.com.au</t>
  </si>
  <si>
    <t>Essential Energy</t>
  </si>
  <si>
    <t>8 Buller Street</t>
  </si>
  <si>
    <t>PORT MACQUARIE</t>
  </si>
  <si>
    <t>2444</t>
  </si>
  <si>
    <t>PO Box 5730</t>
  </si>
  <si>
    <t>Catherine Waddell</t>
  </si>
  <si>
    <t>02 6338 3553</t>
  </si>
  <si>
    <t>catherine.waddell@essentialenergy.com.au</t>
  </si>
  <si>
    <t>Jemena Electricity</t>
  </si>
  <si>
    <t>Level 16</t>
  </si>
  <si>
    <t>567 Collins Street</t>
  </si>
  <si>
    <t>PO Box 16182</t>
  </si>
  <si>
    <t>Matthew Serpell</t>
  </si>
  <si>
    <t>03 9173 8231</t>
  </si>
  <si>
    <t>matthew.serpell@jemena.com.au</t>
  </si>
  <si>
    <t>JGN</t>
  </si>
  <si>
    <t>Jemena Gas Networks (NSW) Ltd</t>
  </si>
  <si>
    <t>003 004 322</t>
  </si>
  <si>
    <t>Multinet Gas</t>
  </si>
  <si>
    <t>Multinet Gas (DB No.1) Pty Ltd (ACN 086 026 986), Multinet Gas (DB No.2) Pty Ltd (ACN 086 230 122)</t>
  </si>
  <si>
    <t>086026986</t>
  </si>
  <si>
    <t>6 Nexus Court</t>
  </si>
  <si>
    <t>MULGRAVE</t>
  </si>
  <si>
    <t>3149</t>
  </si>
  <si>
    <t>Stephanie McDougall</t>
  </si>
  <si>
    <t>03 8846 9538</t>
  </si>
  <si>
    <t>Stephanie.McDougall@ue.com.au</t>
  </si>
  <si>
    <t>Murraylink</t>
  </si>
  <si>
    <t>Level 19</t>
  </si>
  <si>
    <t>Power and Water</t>
  </si>
  <si>
    <t>Power and Water Corporation</t>
  </si>
  <si>
    <t>GPO Box 1921</t>
  </si>
  <si>
    <t>DARWIN</t>
  </si>
  <si>
    <t>0801</t>
  </si>
  <si>
    <t>Lucy Moon</t>
  </si>
  <si>
    <t>08 8924 5822</t>
  </si>
  <si>
    <t>Lucy.Moon@powerwater.com.au</t>
  </si>
  <si>
    <t>Powercor Australia</t>
  </si>
  <si>
    <t>Locked bag 14090</t>
  </si>
  <si>
    <t>Powerlink</t>
  </si>
  <si>
    <t>Queensland Electricity Transmission Corporation Limited trading as Powerlink Queensland</t>
  </si>
  <si>
    <t>33 Harold St</t>
  </si>
  <si>
    <t>VIRGINIA</t>
  </si>
  <si>
    <t>4014</t>
  </si>
  <si>
    <t>PO Box 1193</t>
  </si>
  <si>
    <t>Jennifer Harris</t>
  </si>
  <si>
    <t>07 3860 2667</t>
  </si>
  <si>
    <t>jharris@powerlink.com.au</t>
  </si>
  <si>
    <t>Roma to Brisbane Pipeline</t>
  </si>
  <si>
    <t>APT Petroleum Pipelines Limited t/a Roma to Brisbane Pipeline</t>
  </si>
  <si>
    <t>009 737 393</t>
  </si>
  <si>
    <t>Mark Allen</t>
  </si>
  <si>
    <t>02 9275 0010</t>
  </si>
  <si>
    <t>mark.allen@apa.com.au</t>
  </si>
  <si>
    <t>SA Power Networks</t>
  </si>
  <si>
    <t>1 Anzac Highway</t>
  </si>
  <si>
    <t>KESWICK</t>
  </si>
  <si>
    <t>5035</t>
  </si>
  <si>
    <t>GPO Box 77</t>
  </si>
  <si>
    <t>Richard Sibly</t>
  </si>
  <si>
    <t>08 8404 5613</t>
  </si>
  <si>
    <t>richard.sibly@sapowernetworks.com.au</t>
  </si>
  <si>
    <t>Tas</t>
  </si>
  <si>
    <t>1-7 Maria Street</t>
  </si>
  <si>
    <t>LENAH VALLEY</t>
  </si>
  <si>
    <t>7008</t>
  </si>
  <si>
    <t>PO Box 606</t>
  </si>
  <si>
    <t>MOONAH</t>
  </si>
  <si>
    <t>7009</t>
  </si>
  <si>
    <t>John Sayers</t>
  </si>
  <si>
    <t>03 6271 6469</t>
  </si>
  <si>
    <t>john.sayers@tasnetworks.com.au</t>
  </si>
  <si>
    <t>Critical Infrastructure</t>
  </si>
  <si>
    <t>High density commercial</t>
  </si>
  <si>
    <t>High density rural</t>
  </si>
  <si>
    <t>Low density rural</t>
  </si>
  <si>
    <t>TasNetworks (T)</t>
  </si>
  <si>
    <t>TransGrid</t>
  </si>
  <si>
    <t>NSW Electricity Networks Operations Pty Ltd trading as TransGrid</t>
  </si>
  <si>
    <t>180 Thomas Street</t>
  </si>
  <si>
    <t>PO Box A1000</t>
  </si>
  <si>
    <t>SYDNEY SOUTH</t>
  </si>
  <si>
    <t>1235</t>
  </si>
  <si>
    <t>Garrie Chubb</t>
  </si>
  <si>
    <t>0408 210 221</t>
  </si>
  <si>
    <t>garrie.chubb@transgrid.com.au</t>
  </si>
  <si>
    <t>United Energy</t>
  </si>
  <si>
    <t>Level 3</t>
  </si>
  <si>
    <t>PO Box 449</t>
  </si>
  <si>
    <t>MOUNT WAVERLEY</t>
  </si>
  <si>
    <t>Mathew Abraham</t>
  </si>
  <si>
    <t>03 8846 9758</t>
  </si>
  <si>
    <t>mathew.abraham@ue.com.au</t>
  </si>
  <si>
    <t>Western Power (D)</t>
  </si>
  <si>
    <t>WA</t>
  </si>
  <si>
    <t>363 Wellington Street</t>
  </si>
  <si>
    <t>PERTH</t>
  </si>
  <si>
    <t>6000</t>
  </si>
  <si>
    <t>GPO Box L921</t>
  </si>
  <si>
    <t>Judy Hunter</t>
  </si>
  <si>
    <t>08 9326 6239</t>
  </si>
  <si>
    <t>judy.hunter@westernpower.com.au</t>
  </si>
  <si>
    <t>Western Power (T)</t>
  </si>
  <si>
    <t>For EB &amp; Reset RINs only</t>
  </si>
  <si>
    <t>For AARs only</t>
  </si>
  <si>
    <t>The Reg Year Ending (dms_RYE) must be set to the last year of the regulatory period. For forecast data is is usually (FRCP_y5) for actual it is a single year (CRY). For historical actual data the RYE will need to be set manually in the business details sheet by setting the dms_Multiyear_flag to 1 and putting the correct value in 'dms_Specified_FinalYear. See cells C67:C68</t>
  </si>
  <si>
    <t>Drop down selector box for CA &amp; Reset RINs.</t>
  </si>
  <si>
    <t>For CA &amp; Reset RINs only</t>
  </si>
  <si>
    <t>for DNSP only</t>
  </si>
  <si>
    <t>For DNSPs only</t>
  </si>
  <si>
    <t>Reason for interruption</t>
  </si>
  <si>
    <t>dms_Reason_Interruption_Detailed</t>
  </si>
  <si>
    <t>dms_Reason_Interruption</t>
  </si>
  <si>
    <t xml:space="preserve">dms_Model_List </t>
  </si>
  <si>
    <t>dms_RYE_Formula_Result</t>
  </si>
  <si>
    <t>dms_0203_ProjectType</t>
  </si>
  <si>
    <t>dms_020303_01_UOM</t>
  </si>
  <si>
    <t>dms_020501_01_UOM</t>
  </si>
  <si>
    <t>dms_020501_02_UOM</t>
  </si>
  <si>
    <t>dms_020501_03_UOM</t>
  </si>
  <si>
    <t>dms_020501_04_UOM</t>
  </si>
  <si>
    <t>dms_020603_01_UOM</t>
  </si>
  <si>
    <t>dms_040102_01_UOM</t>
  </si>
  <si>
    <t>dms_040102_04_UOM</t>
  </si>
  <si>
    <t>dms_030601_01_UOM</t>
  </si>
  <si>
    <t>dms_030601_02_UOM</t>
  </si>
  <si>
    <t>dms_030701_01_UOM</t>
  </si>
  <si>
    <t>dms_030702_01_UOM</t>
  </si>
  <si>
    <t>dms_030703_01_UOM</t>
  </si>
  <si>
    <t>dms_030605_UOM</t>
  </si>
  <si>
    <t>dms_03060703_UOM</t>
  </si>
  <si>
    <t>Animal</t>
  </si>
  <si>
    <t>Animal impact</t>
  </si>
  <si>
    <t>ANNUAL REPORTING STATEMENT</t>
  </si>
  <si>
    <t>=LEFT(dms_SingleYear_FinalYear_Result,2)&amp;RIGHT(dms_SingleYear_FinalYear_Result,2)</t>
  </si>
  <si>
    <t>Formula errors are OK</t>
  </si>
  <si>
    <t>New line on new route - single circuit</t>
  </si>
  <si>
    <t>Circuit line length in km</t>
  </si>
  <si>
    <t>0's</t>
  </si>
  <si>
    <t>days</t>
  </si>
  <si>
    <t>minutes/customer</t>
  </si>
  <si>
    <t>Customer / km</t>
  </si>
  <si>
    <t>%</t>
  </si>
  <si>
    <t>km</t>
  </si>
  <si>
    <t>number</t>
  </si>
  <si>
    <t>Animal nesting/burrowing, etc and other</t>
  </si>
  <si>
    <t>Asset failure</t>
  </si>
  <si>
    <t>CA</t>
  </si>
  <si>
    <t>CATEGORY ANALYSIS</t>
  </si>
  <si>
    <t>New line on new route - dual circuit</t>
  </si>
  <si>
    <t>MWh/customer</t>
  </si>
  <si>
    <t>Number of spans</t>
  </si>
  <si>
    <t>Other</t>
  </si>
  <si>
    <t>CPI</t>
  </si>
  <si>
    <t>New line on new route - other</t>
  </si>
  <si>
    <t>MVA added</t>
  </si>
  <si>
    <t>interruptions/customer</t>
  </si>
  <si>
    <t>kVA / customer</t>
  </si>
  <si>
    <t>LV</t>
  </si>
  <si>
    <t>Overloads</t>
  </si>
  <si>
    <t>EB</t>
  </si>
  <si>
    <t>ECONOMIC BENCHMARKING</t>
  </si>
  <si>
    <t>Line rebuild over existing route - single circuit</t>
  </si>
  <si>
    <t>Distribution substation</t>
  </si>
  <si>
    <t>Planned</t>
  </si>
  <si>
    <t>PTRM</t>
  </si>
  <si>
    <t>POST TAX REVENUE MODEL</t>
  </si>
  <si>
    <t>=LEFT(dms_MultiYear_FinalYear_Result,2)&amp;RIGHT(dms_MultiYear_FinalYear_Result,2)</t>
  </si>
  <si>
    <t>Line rebuild over existing route - dual circuit</t>
  </si>
  <si>
    <t>Number</t>
  </si>
  <si>
    <t>total spend $0s</t>
  </si>
  <si>
    <t>(per cent)</t>
  </si>
  <si>
    <t>HV</t>
  </si>
  <si>
    <t>Network business</t>
  </si>
  <si>
    <t>Reset</t>
  </si>
  <si>
    <t>Reconductor - Single circuit</t>
  </si>
  <si>
    <t>net circuit km added</t>
  </si>
  <si>
    <t>Years</t>
  </si>
  <si>
    <t>Zone substation</t>
  </si>
  <si>
    <t>Third party</t>
  </si>
  <si>
    <t>RFM</t>
  </si>
  <si>
    <t>ROLL FORWARD MODEL</t>
  </si>
  <si>
    <t>=LEFT(dms_CRCP_FinalYear_Result,2)&amp;RIGHT(dms_CRCP_FinalYear_Result,2)</t>
  </si>
  <si>
    <t>Reconductor - Dual circuit</t>
  </si>
  <si>
    <t>Subtransmission</t>
  </si>
  <si>
    <t>Unknown</t>
  </si>
  <si>
    <t>WACC</t>
  </si>
  <si>
    <t>WEIGHTED AVERAGE COST OF CAPITAL</t>
  </si>
  <si>
    <t>Trees</t>
  </si>
  <si>
    <t>insert description of 'other'</t>
  </si>
  <si>
    <t>Vegetation</t>
  </si>
  <si>
    <t>Weather</t>
  </si>
  <si>
    <t>dms_DataQuality_List</t>
  </si>
  <si>
    <t>Defects</t>
  </si>
  <si>
    <t>2 - STPIS Exclusion (3.3)(a)</t>
  </si>
  <si>
    <t>Network error</t>
  </si>
  <si>
    <t>3 - STPIS Exclusion (3.3)(a)</t>
  </si>
  <si>
    <t>Estimate</t>
  </si>
  <si>
    <t>Spans</t>
  </si>
  <si>
    <t>Switching and protection error</t>
  </si>
  <si>
    <t>4 - STPIS Exclusion (3.3)(a)</t>
  </si>
  <si>
    <t>Fire</t>
  </si>
  <si>
    <t>5 - STPIS Exclusion (3.3)(a)</t>
  </si>
  <si>
    <t>Recast</t>
  </si>
  <si>
    <t/>
  </si>
  <si>
    <t>6 - STPIS Exclusion (3.3)(a)</t>
  </si>
  <si>
    <t>Dig-in</t>
  </si>
  <si>
    <t>7 - STPIS Exclusion (3.3)(a)</t>
  </si>
  <si>
    <t>Unauthorised access</t>
  </si>
  <si>
    <t>For all files either AER or business needs to be able to specify the type of submission</t>
  </si>
  <si>
    <t>For PTRM &amp; RFM templates we must provide a choice in case they change their form of control - otherwise it is drawn from the business specific lookup table above.</t>
  </si>
  <si>
    <t xml:space="preserve">For PTRM files - this field set the text for the named range "DMS_Xfactor" which in all cases is simply the text "x factors" - this saves putting in each old gas PTRM file </t>
  </si>
  <si>
    <t>for TNSP only</t>
  </si>
  <si>
    <t>Vehicle impact</t>
  </si>
  <si>
    <t>dms_SourceList</t>
  </si>
  <si>
    <t>dms_FormControl_Choices</t>
  </si>
  <si>
    <t>DMS_Xfactor</t>
  </si>
  <si>
    <t>After appeal</t>
  </si>
  <si>
    <t>x factors</t>
  </si>
  <si>
    <t>Blow-in/Fall-in - NSP responsibility</t>
  </si>
  <si>
    <t>Draft decision</t>
  </si>
  <si>
    <t>Revenue yield</t>
  </si>
  <si>
    <t>Grow-in - NSP responsibility</t>
  </si>
  <si>
    <t>Final decision</t>
  </si>
  <si>
    <t>Blow-in/Fall-in - Other responsible party</t>
  </si>
  <si>
    <t>PTRM update 1</t>
  </si>
  <si>
    <t>Grow-in - Other responsible party</t>
  </si>
  <si>
    <t>PTRM update 2</t>
  </si>
  <si>
    <t>PTRM update 3</t>
  </si>
  <si>
    <t>PTRM update 4</t>
  </si>
  <si>
    <t>PTRM update 5</t>
  </si>
  <si>
    <t>PTRM update 6</t>
  </si>
  <si>
    <t>PTRM update 7</t>
  </si>
  <si>
    <t>Regulatory proposal</t>
  </si>
  <si>
    <t>Revised regulatory proposal</t>
  </si>
  <si>
    <t>These are indeces and lookup values for various dates. All step from the value placed in FRCP_y1 on the business and other details worksheet</t>
  </si>
  <si>
    <t>These date tables are currently used in the Recast templates to provide column headings and conditional formatting</t>
  </si>
  <si>
    <t>dms_FRCPlength_Num_List</t>
  </si>
  <si>
    <t>dms_FinalYear_List</t>
  </si>
  <si>
    <t>dms_CRCPlength_Num_List</t>
  </si>
  <si>
    <t>dms_CFinalYear_List</t>
  </si>
  <si>
    <t>dms_FRCP_years</t>
  </si>
  <si>
    <t>dms_CRCP_years</t>
  </si>
  <si>
    <t>dms_CRCP_index</t>
  </si>
  <si>
    <t>CRY from input cell on business sheet</t>
  </si>
  <si>
    <t>CRY - financial</t>
  </si>
  <si>
    <t>dms_FinYears</t>
  </si>
  <si>
    <t>CRY calendar</t>
  </si>
  <si>
    <t>dms_CalYears</t>
  </si>
  <si>
    <t>dms_FRCP_y1</t>
  </si>
  <si>
    <t>CRCP_y1</t>
  </si>
  <si>
    <t>dms_CRCP_yZ</t>
  </si>
  <si>
    <t>dms_CRYf_y1</t>
  </si>
  <si>
    <t>dms_CRYc_y1</t>
  </si>
  <si>
    <t>dms_FRCP_y2</t>
  </si>
  <si>
    <t>CRCP_y2</t>
  </si>
  <si>
    <t>dms_CRCP_yY</t>
  </si>
  <si>
    <t>dms_CRYf_y2</t>
  </si>
  <si>
    <t>dms_CRYc_y2</t>
  </si>
  <si>
    <t>dms_FRCP_y3</t>
  </si>
  <si>
    <t>CRCP_y3</t>
  </si>
  <si>
    <t>dms_CRCP_yX</t>
  </si>
  <si>
    <t>dms_CRYf_y3</t>
  </si>
  <si>
    <t>dms_CRYc_y3</t>
  </si>
  <si>
    <t>dms_FRCP_y4</t>
  </si>
  <si>
    <t>CRCP_y4</t>
  </si>
  <si>
    <t>dms_CRCP_yW</t>
  </si>
  <si>
    <t>dms_CRYf_y4</t>
  </si>
  <si>
    <t>dms_CRYc_y4</t>
  </si>
  <si>
    <t>dms_FRCP_y5</t>
  </si>
  <si>
    <t>CRCP_y5</t>
  </si>
  <si>
    <t>dms_CRCP_yV</t>
  </si>
  <si>
    <t>dms_CRYf_y5</t>
  </si>
  <si>
    <t>dms_CRYc_y5</t>
  </si>
  <si>
    <t>dms_FRCP_y6</t>
  </si>
  <si>
    <t>CRCP_y6</t>
  </si>
  <si>
    <t>dms_CRCP_yU</t>
  </si>
  <si>
    <t>dms_CRYf_y6</t>
  </si>
  <si>
    <t>dms_CRYc_y6</t>
  </si>
  <si>
    <t>dms_FRCP_y7</t>
  </si>
  <si>
    <t>CRCP_y7</t>
  </si>
  <si>
    <t>dms_CRCP_yT</t>
  </si>
  <si>
    <t>dms_CRYf_y7</t>
  </si>
  <si>
    <t>dms_CRYc_y7</t>
  </si>
  <si>
    <t>dms_FRCP_y8</t>
  </si>
  <si>
    <t>CRCP_y8</t>
  </si>
  <si>
    <t>dms_CRCP_yS</t>
  </si>
  <si>
    <t>dms_CRYf_y8</t>
  </si>
  <si>
    <t>dms_CRYc_y8</t>
  </si>
  <si>
    <t>dms_FRCP_y9</t>
  </si>
  <si>
    <t>CRCP_y9</t>
  </si>
  <si>
    <t>dms_CRCP_yR</t>
  </si>
  <si>
    <t>dms_CRYf_y9</t>
  </si>
  <si>
    <t>dms_CRYc_y9</t>
  </si>
  <si>
    <t>dms_FRCP_y10</t>
  </si>
  <si>
    <t>CRCP_y10</t>
  </si>
  <si>
    <t>dms_CRCP_yQ</t>
  </si>
  <si>
    <t>dms_CRYf_y10</t>
  </si>
  <si>
    <t>dms_CRYc_y10</t>
  </si>
  <si>
    <t>dms_FRCP_y11</t>
  </si>
  <si>
    <t>CRCP_y11</t>
  </si>
  <si>
    <t>dms_CRCP_yP</t>
  </si>
  <si>
    <t>dms_CRYf_y11</t>
  </si>
  <si>
    <t>dms_CRYc_y11</t>
  </si>
  <si>
    <t>dms_FRCP_y12</t>
  </si>
  <si>
    <t>CRCP_y12</t>
  </si>
  <si>
    <t>dms_CRCP_yO</t>
  </si>
  <si>
    <t>dms_CRYf_y12</t>
  </si>
  <si>
    <t>dms_CRYc_y12</t>
  </si>
  <si>
    <t>dms_FRCP_y13</t>
  </si>
  <si>
    <t>CRCP_y13</t>
  </si>
  <si>
    <t>dms_CRCP_yN</t>
  </si>
  <si>
    <t>dms_CRYf_y13</t>
  </si>
  <si>
    <t>dms_CRYc_y13</t>
  </si>
  <si>
    <t>dms_FRCP_y14</t>
  </si>
  <si>
    <t>CRCP_y14</t>
  </si>
  <si>
    <t>dms_CRCP_yM</t>
  </si>
  <si>
    <t>dms_CRYf_y14</t>
  </si>
  <si>
    <t>dms_CRYc_y14</t>
  </si>
  <si>
    <t>dms_FRCP_y15</t>
  </si>
  <si>
    <t>CRCP_y15</t>
  </si>
  <si>
    <t>dms_CRCP_yL</t>
  </si>
  <si>
    <t>dms_CRYf_y15</t>
  </si>
  <si>
    <t>dms_CRYc_y15</t>
  </si>
  <si>
    <t>dms_CRYf_y16</t>
  </si>
  <si>
    <t>dms_CRYc_y16</t>
  </si>
  <si>
    <t>These are drop down lists for businesses to select the correct FRCP_y1 on the business and other details worksheet.
This also populates the column headings in the worksheets</t>
  </si>
  <si>
    <t>dms_CRYf_y17</t>
  </si>
  <si>
    <t>dms_CRYc_y17</t>
  </si>
  <si>
    <t>dms_RCP_fyear_list</t>
  </si>
  <si>
    <t>dms_CRY_ListF</t>
  </si>
  <si>
    <t>dms_CRY_ListC</t>
  </si>
  <si>
    <t>dms_RCP_cyear_list</t>
  </si>
  <si>
    <t>dms_FRCP_fyear_list</t>
  </si>
  <si>
    <t>dms_FRCP_ListF</t>
  </si>
  <si>
    <t>dms_FRCP_ListC</t>
  </si>
  <si>
    <t>dms_FRCP_cyear_list</t>
  </si>
  <si>
    <t>dms_CRYf_y18</t>
  </si>
  <si>
    <t>dms_CRYc_y18</t>
  </si>
  <si>
    <t>dms_fy1</t>
  </si>
  <si>
    <t>2006-07</t>
  </si>
  <si>
    <t>dms_cy1</t>
  </si>
  <si>
    <t>dms_frcp_fy1</t>
  </si>
  <si>
    <t>dms_crcp_cy1</t>
  </si>
  <si>
    <t>dms_CRYf_y19</t>
  </si>
  <si>
    <t>dms_CRYc_y19</t>
  </si>
  <si>
    <t>dms_fy2</t>
  </si>
  <si>
    <t>2007-08</t>
  </si>
  <si>
    <t>2008</t>
  </si>
  <si>
    <t>dms_cy2</t>
  </si>
  <si>
    <t>dms_frcp_fy2</t>
  </si>
  <si>
    <t>dms_crcp_cy2</t>
  </si>
  <si>
    <t>dms_CRYf_y20</t>
  </si>
  <si>
    <t>dms_CRYc_y20</t>
  </si>
  <si>
    <t>dms_fy3</t>
  </si>
  <si>
    <t>2008-09</t>
  </si>
  <si>
    <t>2009</t>
  </si>
  <si>
    <t>dms_cy3</t>
  </si>
  <si>
    <t>dms_frcp_fy3</t>
  </si>
  <si>
    <t>dms_crcp_cy3</t>
  </si>
  <si>
    <t>dms_fy4</t>
  </si>
  <si>
    <t>2009-10</t>
  </si>
  <si>
    <t>2010</t>
  </si>
  <si>
    <t>dms_cy4</t>
  </si>
  <si>
    <t>dms_frcp_fy4</t>
  </si>
  <si>
    <t>dms_crcp_cy4</t>
  </si>
  <si>
    <t>dms_fy5</t>
  </si>
  <si>
    <t>2010-11</t>
  </si>
  <si>
    <t>2011</t>
  </si>
  <si>
    <t>dms_cy5</t>
  </si>
  <si>
    <t>dms_frcp_fy5</t>
  </si>
  <si>
    <t>dms_crcp_cy5</t>
  </si>
  <si>
    <t>dms_fy6</t>
  </si>
  <si>
    <t>2011-12</t>
  </si>
  <si>
    <t>2012</t>
  </si>
  <si>
    <t>dms_cy6</t>
  </si>
  <si>
    <t>dms_frcp_fy6</t>
  </si>
  <si>
    <t>dms_crcp_cy6</t>
  </si>
  <si>
    <t>dms_fy7</t>
  </si>
  <si>
    <t>2013</t>
  </si>
  <si>
    <t>dms_cy7</t>
  </si>
  <si>
    <t>dms_frcp_fy7</t>
  </si>
  <si>
    <t>dms_crcp_cy7</t>
  </si>
  <si>
    <t>dms_fy8</t>
  </si>
  <si>
    <t>2014</t>
  </si>
  <si>
    <t>dms_cy8</t>
  </si>
  <si>
    <t>dms_frcp_fy8</t>
  </si>
  <si>
    <t>dms_crcp_cy8</t>
  </si>
  <si>
    <t>2005-06</t>
  </si>
  <si>
    <t>2006</t>
  </si>
  <si>
    <t>dms_fy9</t>
  </si>
  <si>
    <t>2015</t>
  </si>
  <si>
    <t>dms_cy9</t>
  </si>
  <si>
    <t>dms_frcp_fy9</t>
  </si>
  <si>
    <t>2023-24</t>
  </si>
  <si>
    <t>dms_crcp_cy9</t>
  </si>
  <si>
    <t>2007</t>
  </si>
  <si>
    <t>dms_fy10</t>
  </si>
  <si>
    <t>2016</t>
  </si>
  <si>
    <t>dms_cy10</t>
  </si>
  <si>
    <t>dms_frcp_fy10</t>
  </si>
  <si>
    <t>2024-25</t>
  </si>
  <si>
    <t>dms_crcp_cy10</t>
  </si>
  <si>
    <t>dms_fy11</t>
  </si>
  <si>
    <t>2017</t>
  </si>
  <si>
    <t>dms_cy11</t>
  </si>
  <si>
    <t>dms_frcp_fy11</t>
  </si>
  <si>
    <t>2025-26</t>
  </si>
  <si>
    <t>dms_crcp_cy11</t>
  </si>
  <si>
    <t>dms_fy12</t>
  </si>
  <si>
    <t>2018</t>
  </si>
  <si>
    <t>dms_cy12</t>
  </si>
  <si>
    <t>dms_frcp_fy12</t>
  </si>
  <si>
    <t>2026-27</t>
  </si>
  <si>
    <t>dms_crcp_cy12</t>
  </si>
  <si>
    <t>dms_fy13</t>
  </si>
  <si>
    <t>dms_cy13</t>
  </si>
  <si>
    <t>dms_frcp_fy13</t>
  </si>
  <si>
    <t>2027-28</t>
  </si>
  <si>
    <t>dms_crcp_cy13</t>
  </si>
  <si>
    <t>dms_fy14</t>
  </si>
  <si>
    <t>2020</t>
  </si>
  <si>
    <t>dms_cy14</t>
  </si>
  <si>
    <t>dms_frcp_fy14</t>
  </si>
  <si>
    <t>2028-29</t>
  </si>
  <si>
    <t>dms_crcp_cy14</t>
  </si>
  <si>
    <t>dms_fy15</t>
  </si>
  <si>
    <t>dms_cy15</t>
  </si>
  <si>
    <t>dms_frcp_fy15</t>
  </si>
  <si>
    <t>2029-30</t>
  </si>
  <si>
    <t>dms_crcp_cy15</t>
  </si>
  <si>
    <t>dms_fy16</t>
  </si>
  <si>
    <t>2021</t>
  </si>
  <si>
    <t>dms_cy16</t>
  </si>
  <si>
    <t>dms_fy17</t>
  </si>
  <si>
    <t>2022</t>
  </si>
  <si>
    <t>dms_cy17</t>
  </si>
  <si>
    <t>dms_fy18</t>
  </si>
  <si>
    <t>2023</t>
  </si>
  <si>
    <t>dms_cy18</t>
  </si>
  <si>
    <t>dms_fy19</t>
  </si>
  <si>
    <t>2024</t>
  </si>
  <si>
    <t>dms_cy19</t>
  </si>
  <si>
    <t>dms_fy20</t>
  </si>
  <si>
    <t>2025</t>
  </si>
  <si>
    <t>dms_cy20</t>
  </si>
  <si>
    <t>2030-31</t>
  </si>
  <si>
    <t>2031-32</t>
  </si>
  <si>
    <t>2032-33</t>
  </si>
  <si>
    <t>2033-34</t>
  </si>
  <si>
    <t>2034-35</t>
  </si>
  <si>
    <t>2035-36</t>
  </si>
  <si>
    <t>Total</t>
  </si>
  <si>
    <t>CAPEX ALLOWANCE</t>
  </si>
  <si>
    <t>Total capex allowance</t>
  </si>
  <si>
    <t>Less approved excludable costs allowance</t>
  </si>
  <si>
    <t>Total actual/estimated capex</t>
  </si>
  <si>
    <t>dms_DollarReal_Prev</t>
  </si>
  <si>
    <t>=IF(SUM(dms_SingleYear_Model)&gt;0,CONCATENATE(dms_RPTMonth)&amp;" "&amp;VALUE(((LEFT(CRY,2))&amp;RIGHT(CRY,2))-1),CONCATENATE(dms_RPTMonth)&amp;" "&amp;VALUE(((LEFT(dms_CRCP_FirstYear_Result,2)&amp;RIGHT(dms_CRCP_FirstYear_Result,2))))-1)</t>
  </si>
  <si>
    <t>$0's, nominal</t>
  </si>
  <si>
    <t>Less approved excludable actual costs</t>
  </si>
  <si>
    <t>Dollar $ real previous year (PRCP_y5)</t>
  </si>
  <si>
    <t>Proposed exclusion 1</t>
  </si>
  <si>
    <t>Proposed exclusion 2</t>
  </si>
  <si>
    <t>ACTUAL/ESTIMATED CAPEX</t>
  </si>
  <si>
    <t>CAPITAL EXPENDITURE SHARING SCHEME</t>
  </si>
  <si>
    <t xml:space="preserve">1 - FORECAST CAPEX FOR CESS PURPOSES (CESS TARGET) </t>
  </si>
  <si>
    <t>2 - ACTUAL / ESTIMATED CAPEX FOR CESS PURPOSES</t>
  </si>
  <si>
    <t>02 6589 8419</t>
  </si>
  <si>
    <t>Natalie Lindsay</t>
  </si>
  <si>
    <t>natalie.lindsay@essentialenergy.com.au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</si>
</sst>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2]* #,##0.00_);_([$€-2]* \(#,##0.00\);_([$€-2]* &quot;-&quot;??_)"/>
    <numFmt numFmtId="165" formatCode="_-* #,##0.00_-;[Red]\(#,##0.00\)_-;_-* &quot;-&quot;??_-;_-@_-"/>
    <numFmt numFmtId="166" formatCode="_(#,##0_);\(#,##0\);_(&quot;-&quot;_)"/>
    <numFmt numFmtId="167" formatCode="_(* #,##0_);_(* \(#,##0\);_(* &quot;-&quot;_);_(@_)"/>
    <numFmt numFmtId="168" formatCode="&quot;Warning&quot;;&quot;Warning&quot;;&quot;OK&quot;"/>
    <numFmt numFmtId="169" formatCode="_(* #,##0.00_);_(* \(#,##0.00\);_(* &quot;-&quot;??_);_(@_)"/>
    <numFmt numFmtId="170" formatCode="_(&quot;$&quot;* #,##0.00_);_(&quot;$&quot;* \(#,##0.00\);_(&quot;$&quot;* &quot;-&quot;??_);_(@_)"/>
    <numFmt numFmtId="171" formatCode="mm/dd/yy"/>
    <numFmt numFmtId="172" formatCode="0_);[Red]\(0\)"/>
    <numFmt numFmtId="173" formatCode="0.0%"/>
    <numFmt numFmtId="174" formatCode="_(* #,##0.0_);_(* \(#,##0.0\);_(* &quot;-&quot;?_);_(@_)"/>
    <numFmt numFmtId="175" formatCode="dd/mmm"/>
    <numFmt numFmtId="176" formatCode="_(* #,##0_);_(* \(#,##0\);_(* &quot;-&quot;?_);_(@_)"/>
    <numFmt numFmtId="177" formatCode="#,##0.000_ ;[Red]\-#,##0.000\ "/>
    <numFmt numFmtId="178" formatCode="#,##0.0_);\(#,##0.0\)"/>
    <numFmt numFmtId="179" formatCode="#,##0_ ;\-#,##0\ "/>
    <numFmt numFmtId="180" formatCode="#,##0;[Red]\(#,##0.0\)"/>
    <numFmt numFmtId="181" formatCode="#,##0_ ;[Red]\(#,##0\)\ "/>
    <numFmt numFmtId="182" formatCode="#,##0.00;\(#,##0.00\)"/>
    <numFmt numFmtId="183" formatCode="_)d\-mmm\-yy_)"/>
    <numFmt numFmtId="184" formatCode="_(#,##0.0_);\(#,##0.0\);_(&quot;-&quot;_)"/>
    <numFmt numFmtId="185" formatCode="_(###0_);\(###0\);_(###0_)"/>
    <numFmt numFmtId="186" formatCode="#,##0.0000_);[Red]\(#,##0.0000\)"/>
    <numFmt numFmtId="187" formatCode="##\ ###\ ###\ ###\ ##0"/>
    <numFmt numFmtId="188" formatCode="\(0#\)\ ####\ ####"/>
    <numFmt numFmtId="189" formatCode="_-* #,##0_-;\-* #,##0_-;_-* &quot;-&quot;??_-;_-@_-"/>
  </numFmts>
  <fonts count="139">
    <font>
      <sz val="11"/>
      <color theme="1"/>
      <name val="Calibri"/>
      <family val="2"/>
      <scheme val="minor"/>
    </font>
    <font>
      <sz val="11"/>
      <color theme="1"/>
      <name val="Calibri"/>
      <family val="2"/>
      <scheme val="minor"/>
    </font>
    <font>
      <b/>
      <sz val="10"/>
      <name val="Arial"/>
      <family val="2"/>
    </font>
    <font>
      <sz val="10"/>
      <name val="Arial"/>
      <family val="2"/>
    </font>
    <font>
      <b/>
      <sz val="12"/>
      <color theme="0"/>
      <name val="Calibri"/>
      <family val="2"/>
      <scheme val="minor"/>
    </font>
    <font>
      <sz val="10"/>
      <color rgb="FFFF0000"/>
      <name val="Arial"/>
      <family val="2"/>
    </font>
    <font>
      <sz val="10"/>
      <color theme="1"/>
      <name val="Arial"/>
      <family val="2"/>
    </font>
    <font>
      <b/>
      <sz val="10"/>
      <color theme="1"/>
      <name val="Arial"/>
      <family val="2"/>
    </font>
    <font>
      <b/>
      <sz val="11"/>
      <color theme="1"/>
      <name val="Arial"/>
      <family val="2"/>
    </font>
    <font>
      <b/>
      <sz val="11"/>
      <name val="Arial"/>
      <family val="2"/>
    </font>
    <font>
      <sz val="10"/>
      <name val="Helv"/>
      <charset val="204"/>
    </font>
    <font>
      <sz val="14"/>
      <name val="System"/>
      <family val="2"/>
    </font>
    <font>
      <sz val="8"/>
      <name val="Arial"/>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3"/>
      <color indexed="9"/>
      <name val="Arial"/>
      <family val="2"/>
    </font>
    <font>
      <b/>
      <sz val="11"/>
      <color indexed="52"/>
      <name val="Calibri"/>
      <family val="2"/>
    </font>
    <font>
      <sz val="10"/>
      <color indexed="55"/>
      <name val="Arial"/>
      <family val="2"/>
    </font>
    <font>
      <b/>
      <sz val="11"/>
      <color indexed="9"/>
      <name val="Calibri"/>
      <family val="2"/>
    </font>
    <font>
      <sz val="10"/>
      <name val="MS Sans Serif"/>
      <family val="2"/>
    </font>
    <font>
      <sz val="8"/>
      <color theme="1"/>
      <name val="Arial"/>
      <family val="2"/>
    </font>
    <font>
      <sz val="10"/>
      <name val="Verdana"/>
      <family val="2"/>
    </font>
    <font>
      <sz val="10"/>
      <color indexed="24"/>
      <name val="Arial"/>
      <family val="2"/>
    </font>
    <font>
      <b/>
      <sz val="11"/>
      <name val="Calibri"/>
      <family val="2"/>
      <scheme val="minor"/>
    </font>
    <font>
      <b/>
      <sz val="11"/>
      <color indexed="8"/>
      <name val="Calibri"/>
      <family val="2"/>
    </font>
    <font>
      <i/>
      <sz val="11"/>
      <color indexed="23"/>
      <name val="Calibri"/>
      <family val="2"/>
    </font>
    <font>
      <sz val="9"/>
      <name val="GillSans"/>
      <family val="2"/>
    </font>
    <font>
      <sz val="9"/>
      <name val="GillSans Light"/>
      <family val="2"/>
    </font>
    <font>
      <sz val="11"/>
      <color indexed="17"/>
      <name val="Calibri"/>
      <family val="2"/>
    </font>
    <font>
      <b/>
      <sz val="13"/>
      <color theme="4" tint="-0.24994659260841701"/>
      <name val="Arial"/>
      <family val="2"/>
    </font>
    <font>
      <b/>
      <sz val="12"/>
      <color indexed="8"/>
      <name val="Arial"/>
      <family val="2"/>
    </font>
    <font>
      <u/>
      <sz val="11"/>
      <name val="Arial"/>
      <family val="2"/>
    </font>
    <font>
      <i/>
      <sz val="11"/>
      <name val="Arial"/>
      <family val="2"/>
    </font>
    <font>
      <i/>
      <sz val="10"/>
      <color theme="1" tint="0.24994659260841701"/>
      <name val="Arial"/>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u/>
      <sz val="10"/>
      <color indexed="12"/>
      <name val="Arial"/>
      <family val="2"/>
    </font>
    <font>
      <u/>
      <sz val="11"/>
      <color theme="10"/>
      <name val="Calibri"/>
      <family val="2"/>
      <scheme val="minor"/>
    </font>
    <font>
      <b/>
      <sz val="10"/>
      <color indexed="56"/>
      <name val="Wingdings"/>
      <charset val="2"/>
    </font>
    <font>
      <b/>
      <u/>
      <sz val="8"/>
      <color indexed="56"/>
      <name val="Arial"/>
      <family val="2"/>
    </font>
    <font>
      <sz val="11"/>
      <color indexed="62"/>
      <name val="Calibri"/>
      <family val="2"/>
    </font>
    <font>
      <sz val="8"/>
      <color indexed="8"/>
      <name val="Arial"/>
      <family val="2"/>
    </font>
    <font>
      <b/>
      <sz val="9"/>
      <color indexed="9"/>
      <name val="Arial"/>
      <family val="2"/>
    </font>
    <font>
      <sz val="11"/>
      <color indexed="52"/>
      <name val="Calibri"/>
      <family val="2"/>
    </font>
    <font>
      <sz val="9"/>
      <name val="Arial"/>
      <family val="2"/>
    </font>
    <font>
      <sz val="12"/>
      <color indexed="14"/>
      <name val="Arial"/>
      <family val="2"/>
    </font>
    <font>
      <b/>
      <sz val="12"/>
      <name val="Arial"/>
      <family val="2"/>
    </font>
    <font>
      <sz val="11"/>
      <color indexed="60"/>
      <name val="Calibri"/>
      <family val="2"/>
    </font>
    <font>
      <sz val="8"/>
      <name val="Palatino"/>
      <family val="1"/>
    </font>
    <font>
      <sz val="10"/>
      <color indexed="16"/>
      <name val="Arial"/>
      <family val="2"/>
    </font>
    <font>
      <b/>
      <sz val="11"/>
      <color indexed="63"/>
      <name val="Calibri"/>
      <family val="2"/>
    </font>
    <font>
      <sz val="11"/>
      <color indexed="8"/>
      <name val="Arial"/>
      <family val="2"/>
    </font>
    <font>
      <sz val="8.5"/>
      <name val="Univers 55"/>
      <family val="2"/>
    </font>
    <font>
      <sz val="10"/>
      <color indexed="18"/>
      <name val="Times New Roman"/>
      <family val="1"/>
    </font>
    <font>
      <b/>
      <sz val="10"/>
      <name val="MS Sans Serif"/>
      <family val="2"/>
    </font>
    <font>
      <sz val="11"/>
      <color theme="1"/>
      <name val="Arial"/>
      <family val="2"/>
    </font>
    <font>
      <b/>
      <sz val="18"/>
      <color indexed="62"/>
      <name val="Cambria"/>
      <family val="2"/>
    </font>
    <font>
      <b/>
      <sz val="16"/>
      <color indexed="9"/>
      <name val="Arial"/>
      <family val="2"/>
    </font>
    <font>
      <b/>
      <sz val="12"/>
      <color indexed="9"/>
      <name val="Arial"/>
      <family val="2"/>
    </font>
    <font>
      <sz val="11"/>
      <color indexed="9"/>
      <name val="Arial"/>
      <family val="2"/>
    </font>
    <font>
      <b/>
      <sz val="14"/>
      <name val="Arial"/>
      <family val="2"/>
    </font>
    <font>
      <sz val="9"/>
      <color indexed="21"/>
      <name val="Helvetica-Black"/>
    </font>
    <font>
      <b/>
      <sz val="9"/>
      <name val="Palatino"/>
      <family val="1"/>
    </font>
    <font>
      <sz val="7"/>
      <name val="Palatino"/>
      <family val="1"/>
    </font>
    <font>
      <b/>
      <sz val="11"/>
      <color indexed="9"/>
      <name val="Arial"/>
      <family val="2"/>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0"/>
      <color theme="5" tint="-0.499984740745262"/>
      <name val="Arial"/>
      <family val="2"/>
    </font>
    <font>
      <sz val="11"/>
      <color indexed="10"/>
      <name val="Calibri"/>
      <family val="2"/>
    </font>
    <font>
      <b/>
      <sz val="11"/>
      <color theme="1"/>
      <name val="Calibri"/>
      <family val="2"/>
      <scheme val="minor"/>
    </font>
    <font>
      <sz val="11"/>
      <name val="Calibri"/>
      <family val="2"/>
      <scheme val="minor"/>
    </font>
    <font>
      <sz val="9"/>
      <color indexed="81"/>
      <name val="Tahoma"/>
      <family val="2"/>
    </font>
    <font>
      <b/>
      <sz val="16"/>
      <name val="Arial"/>
      <family val="2"/>
    </font>
    <font>
      <b/>
      <sz val="16"/>
      <color theme="0"/>
      <name val="Arial"/>
      <family val="2"/>
    </font>
    <font>
      <b/>
      <sz val="10"/>
      <color indexed="10"/>
      <name val="Arial"/>
      <family val="2"/>
    </font>
    <font>
      <b/>
      <sz val="9"/>
      <color indexed="10"/>
      <name val="Arial"/>
      <family val="2"/>
    </font>
    <font>
      <b/>
      <sz val="12"/>
      <color theme="0"/>
      <name val="Arial"/>
      <family val="2"/>
    </font>
    <font>
      <b/>
      <sz val="16"/>
      <color theme="0" tint="-4.9989318521683403E-2"/>
      <name val="Arial"/>
      <family val="2"/>
    </font>
    <font>
      <sz val="16"/>
      <color indexed="51"/>
      <name val="Arial"/>
      <family val="2"/>
    </font>
    <font>
      <sz val="10"/>
      <color indexed="51"/>
      <name val="Arial"/>
      <family val="2"/>
    </font>
    <font>
      <b/>
      <sz val="10"/>
      <color theme="0" tint="-4.9989318521683403E-2"/>
      <name val="Arial"/>
      <family val="2"/>
    </font>
    <font>
      <b/>
      <i/>
      <sz val="12"/>
      <color theme="0"/>
      <name val="Arial"/>
      <family val="2"/>
    </font>
    <font>
      <sz val="10"/>
      <color indexed="9"/>
      <name val="Arial"/>
      <family val="2"/>
    </font>
    <font>
      <b/>
      <sz val="10"/>
      <color indexed="51"/>
      <name val="Arial"/>
      <family val="2"/>
    </font>
    <font>
      <sz val="10"/>
      <color theme="4" tint="-0.249977111117893"/>
      <name val="Arial"/>
      <family val="2"/>
    </font>
    <font>
      <sz val="10"/>
      <color theme="0"/>
      <name val="Arial"/>
      <family val="2"/>
    </font>
    <font>
      <sz val="10"/>
      <color rgb="FFFFCC00"/>
      <name val="Arial"/>
      <family val="2"/>
    </font>
    <font>
      <b/>
      <sz val="12"/>
      <color rgb="FFFF0000"/>
      <name val="Calibri"/>
      <family val="2"/>
      <scheme val="minor"/>
    </font>
    <font>
      <b/>
      <sz val="10"/>
      <color rgb="FFFFCC00"/>
      <name val="Arial"/>
      <family val="2"/>
    </font>
    <font>
      <sz val="10"/>
      <color rgb="FFFFFFFF"/>
      <name val="Arial"/>
      <family val="2"/>
    </font>
    <font>
      <b/>
      <sz val="10"/>
      <color theme="1" tint="0.14999847407452621"/>
      <name val="Arial"/>
      <family val="2"/>
    </font>
    <font>
      <sz val="10"/>
      <color theme="4" tint="0.59999389629810485"/>
      <name val="Arial"/>
      <family val="2"/>
    </font>
    <font>
      <sz val="10"/>
      <color theme="0" tint="-0.499984740745262"/>
      <name val="Arial"/>
      <family val="2"/>
    </font>
    <font>
      <b/>
      <sz val="10"/>
      <color theme="0" tint="-0.499984740745262"/>
      <name val="Arial"/>
      <family val="2"/>
    </font>
    <font>
      <b/>
      <sz val="11"/>
      <color rgb="FFFF0000"/>
      <name val="Arial"/>
      <family val="2"/>
    </font>
    <font>
      <sz val="11"/>
      <color theme="5" tint="-0.249977111117893"/>
      <name val="Arial"/>
      <family val="2"/>
    </font>
    <font>
      <b/>
      <sz val="11"/>
      <color theme="5" tint="-0.249977111117893"/>
      <name val="Arial"/>
      <family val="2"/>
    </font>
    <font>
      <b/>
      <sz val="16"/>
      <color rgb="FFFF0000"/>
      <name val="Arial"/>
      <family val="2"/>
    </font>
    <font>
      <sz val="10"/>
      <color theme="5" tint="-0.249977111117893"/>
      <name val="Arial"/>
      <family val="2"/>
    </font>
    <font>
      <b/>
      <sz val="10"/>
      <color rgb="FFFF0000"/>
      <name val="Arial"/>
      <family val="2"/>
    </font>
    <font>
      <b/>
      <sz val="14"/>
      <color theme="1"/>
      <name val="Arial"/>
      <family val="2"/>
    </font>
    <font>
      <sz val="14"/>
      <color rgb="FFFF0000"/>
      <name val="Arial"/>
      <family val="2"/>
    </font>
    <font>
      <b/>
      <sz val="12"/>
      <color theme="1"/>
      <name val="Calibri"/>
      <family val="2"/>
      <scheme val="minor"/>
    </font>
    <font>
      <sz val="10"/>
      <color theme="7" tint="-0.249977111117893"/>
      <name val="Arial"/>
      <family val="2"/>
    </font>
    <font>
      <sz val="11"/>
      <color theme="8" tint="-0.249977111117893"/>
      <name val="Arial"/>
      <family val="2"/>
    </font>
    <font>
      <sz val="10"/>
      <color indexed="8"/>
      <name val="Arial"/>
      <family val="2"/>
    </font>
    <font>
      <sz val="11"/>
      <color rgb="FF44546A"/>
      <name val="Calibri"/>
      <family val="2"/>
      <scheme val="minor"/>
    </font>
    <font>
      <sz val="11"/>
      <color theme="0" tint="-0.34998626667073579"/>
      <name val="Arial"/>
      <family val="2"/>
    </font>
    <font>
      <sz val="11"/>
      <color theme="1"/>
      <name val="Calibri"/>
      <family val="2"/>
    </font>
    <font>
      <sz val="10"/>
      <color rgb="FF000000"/>
      <name val="Arial"/>
      <family val="2"/>
    </font>
    <font>
      <sz val="10"/>
      <color theme="0" tint="-0.34998626667073579"/>
      <name val="Arial"/>
      <family val="2"/>
    </font>
    <font>
      <b/>
      <sz val="10"/>
      <color rgb="FF000000"/>
      <name val="Arial"/>
      <family val="2"/>
    </font>
    <font>
      <b/>
      <sz val="11"/>
      <color rgb="FF000000"/>
      <name val="Arial"/>
      <family val="2"/>
    </font>
    <font>
      <sz val="11"/>
      <color rgb="FF000000"/>
      <name val="Arial"/>
      <family val="2"/>
    </font>
    <font>
      <sz val="10"/>
      <color rgb="FF808080"/>
      <name val="Arial"/>
      <family val="2"/>
    </font>
    <font>
      <sz val="9"/>
      <color rgb="FF808080"/>
      <name val="Arial"/>
      <family val="2"/>
    </font>
    <font>
      <b/>
      <sz val="9"/>
      <color indexed="81"/>
      <name val="Tahoma"/>
      <family val="2"/>
    </font>
    <font>
      <b/>
      <sz val="9"/>
      <color rgb="FF000000"/>
      <name val="Tahoma"/>
      <family val="2"/>
    </font>
    <font>
      <sz val="9"/>
      <color rgb="FF000000"/>
      <name val="Tahoma"/>
      <family val="2"/>
    </font>
    <font>
      <sz val="11"/>
      <color theme="1"/>
      <name val="Calibri"/>
      <family val="2"/>
      <scheme val="minor"/>
    </font>
    <font>
      <b/>
      <sz val="16"/>
      <color indexed="9"/>
      <name val="Arial"/>
      <family val="2"/>
    </font>
    <font>
      <b/>
      <sz val="10"/>
      <name val="Arial"/>
      <family val="2"/>
    </font>
    <font>
      <b/>
      <sz val="12"/>
      <color theme="0"/>
      <name val="Calibri"/>
      <family val="2"/>
      <scheme val="minor"/>
    </font>
    <font>
      <sz val="10"/>
      <name val="Arial"/>
      <family val="2"/>
    </font>
    <font>
      <i/>
      <sz val="10"/>
      <name val="Arial"/>
      <family val="2"/>
    </font>
    <font>
      <sz val="11"/>
      <name val="Arial"/>
      <family val="2"/>
    </font>
  </fonts>
  <fills count="89">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rgb="FFFFFFCC"/>
        <bgColor indexed="64"/>
      </patternFill>
    </fill>
    <fill>
      <patternFill patternType="solid">
        <fgColor theme="4" tint="0.59999389629810485"/>
        <bgColor indexed="64"/>
      </patternFill>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theme="1" tint="0.499984740745262"/>
        <bgColor indexed="64"/>
      </patternFill>
    </fill>
    <fill>
      <patternFill patternType="solid">
        <fgColor indexed="55"/>
      </patternFill>
    </fill>
    <fill>
      <patternFill patternType="solid">
        <fgColor theme="6" tint="0.39994506668294322"/>
        <bgColor indexed="64"/>
      </patternFill>
    </fill>
    <fill>
      <patternFill patternType="solid">
        <fgColor theme="4" tint="0.39997558519241921"/>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lightUp">
        <fgColor indexed="23"/>
        <bgColor auto="1"/>
      </patternFill>
    </fill>
    <fill>
      <patternFill patternType="solid">
        <fgColor indexed="42"/>
      </patternFill>
    </fill>
    <fill>
      <patternFill patternType="solid">
        <fgColor theme="0" tint="-0.14996795556505021"/>
        <bgColor indexed="64"/>
      </patternFill>
    </fill>
    <fill>
      <patternFill patternType="solid">
        <fgColor indexed="44"/>
        <bgColor indexed="64"/>
      </patternFill>
    </fill>
    <fill>
      <patternFill patternType="solid">
        <fgColor indexed="27"/>
        <bgColor indexed="64"/>
      </patternFill>
    </fill>
    <fill>
      <patternFill patternType="gray0625">
        <bgColor indexed="44"/>
      </patternFill>
    </fill>
    <fill>
      <patternFill patternType="solid">
        <fgColor indexed="42"/>
        <bgColor indexed="64"/>
      </patternFill>
    </fill>
    <fill>
      <patternFill patternType="solid">
        <fgColor theme="4" tint="-0.24994659260841701"/>
        <bgColor indexed="64"/>
      </patternFill>
    </fill>
    <fill>
      <patternFill patternType="solid">
        <fgColor indexed="62"/>
        <bgColor indexed="64"/>
      </patternFill>
    </fill>
    <fill>
      <patternFill patternType="mediumGray">
        <fgColor indexed="22"/>
      </patternFill>
    </fill>
    <fill>
      <patternFill patternType="solid">
        <fgColor theme="4" tint="-0.499984740745262"/>
        <bgColor indexed="64"/>
      </patternFill>
    </fill>
    <fill>
      <patternFill patternType="solid">
        <fgColor indexed="8"/>
        <bgColor indexed="64"/>
      </patternFill>
    </fill>
    <fill>
      <patternFill patternType="solid">
        <fgColor theme="6" tint="-0.499984740745262"/>
        <bgColor indexed="64"/>
      </patternFill>
    </fill>
    <fill>
      <patternFill patternType="solid">
        <fgColor theme="0" tint="-0.499984740745262"/>
        <bgColor indexed="64"/>
      </patternFill>
    </fill>
    <fill>
      <patternFill patternType="gray0625">
        <fgColor indexed="2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theme="7"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rgb="FFFFFF99"/>
        <bgColor indexed="64"/>
      </patternFill>
    </fill>
    <fill>
      <patternFill patternType="solid">
        <fgColor rgb="FFCCFF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DAEEF3"/>
        <bgColor rgb="FF000000"/>
      </patternFill>
    </fill>
    <fill>
      <patternFill patternType="solid">
        <fgColor theme="5" tint="0.59999389629810485"/>
        <bgColor indexed="64"/>
      </patternFill>
    </fill>
    <fill>
      <patternFill patternType="solid">
        <fgColor rgb="FFB8CCE4"/>
        <bgColor rgb="FF000000"/>
      </patternFill>
    </fill>
    <fill>
      <patternFill patternType="solid">
        <fgColor theme="9" tint="0.39997558519241921"/>
        <bgColor rgb="FF000000"/>
      </patternFill>
    </fill>
    <fill>
      <patternFill patternType="solid">
        <fgColor rgb="FFFABF8F"/>
        <bgColor rgb="FF000000"/>
      </patternFill>
    </fill>
    <fill>
      <patternFill patternType="solid">
        <fgColor rgb="FFFCD5B4"/>
        <bgColor rgb="FF000000"/>
      </patternFill>
    </fill>
    <fill>
      <patternFill patternType="solid">
        <fgColor theme="6" tint="0.39997558519241921"/>
        <bgColor rgb="FF000000"/>
      </patternFill>
    </fill>
    <fill>
      <patternFill patternType="solid">
        <fgColor theme="7" tint="0.59999389629810485"/>
        <bgColor rgb="FF000000"/>
      </patternFill>
    </fill>
    <fill>
      <patternFill patternType="solid">
        <fgColor theme="6" tint="0.79998168889431442"/>
        <bgColor rgb="FF000000"/>
      </patternFill>
    </fill>
    <fill>
      <patternFill patternType="solid">
        <fgColor rgb="FFE4DFEC"/>
        <bgColor rgb="FF000000"/>
      </patternFill>
    </fill>
    <fill>
      <patternFill patternType="solid">
        <fgColor rgb="FFCCC0DA"/>
        <bgColor rgb="FF000000"/>
      </patternFill>
    </fill>
    <fill>
      <patternFill patternType="solid">
        <fgColor theme="7" tint="0.79998168889431442"/>
        <bgColor rgb="FF000000"/>
      </patternFill>
    </fill>
    <fill>
      <patternFill patternType="solid">
        <fgColor theme="0" tint="-0.14999847407452621"/>
        <bgColor rgb="FF000000"/>
      </patternFill>
    </fill>
  </fills>
  <borders count="231">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medium">
        <color auto="1"/>
      </left>
      <right/>
      <top style="medium">
        <color auto="1"/>
      </top>
      <bottom style="medium">
        <color indexed="64"/>
      </bottom>
      <diagonal/>
    </border>
    <border>
      <left style="medium">
        <color indexed="64"/>
      </left>
      <right style="thin">
        <color indexed="64"/>
      </right>
      <top/>
      <bottom/>
      <diagonal/>
    </border>
    <border>
      <left style="medium">
        <color indexed="64"/>
      </left>
      <right style="medium">
        <color auto="1"/>
      </right>
      <top/>
      <bottom style="thin">
        <color auto="1"/>
      </bottom>
      <diagonal/>
    </border>
    <border>
      <left/>
      <right style="thin">
        <color auto="1"/>
      </right>
      <top/>
      <bottom style="medium">
        <color auto="1"/>
      </bottom>
      <diagonal/>
    </border>
    <border>
      <left style="medium">
        <color indexed="18"/>
      </left>
      <right style="medium">
        <color indexed="18"/>
      </right>
      <top style="medium">
        <color indexed="18"/>
      </top>
      <bottom style="medium">
        <color indexed="18"/>
      </bottom>
      <diagonal/>
    </border>
    <border>
      <left style="thin">
        <color indexed="23"/>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thin">
        <color theme="0" tint="-0.34998626667073579"/>
      </top>
      <bottom style="thin">
        <color theme="0" tint="-0.34998626667073579"/>
      </bottom>
      <diagonal/>
    </border>
    <border>
      <left/>
      <right/>
      <top/>
      <bottom style="thin">
        <color indexed="64"/>
      </bottom>
      <diagonal/>
    </border>
    <border>
      <left style="thin">
        <color indexed="64"/>
      </left>
      <right/>
      <top/>
      <bottom/>
      <diagonal/>
    </border>
    <border>
      <left/>
      <right/>
      <top style="thin">
        <color indexed="49"/>
      </top>
      <bottom style="double">
        <color indexed="49"/>
      </bottom>
      <diagonal/>
    </border>
    <border>
      <left style="thin">
        <color indexed="64"/>
      </left>
      <right style="thin">
        <color indexed="64"/>
      </right>
      <top/>
      <bottom style="medium">
        <color auto="1"/>
      </bottom>
      <diagonal/>
    </border>
    <border>
      <left/>
      <right/>
      <top style="medium">
        <color auto="1"/>
      </top>
      <bottom/>
      <diagonal/>
    </border>
    <border>
      <left/>
      <right style="medium">
        <color indexed="64"/>
      </right>
      <top style="medium">
        <color indexed="64"/>
      </top>
      <bottom/>
      <diagonal/>
    </border>
    <border>
      <left style="medium">
        <color auto="1"/>
      </left>
      <right/>
      <top style="medium">
        <color auto="1"/>
      </top>
      <bottom/>
      <diagonal/>
    </border>
    <border>
      <left/>
      <right style="medium">
        <color indexed="64"/>
      </right>
      <top/>
      <bottom/>
      <diagonal/>
    </border>
    <border>
      <left style="medium">
        <color auto="1"/>
      </left>
      <right/>
      <top/>
      <bottom/>
      <diagonal/>
    </border>
    <border>
      <left style="medium">
        <color indexed="64"/>
      </left>
      <right/>
      <top/>
      <bottom style="medium">
        <color indexed="64"/>
      </bottom>
      <diagonal/>
    </border>
    <border>
      <left/>
      <right style="thin">
        <color indexed="64"/>
      </right>
      <top style="thin">
        <color indexed="64"/>
      </top>
      <bottom/>
      <diagonal/>
    </border>
    <border>
      <left style="medium">
        <color auto="1"/>
      </left>
      <right/>
      <top style="thin">
        <color auto="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theme="0" tint="-0.34998626667073579"/>
      </bottom>
      <diagonal/>
    </border>
    <border>
      <left style="medium">
        <color indexed="18"/>
      </left>
      <right style="medium">
        <color indexed="18"/>
      </right>
      <top style="medium">
        <color indexed="18"/>
      </top>
      <bottom style="medium">
        <color indexed="18"/>
      </bottom>
      <diagonal/>
    </border>
    <border>
      <left style="thin">
        <color indexed="23"/>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right/>
      <top/>
      <bottom style="medium">
        <color indexed="3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medium">
        <color auto="1"/>
      </right>
      <top style="medium">
        <color auto="1"/>
      </top>
      <bottom style="medium">
        <color auto="1"/>
      </bottom>
      <diagonal/>
    </border>
    <border>
      <left style="medium">
        <color indexed="64"/>
      </left>
      <right style="medium">
        <color indexed="64"/>
      </right>
      <top style="thin">
        <color auto="1"/>
      </top>
      <bottom style="thin">
        <color auto="1"/>
      </bottom>
      <diagonal/>
    </border>
    <border>
      <left style="medium">
        <color auto="1"/>
      </left>
      <right style="medium">
        <color auto="1"/>
      </right>
      <top style="thin">
        <color auto="1"/>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auto="1"/>
      </right>
      <top/>
      <bottom style="thin">
        <color auto="1"/>
      </bottom>
      <diagonal/>
    </border>
    <border>
      <left style="medium">
        <color indexed="64"/>
      </left>
      <right/>
      <top style="medium">
        <color indexed="64"/>
      </top>
      <bottom style="thin">
        <color theme="0" tint="-0.34998626667073579"/>
      </bottom>
      <diagonal/>
    </border>
    <border>
      <left/>
      <right style="thin">
        <color theme="0" tint="-0.24994659260841701"/>
      </right>
      <top/>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diagonal/>
    </border>
    <border>
      <left/>
      <right/>
      <top style="medium">
        <color auto="1"/>
      </top>
      <bottom style="medium">
        <color auto="1"/>
      </bottom>
      <diagonal/>
    </border>
    <border>
      <left style="medium">
        <color indexed="64"/>
      </left>
      <right/>
      <top style="thin">
        <color theme="0" tint="-0.24994659260841701"/>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auto="1"/>
      </top>
      <bottom style="thin">
        <color theme="0" tint="-0.24994659260841701"/>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right style="medium">
        <color indexed="64"/>
      </right>
      <top style="medium">
        <color auto="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auto="1"/>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auto="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top style="thin">
        <color theme="0" tint="-0.24994659260841701"/>
      </top>
      <bottom style="medium">
        <color indexed="64"/>
      </bottom>
      <diagonal/>
    </border>
    <border>
      <left/>
      <right/>
      <top style="thin">
        <color theme="0" tint="-0.24994659260841701"/>
      </top>
      <bottom style="medium">
        <color indexed="64"/>
      </bottom>
      <diagonal/>
    </border>
    <border>
      <left/>
      <right style="medium">
        <color auto="1"/>
      </right>
      <top style="thin">
        <color theme="0" tint="-0.24994659260841701"/>
      </top>
      <bottom style="medium">
        <color auto="1"/>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top/>
      <bottom style="thin">
        <color indexed="64"/>
      </bottom>
      <diagonal/>
    </border>
    <border>
      <left style="medium">
        <color indexed="64"/>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medium">
        <color indexed="64"/>
      </right>
      <top/>
      <bottom style="thin">
        <color theme="0" tint="-0.24994659260841701"/>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medium">
        <color indexed="64"/>
      </right>
      <top style="thin">
        <color theme="0" tint="-0.24994659260841701"/>
      </top>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theme="0" tint="-0.24994659260841701"/>
      </right>
      <top/>
      <bottom style="medium">
        <color indexed="64"/>
      </bottom>
      <diagonal/>
    </border>
    <border>
      <left style="thin">
        <color theme="0" tint="-0.24994659260841701"/>
      </left>
      <right style="thin">
        <color indexed="64"/>
      </right>
      <top/>
      <bottom style="medium">
        <color indexed="64"/>
      </bottom>
      <diagonal/>
    </border>
    <border>
      <left style="thin">
        <color theme="0" tint="-0.24994659260841701"/>
      </left>
      <right style="thin">
        <color theme="0" tint="-0.24994659260841701"/>
      </right>
      <top/>
      <bottom/>
      <diagonal/>
    </border>
    <border>
      <left style="thin">
        <color theme="0" tint="-0.24994659260841701"/>
      </left>
      <right style="medium">
        <color indexed="64"/>
      </right>
      <top/>
      <bottom/>
      <diagonal/>
    </border>
    <border>
      <left style="thin">
        <color theme="0" tint="-0.24994659260841701"/>
      </left>
      <right/>
      <top/>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theme="0" tint="-0.24994659260841701"/>
      </left>
      <right style="thin">
        <color indexed="64"/>
      </right>
      <top style="medium">
        <color auto="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rgb="FF808080"/>
      </left>
      <right/>
      <top/>
      <bottom/>
      <diagonal/>
    </border>
    <border>
      <left/>
      <right style="thin">
        <color theme="0" tint="-0.24994659260841701"/>
      </right>
      <top style="thin">
        <color theme="0" tint="-0.24994659260841701"/>
      </top>
      <bottom style="thin">
        <color theme="0" tint="-0.24994659260841701"/>
      </bottom>
      <diagonal/>
    </border>
    <border>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24994659260841701"/>
      </left>
      <right style="thin">
        <color indexed="64"/>
      </right>
      <top style="thin">
        <color theme="0" tint="-0.24994659260841701"/>
      </top>
      <bottom/>
      <diagonal/>
    </border>
    <border>
      <left style="thin">
        <color theme="0" tint="-0.24994659260841701"/>
      </left>
      <right style="thin">
        <color indexed="64"/>
      </right>
      <top style="thin">
        <color theme="0" tint="-0.24994659260841701"/>
      </top>
      <bottom style="medium">
        <color auto="1"/>
      </bottom>
      <diagonal/>
    </border>
    <border>
      <left style="medium">
        <color indexed="64"/>
      </left>
      <right style="thin">
        <color theme="0" tint="-0.34998626667073579"/>
      </right>
      <top style="thin">
        <color theme="0" tint="-0.34998626667073579"/>
      </top>
      <bottom style="medium">
        <color auto="1"/>
      </bottom>
      <diagonal/>
    </border>
    <border>
      <left/>
      <right/>
      <top/>
      <bottom style="medium">
        <color indexed="64"/>
      </bottom>
      <diagonal/>
    </border>
    <border>
      <left style="medium">
        <color rgb="FFFF0000"/>
      </left>
      <right/>
      <top style="medium">
        <color rgb="FFFF0000"/>
      </top>
      <bottom style="medium">
        <color auto="1"/>
      </bottom>
      <diagonal/>
    </border>
    <border>
      <left/>
      <right/>
      <top style="medium">
        <color rgb="FFFF0000"/>
      </top>
      <bottom style="medium">
        <color auto="1"/>
      </bottom>
      <diagonal/>
    </border>
    <border>
      <left/>
      <right style="medium">
        <color rgb="FFFF0000"/>
      </right>
      <top style="medium">
        <color rgb="FFFF0000"/>
      </top>
      <bottom style="medium">
        <color auto="1"/>
      </bottom>
      <diagonal/>
    </border>
    <border>
      <left style="medium">
        <color auto="1"/>
      </left>
      <right/>
      <top/>
      <bottom style="medium">
        <color indexed="64"/>
      </bottom>
      <diagonal/>
    </border>
    <border>
      <left style="medium">
        <color indexed="64"/>
      </left>
      <right style="thin">
        <color rgb="FFBFBFBF"/>
      </right>
      <top style="medium">
        <color indexed="64"/>
      </top>
      <bottom style="medium">
        <color auto="1"/>
      </bottom>
      <diagonal/>
    </border>
    <border>
      <left style="thin">
        <color rgb="FFBFBFBF"/>
      </left>
      <right style="thin">
        <color rgb="FFBFBFBF"/>
      </right>
      <top style="medium">
        <color indexed="64"/>
      </top>
      <bottom style="medium">
        <color auto="1"/>
      </bottom>
      <diagonal/>
    </border>
    <border>
      <left style="thin">
        <color rgb="FFBFBFBF"/>
      </left>
      <right/>
      <top style="medium">
        <color indexed="64"/>
      </top>
      <bottom style="medium">
        <color auto="1"/>
      </bottom>
      <diagonal/>
    </border>
    <border>
      <left style="medium">
        <color rgb="FFFF0000"/>
      </left>
      <right style="thin">
        <color indexed="64"/>
      </right>
      <top style="medium">
        <color indexed="64"/>
      </top>
      <bottom style="medium">
        <color auto="1"/>
      </bottom>
      <diagonal/>
    </border>
    <border>
      <left style="thin">
        <color rgb="FFBFBFBF"/>
      </left>
      <right style="thin">
        <color indexed="64"/>
      </right>
      <top style="medium">
        <color indexed="64"/>
      </top>
      <bottom style="medium">
        <color auto="1"/>
      </bottom>
      <diagonal/>
    </border>
    <border>
      <left style="thin">
        <color rgb="FFBFBFBF"/>
      </left>
      <right style="medium">
        <color rgb="FFFF0000"/>
      </right>
      <top style="medium">
        <color indexed="64"/>
      </top>
      <bottom style="medium">
        <color indexed="64"/>
      </bottom>
      <diagonal/>
    </border>
    <border>
      <left style="medium">
        <color auto="1"/>
      </left>
      <right style="medium">
        <color indexed="64"/>
      </right>
      <top style="medium">
        <color auto="1"/>
      </top>
      <bottom style="thin">
        <color theme="0" tint="-0.24994659260841701"/>
      </bottom>
      <diagonal/>
    </border>
    <border>
      <left style="medium">
        <color indexed="64"/>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style="medium">
        <color rgb="FFFF0000"/>
      </left>
      <right/>
      <top/>
      <bottom/>
      <diagonal/>
    </border>
    <border>
      <left style="thin">
        <color theme="0" tint="-0.24994659260841701"/>
      </left>
      <right style="medium">
        <color rgb="FFFF0000"/>
      </right>
      <top/>
      <bottom style="thin">
        <color theme="0" tint="-0.24994659260841701"/>
      </bottom>
      <diagonal/>
    </border>
    <border>
      <left/>
      <right style="medium">
        <color rgb="FFFF0000"/>
      </right>
      <top/>
      <bottom/>
      <diagonal/>
    </border>
    <border>
      <left style="medium">
        <color indexed="64"/>
      </left>
      <right style="medium">
        <color auto="1"/>
      </right>
      <top style="thin">
        <color theme="0" tint="-0.24994659260841701"/>
      </top>
      <bottom style="thin">
        <color theme="0" tint="-0.24994659260841701"/>
      </bottom>
      <diagonal/>
    </border>
    <border>
      <left style="medium">
        <color indexed="64"/>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style="thin">
        <color theme="0" tint="-0.24994659260841701"/>
      </left>
      <right style="medium">
        <color rgb="FFFF0000"/>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rgb="FFFF0000"/>
      </left>
      <right style="thin">
        <color theme="0" tint="-0.24994659260841701"/>
      </right>
      <top style="thin">
        <color theme="0" tint="-0.24994659260841701"/>
      </top>
      <bottom style="thin">
        <color theme="0" tint="-0.24994659260841701"/>
      </bottom>
      <diagonal/>
    </border>
    <border>
      <left style="medium">
        <color auto="1"/>
      </left>
      <right style="medium">
        <color auto="1"/>
      </right>
      <top style="thin">
        <color theme="0" tint="-0.24994659260841701"/>
      </top>
      <bottom style="medium">
        <color auto="1"/>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auto="1"/>
      </left>
      <right style="thin">
        <color auto="1"/>
      </right>
      <top/>
      <bottom style="thin">
        <color theme="0" tint="-0.24994659260841701"/>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rgb="FFBFBFBF"/>
      </right>
      <top style="thin">
        <color rgb="FFBFBFBF"/>
      </top>
      <bottom style="medium">
        <color auto="1"/>
      </bottom>
      <diagonal/>
    </border>
    <border>
      <left style="thin">
        <color rgb="FFBFBFBF"/>
      </left>
      <right style="thin">
        <color rgb="FFBFBFBF"/>
      </right>
      <top style="thin">
        <color rgb="FFBFBFBF"/>
      </top>
      <bottom style="medium">
        <color indexed="64"/>
      </bottom>
      <diagonal/>
    </border>
    <border>
      <left style="thin">
        <color rgb="FFBFBFBF"/>
      </left>
      <right/>
      <top style="thin">
        <color rgb="FFBFBFBF"/>
      </top>
      <bottom style="medium">
        <color auto="1"/>
      </bottom>
      <diagonal/>
    </border>
    <border>
      <left style="medium">
        <color rgb="FFFF0000"/>
      </left>
      <right style="thin">
        <color theme="0" tint="-0.24994659260841701"/>
      </right>
      <top style="thin">
        <color theme="0" tint="-0.24994659260841701"/>
      </top>
      <bottom style="medium">
        <color auto="1"/>
      </bottom>
      <diagonal/>
    </border>
    <border>
      <left style="thin">
        <color theme="0" tint="-0.24994659260841701"/>
      </left>
      <right style="medium">
        <color rgb="FFFF0000"/>
      </right>
      <top style="thin">
        <color theme="0" tint="-0.24994659260841701"/>
      </top>
      <bottom style="medium">
        <color indexed="64"/>
      </bottom>
      <diagonal/>
    </border>
    <border>
      <left style="medium">
        <color auto="1"/>
      </left>
      <right style="thin">
        <color indexed="64"/>
      </right>
      <top style="thin">
        <color theme="0" tint="-0.24994659260841701"/>
      </top>
      <bottom style="medium">
        <color auto="1"/>
      </bottom>
      <diagonal/>
    </border>
    <border>
      <left style="thin">
        <color theme="0" tint="-0.24994659260841701"/>
      </left>
      <right style="thin">
        <color indexed="64"/>
      </right>
      <top style="medium">
        <color indexed="64"/>
      </top>
      <bottom style="medium">
        <color indexed="64"/>
      </bottom>
      <diagonal/>
    </border>
    <border>
      <left style="medium">
        <color rgb="FFFF0000"/>
      </left>
      <right/>
      <top style="medium">
        <color indexed="64"/>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rgb="FFFF0000"/>
      </left>
      <right style="thin">
        <color theme="0" tint="-0.24994659260841701"/>
      </right>
      <top style="medium">
        <color indexed="64"/>
      </top>
      <bottom/>
      <diagonal/>
    </border>
    <border>
      <left style="thin">
        <color theme="0" tint="-0.24994659260841701"/>
      </left>
      <right style="medium">
        <color indexed="64"/>
      </right>
      <top style="medium">
        <color indexed="64"/>
      </top>
      <bottom/>
      <diagonal/>
    </border>
    <border>
      <left/>
      <right style="medium">
        <color indexed="64"/>
      </right>
      <top style="medium">
        <color indexed="64"/>
      </top>
      <bottom style="thin">
        <color theme="0" tint="-0.34998626667073579"/>
      </bottom>
      <diagonal/>
    </border>
    <border>
      <left style="medium">
        <color rgb="FFFF0000"/>
      </left>
      <right style="thin">
        <color theme="0" tint="-0.24994659260841701"/>
      </right>
      <top style="medium">
        <color indexed="64"/>
      </top>
      <bottom style="thin">
        <color theme="0" tint="-0.24994659260841701"/>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theme="0" tint="-0.34998626667073579"/>
      </top>
      <bottom style="medium">
        <color indexed="64"/>
      </bottom>
      <diagonal/>
    </border>
    <border>
      <left style="medium">
        <color rgb="FFFF0000"/>
      </left>
      <right style="thin">
        <color theme="0" tint="-0.24994659260841701"/>
      </right>
      <top style="thin">
        <color theme="0" tint="-0.24994659260841701"/>
      </top>
      <bottom style="medium">
        <color rgb="FFFF0000"/>
      </bottom>
      <diagonal/>
    </border>
    <border>
      <left style="thin">
        <color theme="0" tint="-0.24994659260841701"/>
      </left>
      <right style="thin">
        <color theme="0" tint="-0.24994659260841701"/>
      </right>
      <top style="thin">
        <color theme="0" tint="-0.24994659260841701"/>
      </top>
      <bottom style="medium">
        <color rgb="FFFF0000"/>
      </bottom>
      <diagonal/>
    </border>
    <border>
      <left style="thin">
        <color theme="0" tint="-0.24994659260841701"/>
      </left>
      <right style="thin">
        <color indexed="64"/>
      </right>
      <top style="thin">
        <color theme="0" tint="-0.24994659260841701"/>
      </top>
      <bottom style="medium">
        <color rgb="FFFF0000"/>
      </bottom>
      <diagonal/>
    </border>
    <border>
      <left/>
      <right style="medium">
        <color rgb="FFFF0000"/>
      </right>
      <top/>
      <bottom style="medium">
        <color rgb="FFFF0000"/>
      </bottom>
      <diagonal/>
    </border>
    <border>
      <left style="medium">
        <color rgb="FFFF0000"/>
      </left>
      <right/>
      <top/>
      <bottom style="medium">
        <color rgb="FFFF0000"/>
      </bottom>
      <diagonal/>
    </border>
    <border>
      <left/>
      <right/>
      <top/>
      <bottom style="medium">
        <color rgb="FFFF0000"/>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theme="8" tint="-0.249977111117893"/>
      </left>
      <right/>
      <top style="medium">
        <color theme="8" tint="-0.249977111117893"/>
      </top>
      <bottom/>
      <diagonal/>
    </border>
    <border>
      <left/>
      <right/>
      <top style="medium">
        <color theme="8" tint="-0.249977111117893"/>
      </top>
      <bottom/>
      <diagonal/>
    </border>
    <border>
      <left/>
      <right style="medium">
        <color theme="8" tint="-0.249977111117893"/>
      </right>
      <top style="medium">
        <color theme="8" tint="-0.249977111117893"/>
      </top>
      <bottom/>
      <diagonal/>
    </border>
    <border>
      <left style="medium">
        <color theme="9" tint="-0.249977111117893"/>
      </left>
      <right style="thin">
        <color rgb="FFA6A6A6"/>
      </right>
      <top style="medium">
        <color auto="1"/>
      </top>
      <bottom style="medium">
        <color auto="1"/>
      </bottom>
      <diagonal/>
    </border>
    <border>
      <left style="thin">
        <color rgb="FFA6A6A6"/>
      </left>
      <right style="thin">
        <color rgb="FFA6A6A6"/>
      </right>
      <top style="medium">
        <color indexed="64"/>
      </top>
      <bottom style="medium">
        <color indexed="64"/>
      </bottom>
      <diagonal/>
    </border>
    <border>
      <left style="medium">
        <color auto="1"/>
      </left>
      <right style="thin">
        <color rgb="FFA6A6A6"/>
      </right>
      <top style="medium">
        <color auto="1"/>
      </top>
      <bottom style="medium">
        <color auto="1"/>
      </bottom>
      <diagonal/>
    </border>
    <border>
      <left style="thin">
        <color rgb="FFBFBFBF"/>
      </left>
      <right style="medium">
        <color theme="9" tint="-0.249977111117893"/>
      </right>
      <top style="medium">
        <color indexed="64"/>
      </top>
      <bottom style="medium">
        <color indexed="64"/>
      </bottom>
      <diagonal/>
    </border>
    <border>
      <left style="medium">
        <color theme="8" tint="-0.249977111117893"/>
      </left>
      <right style="thin">
        <color theme="0" tint="-0.24994659260841701"/>
      </right>
      <top style="medium">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right style="medium">
        <color theme="8" tint="-0.249977111117893"/>
      </right>
      <top style="medium">
        <color indexed="64"/>
      </top>
      <bottom style="medium">
        <color indexed="64"/>
      </bottom>
      <diagonal/>
    </border>
    <border>
      <left style="medium">
        <color theme="9" tint="-0.249977111117893"/>
      </left>
      <right style="thin">
        <color rgb="FFA6A6A6"/>
      </right>
      <top/>
      <bottom style="thin">
        <color rgb="FFA6A6A6"/>
      </bottom>
      <diagonal/>
    </border>
    <border>
      <left style="thin">
        <color rgb="FFA6A6A6"/>
      </left>
      <right style="thin">
        <color rgb="FFA6A6A6"/>
      </right>
      <top/>
      <bottom style="thin">
        <color rgb="FFA6A6A6"/>
      </bottom>
      <diagonal/>
    </border>
    <border>
      <left style="medium">
        <color indexed="64"/>
      </left>
      <right style="thin">
        <color rgb="FFA6A6A6"/>
      </right>
      <top/>
      <bottom style="thin">
        <color rgb="FFA6A6A6"/>
      </bottom>
      <diagonal/>
    </border>
    <border>
      <left style="thin">
        <color rgb="FFBFBFBF"/>
      </left>
      <right style="medium">
        <color theme="9" tint="-0.249977111117893"/>
      </right>
      <top/>
      <bottom style="thin">
        <color rgb="FFBFBFBF"/>
      </bottom>
      <diagonal/>
    </border>
    <border>
      <left style="medium">
        <color theme="8" tint="-0.249977111117893"/>
      </left>
      <right/>
      <top/>
      <bottom/>
      <diagonal/>
    </border>
    <border>
      <left style="thin">
        <color theme="0" tint="-0.24994659260841701"/>
      </left>
      <right style="thin">
        <color indexed="64"/>
      </right>
      <top/>
      <bottom style="thin">
        <color theme="0" tint="-0.24994659260841701"/>
      </bottom>
      <diagonal/>
    </border>
    <border>
      <left/>
      <right style="medium">
        <color theme="8" tint="-0.249977111117893"/>
      </right>
      <top/>
      <bottom/>
      <diagonal/>
    </border>
    <border>
      <left style="medium">
        <color theme="9" tint="-0.249977111117893"/>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medium">
        <color indexed="64"/>
      </left>
      <right style="thin">
        <color rgb="FFA6A6A6"/>
      </right>
      <top style="thin">
        <color rgb="FFA6A6A6"/>
      </top>
      <bottom style="thin">
        <color rgb="FFA6A6A6"/>
      </bottom>
      <diagonal/>
    </border>
    <border>
      <left style="thin">
        <color rgb="FFBFBFBF"/>
      </left>
      <right style="medium">
        <color theme="9" tint="-0.249977111117893"/>
      </right>
      <top style="thin">
        <color rgb="FFBFBFBF"/>
      </top>
      <bottom style="thin">
        <color rgb="FFBFBFBF"/>
      </bottom>
      <diagonal/>
    </border>
    <border>
      <left style="medium">
        <color theme="9" tint="-0.249977111117893"/>
      </left>
      <right style="thin">
        <color rgb="FFA6A6A6"/>
      </right>
      <top style="thin">
        <color rgb="FFA6A6A6"/>
      </top>
      <bottom style="thin">
        <color rgb="FFBFBFBF"/>
      </bottom>
      <diagonal/>
    </border>
    <border>
      <left style="thin">
        <color rgb="FFA6A6A6"/>
      </left>
      <right style="thin">
        <color rgb="FFA6A6A6"/>
      </right>
      <top style="thin">
        <color rgb="FFA6A6A6"/>
      </top>
      <bottom style="thin">
        <color rgb="FFBFBFBF"/>
      </bottom>
      <diagonal/>
    </border>
    <border>
      <left style="medium">
        <color indexed="64"/>
      </left>
      <right style="thin">
        <color rgb="FFA6A6A6"/>
      </right>
      <top style="thin">
        <color rgb="FFA6A6A6"/>
      </top>
      <bottom style="thin">
        <color rgb="FFBFBFBF"/>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thin">
        <color theme="0" tint="-0.24994659260841701"/>
      </right>
      <top style="medium">
        <color auto="1"/>
      </top>
      <bottom style="thin">
        <color theme="0" tint="-0.24994659260841701"/>
      </bottom>
      <diagonal/>
    </border>
    <border>
      <left style="medium">
        <color theme="9" tint="-0.249977111117893"/>
      </left>
      <right style="thin">
        <color theme="0" tint="-0.24994659260841701"/>
      </right>
      <top style="thin">
        <color theme="0" tint="-0.24994659260841701"/>
      </top>
      <bottom style="thin">
        <color theme="0" tint="-0.24994659260841701"/>
      </bottom>
      <diagonal/>
    </border>
    <border>
      <left/>
      <right/>
      <top style="medium">
        <color auto="1"/>
      </top>
      <bottom style="thin">
        <color rgb="FFBFBFBF"/>
      </bottom>
      <diagonal/>
    </border>
    <border>
      <left style="medium">
        <color indexed="64"/>
      </left>
      <right style="thin">
        <color indexed="64"/>
      </right>
      <top style="medium">
        <color indexed="64"/>
      </top>
      <bottom style="thin">
        <color rgb="FFBFBFBF"/>
      </bottom>
      <diagonal/>
    </border>
    <border>
      <left/>
      <right style="medium">
        <color indexed="64"/>
      </right>
      <top style="thin">
        <color rgb="FFBFBFBF"/>
      </top>
      <bottom style="thin">
        <color rgb="FFBFBFBF"/>
      </bottom>
      <diagonal/>
    </border>
    <border>
      <left style="medium">
        <color indexed="64"/>
      </left>
      <right style="medium">
        <color indexed="64"/>
      </right>
      <top/>
      <bottom style="thin">
        <color rgb="FFBFBFBF"/>
      </bottom>
      <diagonal/>
    </border>
    <border>
      <left/>
      <right/>
      <top style="thin">
        <color rgb="FFBFBFBF"/>
      </top>
      <bottom style="thin">
        <color rgb="FFBFBFBF"/>
      </bottom>
      <diagonal/>
    </border>
    <border>
      <left style="medium">
        <color auto="1"/>
      </left>
      <right style="thin">
        <color auto="1"/>
      </right>
      <top style="thin">
        <color rgb="FFBFBFBF"/>
      </top>
      <bottom style="thin">
        <color rgb="FFBFBFBF"/>
      </bottom>
      <diagonal/>
    </border>
    <border>
      <left style="medium">
        <color indexed="64"/>
      </left>
      <right style="medium">
        <color indexed="64"/>
      </right>
      <top style="thin">
        <color rgb="FFBFBFBF"/>
      </top>
      <bottom style="thin">
        <color rgb="FFBFBFBF"/>
      </bottom>
      <diagonal/>
    </border>
    <border>
      <left style="medium">
        <color theme="8" tint="-0.249977111117893"/>
      </left>
      <right/>
      <top/>
      <bottom style="medium">
        <color theme="8" tint="-0.249977111117893"/>
      </bottom>
      <diagonal/>
    </border>
    <border>
      <left style="medium">
        <color indexed="64"/>
      </left>
      <right style="thin">
        <color theme="0" tint="-0.24994659260841701"/>
      </right>
      <top style="thin">
        <color theme="0" tint="-0.24994659260841701"/>
      </top>
      <bottom style="medium">
        <color theme="8" tint="-0.249977111117893"/>
      </bottom>
      <diagonal/>
    </border>
    <border>
      <left style="thin">
        <color theme="0" tint="-0.24994659260841701"/>
      </left>
      <right style="thin">
        <color indexed="64"/>
      </right>
      <top style="thin">
        <color theme="0" tint="-0.24994659260841701"/>
      </top>
      <bottom style="medium">
        <color theme="8" tint="-0.249977111117893"/>
      </bottom>
      <diagonal/>
    </border>
    <border>
      <left/>
      <right/>
      <top/>
      <bottom style="medium">
        <color theme="8" tint="-0.249977111117893"/>
      </bottom>
      <diagonal/>
    </border>
    <border>
      <left/>
      <right style="medium">
        <color theme="8" tint="-0.249977111117893"/>
      </right>
      <top/>
      <bottom style="medium">
        <color theme="8" tint="-0.249977111117893"/>
      </bottom>
      <diagonal/>
    </border>
    <border>
      <left/>
      <right/>
      <top/>
      <bottom style="thin">
        <color rgb="FFBFBFBF"/>
      </bottom>
      <diagonal/>
    </border>
    <border>
      <left style="medium">
        <color indexed="64"/>
      </left>
      <right style="thin">
        <color indexed="64"/>
      </right>
      <top style="thin">
        <color rgb="FFBFBFBF"/>
      </top>
      <bottom style="medium">
        <color auto="1"/>
      </bottom>
      <diagonal/>
    </border>
    <border>
      <left style="thin">
        <color indexed="64"/>
      </left>
      <right style="medium">
        <color indexed="64"/>
      </right>
      <top style="thin">
        <color rgb="FFBFBFBF"/>
      </top>
      <bottom style="medium">
        <color indexed="64"/>
      </bottom>
      <diagonal/>
    </border>
    <border>
      <left style="medium">
        <color theme="9" tint="-0.249977111117893"/>
      </left>
      <right style="thin">
        <color theme="0" tint="-0.24994659260841701"/>
      </right>
      <top style="thin">
        <color theme="0" tint="-0.24994659260841701"/>
      </top>
      <bottom style="medium">
        <color theme="9" tint="-0.249977111117893"/>
      </bottom>
      <diagonal/>
    </border>
    <border>
      <left style="thin">
        <color theme="0" tint="-0.24994659260841701"/>
      </left>
      <right style="thin">
        <color theme="0" tint="-0.24994659260841701"/>
      </right>
      <top style="thin">
        <color theme="0" tint="-0.24994659260841701"/>
      </top>
      <bottom style="medium">
        <color theme="9" tint="-0.249977111117893"/>
      </bottom>
      <diagonal/>
    </border>
    <border>
      <left style="thin">
        <color theme="0" tint="-0.24994659260841701"/>
      </left>
      <right style="thin">
        <color indexed="64"/>
      </right>
      <top style="thin">
        <color theme="0" tint="-0.24994659260841701"/>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right style="thin">
        <color auto="1"/>
      </right>
      <top/>
      <bottom style="thin">
        <color auto="1"/>
      </bottom>
      <diagonal/>
    </border>
    <border>
      <left style="thin">
        <color indexed="64"/>
      </left>
      <right/>
      <top style="thin">
        <color indexed="64"/>
      </top>
      <bottom/>
      <diagonal/>
    </border>
    <border>
      <left style="thin">
        <color theme="0" tint="-0.24994659260841701"/>
      </left>
      <right style="medium">
        <color indexed="64"/>
      </right>
      <top style="thin">
        <color theme="0" tint="-0.24994659260841701"/>
      </top>
      <bottom/>
      <diagonal/>
    </border>
    <border>
      <left style="medium">
        <color indexed="64"/>
      </left>
      <right/>
      <top style="medium">
        <color indexed="64"/>
      </top>
      <bottom style="thin">
        <color theme="0" tint="-0.24994659260841701"/>
      </bottom>
      <diagonal/>
    </border>
    <border>
      <left style="thin">
        <color auto="1"/>
      </left>
      <right/>
      <top/>
      <bottom style="thin">
        <color auto="1"/>
      </bottom>
      <diagonal/>
    </border>
    <border>
      <left style="thin">
        <color theme="0" tint="-0.24994659260841701"/>
      </left>
      <right style="thin">
        <color theme="0" tint="-0.24994659260841701"/>
      </right>
      <top style="medium">
        <color indexed="64"/>
      </top>
      <bottom style="medium">
        <color auto="1"/>
      </bottom>
      <diagonal/>
    </border>
    <border>
      <left style="thin">
        <color theme="0" tint="-0.24994659260841701"/>
      </left>
      <right style="medium">
        <color auto="1"/>
      </right>
      <top style="medium">
        <color indexed="64"/>
      </top>
      <bottom style="medium">
        <color auto="1"/>
      </bottom>
      <diagonal/>
    </border>
    <border>
      <left style="medium">
        <color indexed="64"/>
      </left>
      <right/>
      <top style="thin">
        <color theme="0" tint="-0.24994659260841701"/>
      </top>
      <bottom style="thin">
        <color theme="0" tint="-0.24994659260841701"/>
      </bottom>
      <diagonal/>
    </border>
  </borders>
  <cellStyleXfs count="697">
    <xf numFmtId="0" fontId="0" fillId="0" borderId="0"/>
    <xf numFmtId="0" fontId="4" fillId="5" borderId="0">
      <alignment vertical="center"/>
      <protection locked="0"/>
    </xf>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164" fontId="3" fillId="0" borderId="0"/>
    <xf numFmtId="164" fontId="3" fillId="0" borderId="0"/>
    <xf numFmtId="0" fontId="10" fillId="0" borderId="0"/>
    <xf numFmtId="0" fontId="10" fillId="0" borderId="0"/>
    <xf numFmtId="0" fontId="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xf numFmtId="0" fontId="3" fillId="0" borderId="0"/>
    <xf numFmtId="0" fontId="3" fillId="0" borderId="0"/>
    <xf numFmtId="165" fontId="12" fillId="0" borderId="0"/>
    <xf numFmtId="165" fontId="12" fillId="0" borderId="0"/>
    <xf numFmtId="0" fontId="13" fillId="12" borderId="0" applyNumberFormat="0" applyBorder="0" applyAlignment="0" applyProtection="0"/>
    <xf numFmtId="0" fontId="1" fillId="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 fillId="3"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3" fillId="21" borderId="0" applyNumberFormat="0" applyBorder="0" applyAlignment="0" applyProtection="0"/>
    <xf numFmtId="0" fontId="13" fillId="25" borderId="0" applyNumberFormat="0" applyBorder="0" applyAlignment="0" applyProtection="0"/>
    <xf numFmtId="0" fontId="14" fillId="22" borderId="0" applyNumberFormat="0" applyBorder="0" applyAlignment="0" applyProtection="0"/>
    <xf numFmtId="0" fontId="14" fillId="26"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4" fillId="22" borderId="0" applyNumberFormat="0" applyBorder="0" applyAlignment="0" applyProtection="0"/>
    <xf numFmtId="0" fontId="14" fillId="27" borderId="0" applyNumberFormat="0" applyBorder="0" applyAlignment="0" applyProtection="0"/>
    <xf numFmtId="0" fontId="13" fillId="28" borderId="0" applyNumberFormat="0" applyBorder="0" applyAlignment="0" applyProtection="0"/>
    <xf numFmtId="0" fontId="13"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3" fillId="21" borderId="0" applyNumberFormat="0" applyBorder="0" applyAlignment="0" applyProtection="0"/>
    <xf numFmtId="0" fontId="13" fillId="29"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5" fillId="0" borderId="0"/>
    <xf numFmtId="166" fontId="12" fillId="0" borderId="11">
      <alignment horizontal="right" vertical="center"/>
      <protection locked="0"/>
    </xf>
    <xf numFmtId="166" fontId="12" fillId="0" borderId="11">
      <alignment horizontal="right" vertical="center"/>
      <protection locked="0"/>
    </xf>
    <xf numFmtId="42" fontId="16" fillId="0" borderId="0" applyFont="0" applyFill="0" applyBorder="0" applyAlignment="0" applyProtection="0"/>
    <xf numFmtId="0" fontId="17" fillId="31" borderId="0" applyNumberFormat="0" applyBorder="0" applyAlignment="0" applyProtection="0"/>
    <xf numFmtId="0" fontId="18" fillId="0" borderId="0" applyNumberFormat="0" applyFill="0" applyBorder="0" applyAlignment="0"/>
    <xf numFmtId="167" fontId="3" fillId="10" borderId="0" applyNumberFormat="0" applyFont="0" applyBorder="0" applyAlignment="0">
      <alignment horizontal="right"/>
    </xf>
    <xf numFmtId="167" fontId="3" fillId="10" borderId="0" applyNumberFormat="0" applyFont="0" applyBorder="0" applyAlignment="0">
      <alignment horizontal="right"/>
    </xf>
    <xf numFmtId="167" fontId="3" fillId="10" borderId="0" applyNumberFormat="0" applyFont="0" applyBorder="0" applyAlignment="0">
      <alignment horizontal="right"/>
    </xf>
    <xf numFmtId="0" fontId="19" fillId="0" borderId="0" applyNumberFormat="0" applyFill="0" applyBorder="0" applyAlignment="0">
      <protection locked="0"/>
    </xf>
    <xf numFmtId="0" fontId="20" fillId="32" borderId="0"/>
    <xf numFmtId="0" fontId="21" fillId="15" borderId="12" applyNumberFormat="0" applyAlignment="0" applyProtection="0"/>
    <xf numFmtId="0" fontId="21" fillId="15" borderId="12" applyNumberFormat="0" applyAlignment="0" applyProtection="0"/>
    <xf numFmtId="0" fontId="21" fillId="15" borderId="12" applyNumberFormat="0" applyAlignment="0" applyProtection="0"/>
    <xf numFmtId="0" fontId="21" fillId="15" borderId="12" applyNumberFormat="0" applyAlignment="0" applyProtection="0"/>
    <xf numFmtId="168" fontId="22" fillId="0" borderId="13">
      <alignment horizontal="center"/>
    </xf>
    <xf numFmtId="0" fontId="23" fillId="33" borderId="14" applyNumberFormat="0" applyAlignment="0" applyProtection="0"/>
    <xf numFmtId="0" fontId="23" fillId="33" borderId="14" applyNumberFormat="0" applyAlignment="0" applyProtection="0"/>
    <xf numFmtId="0" fontId="7" fillId="34" borderId="2">
      <alignment horizontal="center" vertical="center"/>
    </xf>
    <xf numFmtId="41" fontId="3" fillId="0" borderId="0" applyFont="0" applyFill="0" applyBorder="0" applyAlignment="0" applyProtection="0"/>
    <xf numFmtId="0" fontId="24"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169" fontId="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2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0"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9" fontId="28" fillId="35" borderId="1">
      <alignment horizontal="center" vertical="center" wrapText="1"/>
    </xf>
    <xf numFmtId="0" fontId="29" fillId="36" borderId="0" applyNumberFormat="0" applyBorder="0" applyAlignment="0" applyProtection="0"/>
    <xf numFmtId="0" fontId="29" fillId="37" borderId="0" applyNumberFormat="0" applyBorder="0" applyAlignment="0" applyProtection="0"/>
    <xf numFmtId="0" fontId="29" fillId="38" borderId="0" applyNumberFormat="0" applyBorder="0" applyAlignment="0" applyProtection="0"/>
    <xf numFmtId="0" fontId="3" fillId="39" borderId="12"/>
    <xf numFmtId="164" fontId="13" fillId="0" borderId="0" applyFont="0" applyFill="0" applyBorder="0" applyAlignment="0" applyProtection="0"/>
    <xf numFmtId="0" fontId="30" fillId="0" borderId="0" applyNumberForma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0" fontId="31" fillId="0" borderId="0"/>
    <xf numFmtId="0" fontId="32" fillId="0" borderId="0"/>
    <xf numFmtId="0" fontId="33" fillId="40" borderId="0" applyNumberFormat="0" applyBorder="0" applyAlignment="0" applyProtection="0"/>
    <xf numFmtId="0" fontId="34" fillId="0" borderId="0" applyFill="0" applyBorder="0"/>
    <xf numFmtId="0" fontId="35" fillId="0" borderId="0" applyNumberFormat="0" applyFill="0"/>
    <xf numFmtId="0" fontId="36" fillId="0" borderId="0" applyFill="0"/>
    <xf numFmtId="0" fontId="37" fillId="0" borderId="0" applyFill="0"/>
    <xf numFmtId="0" fontId="38" fillId="0" borderId="0" applyFill="0"/>
    <xf numFmtId="0" fontId="2" fillId="0" borderId="0" applyFill="0" applyBorder="0">
      <alignment vertical="center"/>
    </xf>
    <xf numFmtId="0" fontId="39" fillId="0" borderId="15" applyNumberFormat="0" applyFill="0" applyAlignment="0" applyProtection="0"/>
    <xf numFmtId="0" fontId="2" fillId="0" borderId="0" applyFill="0" applyBorder="0">
      <alignment vertical="center"/>
    </xf>
    <xf numFmtId="0" fontId="40" fillId="0" borderId="0" applyFill="0" applyBorder="0">
      <alignment vertical="center"/>
    </xf>
    <xf numFmtId="0" fontId="41" fillId="0" borderId="16" applyNumberFormat="0" applyFill="0" applyAlignment="0" applyProtection="0"/>
    <xf numFmtId="0" fontId="40" fillId="0" borderId="0" applyFill="0" applyBorder="0">
      <alignment vertical="center"/>
    </xf>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3" fillId="0" borderId="0" applyFill="0" applyBorder="0">
      <alignment vertical="center"/>
    </xf>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3" fillId="0" borderId="0" applyFill="0" applyBorder="0">
      <alignment vertical="center"/>
    </xf>
    <xf numFmtId="0" fontId="12" fillId="0" borderId="0" applyFill="0" applyBorder="0">
      <alignment vertical="center"/>
    </xf>
    <xf numFmtId="0" fontId="42" fillId="0" borderId="0" applyNumberFormat="0" applyFill="0" applyBorder="0" applyAlignment="0" applyProtection="0"/>
    <xf numFmtId="0" fontId="12" fillId="0" borderId="0" applyFill="0" applyBorder="0">
      <alignment vertical="center"/>
    </xf>
    <xf numFmtId="173" fontId="44" fillId="0" borderId="0"/>
    <xf numFmtId="0" fontId="45"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7" fillId="0" borderId="0" applyNumberFormat="0" applyFill="0" applyBorder="0" applyAlignment="0" applyProtection="0"/>
    <xf numFmtId="0" fontId="46" fillId="0" borderId="0" applyNumberFormat="0" applyFill="0" applyBorder="0" applyAlignment="0" applyProtection="0">
      <alignment vertical="top"/>
      <protection locked="0"/>
    </xf>
    <xf numFmtId="0" fontId="48" fillId="0" borderId="0" applyFill="0" applyBorder="0">
      <alignment horizontal="center" vertical="center"/>
      <protection locked="0"/>
    </xf>
    <xf numFmtId="0" fontId="49" fillId="0" borderId="0" applyFill="0" applyBorder="0">
      <alignment horizontal="left" vertical="center"/>
      <protection locked="0"/>
    </xf>
    <xf numFmtId="174" fontId="3" fillId="11" borderId="0" applyFont="0" applyBorder="0">
      <alignment horizontal="right"/>
    </xf>
    <xf numFmtId="173" fontId="3" fillId="11" borderId="0" applyFont="0" applyBorder="0" applyAlignment="0"/>
    <xf numFmtId="174" fontId="3" fillId="11" borderId="0" applyFont="0" applyBorder="0">
      <alignment horizontal="right"/>
    </xf>
    <xf numFmtId="0" fontId="50" fillId="13" borderId="12" applyNumberFormat="0" applyAlignment="0" applyProtection="0"/>
    <xf numFmtId="0" fontId="50" fillId="13" borderId="12" applyNumberFormat="0" applyAlignment="0" applyProtection="0"/>
    <xf numFmtId="0" fontId="50" fillId="13" borderId="12" applyNumberFormat="0" applyAlignment="0" applyProtection="0"/>
    <xf numFmtId="0" fontId="50" fillId="13" borderId="12" applyNumberFormat="0" applyAlignment="0" applyProtection="0"/>
    <xf numFmtId="175" fontId="51" fillId="41" borderId="0" applyProtection="0"/>
    <xf numFmtId="167" fontId="3" fillId="42" borderId="0" applyFont="0" applyBorder="0" applyAlignment="0">
      <alignment horizontal="right"/>
      <protection locked="0"/>
    </xf>
    <xf numFmtId="167" fontId="3" fillId="43" borderId="0" applyFont="0" applyBorder="0" applyAlignment="0">
      <alignment horizontal="right"/>
      <protection locked="0"/>
    </xf>
    <xf numFmtId="167" fontId="3" fillId="43" borderId="0" applyFont="0" applyBorder="0" applyAlignment="0">
      <alignment horizontal="right"/>
      <protection locked="0"/>
    </xf>
    <xf numFmtId="167" fontId="3" fillId="43" borderId="0" applyFont="0" applyBorder="0" applyAlignment="0">
      <alignment horizontal="right"/>
      <protection locked="0"/>
    </xf>
    <xf numFmtId="167" fontId="3" fillId="43" borderId="0" applyFont="0" applyBorder="0" applyAlignment="0">
      <alignment horizontal="right"/>
      <protection locked="0"/>
    </xf>
    <xf numFmtId="167" fontId="3" fillId="43" borderId="0" applyFont="0" applyBorder="0" applyAlignment="0">
      <alignment horizontal="right"/>
      <protection locked="0"/>
    </xf>
    <xf numFmtId="167" fontId="3" fillId="42" borderId="0" applyFont="0" applyBorder="0" applyAlignment="0">
      <alignment horizontal="right"/>
      <protection locked="0"/>
    </xf>
    <xf numFmtId="10" fontId="3" fillId="42" borderId="0" applyFont="0" applyBorder="0">
      <alignment horizontal="right"/>
      <protection locked="0"/>
    </xf>
    <xf numFmtId="167" fontId="3" fillId="42" borderId="0" applyFont="0" applyBorder="0" applyAlignment="0">
      <alignment horizontal="right"/>
      <protection locked="0"/>
    </xf>
    <xf numFmtId="3" fontId="3" fillId="44" borderId="0" applyFont="0" applyBorder="0">
      <protection locked="0"/>
    </xf>
    <xf numFmtId="173" fontId="40" fillId="44" borderId="0" applyBorder="0" applyAlignment="0">
      <protection locked="0"/>
    </xf>
    <xf numFmtId="176" fontId="3" fillId="45" borderId="0" applyFont="0" applyBorder="0">
      <alignment horizontal="right"/>
      <protection locked="0"/>
    </xf>
    <xf numFmtId="176" fontId="3" fillId="45" borderId="0" applyFont="0" applyBorder="0">
      <alignment horizontal="right"/>
      <protection locked="0"/>
    </xf>
    <xf numFmtId="176" fontId="3" fillId="45" borderId="0" applyFont="0" applyBorder="0">
      <alignment horizontal="right"/>
      <protection locked="0"/>
    </xf>
    <xf numFmtId="167" fontId="3" fillId="11" borderId="0" applyFont="0" applyBorder="0">
      <alignment horizontal="right"/>
      <protection locked="0"/>
    </xf>
    <xf numFmtId="167" fontId="3" fillId="11" borderId="0" applyFont="0" applyBorder="0">
      <alignment horizontal="right"/>
      <protection locked="0"/>
    </xf>
    <xf numFmtId="167" fontId="3" fillId="11" borderId="0" applyFont="0" applyBorder="0">
      <alignment horizontal="right"/>
      <protection locked="0"/>
    </xf>
    <xf numFmtId="177" fontId="1" fillId="7" borderId="18">
      <protection locked="0"/>
    </xf>
    <xf numFmtId="177" fontId="1" fillId="7" borderId="18">
      <protection locked="0"/>
    </xf>
    <xf numFmtId="177" fontId="1" fillId="7" borderId="18">
      <protection locked="0"/>
    </xf>
    <xf numFmtId="49" fontId="1" fillId="7" borderId="18" applyFont="0" applyAlignment="0">
      <alignment horizontal="left" vertical="center" wrapText="1"/>
      <protection locked="0"/>
    </xf>
    <xf numFmtId="49" fontId="1" fillId="7" borderId="18" applyFont="0" applyAlignment="0">
      <alignment horizontal="left" vertical="center" wrapText="1"/>
      <protection locked="0"/>
    </xf>
    <xf numFmtId="49" fontId="1" fillId="7" borderId="18" applyFont="0" applyAlignment="0">
      <alignment horizontal="left" vertical="center" wrapText="1"/>
      <protection locked="0"/>
    </xf>
    <xf numFmtId="0" fontId="20" fillId="46" borderId="0"/>
    <xf numFmtId="0" fontId="3" fillId="4" borderId="19" applyNumberFormat="0" applyFont="0" applyAlignment="0"/>
    <xf numFmtId="173" fontId="52" fillId="47" borderId="0" applyBorder="0" applyAlignment="0"/>
    <xf numFmtId="0" fontId="12" fillId="10" borderId="0"/>
    <xf numFmtId="0" fontId="53" fillId="0" borderId="20" applyNumberFormat="0" applyFill="0" applyAlignment="0" applyProtection="0"/>
    <xf numFmtId="174" fontId="54" fillId="10" borderId="5" applyFont="0" applyBorder="0" applyAlignment="0"/>
    <xf numFmtId="173" fontId="40" fillId="10" borderId="0" applyFont="0" applyBorder="0" applyAlignment="0"/>
    <xf numFmtId="178" fontId="55" fillId="0" borderId="0"/>
    <xf numFmtId="0" fontId="56" fillId="0" borderId="0" applyFill="0" applyBorder="0">
      <alignment horizontal="left" vertical="center"/>
    </xf>
    <xf numFmtId="0" fontId="57" fillId="16" borderId="0" applyNumberFormat="0" applyBorder="0" applyAlignment="0" applyProtection="0"/>
    <xf numFmtId="177" fontId="1" fillId="6" borderId="18"/>
    <xf numFmtId="177" fontId="1" fillId="6" borderId="18"/>
    <xf numFmtId="177" fontId="1" fillId="6" borderId="18"/>
    <xf numFmtId="179" fontId="58" fillId="0" borderId="0"/>
    <xf numFmtId="0" fontId="3" fillId="0" borderId="0"/>
    <xf numFmtId="0" fontId="3" fillId="0" borderId="0"/>
    <xf numFmtId="0" fontId="1" fillId="0" borderId="0"/>
    <xf numFmtId="0" fontId="1" fillId="0" borderId="0"/>
    <xf numFmtId="0" fontId="3" fillId="0" borderId="0"/>
    <xf numFmtId="0" fontId="3" fillId="9" borderId="0"/>
    <xf numFmtId="0" fontId="1" fillId="0" borderId="0"/>
    <xf numFmtId="0" fontId="3" fillId="0" borderId="0" applyFill="0"/>
    <xf numFmtId="0" fontId="3" fillId="0" borderId="0" applyFill="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9" borderId="0"/>
    <xf numFmtId="0" fontId="3" fillId="9" borderId="0"/>
    <xf numFmtId="0" fontId="3" fillId="0" borderId="0"/>
    <xf numFmtId="0" fontId="3" fillId="0" borderId="0"/>
    <xf numFmtId="0" fontId="3" fillId="0" borderId="0"/>
    <xf numFmtId="0" fontId="3" fillId="0" borderId="0"/>
    <xf numFmtId="0" fontId="26" fillId="0" borderId="0"/>
    <xf numFmtId="0" fontId="1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applyFill="0"/>
    <xf numFmtId="0" fontId="3" fillId="9"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9" borderId="0"/>
    <xf numFmtId="0" fontId="3" fillId="9" borderId="0"/>
    <xf numFmtId="0" fontId="3" fillId="0" borderId="0"/>
    <xf numFmtId="0" fontId="3" fillId="9"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1" fillId="0" borderId="0">
      <protection locked="0"/>
    </xf>
    <xf numFmtId="0" fontId="25"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6" fillId="0" borderId="0"/>
    <xf numFmtId="0" fontId="3" fillId="9" borderId="0"/>
    <xf numFmtId="0" fontId="3" fillId="9"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14" borderId="21" applyNumberFormat="0" applyFont="0" applyAlignment="0" applyProtection="0"/>
    <xf numFmtId="0" fontId="3" fillId="14" borderId="21" applyNumberFormat="0" applyFont="0" applyAlignment="0" applyProtection="0"/>
    <xf numFmtId="0" fontId="3" fillId="14" borderId="21" applyNumberFormat="0" applyFont="0" applyAlignment="0" applyProtection="0"/>
    <xf numFmtId="0" fontId="3" fillId="14" borderId="21" applyNumberFormat="0" applyFont="0" applyAlignment="0" applyProtection="0"/>
    <xf numFmtId="0" fontId="3" fillId="14" borderId="21" applyNumberFormat="0" applyFont="0" applyAlignment="0" applyProtection="0"/>
    <xf numFmtId="0" fontId="3" fillId="14" borderId="21" applyNumberFormat="0" applyFont="0" applyAlignment="0" applyProtection="0"/>
    <xf numFmtId="0" fontId="3" fillId="14" borderId="21" applyNumberFormat="0" applyFont="0" applyAlignment="0" applyProtection="0"/>
    <xf numFmtId="0" fontId="3" fillId="14" borderId="21" applyNumberFormat="0" applyFont="0" applyAlignment="0" applyProtection="0"/>
    <xf numFmtId="0" fontId="3" fillId="14" borderId="21" applyNumberFormat="0" applyFont="0" applyAlignment="0" applyProtection="0"/>
    <xf numFmtId="0" fontId="59" fillId="41" borderId="22" applyNumberFormat="0"/>
    <xf numFmtId="0" fontId="60" fillId="15" borderId="23" applyNumberFormat="0" applyAlignment="0" applyProtection="0"/>
    <xf numFmtId="0" fontId="60" fillId="15" borderId="23" applyNumberFormat="0" applyAlignment="0" applyProtection="0"/>
    <xf numFmtId="0" fontId="60" fillId="15" borderId="23" applyNumberFormat="0" applyAlignment="0" applyProtection="0"/>
    <xf numFmtId="0" fontId="60" fillId="15" borderId="23" applyNumberFormat="0" applyAlignment="0" applyProtection="0"/>
    <xf numFmtId="180" fontId="3" fillId="0" borderId="0" applyFill="0" applyBorder="0"/>
    <xf numFmtId="180" fontId="3" fillId="0" borderId="0" applyFill="0" applyBorder="0"/>
    <xf numFmtId="180" fontId="3" fillId="0" borderId="0" applyFill="0" applyBorder="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3" fontId="62" fillId="0" borderId="0"/>
    <xf numFmtId="0" fontId="43" fillId="0" borderId="0" applyFill="0" applyBorder="0">
      <alignment vertical="center"/>
    </xf>
    <xf numFmtId="0" fontId="24" fillId="0" borderId="0" applyNumberFormat="0" applyFont="0" applyFill="0" applyBorder="0" applyAlignment="0" applyProtection="0">
      <alignment horizontal="left"/>
    </xf>
    <xf numFmtId="15" fontId="24" fillId="0" borderId="0" applyFont="0" applyFill="0" applyBorder="0" applyAlignment="0" applyProtection="0"/>
    <xf numFmtId="4" fontId="24" fillId="0" borderId="0" applyFont="0" applyFill="0" applyBorder="0" applyAlignment="0" applyProtection="0"/>
    <xf numFmtId="181" fontId="63" fillId="0" borderId="6"/>
    <xf numFmtId="0" fontId="64" fillId="0" borderId="3">
      <alignment horizontal="center"/>
    </xf>
    <xf numFmtId="0" fontId="64" fillId="0" borderId="3">
      <alignment horizontal="center"/>
    </xf>
    <xf numFmtId="0" fontId="64" fillId="0" borderId="3">
      <alignment horizontal="center"/>
    </xf>
    <xf numFmtId="0" fontId="64" fillId="0" borderId="3">
      <alignment horizontal="center"/>
    </xf>
    <xf numFmtId="0" fontId="64" fillId="0" borderId="3">
      <alignment horizontal="center"/>
    </xf>
    <xf numFmtId="0" fontId="64" fillId="0" borderId="3">
      <alignment horizontal="center"/>
    </xf>
    <xf numFmtId="0" fontId="64" fillId="0" borderId="3">
      <alignment horizontal="center"/>
    </xf>
    <xf numFmtId="0" fontId="64" fillId="0" borderId="3">
      <alignment horizontal="center"/>
    </xf>
    <xf numFmtId="3" fontId="24" fillId="0" borderId="0" applyFont="0" applyFill="0" applyBorder="0" applyAlignment="0" applyProtection="0"/>
    <xf numFmtId="0" fontId="24" fillId="48" borderId="0" applyNumberFormat="0" applyFont="0" applyBorder="0" applyAlignment="0" applyProtection="0"/>
    <xf numFmtId="182" fontId="3" fillId="0" borderId="0"/>
    <xf numFmtId="182" fontId="3" fillId="0" borderId="0"/>
    <xf numFmtId="182" fontId="3" fillId="0" borderId="0"/>
    <xf numFmtId="183" fontId="12" fillId="0" borderId="0" applyFill="0" applyBorder="0">
      <alignment horizontal="right" vertical="center"/>
    </xf>
    <xf numFmtId="184" fontId="12" fillId="0" borderId="0" applyFill="0" applyBorder="0">
      <alignment horizontal="right" vertical="center"/>
    </xf>
    <xf numFmtId="185" fontId="12" fillId="0" borderId="0" applyFill="0" applyBorder="0">
      <alignment horizontal="right" vertical="center"/>
    </xf>
    <xf numFmtId="177" fontId="65" fillId="7" borderId="24">
      <alignment horizontal="right" indent="2"/>
      <protection locked="0"/>
    </xf>
    <xf numFmtId="0" fontId="3" fillId="14" borderId="0" applyNumberFormat="0" applyFont="0" applyBorder="0" applyAlignment="0" applyProtection="0"/>
    <xf numFmtId="0" fontId="3" fillId="14" borderId="0" applyNumberFormat="0" applyFont="0" applyBorder="0" applyAlignment="0" applyProtection="0"/>
    <xf numFmtId="0" fontId="3" fillId="15" borderId="0" applyNumberFormat="0" applyFont="0" applyBorder="0" applyAlignment="0" applyProtection="0"/>
    <xf numFmtId="0" fontId="3" fillId="15" borderId="0" applyNumberFormat="0" applyFont="0" applyBorder="0" applyAlignment="0" applyProtection="0"/>
    <xf numFmtId="0" fontId="3" fillId="17" borderId="0" applyNumberFormat="0" applyFont="0" applyBorder="0" applyAlignment="0" applyProtection="0"/>
    <xf numFmtId="0" fontId="3" fillId="17" borderId="0" applyNumberFormat="0" applyFont="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17" borderId="0" applyNumberFormat="0" applyFont="0" applyBorder="0" applyAlignment="0" applyProtection="0"/>
    <xf numFmtId="0" fontId="3" fillId="17" borderId="0" applyNumberFormat="0" applyFont="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Border="0" applyAlignment="0" applyProtection="0"/>
    <xf numFmtId="0" fontId="3" fillId="0" borderId="0" applyNumberFormat="0" applyFont="0" applyBorder="0" applyAlignment="0" applyProtection="0"/>
    <xf numFmtId="0" fontId="66" fillId="0" borderId="0" applyNumberFormat="0" applyFill="0" applyBorder="0" applyAlignment="0" applyProtection="0"/>
    <xf numFmtId="0" fontId="67" fillId="49" borderId="0"/>
    <xf numFmtId="0" fontId="68" fillId="49" borderId="0" applyNumberFormat="0"/>
    <xf numFmtId="0" fontId="69" fillId="49"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6" fillId="0" borderId="0"/>
    <xf numFmtId="0" fontId="70" fillId="0" borderId="0"/>
    <xf numFmtId="15" fontId="3" fillId="0" borderId="0"/>
    <xf numFmtId="15" fontId="3" fillId="0" borderId="0"/>
    <xf numFmtId="15" fontId="3" fillId="0" borderId="0"/>
    <xf numFmtId="10" fontId="3" fillId="0" borderId="0"/>
    <xf numFmtId="10" fontId="3" fillId="0" borderId="0"/>
    <xf numFmtId="10" fontId="3" fillId="0" borderId="0"/>
    <xf numFmtId="0" fontId="71" fillId="50" borderId="25" applyBorder="0" applyProtection="0">
      <alignment horizontal="centerContinuous" vertical="center"/>
    </xf>
    <xf numFmtId="0" fontId="72" fillId="0" borderId="0" applyBorder="0" applyProtection="0">
      <alignment vertical="center"/>
    </xf>
    <xf numFmtId="0" fontId="73" fillId="0" borderId="0">
      <alignment horizontal="left"/>
    </xf>
    <xf numFmtId="0" fontId="73" fillId="0" borderId="26" applyFill="0" applyBorder="0" applyProtection="0">
      <alignment horizontal="left" vertical="top"/>
    </xf>
    <xf numFmtId="0" fontId="74" fillId="51" borderId="2" applyNumberFormat="0">
      <alignment horizontal="center" vertical="center"/>
    </xf>
    <xf numFmtId="0" fontId="67" fillId="52" borderId="0">
      <alignment horizontal="left" vertical="center"/>
      <protection locked="0"/>
    </xf>
    <xf numFmtId="0" fontId="6" fillId="53" borderId="12" applyNumberFormat="0" applyAlignment="0">
      <alignment horizontal="right"/>
    </xf>
    <xf numFmtId="49" fontId="3" fillId="0" borderId="0" applyFont="0" applyFill="0" applyBorder="0" applyAlignment="0" applyProtection="0"/>
    <xf numFmtId="0" fontId="75" fillId="0" borderId="0"/>
    <xf numFmtId="49" fontId="3" fillId="0" borderId="0" applyFont="0" applyFill="0" applyBorder="0" applyAlignment="0" applyProtection="0"/>
    <xf numFmtId="0" fontId="76" fillId="0" borderId="0"/>
    <xf numFmtId="0" fontId="76" fillId="0" borderId="0"/>
    <xf numFmtId="0" fontId="75" fillId="0" borderId="0"/>
    <xf numFmtId="178" fontId="77" fillId="0" borderId="0"/>
    <xf numFmtId="0" fontId="66" fillId="0" borderId="0" applyNumberFormat="0" applyFill="0" applyBorder="0" applyAlignment="0" applyProtection="0"/>
    <xf numFmtId="0" fontId="78" fillId="0" borderId="0" applyFill="0" applyBorder="0">
      <alignment horizontal="left" vertical="center"/>
      <protection locked="0"/>
    </xf>
    <xf numFmtId="0" fontId="75" fillId="0" borderId="0"/>
    <xf numFmtId="0" fontId="79" fillId="0" borderId="0" applyFill="0" applyBorder="0">
      <alignment horizontal="left" vertical="center"/>
      <protection locked="0"/>
    </xf>
    <xf numFmtId="0" fontId="29" fillId="0" borderId="27" applyNumberFormat="0" applyFill="0" applyAlignment="0" applyProtection="0"/>
    <xf numFmtId="0" fontId="29" fillId="0" borderId="27" applyNumberFormat="0" applyFill="0" applyAlignment="0" applyProtection="0"/>
    <xf numFmtId="0" fontId="29" fillId="0" borderId="27" applyNumberFormat="0" applyFill="0" applyAlignment="0" applyProtection="0"/>
    <xf numFmtId="0" fontId="29" fillId="0" borderId="27" applyNumberFormat="0" applyFill="0" applyAlignment="0" applyProtection="0"/>
    <xf numFmtId="0" fontId="2" fillId="4" borderId="19" applyNumberFormat="0" applyAlignment="0"/>
    <xf numFmtId="0" fontId="22" fillId="0" borderId="0" applyNumberFormat="0" applyFill="0" applyBorder="0"/>
    <xf numFmtId="0" fontId="80" fillId="54" borderId="19" applyNumberFormat="0">
      <protection locked="0"/>
    </xf>
    <xf numFmtId="0" fontId="81" fillId="0" borderId="0" applyNumberFormat="0" applyFill="0" applyBorder="0" applyAlignment="0" applyProtection="0"/>
    <xf numFmtId="186" fontId="3" fillId="0" borderId="25" applyBorder="0" applyProtection="0">
      <alignment horizontal="right"/>
    </xf>
    <xf numFmtId="186" fontId="3" fillId="0" borderId="25" applyBorder="0" applyProtection="0">
      <alignment horizontal="right"/>
    </xf>
    <xf numFmtId="186" fontId="3" fillId="0" borderId="25" applyBorder="0" applyProtection="0">
      <alignment horizontal="right"/>
    </xf>
    <xf numFmtId="166" fontId="12" fillId="0" borderId="40">
      <alignment horizontal="right" vertical="center"/>
      <protection locked="0"/>
    </xf>
    <xf numFmtId="166" fontId="12" fillId="0" borderId="40">
      <alignment horizontal="right" vertical="center"/>
      <protection locked="0"/>
    </xf>
    <xf numFmtId="0" fontId="21" fillId="15" borderId="41" applyNumberFormat="0" applyAlignment="0" applyProtection="0"/>
    <xf numFmtId="0" fontId="21" fillId="15" borderId="41" applyNumberFormat="0" applyAlignment="0" applyProtection="0"/>
    <xf numFmtId="0" fontId="21" fillId="15" borderId="41" applyNumberFormat="0" applyAlignment="0" applyProtection="0"/>
    <xf numFmtId="0" fontId="21" fillId="15" borderId="41" applyNumberFormat="0" applyAlignment="0" applyProtection="0"/>
    <xf numFmtId="168" fontId="22" fillId="0" borderId="42">
      <alignment horizontal="center"/>
    </xf>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42" fillId="0" borderId="43" applyNumberFormat="0" applyFill="0" applyAlignment="0" applyProtection="0"/>
    <xf numFmtId="0" fontId="50" fillId="13" borderId="41" applyNumberFormat="0" applyAlignment="0" applyProtection="0"/>
    <xf numFmtId="0" fontId="50" fillId="13" borderId="41" applyNumberFormat="0" applyAlignment="0" applyProtection="0"/>
    <xf numFmtId="0" fontId="50" fillId="13" borderId="41" applyNumberFormat="0" applyAlignment="0" applyProtection="0"/>
    <xf numFmtId="0" fontId="50" fillId="13" borderId="41" applyNumberFormat="0" applyAlignment="0" applyProtection="0"/>
    <xf numFmtId="0" fontId="64" fillId="0" borderId="3">
      <alignment horizontal="center"/>
    </xf>
    <xf numFmtId="0" fontId="64" fillId="0" borderId="3">
      <alignment horizontal="center"/>
    </xf>
    <xf numFmtId="0" fontId="64" fillId="0" borderId="3">
      <alignment horizontal="center"/>
    </xf>
    <xf numFmtId="0" fontId="64" fillId="0" borderId="3">
      <alignment horizontal="center"/>
    </xf>
    <xf numFmtId="0" fontId="64" fillId="0" borderId="3">
      <alignment horizontal="center"/>
    </xf>
    <xf numFmtId="0" fontId="64" fillId="0" borderId="3">
      <alignment horizontal="center"/>
    </xf>
    <xf numFmtId="9" fontId="3" fillId="0" borderId="0" applyFont="0" applyFill="0" applyBorder="0" applyAlignment="0" applyProtection="0"/>
    <xf numFmtId="0" fontId="3" fillId="9" borderId="0"/>
    <xf numFmtId="0" fontId="3" fillId="9" borderId="0"/>
    <xf numFmtId="0" fontId="3" fillId="0" borderId="0"/>
    <xf numFmtId="0" fontId="14" fillId="30" borderId="0" applyNumberFormat="0" applyBorder="0" applyAlignment="0" applyProtection="0"/>
    <xf numFmtId="0" fontId="14" fillId="30" borderId="0" applyNumberFormat="0" applyBorder="0" applyAlignment="0" applyProtection="0"/>
    <xf numFmtId="0" fontId="14" fillId="3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3" fillId="14" borderId="44" applyNumberFormat="0" applyFont="0" applyAlignment="0" applyProtection="0"/>
    <xf numFmtId="0" fontId="3" fillId="14" borderId="44" applyNumberFormat="0" applyFont="0" applyAlignment="0" applyProtection="0"/>
    <xf numFmtId="0" fontId="3" fillId="14" borderId="44" applyNumberFormat="0" applyFont="0" applyAlignment="0" applyProtection="0"/>
    <xf numFmtId="0" fontId="3" fillId="14" borderId="44" applyNumberFormat="0" applyFont="0" applyAlignment="0" applyProtection="0"/>
    <xf numFmtId="0" fontId="3" fillId="14" borderId="44" applyNumberFormat="0" applyFont="0" applyAlignment="0" applyProtection="0"/>
    <xf numFmtId="0" fontId="3" fillId="14" borderId="44" applyNumberFormat="0" applyFont="0" applyAlignment="0" applyProtection="0"/>
    <xf numFmtId="0" fontId="3" fillId="14" borderId="44" applyNumberFormat="0" applyFont="0" applyAlignment="0" applyProtection="0"/>
    <xf numFmtId="0" fontId="3" fillId="14" borderId="44" applyNumberFormat="0" applyFont="0" applyAlignment="0" applyProtection="0"/>
    <xf numFmtId="0" fontId="3" fillId="14" borderId="44" applyNumberFormat="0" applyFont="0" applyAlignment="0" applyProtection="0"/>
    <xf numFmtId="0" fontId="60" fillId="15" borderId="45" applyNumberFormat="0" applyAlignment="0" applyProtection="0"/>
    <xf numFmtId="0" fontId="60" fillId="15" borderId="45" applyNumberFormat="0" applyAlignment="0" applyProtection="0"/>
    <xf numFmtId="0" fontId="60" fillId="15" borderId="45" applyNumberFormat="0" applyAlignment="0" applyProtection="0"/>
    <xf numFmtId="0" fontId="60" fillId="15" borderId="45" applyNumberFormat="0" applyAlignment="0" applyProtection="0"/>
    <xf numFmtId="0" fontId="3" fillId="59" borderId="0"/>
    <xf numFmtId="0" fontId="29" fillId="0" borderId="46" applyNumberFormat="0" applyFill="0" applyAlignment="0" applyProtection="0"/>
    <xf numFmtId="0" fontId="29" fillId="0" borderId="46" applyNumberFormat="0" applyFill="0" applyAlignment="0" applyProtection="0"/>
    <xf numFmtId="0" fontId="29" fillId="0" borderId="46" applyNumberFormat="0" applyFill="0" applyAlignment="0" applyProtection="0"/>
    <xf numFmtId="0" fontId="29" fillId="0" borderId="46" applyNumberFormat="0" applyFill="0" applyAlignment="0" applyProtection="0"/>
    <xf numFmtId="43" fontId="1" fillId="0" borderId="0" applyFont="0" applyFill="0" applyBorder="0" applyAlignment="0" applyProtection="0"/>
  </cellStyleXfs>
  <cellXfs count="750">
    <xf numFmtId="0" fontId="0" fillId="0" borderId="0" xfId="0"/>
    <xf numFmtId="0" fontId="67" fillId="50" borderId="0" xfId="0" applyFont="1" applyFill="1" applyBorder="1" applyAlignment="1" applyProtection="1">
      <alignment vertical="center"/>
    </xf>
    <xf numFmtId="1" fontId="65" fillId="61" borderId="0" xfId="329" applyNumberFormat="1" applyFont="1" applyFill="1" applyProtection="1"/>
    <xf numFmtId="0" fontId="3" fillId="58" borderId="4" xfId="288" applyFont="1" applyFill="1" applyBorder="1" applyProtection="1"/>
    <xf numFmtId="0" fontId="1" fillId="4" borderId="72" xfId="385" applyFill="1" applyBorder="1"/>
    <xf numFmtId="0" fontId="3" fillId="55" borderId="25" xfId="281" applyFont="1" applyFill="1" applyBorder="1" applyAlignment="1">
      <alignment horizontal="center"/>
    </xf>
    <xf numFmtId="0" fontId="106" fillId="8" borderId="80" xfId="281" quotePrefix="1" applyFont="1" applyFill="1" applyBorder="1" applyAlignment="1" applyProtection="1">
      <alignment vertical="top"/>
    </xf>
    <xf numFmtId="188" fontId="3" fillId="7" borderId="51" xfId="281" applyNumberFormat="1" applyFont="1" applyFill="1" applyBorder="1" applyAlignment="1" applyProtection="1">
      <alignment horizontal="left" vertical="center"/>
      <protection locked="0"/>
    </xf>
    <xf numFmtId="0" fontId="65" fillId="4" borderId="109" xfId="329" applyNumberFormat="1" applyFont="1" applyFill="1" applyBorder="1" applyAlignment="1">
      <alignment vertical="top"/>
    </xf>
    <xf numFmtId="0" fontId="3" fillId="72" borderId="0" xfId="329" applyFill="1" applyBorder="1" applyAlignment="1">
      <alignment vertical="center"/>
    </xf>
    <xf numFmtId="0" fontId="2" fillId="72" borderId="0" xfId="329" applyFont="1" applyFill="1" applyBorder="1" applyAlignment="1">
      <alignment vertical="center" wrapText="1"/>
    </xf>
    <xf numFmtId="0" fontId="8" fillId="72" borderId="123" xfId="329" applyFont="1" applyFill="1" applyBorder="1" applyAlignment="1" applyProtection="1">
      <alignment vertical="center"/>
    </xf>
    <xf numFmtId="0" fontId="8" fillId="74" borderId="1" xfId="329" applyFont="1" applyFill="1" applyBorder="1" applyAlignment="1" applyProtection="1">
      <alignment horizontal="center" vertical="center" wrapText="1"/>
    </xf>
    <xf numFmtId="0" fontId="2" fillId="74" borderId="7" xfId="657" applyFont="1" applyFill="1" applyBorder="1" applyAlignment="1" applyProtection="1">
      <alignment horizontal="center" vertical="center" wrapText="1"/>
    </xf>
    <xf numFmtId="0" fontId="2" fillId="4" borderId="51" xfId="657" applyFont="1" applyFill="1" applyBorder="1" applyAlignment="1" applyProtection="1">
      <alignment horizontal="center" vertical="center" wrapText="1"/>
    </xf>
    <xf numFmtId="0" fontId="2" fillId="67" borderId="0" xfId="329" applyFont="1" applyFill="1" applyAlignment="1">
      <alignment vertical="center" wrapText="1"/>
    </xf>
    <xf numFmtId="0" fontId="65" fillId="4" borderId="30" xfId="329" applyFont="1" applyFill="1" applyBorder="1" applyProtection="1"/>
    <xf numFmtId="0" fontId="3" fillId="0" borderId="29" xfId="329" applyBorder="1"/>
    <xf numFmtId="0" fontId="65" fillId="4" borderId="118" xfId="329" applyNumberFormat="1" applyFont="1" applyFill="1" applyBorder="1" applyAlignment="1">
      <alignment vertical="top"/>
    </xf>
    <xf numFmtId="0" fontId="0" fillId="0" borderId="117" xfId="0" applyBorder="1"/>
    <xf numFmtId="0" fontId="3" fillId="0" borderId="74" xfId="0" applyFont="1" applyBorder="1"/>
    <xf numFmtId="0" fontId="0" fillId="0" borderId="74" xfId="0" applyBorder="1"/>
    <xf numFmtId="0" fontId="0" fillId="0" borderId="73" xfId="0" applyBorder="1"/>
    <xf numFmtId="0" fontId="0" fillId="4" borderId="77" xfId="0" applyFill="1" applyBorder="1"/>
    <xf numFmtId="0" fontId="1" fillId="6" borderId="117" xfId="385" applyFill="1" applyBorder="1"/>
    <xf numFmtId="0" fontId="1" fillId="69" borderId="74" xfId="385" applyFill="1" applyBorder="1"/>
    <xf numFmtId="0" fontId="1" fillId="6" borderId="73" xfId="385" applyFill="1" applyBorder="1"/>
    <xf numFmtId="0" fontId="3" fillId="0" borderId="116" xfId="329" applyBorder="1"/>
    <xf numFmtId="0" fontId="3" fillId="0" borderId="89" xfId="329" applyBorder="1"/>
    <xf numFmtId="49" fontId="3" fillId="0" borderId="91" xfId="329" applyNumberFormat="1" applyBorder="1" applyAlignment="1">
      <alignment vertical="center"/>
    </xf>
    <xf numFmtId="0" fontId="3" fillId="0" borderId="89" xfId="293" applyFont="1" applyBorder="1" applyAlignment="1">
      <alignment vertical="center"/>
    </xf>
    <xf numFmtId="0" fontId="3" fillId="0" borderId="89" xfId="329" applyBorder="1" applyAlignment="1">
      <alignment vertical="center"/>
    </xf>
    <xf numFmtId="0" fontId="3" fillId="0" borderId="88" xfId="329" applyBorder="1" applyAlignment="1">
      <alignment vertical="center"/>
    </xf>
    <xf numFmtId="0" fontId="3" fillId="0" borderId="91" xfId="329" applyFont="1" applyBorder="1" applyAlignment="1">
      <alignment vertical="top"/>
    </xf>
    <xf numFmtId="0" fontId="3" fillId="0" borderId="88" xfId="293" applyFont="1" applyBorder="1" applyAlignment="1">
      <alignment horizontal="center" vertical="top"/>
    </xf>
    <xf numFmtId="1" fontId="3" fillId="0" borderId="91" xfId="329" applyNumberFormat="1" applyBorder="1" applyAlignment="1">
      <alignment horizontal="center" vertical="top"/>
    </xf>
    <xf numFmtId="0" fontId="3" fillId="0" borderId="89" xfId="329" applyBorder="1" applyAlignment="1">
      <alignment horizontal="center" vertical="top"/>
    </xf>
    <xf numFmtId="0" fontId="6" fillId="4" borderId="89" xfId="329" applyFont="1" applyFill="1" applyBorder="1" applyAlignment="1" applyProtection="1">
      <alignment horizontal="center" vertical="top"/>
    </xf>
    <xf numFmtId="0" fontId="6" fillId="4" borderId="89" xfId="329" applyFont="1" applyFill="1" applyBorder="1" applyAlignment="1" applyProtection="1">
      <alignment vertical="top"/>
    </xf>
    <xf numFmtId="0" fontId="3" fillId="0" borderId="89" xfId="329" applyFont="1" applyBorder="1" applyAlignment="1">
      <alignment vertical="top"/>
    </xf>
    <xf numFmtId="0" fontId="3" fillId="0" borderId="88" xfId="293" applyFont="1" applyBorder="1" applyAlignment="1">
      <alignment vertical="top"/>
    </xf>
    <xf numFmtId="187" fontId="3" fillId="4" borderId="115" xfId="329" applyNumberFormat="1" applyFont="1" applyFill="1" applyBorder="1" applyAlignment="1" applyProtection="1">
      <alignment horizontal="right" vertical="top" indent="1"/>
    </xf>
    <xf numFmtId="0" fontId="65" fillId="4" borderId="114" xfId="281" applyFont="1" applyFill="1" applyBorder="1" applyAlignment="1" applyProtection="1">
      <alignment vertical="top"/>
    </xf>
    <xf numFmtId="0" fontId="65" fillId="4" borderId="113" xfId="329" applyFont="1" applyFill="1" applyBorder="1" applyAlignment="1" applyProtection="1">
      <alignment vertical="top"/>
    </xf>
    <xf numFmtId="0" fontId="1" fillId="6" borderId="72" xfId="385" applyFill="1" applyBorder="1"/>
    <xf numFmtId="0" fontId="119" fillId="0" borderId="107" xfId="0" applyFont="1" applyBorder="1"/>
    <xf numFmtId="0" fontId="118" fillId="0" borderId="107" xfId="0" applyFont="1" applyFill="1" applyBorder="1" applyAlignment="1" applyProtection="1">
      <alignment vertical="center" wrapText="1"/>
    </xf>
    <xf numFmtId="0" fontId="118" fillId="0" borderId="18" xfId="0" applyFont="1" applyFill="1" applyBorder="1" applyAlignment="1" applyProtection="1">
      <alignment vertical="center" wrapText="1"/>
    </xf>
    <xf numFmtId="0" fontId="118" fillId="0" borderId="69" xfId="0" applyFont="1" applyFill="1" applyBorder="1" applyAlignment="1" applyProtection="1">
      <alignment vertical="center" wrapText="1"/>
    </xf>
    <xf numFmtId="0" fontId="1" fillId="69" borderId="107" xfId="385" applyFill="1" applyBorder="1"/>
    <xf numFmtId="0" fontId="65" fillId="4" borderId="109" xfId="329" applyFont="1" applyFill="1" applyBorder="1" applyAlignment="1" applyProtection="1">
      <alignment vertical="top"/>
    </xf>
    <xf numFmtId="49" fontId="3" fillId="0" borderId="70" xfId="293" applyNumberFormat="1" applyFont="1" applyBorder="1" applyAlignment="1">
      <alignment vertical="center"/>
    </xf>
    <xf numFmtId="0" fontId="65" fillId="4" borderId="109" xfId="281" applyFont="1" applyFill="1" applyBorder="1" applyAlignment="1" applyProtection="1">
      <alignment vertical="top" wrapText="1"/>
    </xf>
    <xf numFmtId="0" fontId="3" fillId="0" borderId="112" xfId="293" applyFont="1" applyFill="1" applyBorder="1" applyAlignment="1">
      <alignment vertical="top"/>
    </xf>
    <xf numFmtId="188" fontId="3" fillId="70" borderId="0" xfId="405" applyNumberFormat="1" applyFont="1" applyFill="1" applyBorder="1" applyAlignment="1" applyProtection="1">
      <alignment horizontal="left" vertical="center"/>
      <protection locked="0"/>
    </xf>
    <xf numFmtId="188" fontId="3" fillId="70" borderId="111" xfId="405" applyNumberFormat="1" applyFont="1" applyFill="1" applyBorder="1" applyAlignment="1" applyProtection="1">
      <alignment horizontal="left" vertical="center"/>
      <protection locked="0"/>
    </xf>
    <xf numFmtId="0" fontId="3" fillId="0" borderId="18" xfId="329" applyFill="1" applyBorder="1"/>
    <xf numFmtId="0" fontId="0" fillId="0" borderId="18" xfId="293" applyFont="1" applyBorder="1" applyAlignment="1">
      <alignment vertical="center"/>
    </xf>
    <xf numFmtId="0" fontId="1" fillId="6" borderId="18" xfId="385" applyFill="1" applyBorder="1"/>
    <xf numFmtId="1" fontId="3" fillId="6" borderId="70" xfId="329" applyNumberFormat="1" applyFill="1" applyBorder="1" applyAlignment="1">
      <alignment horizontal="center" vertical="top"/>
    </xf>
    <xf numFmtId="0" fontId="3" fillId="6" borderId="18" xfId="329" applyFill="1" applyBorder="1" applyAlignment="1">
      <alignment horizontal="center" vertical="top"/>
    </xf>
    <xf numFmtId="0" fontId="6" fillId="6" borderId="18" xfId="329" applyFont="1" applyFill="1" applyBorder="1" applyAlignment="1" applyProtection="1">
      <alignment horizontal="center" vertical="top"/>
    </xf>
    <xf numFmtId="0" fontId="6" fillId="6" borderId="18" xfId="329" applyFont="1" applyFill="1" applyBorder="1" applyAlignment="1" applyProtection="1">
      <alignment vertical="top"/>
    </xf>
    <xf numFmtId="0" fontId="65" fillId="6" borderId="109" xfId="329" applyNumberFormat="1" applyFont="1" applyFill="1" applyBorder="1" applyAlignment="1">
      <alignment vertical="top"/>
    </xf>
    <xf numFmtId="0" fontId="3" fillId="6" borderId="107" xfId="329" applyFill="1" applyBorder="1" applyAlignment="1">
      <alignment vertical="center"/>
    </xf>
    <xf numFmtId="49" fontId="3" fillId="6" borderId="70" xfId="329" applyNumberFormat="1" applyFill="1" applyBorder="1" applyAlignment="1">
      <alignment vertical="center"/>
    </xf>
    <xf numFmtId="0" fontId="3" fillId="6" borderId="18" xfId="293" applyFont="1" applyFill="1" applyBorder="1" applyAlignment="1">
      <alignment vertical="center"/>
    </xf>
    <xf numFmtId="0" fontId="3" fillId="6" borderId="18" xfId="329" applyFill="1" applyBorder="1" applyAlignment="1">
      <alignment vertical="center"/>
    </xf>
    <xf numFmtId="0" fontId="3" fillId="6" borderId="69" xfId="329" applyFill="1" applyBorder="1" applyAlignment="1">
      <alignment vertical="center"/>
    </xf>
    <xf numFmtId="0" fontId="3" fillId="6" borderId="70" xfId="329" applyFont="1" applyFill="1" applyBorder="1" applyAlignment="1">
      <alignment vertical="top"/>
    </xf>
    <xf numFmtId="0" fontId="3" fillId="6" borderId="69" xfId="293" applyFont="1" applyFill="1" applyBorder="1" applyAlignment="1">
      <alignment horizontal="center" vertical="top"/>
    </xf>
    <xf numFmtId="1" fontId="65" fillId="6" borderId="70" xfId="329" applyNumberFormat="1" applyFont="1" applyFill="1" applyBorder="1" applyAlignment="1" applyProtection="1">
      <alignment horizontal="center" vertical="top"/>
    </xf>
    <xf numFmtId="0" fontId="5" fillId="6" borderId="18" xfId="329" applyFont="1" applyFill="1" applyBorder="1" applyAlignment="1">
      <alignment horizontal="center" vertical="top"/>
    </xf>
    <xf numFmtId="0" fontId="3" fillId="6" borderId="18" xfId="329" applyFont="1" applyFill="1" applyBorder="1" applyAlignment="1">
      <alignment horizontal="center" vertical="top"/>
    </xf>
    <xf numFmtId="0" fontId="3" fillId="6" borderId="18" xfId="329" applyFont="1" applyFill="1" applyBorder="1" applyAlignment="1">
      <alignment vertical="top"/>
    </xf>
    <xf numFmtId="0" fontId="0" fillId="6" borderId="69" xfId="293" applyFont="1" applyFill="1" applyBorder="1" applyAlignment="1">
      <alignment vertical="top"/>
    </xf>
    <xf numFmtId="187" fontId="3" fillId="6" borderId="110" xfId="329" applyNumberFormat="1" applyFont="1" applyFill="1" applyBorder="1" applyAlignment="1" applyProtection="1">
      <alignment horizontal="right" vertical="top" indent="1"/>
    </xf>
    <xf numFmtId="0" fontId="65" fillId="6" borderId="109" xfId="281" applyFont="1" applyFill="1" applyBorder="1" applyAlignment="1" applyProtection="1">
      <alignment vertical="top"/>
    </xf>
    <xf numFmtId="0" fontId="65" fillId="6" borderId="108" xfId="329" applyFont="1" applyFill="1" applyBorder="1" applyAlignment="1" applyProtection="1">
      <alignment vertical="top"/>
    </xf>
    <xf numFmtId="1" fontId="3" fillId="0" borderId="70" xfId="329" applyNumberFormat="1" applyBorder="1" applyAlignment="1">
      <alignment horizontal="center" vertical="top"/>
    </xf>
    <xf numFmtId="187" fontId="3" fillId="4" borderId="110" xfId="659" applyNumberFormat="1" applyFont="1" applyFill="1" applyBorder="1" applyAlignment="1" applyProtection="1">
      <alignment horizontal="right" vertical="top" indent="1"/>
    </xf>
    <xf numFmtId="0" fontId="65" fillId="4" borderId="109" xfId="659" applyFont="1" applyFill="1" applyBorder="1" applyAlignment="1" applyProtection="1">
      <alignment vertical="top"/>
    </xf>
    <xf numFmtId="0" fontId="3" fillId="0" borderId="18" xfId="329" quotePrefix="1" applyBorder="1"/>
    <xf numFmtId="0" fontId="1" fillId="6" borderId="69" xfId="385" applyFill="1" applyBorder="1"/>
    <xf numFmtId="0" fontId="3" fillId="0" borderId="107" xfId="329" applyBorder="1"/>
    <xf numFmtId="0" fontId="3" fillId="0" borderId="18" xfId="329" applyBorder="1"/>
    <xf numFmtId="0" fontId="3" fillId="0" borderId="69" xfId="329" applyBorder="1"/>
    <xf numFmtId="0" fontId="1" fillId="6" borderId="107" xfId="385" applyFill="1" applyBorder="1"/>
    <xf numFmtId="0" fontId="1" fillId="69" borderId="18" xfId="385" applyFill="1" applyBorder="1"/>
    <xf numFmtId="0" fontId="1" fillId="69" borderId="69" xfId="385" applyFill="1" applyBorder="1"/>
    <xf numFmtId="1" fontId="65" fillId="0" borderId="70" xfId="329" applyNumberFormat="1" applyFont="1" applyFill="1" applyBorder="1" applyAlignment="1" applyProtection="1">
      <alignment horizontal="center" vertical="top"/>
    </xf>
    <xf numFmtId="187" fontId="3" fillId="4" borderId="110" xfId="329" quotePrefix="1" applyNumberFormat="1" applyFont="1" applyFill="1" applyBorder="1" applyAlignment="1" applyProtection="1">
      <alignment horizontal="right" vertical="top" indent="1"/>
    </xf>
    <xf numFmtId="0" fontId="0" fillId="0" borderId="107" xfId="0" applyFill="1" applyBorder="1"/>
    <xf numFmtId="0" fontId="0" fillId="0" borderId="18" xfId="0" applyFill="1" applyBorder="1"/>
    <xf numFmtId="0" fontId="0" fillId="0" borderId="69" xfId="0" applyFill="1" applyBorder="1"/>
    <xf numFmtId="0" fontId="0" fillId="4" borderId="72" xfId="385" applyFont="1" applyFill="1" applyBorder="1"/>
    <xf numFmtId="0" fontId="1" fillId="0" borderId="107" xfId="385" applyFill="1" applyBorder="1"/>
    <xf numFmtId="0" fontId="1" fillId="0" borderId="18" xfId="385" applyFill="1" applyBorder="1"/>
    <xf numFmtId="0" fontId="1" fillId="0" borderId="69" xfId="385" applyFill="1" applyBorder="1"/>
    <xf numFmtId="0" fontId="117" fillId="4" borderId="109" xfId="329" applyNumberFormat="1" applyFont="1" applyFill="1" applyBorder="1" applyAlignment="1">
      <alignment vertical="top"/>
    </xf>
    <xf numFmtId="0" fontId="3" fillId="0" borderId="18" xfId="293" applyFont="1" applyBorder="1" applyAlignment="1">
      <alignment vertical="center"/>
    </xf>
    <xf numFmtId="0" fontId="116" fillId="0" borderId="70" xfId="329" applyFont="1" applyBorder="1" applyAlignment="1">
      <alignment vertical="top"/>
    </xf>
    <xf numFmtId="0" fontId="3" fillId="0" borderId="18" xfId="329" applyFont="1" applyBorder="1" applyAlignment="1">
      <alignment horizontal="center" vertical="top"/>
    </xf>
    <xf numFmtId="0" fontId="6" fillId="0" borderId="18" xfId="329" applyFont="1" applyFill="1" applyBorder="1" applyAlignment="1" applyProtection="1">
      <alignment vertical="top"/>
    </xf>
    <xf numFmtId="187" fontId="3" fillId="4" borderId="110" xfId="329" applyNumberFormat="1" applyFont="1" applyFill="1" applyBorder="1" applyAlignment="1" applyProtection="1">
      <alignment horizontal="right" vertical="top" indent="1"/>
    </xf>
    <xf numFmtId="0" fontId="65" fillId="4" borderId="109" xfId="281" applyFont="1" applyFill="1" applyBorder="1" applyAlignment="1" applyProtection="1">
      <alignment vertical="top"/>
    </xf>
    <xf numFmtId="0" fontId="117" fillId="4" borderId="108" xfId="329" applyFont="1" applyFill="1" applyBorder="1" applyAlignment="1" applyProtection="1">
      <alignment vertical="top"/>
    </xf>
    <xf numFmtId="49" fontId="3" fillId="0" borderId="70" xfId="329" applyNumberFormat="1" applyFill="1" applyBorder="1" applyAlignment="1">
      <alignment vertical="center"/>
    </xf>
    <xf numFmtId="0" fontId="3" fillId="0" borderId="18" xfId="293" applyFont="1" applyFill="1" applyBorder="1" applyAlignment="1">
      <alignment vertical="center"/>
    </xf>
    <xf numFmtId="0" fontId="3" fillId="0" borderId="18" xfId="329" applyFill="1" applyBorder="1" applyAlignment="1">
      <alignment vertical="center"/>
    </xf>
    <xf numFmtId="0" fontId="3" fillId="0" borderId="69" xfId="329" applyFill="1" applyBorder="1" applyAlignment="1">
      <alignment vertical="center"/>
    </xf>
    <xf numFmtId="0" fontId="3" fillId="0" borderId="70" xfId="329" applyFont="1" applyFill="1" applyBorder="1" applyAlignment="1">
      <alignment vertical="top"/>
    </xf>
    <xf numFmtId="0" fontId="3" fillId="0" borderId="69" xfId="293" applyFont="1" applyFill="1" applyBorder="1" applyAlignment="1">
      <alignment horizontal="center" vertical="top"/>
    </xf>
    <xf numFmtId="1" fontId="3" fillId="0" borderId="70" xfId="329" applyNumberFormat="1" applyFill="1" applyBorder="1" applyAlignment="1">
      <alignment horizontal="center" vertical="top"/>
    </xf>
    <xf numFmtId="0" fontId="3" fillId="0" borderId="18" xfId="329" applyFill="1" applyBorder="1" applyAlignment="1">
      <alignment horizontal="center" vertical="top"/>
    </xf>
    <xf numFmtId="0" fontId="3" fillId="0" borderId="18" xfId="329" applyFont="1" applyFill="1" applyBorder="1" applyAlignment="1">
      <alignment vertical="top"/>
    </xf>
    <xf numFmtId="0" fontId="65" fillId="4" borderId="60" xfId="281" applyFont="1" applyFill="1" applyBorder="1" applyAlignment="1" applyProtection="1">
      <alignment vertical="top"/>
    </xf>
    <xf numFmtId="0" fontId="65" fillId="4" borderId="108" xfId="329" applyFont="1" applyFill="1" applyBorder="1" applyAlignment="1" applyProtection="1">
      <alignment vertical="top"/>
    </xf>
    <xf numFmtId="0" fontId="117" fillId="4" borderId="104" xfId="329" applyNumberFormat="1" applyFont="1" applyFill="1" applyBorder="1" applyAlignment="1">
      <alignment vertical="top"/>
    </xf>
    <xf numFmtId="0" fontId="65" fillId="4" borderId="104" xfId="329" applyFont="1" applyFill="1" applyBorder="1" applyAlignment="1" applyProtection="1">
      <alignment vertical="top"/>
    </xf>
    <xf numFmtId="0" fontId="117" fillId="4" borderId="103" xfId="329" applyFont="1" applyFill="1" applyBorder="1" applyAlignment="1" applyProtection="1">
      <alignment vertical="top"/>
    </xf>
    <xf numFmtId="0" fontId="3" fillId="0" borderId="18" xfId="0" applyFont="1" applyBorder="1"/>
    <xf numFmtId="0" fontId="0" fillId="4" borderId="72" xfId="0" applyFill="1" applyBorder="1"/>
    <xf numFmtId="0" fontId="0" fillId="0" borderId="107" xfId="0" applyBorder="1"/>
    <xf numFmtId="0" fontId="0" fillId="0" borderId="18" xfId="0" applyBorder="1"/>
    <xf numFmtId="0" fontId="0" fillId="0" borderId="69" xfId="0" applyBorder="1"/>
    <xf numFmtId="0" fontId="3" fillId="0" borderId="107" xfId="329" applyBorder="1" applyAlignment="1">
      <alignment vertical="center"/>
    </xf>
    <xf numFmtId="49" fontId="3" fillId="0" borderId="70" xfId="329" applyNumberFormat="1" applyBorder="1"/>
    <xf numFmtId="0" fontId="3" fillId="0" borderId="69" xfId="329" applyBorder="1" applyAlignment="1">
      <alignment vertical="center"/>
    </xf>
    <xf numFmtId="49" fontId="3" fillId="0" borderId="70" xfId="329" applyNumberFormat="1" applyBorder="1" applyAlignment="1">
      <alignmen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3" fillId="0" borderId="18" xfId="329" applyBorder="1" applyAlignment="1">
      <alignment vertical="center"/>
    </xf>
    <xf numFmtId="0" fontId="0" fillId="0" borderId="69" xfId="0" applyFont="1" applyBorder="1" applyAlignment="1">
      <alignment horizontal="left" vertical="center"/>
    </xf>
    <xf numFmtId="0" fontId="3" fillId="0" borderId="70" xfId="329" applyFont="1" applyBorder="1" applyAlignment="1">
      <alignment vertical="top"/>
    </xf>
    <xf numFmtId="0" fontId="3" fillId="0" borderId="69" xfId="293" applyFont="1" applyBorder="1" applyAlignment="1">
      <alignment horizontal="center" vertical="top"/>
    </xf>
    <xf numFmtId="1" fontId="65" fillId="4" borderId="70" xfId="329" applyNumberFormat="1" applyFont="1" applyFill="1" applyBorder="1" applyAlignment="1" applyProtection="1">
      <alignment horizontal="center" vertical="top"/>
    </xf>
    <xf numFmtId="0" fontId="3" fillId="0" borderId="18" xfId="329" applyBorder="1" applyAlignment="1">
      <alignment horizontal="center" vertical="top"/>
    </xf>
    <xf numFmtId="0" fontId="6" fillId="4" borderId="18" xfId="329" applyFont="1" applyFill="1" applyBorder="1" applyAlignment="1" applyProtection="1">
      <alignment horizontal="center" vertical="top"/>
    </xf>
    <xf numFmtId="0" fontId="6" fillId="4" borderId="18" xfId="329" applyFont="1" applyFill="1" applyBorder="1" applyAlignment="1" applyProtection="1">
      <alignment vertical="top"/>
    </xf>
    <xf numFmtId="0" fontId="3" fillId="0" borderId="18" xfId="329" applyFont="1" applyBorder="1" applyAlignment="1">
      <alignment vertical="top"/>
    </xf>
    <xf numFmtId="0" fontId="3" fillId="0" borderId="69" xfId="293" applyFont="1" applyBorder="1" applyAlignment="1">
      <alignment vertical="top"/>
    </xf>
    <xf numFmtId="0" fontId="65" fillId="4" borderId="104" xfId="329" applyNumberFormat="1" applyFont="1" applyFill="1" applyBorder="1" applyAlignment="1">
      <alignment vertical="top"/>
    </xf>
    <xf numFmtId="0" fontId="0" fillId="0" borderId="106" xfId="0" applyBorder="1"/>
    <xf numFmtId="0" fontId="3" fillId="0" borderId="65" xfId="0" applyFont="1" applyBorder="1"/>
    <xf numFmtId="0" fontId="0" fillId="0" borderId="65" xfId="0" applyBorder="1"/>
    <xf numFmtId="0" fontId="0" fillId="0" borderId="64" xfId="0" applyBorder="1"/>
    <xf numFmtId="0" fontId="1" fillId="4" borderId="68" xfId="385" applyFill="1" applyBorder="1"/>
    <xf numFmtId="0" fontId="1" fillId="6" borderId="106" xfId="385" applyFill="1" applyBorder="1"/>
    <xf numFmtId="0" fontId="1" fillId="6" borderId="65" xfId="385" applyFill="1" applyBorder="1"/>
    <xf numFmtId="0" fontId="1" fillId="69" borderId="65" xfId="385" applyFill="1" applyBorder="1"/>
    <xf numFmtId="0" fontId="1" fillId="6" borderId="64" xfId="385" applyFill="1" applyBorder="1"/>
    <xf numFmtId="0" fontId="3" fillId="0" borderId="106" xfId="329" applyBorder="1" applyAlignment="1">
      <alignment vertical="center"/>
    </xf>
    <xf numFmtId="49" fontId="3" fillId="0" borderId="66" xfId="329" applyNumberFormat="1" applyBorder="1"/>
    <xf numFmtId="0" fontId="3" fillId="0" borderId="64" xfId="329" applyBorder="1" applyAlignment="1">
      <alignment vertical="center"/>
    </xf>
    <xf numFmtId="49" fontId="3" fillId="0" borderId="66" xfId="329" applyNumberFormat="1" applyBorder="1" applyAlignment="1">
      <alignment vertical="center"/>
    </xf>
    <xf numFmtId="0" fontId="0" fillId="0" borderId="65" xfId="0" applyFont="1" applyBorder="1" applyAlignment="1">
      <alignment horizontal="left" vertical="center"/>
    </xf>
    <xf numFmtId="0" fontId="0" fillId="0" borderId="65" xfId="0" applyFont="1" applyBorder="1" applyAlignment="1">
      <alignment vertical="center"/>
    </xf>
    <xf numFmtId="0" fontId="3" fillId="0" borderId="65" xfId="329" applyBorder="1" applyAlignment="1">
      <alignment vertical="center"/>
    </xf>
    <xf numFmtId="0" fontId="0" fillId="0" borderId="64" xfId="0" applyFont="1" applyBorder="1" applyAlignment="1">
      <alignment horizontal="left" vertical="center"/>
    </xf>
    <xf numFmtId="0" fontId="116" fillId="0" borderId="84" xfId="329" applyFont="1" applyBorder="1" applyAlignment="1">
      <alignment vertical="top"/>
    </xf>
    <xf numFmtId="0" fontId="3" fillId="0" borderId="87" xfId="293" applyFont="1" applyBorder="1" applyAlignment="1">
      <alignment horizontal="center" vertical="top"/>
    </xf>
    <xf numFmtId="1" fontId="3" fillId="0" borderId="66" xfId="329" applyNumberFormat="1" applyBorder="1" applyAlignment="1">
      <alignment horizontal="center" vertical="top"/>
    </xf>
    <xf numFmtId="0" fontId="3" fillId="0" borderId="65" xfId="329" applyBorder="1" applyAlignment="1">
      <alignment horizontal="center" vertical="top"/>
    </xf>
    <xf numFmtId="0" fontId="6" fillId="4" borderId="65" xfId="329" applyFont="1" applyFill="1" applyBorder="1" applyAlignment="1" applyProtection="1">
      <alignment horizontal="center" vertical="top"/>
    </xf>
    <xf numFmtId="0" fontId="6" fillId="4" borderId="65" xfId="329" applyFont="1" applyFill="1" applyBorder="1" applyAlignment="1" applyProtection="1">
      <alignment vertical="top"/>
    </xf>
    <xf numFmtId="0" fontId="3" fillId="0" borderId="65" xfId="329" applyFont="1" applyBorder="1" applyAlignment="1">
      <alignment vertical="top"/>
    </xf>
    <xf numFmtId="0" fontId="3" fillId="0" borderId="64" xfId="293" applyFont="1" applyBorder="1" applyAlignment="1">
      <alignment vertical="top"/>
    </xf>
    <xf numFmtId="187" fontId="3" fillId="4" borderId="105" xfId="329" applyNumberFormat="1" applyFont="1" applyFill="1" applyBorder="1" applyAlignment="1" applyProtection="1">
      <alignment horizontal="right" vertical="top" indent="1"/>
    </xf>
    <xf numFmtId="0" fontId="65" fillId="4" borderId="104" xfId="281" applyFont="1" applyFill="1" applyBorder="1" applyAlignment="1" applyProtection="1">
      <alignment vertical="top"/>
    </xf>
    <xf numFmtId="0" fontId="65" fillId="4" borderId="103" xfId="329" applyFont="1" applyFill="1" applyBorder="1" applyAlignment="1" applyProtection="1">
      <alignment vertical="top"/>
    </xf>
    <xf numFmtId="0" fontId="2" fillId="68" borderId="59" xfId="281" applyFont="1" applyFill="1" applyBorder="1" applyAlignment="1">
      <alignment vertical="center" wrapText="1"/>
    </xf>
    <xf numFmtId="0" fontId="2" fillId="68" borderId="0" xfId="281" applyFont="1" applyFill="1" applyBorder="1" applyAlignment="1">
      <alignment vertical="center" wrapText="1"/>
    </xf>
    <xf numFmtId="0" fontId="2" fillId="68" borderId="102" xfId="281" applyFont="1" applyFill="1" applyBorder="1" applyAlignment="1">
      <alignment vertical="center" wrapText="1"/>
    </xf>
    <xf numFmtId="0" fontId="2" fillId="68" borderId="101" xfId="281" applyFont="1" applyFill="1" applyBorder="1" applyAlignment="1">
      <alignment vertical="center" wrapText="1"/>
    </xf>
    <xf numFmtId="0" fontId="2" fillId="68" borderId="100" xfId="281" applyFont="1" applyFill="1" applyBorder="1" applyAlignment="1">
      <alignment vertical="center" wrapText="1"/>
    </xf>
    <xf numFmtId="0" fontId="2" fillId="67" borderId="101" xfId="281" applyFont="1" applyFill="1" applyBorder="1" applyAlignment="1">
      <alignment vertical="center" wrapText="1"/>
    </xf>
    <xf numFmtId="0" fontId="2" fillId="67" borderId="100" xfId="281" applyFont="1" applyFill="1" applyBorder="1" applyAlignment="1">
      <alignment vertical="center" wrapText="1"/>
    </xf>
    <xf numFmtId="0" fontId="2" fillId="66" borderId="100" xfId="281" applyFont="1" applyFill="1" applyBorder="1" applyAlignment="1">
      <alignment vertical="center" wrapText="1"/>
    </xf>
    <xf numFmtId="0" fontId="2" fillId="66" borderId="59" xfId="281" applyFont="1" applyFill="1" applyBorder="1" applyAlignment="1">
      <alignment vertical="center" wrapText="1"/>
    </xf>
    <xf numFmtId="0" fontId="2" fillId="65" borderId="99" xfId="293" applyFont="1" applyFill="1" applyBorder="1" applyAlignment="1">
      <alignment horizontal="center" wrapText="1"/>
    </xf>
    <xf numFmtId="0" fontId="2" fillId="65" borderId="98" xfId="293" applyFont="1" applyFill="1" applyBorder="1" applyAlignment="1">
      <alignment horizontal="center" wrapText="1"/>
    </xf>
    <xf numFmtId="1" fontId="2" fillId="64" borderId="26" xfId="293" applyNumberFormat="1" applyFont="1" applyFill="1" applyBorder="1" applyAlignment="1">
      <alignment horizontal="center" wrapText="1"/>
    </xf>
    <xf numFmtId="0" fontId="2" fillId="64" borderId="6" xfId="293" applyFont="1" applyFill="1" applyBorder="1" applyAlignment="1">
      <alignment horizontal="center" wrapText="1"/>
    </xf>
    <xf numFmtId="0" fontId="2" fillId="64" borderId="8" xfId="293" applyFont="1" applyFill="1" applyBorder="1" applyAlignment="1">
      <alignment horizontal="center" wrapText="1"/>
    </xf>
    <xf numFmtId="49" fontId="8" fillId="63" borderId="97" xfId="329" applyNumberFormat="1" applyFont="1" applyFill="1" applyBorder="1" applyAlignment="1" applyProtection="1">
      <alignment wrapText="1"/>
    </xf>
    <xf numFmtId="0" fontId="8" fillId="63" borderId="28" xfId="281" applyFont="1" applyFill="1" applyBorder="1" applyAlignment="1" applyProtection="1">
      <alignment wrapText="1"/>
    </xf>
    <xf numFmtId="0" fontId="8" fillId="63" borderId="10" xfId="329" applyFont="1" applyFill="1" applyBorder="1" applyAlignment="1" applyProtection="1">
      <alignment wrapText="1"/>
    </xf>
    <xf numFmtId="0" fontId="0" fillId="61" borderId="32" xfId="0" applyFill="1" applyBorder="1"/>
    <xf numFmtId="0" fontId="0" fillId="61" borderId="0" xfId="0" applyFill="1" applyBorder="1"/>
    <xf numFmtId="0" fontId="0" fillId="61" borderId="33" xfId="0" applyFill="1" applyBorder="1"/>
    <xf numFmtId="0" fontId="28" fillId="62" borderId="37" xfId="385" applyFont="1" applyFill="1" applyBorder="1" applyAlignment="1">
      <alignment horizontal="center"/>
    </xf>
    <xf numFmtId="0" fontId="82" fillId="8" borderId="4" xfId="385" applyFont="1" applyFill="1" applyBorder="1" applyAlignment="1">
      <alignment horizontal="center"/>
    </xf>
    <xf numFmtId="0" fontId="82" fillId="8" borderId="3" xfId="385" applyFont="1" applyFill="1" applyBorder="1"/>
    <xf numFmtId="0" fontId="82" fillId="8" borderId="34" xfId="385" applyFont="1" applyFill="1" applyBorder="1"/>
    <xf numFmtId="49" fontId="65" fillId="4" borderId="0" xfId="329" applyNumberFormat="1" applyFont="1" applyFill="1" applyProtection="1"/>
    <xf numFmtId="0" fontId="28" fillId="62" borderId="96" xfId="0" applyFont="1" applyFill="1" applyBorder="1" applyAlignment="1">
      <alignment horizontal="center"/>
    </xf>
    <xf numFmtId="0" fontId="82" fillId="8" borderId="30" xfId="0" applyFont="1" applyFill="1" applyBorder="1" applyAlignment="1">
      <alignment horizontal="center"/>
    </xf>
    <xf numFmtId="1" fontId="65" fillId="4" borderId="0" xfId="329" applyNumberFormat="1" applyFont="1" applyFill="1" applyProtection="1"/>
    <xf numFmtId="0" fontId="65" fillId="4" borderId="0" xfId="329" applyFont="1" applyFill="1" applyAlignment="1" applyProtection="1">
      <alignment horizontal="center"/>
    </xf>
    <xf numFmtId="0" fontId="3" fillId="0" borderId="0" xfId="293"/>
    <xf numFmtId="0" fontId="65" fillId="4" borderId="0" xfId="329" applyFont="1" applyFill="1" applyProtection="1"/>
    <xf numFmtId="49" fontId="112" fillId="61" borderId="0" xfId="329" applyNumberFormat="1" applyFont="1" applyFill="1" applyAlignment="1" applyProtection="1">
      <alignment horizontal="right" vertical="center"/>
    </xf>
    <xf numFmtId="0" fontId="65" fillId="61" borderId="0" xfId="329" applyFont="1" applyFill="1" applyAlignment="1" applyProtection="1">
      <alignment horizontal="center"/>
    </xf>
    <xf numFmtId="0" fontId="65" fillId="61" borderId="0" xfId="329" applyFont="1" applyFill="1" applyProtection="1"/>
    <xf numFmtId="0" fontId="3" fillId="61" borderId="0" xfId="329" applyFill="1"/>
    <xf numFmtId="0" fontId="3" fillId="61" borderId="0" xfId="293" applyFill="1"/>
    <xf numFmtId="14" fontId="114" fillId="61" borderId="0" xfId="329" applyNumberFormat="1" applyFont="1" applyFill="1" applyAlignment="1">
      <alignment horizontal="left"/>
    </xf>
    <xf numFmtId="49" fontId="8" fillId="61" borderId="0" xfId="329" applyNumberFormat="1" applyFont="1" applyFill="1" applyAlignment="1" applyProtection="1">
      <alignment horizontal="right"/>
    </xf>
    <xf numFmtId="0" fontId="3" fillId="0" borderId="0" xfId="329" applyAlignment="1">
      <alignment vertical="center"/>
    </xf>
    <xf numFmtId="0" fontId="3" fillId="0" borderId="0" xfId="329"/>
    <xf numFmtId="0" fontId="65" fillId="61" borderId="0" xfId="281" applyFont="1" applyFill="1" applyProtection="1"/>
    <xf numFmtId="0" fontId="111" fillId="61" borderId="0" xfId="329" quotePrefix="1" applyFont="1" applyFill="1"/>
    <xf numFmtId="0" fontId="110" fillId="61" borderId="0" xfId="329" applyFont="1" applyFill="1" applyAlignment="1" applyProtection="1">
      <alignment horizontal="center"/>
    </xf>
    <xf numFmtId="0" fontId="110" fillId="61" borderId="0" xfId="329" applyFont="1" applyFill="1" applyProtection="1"/>
    <xf numFmtId="0" fontId="105" fillId="8" borderId="95" xfId="281" applyFont="1" applyFill="1" applyBorder="1" applyAlignment="1" applyProtection="1">
      <alignment vertical="top"/>
    </xf>
    <xf numFmtId="0" fontId="105" fillId="8" borderId="74" xfId="281" applyFont="1" applyFill="1" applyBorder="1" applyAlignment="1" applyProtection="1">
      <alignment vertical="top"/>
    </xf>
    <xf numFmtId="0" fontId="105" fillId="8" borderId="74" xfId="281" quotePrefix="1" applyFont="1" applyFill="1" applyBorder="1" applyAlignment="1" applyProtection="1">
      <alignment vertical="top"/>
    </xf>
    <xf numFmtId="0" fontId="3" fillId="8" borderId="73" xfId="281" applyFont="1" applyFill="1" applyBorder="1" applyAlignment="1" applyProtection="1">
      <alignment horizontal="left" vertical="top" indent="2"/>
    </xf>
    <xf numFmtId="0" fontId="105" fillId="8" borderId="94" xfId="281" applyFont="1" applyFill="1" applyBorder="1" applyAlignment="1" applyProtection="1">
      <alignment vertical="top"/>
    </xf>
    <xf numFmtId="0" fontId="105" fillId="8" borderId="18" xfId="281" applyFont="1" applyFill="1" applyBorder="1" applyAlignment="1" applyProtection="1">
      <alignment vertical="top"/>
    </xf>
    <xf numFmtId="0" fontId="105" fillId="8" borderId="18" xfId="281" quotePrefix="1" applyFont="1" applyFill="1" applyBorder="1" applyAlignment="1" applyProtection="1">
      <alignment vertical="top"/>
    </xf>
    <xf numFmtId="0" fontId="105" fillId="8" borderId="93" xfId="281" applyFont="1" applyFill="1" applyBorder="1" applyAlignment="1" applyProtection="1">
      <alignment vertical="top"/>
    </xf>
    <xf numFmtId="0" fontId="105" fillId="8" borderId="65" xfId="281" applyFont="1" applyFill="1" applyBorder="1" applyAlignment="1" applyProtection="1">
      <alignment vertical="top"/>
    </xf>
    <xf numFmtId="0" fontId="105" fillId="8" borderId="65" xfId="281" quotePrefix="1" applyFont="1" applyFill="1" applyBorder="1" applyAlignment="1" applyProtection="1">
      <alignment vertical="top"/>
    </xf>
    <xf numFmtId="0" fontId="3" fillId="8" borderId="64" xfId="281" applyFont="1" applyFill="1" applyBorder="1" applyAlignment="1" applyProtection="1">
      <alignment horizontal="left" vertical="top" indent="2"/>
    </xf>
    <xf numFmtId="0" fontId="108" fillId="8" borderId="92" xfId="281" applyFont="1" applyFill="1" applyBorder="1" applyAlignment="1" applyProtection="1">
      <alignment vertical="top"/>
    </xf>
    <xf numFmtId="0" fontId="108" fillId="8" borderId="90" xfId="281" applyFont="1" applyFill="1" applyBorder="1" applyAlignment="1" applyProtection="1">
      <alignment vertical="top"/>
    </xf>
    <xf numFmtId="0" fontId="108" fillId="8" borderId="91" xfId="281" quotePrefix="1" applyFont="1" applyFill="1" applyBorder="1" applyAlignment="1" applyProtection="1">
      <alignment vertical="top"/>
    </xf>
    <xf numFmtId="0" fontId="106" fillId="8" borderId="89" xfId="281" quotePrefix="1" applyFont="1" applyFill="1" applyBorder="1" applyAlignment="1" applyProtection="1">
      <alignment vertical="top"/>
    </xf>
    <xf numFmtId="0" fontId="6" fillId="8" borderId="89" xfId="281" quotePrefix="1" applyFont="1" applyFill="1" applyBorder="1" applyAlignment="1" applyProtection="1">
      <alignment horizontal="center" vertical="center"/>
    </xf>
    <xf numFmtId="0" fontId="108" fillId="8" borderId="72" xfId="281" applyFont="1" applyFill="1" applyBorder="1" applyAlignment="1" applyProtection="1">
      <alignment vertical="top"/>
    </xf>
    <xf numFmtId="0" fontId="108" fillId="8" borderId="71" xfId="281" applyFont="1" applyFill="1" applyBorder="1" applyAlignment="1" applyProtection="1">
      <alignment vertical="top"/>
    </xf>
    <xf numFmtId="0" fontId="108" fillId="8" borderId="70" xfId="281" quotePrefix="1" applyFont="1" applyFill="1" applyBorder="1" applyAlignment="1" applyProtection="1">
      <alignment vertical="top"/>
    </xf>
    <xf numFmtId="0" fontId="6" fillId="8" borderId="18" xfId="281" quotePrefix="1" applyFont="1" applyFill="1" applyBorder="1" applyAlignment="1" applyProtection="1">
      <alignment horizontal="center" vertical="center"/>
    </xf>
    <xf numFmtId="0" fontId="106" fillId="8" borderId="65" xfId="281" quotePrefix="1" applyFont="1" applyFill="1" applyBorder="1" applyAlignment="1" applyProtection="1">
      <alignment horizontal="left" vertical="top"/>
    </xf>
    <xf numFmtId="0" fontId="6" fillId="8" borderId="83" xfId="281" quotePrefix="1" applyFont="1" applyFill="1" applyBorder="1" applyAlignment="1" applyProtection="1">
      <alignment horizontal="center" vertical="center"/>
    </xf>
    <xf numFmtId="0" fontId="65" fillId="8" borderId="92" xfId="281" applyFont="1" applyFill="1" applyBorder="1" applyAlignment="1" applyProtection="1">
      <alignment vertical="top"/>
    </xf>
    <xf numFmtId="0" fontId="65" fillId="8" borderId="90" xfId="281" applyFont="1" applyFill="1" applyBorder="1" applyAlignment="1" applyProtection="1">
      <alignment vertical="top"/>
    </xf>
    <xf numFmtId="0" fontId="65" fillId="8" borderId="91" xfId="281" applyFont="1" applyFill="1" applyBorder="1" applyAlignment="1" applyProtection="1">
      <alignment vertical="top"/>
    </xf>
    <xf numFmtId="0" fontId="3" fillId="8" borderId="74" xfId="281" applyFont="1" applyFill="1" applyBorder="1" applyAlignment="1" applyProtection="1">
      <alignment horizontal="left" vertical="top"/>
    </xf>
    <xf numFmtId="0" fontId="3" fillId="8" borderId="88" xfId="281" applyFont="1" applyFill="1" applyBorder="1" applyAlignment="1" applyProtection="1">
      <alignment vertical="top"/>
    </xf>
    <xf numFmtId="0" fontId="65" fillId="8" borderId="86" xfId="281" applyFont="1" applyFill="1" applyBorder="1" applyAlignment="1" applyProtection="1">
      <alignment vertical="top"/>
    </xf>
    <xf numFmtId="0" fontId="65" fillId="8" borderId="85" xfId="281" applyFont="1" applyFill="1" applyBorder="1" applyAlignment="1" applyProtection="1">
      <alignment vertical="top"/>
    </xf>
    <xf numFmtId="0" fontId="65" fillId="8" borderId="84" xfId="281" applyFont="1" applyFill="1" applyBorder="1" applyAlignment="1" applyProtection="1">
      <alignment vertical="top"/>
    </xf>
    <xf numFmtId="0" fontId="3" fillId="8" borderId="83" xfId="281" applyFont="1" applyFill="1" applyBorder="1" applyAlignment="1" applyProtection="1">
      <alignment horizontal="center" vertical="top"/>
    </xf>
    <xf numFmtId="0" fontId="3" fillId="8" borderId="87" xfId="281" applyFont="1" applyFill="1" applyBorder="1" applyAlignment="1" applyProtection="1">
      <alignment vertical="top"/>
    </xf>
    <xf numFmtId="0" fontId="107" fillId="8" borderId="4" xfId="281" applyFont="1" applyFill="1" applyBorder="1" applyAlignment="1" applyProtection="1">
      <alignment horizontal="right"/>
    </xf>
    <xf numFmtId="0" fontId="105" fillId="8" borderId="75" xfId="281" quotePrefix="1" applyFont="1" applyFill="1" applyBorder="1" applyAlignment="1" applyProtection="1">
      <alignment horizontal="left" vertical="top"/>
    </xf>
    <xf numFmtId="0" fontId="106" fillId="8" borderId="74" xfId="281" quotePrefix="1" applyFont="1" applyFill="1" applyBorder="1" applyAlignment="1" applyProtection="1">
      <alignment horizontal="left" vertical="top"/>
    </xf>
    <xf numFmtId="0" fontId="7" fillId="8" borderId="3" xfId="281" applyFont="1" applyFill="1" applyBorder="1" applyAlignment="1" applyProtection="1">
      <alignment horizontal="center"/>
    </xf>
    <xf numFmtId="0" fontId="2" fillId="8" borderId="73" xfId="281" applyFont="1" applyFill="1" applyBorder="1" applyAlignment="1" applyProtection="1">
      <alignment vertical="top"/>
    </xf>
    <xf numFmtId="0" fontId="105" fillId="8" borderId="90" xfId="281" applyFont="1" applyFill="1" applyBorder="1" applyAlignment="1" applyProtection="1">
      <alignment vertical="top"/>
    </xf>
    <xf numFmtId="0" fontId="106" fillId="8" borderId="89" xfId="281" quotePrefix="1" applyFont="1" applyFill="1" applyBorder="1" applyAlignment="1" applyProtection="1">
      <alignment horizontal="left" vertical="top"/>
    </xf>
    <xf numFmtId="0" fontId="3" fillId="8" borderId="88" xfId="281" applyFont="1" applyFill="1" applyBorder="1" applyAlignment="1" applyProtection="1">
      <alignment horizontal="left" vertical="top" indent="2"/>
    </xf>
    <xf numFmtId="0" fontId="65" fillId="4" borderId="0" xfId="281" applyFont="1" applyFill="1" applyAlignment="1" applyProtection="1">
      <alignment vertical="top"/>
    </xf>
    <xf numFmtId="0" fontId="3" fillId="0" borderId="0" xfId="281" applyAlignment="1">
      <alignment horizontal="left" vertical="top"/>
    </xf>
    <xf numFmtId="0" fontId="3" fillId="0" borderId="0" xfId="281" applyAlignment="1">
      <alignment vertical="top"/>
    </xf>
    <xf numFmtId="0" fontId="105" fillId="8" borderId="70" xfId="281" quotePrefix="1" applyFont="1" applyFill="1" applyBorder="1" applyAlignment="1" applyProtection="1">
      <alignment horizontal="left" vertical="top"/>
    </xf>
    <xf numFmtId="0" fontId="106" fillId="8" borderId="18" xfId="281" quotePrefix="1" applyFont="1" applyFill="1" applyBorder="1" applyAlignment="1" applyProtection="1">
      <alignment horizontal="left" vertical="top"/>
    </xf>
    <xf numFmtId="0" fontId="3" fillId="8" borderId="69" xfId="281" applyFont="1" applyFill="1" applyBorder="1" applyAlignment="1" applyProtection="1">
      <alignment horizontal="left" vertical="top" indent="2"/>
    </xf>
    <xf numFmtId="0" fontId="107" fillId="8" borderId="32" xfId="281" applyFont="1" applyFill="1" applyBorder="1" applyAlignment="1" applyProtection="1">
      <alignment horizontal="right"/>
    </xf>
    <xf numFmtId="0" fontId="7" fillId="8" borderId="0" xfId="281" applyFont="1" applyFill="1" applyBorder="1" applyAlignment="1" applyProtection="1">
      <alignment horizontal="center"/>
    </xf>
    <xf numFmtId="0" fontId="7" fillId="8" borderId="33" xfId="281" applyFont="1" applyFill="1" applyBorder="1" applyAlignment="1" applyProtection="1">
      <alignment horizontal="left"/>
    </xf>
    <xf numFmtId="0" fontId="6" fillId="8" borderId="0" xfId="281" applyFont="1" applyFill="1" applyBorder="1" applyAlignment="1" applyProtection="1">
      <alignment horizontal="center"/>
    </xf>
    <xf numFmtId="0" fontId="65" fillId="8" borderId="33" xfId="281" applyFont="1" applyFill="1" applyBorder="1" applyAlignment="1" applyProtection="1">
      <alignment horizontal="left" indent="2"/>
    </xf>
    <xf numFmtId="0" fontId="3" fillId="8" borderId="87" xfId="281" applyFont="1" applyFill="1" applyBorder="1" applyAlignment="1" applyProtection="1">
      <alignment horizontal="left" vertical="top" indent="2"/>
    </xf>
    <xf numFmtId="0" fontId="105" fillId="8" borderId="86" xfId="281" applyFont="1" applyFill="1" applyBorder="1" applyAlignment="1" applyProtection="1">
      <alignment vertical="top"/>
    </xf>
    <xf numFmtId="0" fontId="105" fillId="8" borderId="85" xfId="281" applyFont="1" applyFill="1" applyBorder="1" applyAlignment="1" applyProtection="1">
      <alignment vertical="top"/>
    </xf>
    <xf numFmtId="0" fontId="105" fillId="8" borderId="84" xfId="281" quotePrefix="1" applyFont="1" applyFill="1" applyBorder="1" applyAlignment="1" applyProtection="1">
      <alignment vertical="top"/>
    </xf>
    <xf numFmtId="0" fontId="106" fillId="8" borderId="83" xfId="281" quotePrefix="1" applyFont="1" applyFill="1" applyBorder="1" applyAlignment="1" applyProtection="1">
      <alignment vertical="top"/>
    </xf>
    <xf numFmtId="0" fontId="3" fillId="55" borderId="0" xfId="281" applyFont="1" applyFill="1" applyBorder="1" applyAlignment="1">
      <alignment horizontal="center"/>
    </xf>
    <xf numFmtId="0" fontId="3" fillId="8" borderId="82" xfId="281" applyFont="1" applyFill="1" applyBorder="1" applyAlignment="1" applyProtection="1">
      <alignment horizontal="left" vertical="top" indent="2"/>
    </xf>
    <xf numFmtId="0" fontId="105" fillId="8" borderId="57" xfId="281" applyFont="1" applyFill="1" applyBorder="1" applyAlignment="1" applyProtection="1">
      <alignment vertical="top"/>
    </xf>
    <xf numFmtId="0" fontId="105" fillId="8" borderId="25" xfId="281" applyFont="1" applyFill="1" applyBorder="1" applyAlignment="1" applyProtection="1">
      <alignment vertical="top"/>
    </xf>
    <xf numFmtId="0" fontId="105" fillId="8" borderId="81" xfId="281" quotePrefix="1" applyFont="1" applyFill="1" applyBorder="1" applyAlignment="1" applyProtection="1">
      <alignment vertical="top"/>
    </xf>
    <xf numFmtId="0" fontId="3" fillId="8" borderId="79" xfId="281" applyFont="1" applyFill="1" applyBorder="1" applyAlignment="1" applyProtection="1">
      <alignment horizontal="left" vertical="top" indent="2"/>
    </xf>
    <xf numFmtId="0" fontId="3" fillId="55" borderId="29" xfId="281" applyFont="1" applyFill="1" applyBorder="1" applyAlignment="1">
      <alignment horizontal="center"/>
    </xf>
    <xf numFmtId="0" fontId="3" fillId="8" borderId="78" xfId="281" applyFont="1" applyFill="1" applyBorder="1" applyAlignment="1" applyProtection="1">
      <alignment horizontal="left" vertical="top" indent="2"/>
    </xf>
    <xf numFmtId="0" fontId="105" fillId="8" borderId="77" xfId="281" applyFont="1" applyFill="1" applyBorder="1" applyAlignment="1" applyProtection="1">
      <alignment vertical="top"/>
    </xf>
    <xf numFmtId="0" fontId="105" fillId="8" borderId="76" xfId="281" applyFont="1" applyFill="1" applyBorder="1" applyAlignment="1" applyProtection="1">
      <alignment vertical="top"/>
    </xf>
    <xf numFmtId="0" fontId="105" fillId="8" borderId="75" xfId="281" quotePrefix="1" applyFont="1" applyFill="1" applyBorder="1" applyAlignment="1" applyProtection="1">
      <alignment vertical="top"/>
    </xf>
    <xf numFmtId="0" fontId="106" fillId="8" borderId="74" xfId="281" quotePrefix="1" applyFont="1" applyFill="1" applyBorder="1" applyAlignment="1" applyProtection="1">
      <alignment vertical="top"/>
    </xf>
    <xf numFmtId="0" fontId="3" fillId="8" borderId="74" xfId="281" applyFont="1" applyFill="1" applyBorder="1" applyAlignment="1" applyProtection="1">
      <alignment horizontal="center" vertical="top"/>
    </xf>
    <xf numFmtId="0" fontId="3" fillId="8" borderId="73" xfId="281" applyFont="1" applyFill="1" applyBorder="1" applyAlignment="1" applyProtection="1">
      <alignment vertical="top"/>
    </xf>
    <xf numFmtId="0" fontId="3" fillId="8" borderId="18" xfId="281" quotePrefix="1" applyFont="1" applyFill="1" applyBorder="1" applyAlignment="1" applyProtection="1">
      <alignment horizontal="center" vertical="top"/>
    </xf>
    <xf numFmtId="0" fontId="5" fillId="8" borderId="72" xfId="281" applyFont="1" applyFill="1" applyBorder="1" applyAlignment="1" applyProtection="1">
      <alignment vertical="top"/>
    </xf>
    <xf numFmtId="0" fontId="5" fillId="8" borderId="71" xfId="281" applyFont="1" applyFill="1" applyBorder="1" applyAlignment="1" applyProtection="1">
      <alignment vertical="top"/>
    </xf>
    <xf numFmtId="0" fontId="105" fillId="8" borderId="70" xfId="281" applyFont="1" applyFill="1" applyBorder="1" applyAlignment="1" applyProtection="1">
      <alignment vertical="top"/>
    </xf>
    <xf numFmtId="0" fontId="106" fillId="8" borderId="18" xfId="281" applyFont="1" applyFill="1" applyBorder="1" applyAlignment="1" applyProtection="1">
      <alignment vertical="top"/>
    </xf>
    <xf numFmtId="0" fontId="2" fillId="7" borderId="18" xfId="281" applyFont="1" applyFill="1" applyBorder="1" applyAlignment="1" applyProtection="1">
      <alignment horizontal="center" vertical="top"/>
    </xf>
    <xf numFmtId="0" fontId="2" fillId="8" borderId="18" xfId="281" applyFont="1" applyFill="1" applyBorder="1" applyAlignment="1" applyProtection="1">
      <alignment horizontal="center" vertical="top"/>
    </xf>
    <xf numFmtId="0" fontId="105" fillId="8" borderId="72" xfId="281" applyFont="1" applyFill="1" applyBorder="1" applyAlignment="1" applyProtection="1">
      <alignment vertical="top"/>
    </xf>
    <xf numFmtId="0" fontId="105" fillId="8" borderId="71" xfId="281" applyFont="1" applyFill="1" applyBorder="1" applyAlignment="1" applyProtection="1">
      <alignment vertical="top"/>
    </xf>
    <xf numFmtId="0" fontId="105" fillId="8" borderId="70" xfId="281" quotePrefix="1" applyFont="1" applyFill="1" applyBorder="1" applyAlignment="1" applyProtection="1">
      <alignment vertical="top"/>
    </xf>
    <xf numFmtId="0" fontId="106" fillId="8" borderId="18" xfId="281" quotePrefix="1" applyFont="1" applyFill="1" applyBorder="1" applyAlignment="1" applyProtection="1">
      <alignment vertical="top"/>
    </xf>
    <xf numFmtId="0" fontId="3" fillId="8" borderId="18" xfId="281" applyFont="1" applyFill="1" applyBorder="1" applyAlignment="1" applyProtection="1">
      <alignment horizontal="center" vertical="top"/>
    </xf>
    <xf numFmtId="0" fontId="3" fillId="8" borderId="69" xfId="281" applyFont="1" applyFill="1" applyBorder="1" applyAlignment="1" applyProtection="1">
      <alignment vertical="top"/>
    </xf>
    <xf numFmtId="0" fontId="65" fillId="4" borderId="0" xfId="281" applyFont="1" applyFill="1" applyAlignment="1" applyProtection="1">
      <alignment vertical="center"/>
    </xf>
    <xf numFmtId="0" fontId="3" fillId="0" borderId="0" xfId="281" applyAlignment="1">
      <alignment vertical="center"/>
    </xf>
    <xf numFmtId="0" fontId="105" fillId="8" borderId="68" xfId="281" applyFont="1" applyFill="1" applyBorder="1" applyAlignment="1" applyProtection="1">
      <alignment vertical="top"/>
    </xf>
    <xf numFmtId="0" fontId="105" fillId="8" borderId="67" xfId="281" applyFont="1" applyFill="1" applyBorder="1" applyAlignment="1" applyProtection="1">
      <alignment vertical="top"/>
    </xf>
    <xf numFmtId="0" fontId="105" fillId="8" borderId="66" xfId="281" quotePrefix="1" applyFont="1" applyFill="1" applyBorder="1" applyAlignment="1" applyProtection="1">
      <alignment vertical="top"/>
    </xf>
    <xf numFmtId="0" fontId="106" fillId="8" borderId="65" xfId="281" quotePrefix="1" applyFont="1" applyFill="1" applyBorder="1" applyAlignment="1" applyProtection="1">
      <alignment vertical="top"/>
    </xf>
    <xf numFmtId="0" fontId="3" fillId="8" borderId="65" xfId="281" applyFont="1" applyFill="1" applyBorder="1" applyAlignment="1" applyProtection="1">
      <alignment horizontal="center" vertical="top"/>
    </xf>
    <xf numFmtId="0" fontId="3" fillId="8" borderId="64" xfId="281" applyFont="1" applyFill="1" applyBorder="1" applyAlignment="1" applyProtection="1">
      <alignment vertical="top"/>
    </xf>
    <xf numFmtId="0" fontId="65" fillId="8" borderId="4" xfId="281" applyFont="1" applyFill="1" applyBorder="1" applyProtection="1"/>
    <xf numFmtId="0" fontId="65" fillId="8" borderId="3" xfId="281" applyFont="1" applyFill="1" applyBorder="1" applyProtection="1"/>
    <xf numFmtId="0" fontId="3" fillId="7" borderId="38" xfId="281" applyFont="1" applyFill="1" applyBorder="1" applyAlignment="1" applyProtection="1">
      <alignment horizontal="center"/>
      <protection locked="0"/>
    </xf>
    <xf numFmtId="0" fontId="3" fillId="8" borderId="34" xfId="281" applyFont="1" applyFill="1" applyBorder="1" applyProtection="1"/>
    <xf numFmtId="0" fontId="105" fillId="8" borderId="32" xfId="281" applyFont="1" applyFill="1" applyBorder="1" applyAlignment="1" applyProtection="1">
      <alignment vertical="top"/>
    </xf>
    <xf numFmtId="0" fontId="105" fillId="8" borderId="0" xfId="281" applyFont="1" applyFill="1" applyBorder="1" applyAlignment="1" applyProtection="1">
      <alignment vertical="top"/>
    </xf>
    <xf numFmtId="0" fontId="104" fillId="8" borderId="0" xfId="420" applyFont="1" applyFill="1" applyBorder="1" applyProtection="1"/>
    <xf numFmtId="14" fontId="3" fillId="7" borderId="50" xfId="281" quotePrefix="1" applyNumberFormat="1" applyFont="1" applyFill="1" applyBorder="1" applyAlignment="1" applyProtection="1">
      <alignment horizontal="center" vertical="top"/>
      <protection locked="0"/>
    </xf>
    <xf numFmtId="0" fontId="3" fillId="8" borderId="63" xfId="281" applyFont="1" applyFill="1" applyBorder="1" applyAlignment="1" applyProtection="1">
      <alignment vertical="top"/>
    </xf>
    <xf numFmtId="0" fontId="3" fillId="8" borderId="61" xfId="281" applyFont="1" applyFill="1" applyBorder="1" applyAlignment="1" applyProtection="1">
      <alignment vertical="center"/>
    </xf>
    <xf numFmtId="0" fontId="65" fillId="8" borderId="32" xfId="281" applyFont="1" applyFill="1" applyBorder="1" applyProtection="1"/>
    <xf numFmtId="0" fontId="65" fillId="8" borderId="0" xfId="281" applyFont="1" applyFill="1" applyBorder="1" applyProtection="1"/>
    <xf numFmtId="0" fontId="2" fillId="7" borderId="1" xfId="281" applyFont="1" applyFill="1" applyBorder="1" applyProtection="1">
      <protection locked="0"/>
    </xf>
    <xf numFmtId="0" fontId="3" fillId="8" borderId="60" xfId="281" applyFont="1" applyFill="1" applyBorder="1" applyProtection="1"/>
    <xf numFmtId="0" fontId="65" fillId="8" borderId="30" xfId="281" applyFont="1" applyFill="1" applyBorder="1" applyProtection="1"/>
    <xf numFmtId="0" fontId="65" fillId="8" borderId="29" xfId="281" applyFont="1" applyFill="1" applyBorder="1" applyProtection="1"/>
    <xf numFmtId="0" fontId="103" fillId="8" borderId="59" xfId="281" applyFont="1" applyFill="1" applyBorder="1" applyAlignment="1" applyProtection="1">
      <alignment vertical="top"/>
    </xf>
    <xf numFmtId="0" fontId="3" fillId="8" borderId="58" xfId="281" applyFont="1" applyFill="1" applyBorder="1" applyAlignment="1" applyProtection="1"/>
    <xf numFmtId="0" fontId="65" fillId="4" borderId="3" xfId="281" applyFont="1" applyFill="1" applyBorder="1" applyProtection="1"/>
    <xf numFmtId="0" fontId="3" fillId="0" borderId="0" xfId="281" applyFill="1"/>
    <xf numFmtId="0" fontId="100" fillId="0" borderId="0" xfId="288" applyFont="1" applyFill="1" applyBorder="1" applyAlignment="1" applyProtection="1">
      <alignment horizontal="left"/>
    </xf>
    <xf numFmtId="0" fontId="3" fillId="58" borderId="3" xfId="288" applyFont="1" applyFill="1" applyBorder="1" applyProtection="1"/>
    <xf numFmtId="0" fontId="3" fillId="58" borderId="3" xfId="288" applyFont="1" applyFill="1" applyBorder="1" applyAlignment="1" applyProtection="1"/>
    <xf numFmtId="0" fontId="99" fillId="58" borderId="34" xfId="288" applyFont="1" applyFill="1" applyBorder="1" applyAlignment="1" applyProtection="1">
      <alignment horizontal="left" indent="1"/>
    </xf>
    <xf numFmtId="0" fontId="3" fillId="0" borderId="0" xfId="281" quotePrefix="1"/>
    <xf numFmtId="0" fontId="3" fillId="0" borderId="0" xfId="281" applyAlignment="1">
      <alignment horizontal="left"/>
    </xf>
    <xf numFmtId="0" fontId="102" fillId="58" borderId="0" xfId="288" applyFont="1" applyFill="1" applyBorder="1" applyProtection="1"/>
    <xf numFmtId="0" fontId="101" fillId="58" borderId="33" xfId="288" applyFont="1" applyFill="1" applyBorder="1" applyAlignment="1" applyProtection="1">
      <alignment horizontal="left" indent="1"/>
    </xf>
    <xf numFmtId="0" fontId="3" fillId="58" borderId="32" xfId="288" applyFont="1" applyFill="1" applyBorder="1" applyProtection="1"/>
    <xf numFmtId="0" fontId="3" fillId="58" borderId="0" xfId="288" applyFont="1" applyFill="1" applyBorder="1" applyProtection="1"/>
    <xf numFmtId="0" fontId="100" fillId="58" borderId="0" xfId="288" applyFont="1" applyFill="1" applyBorder="1" applyAlignment="1" applyProtection="1">
      <alignment horizontal="center"/>
    </xf>
    <xf numFmtId="0" fontId="97" fillId="58" borderId="0" xfId="288" applyFont="1" applyFill="1" applyBorder="1" applyAlignment="1" applyProtection="1">
      <alignment horizontal="right"/>
    </xf>
    <xf numFmtId="0" fontId="2" fillId="60" borderId="1" xfId="691" applyFont="1" applyFill="1" applyBorder="1" applyAlignment="1" applyProtection="1">
      <alignment horizontal="center" vertical="center"/>
      <protection locked="0"/>
    </xf>
    <xf numFmtId="0" fontId="93" fillId="58" borderId="33" xfId="288" applyFont="1" applyFill="1" applyBorder="1" applyAlignment="1" applyProtection="1">
      <alignment horizontal="left" indent="1"/>
    </xf>
    <xf numFmtId="0" fontId="3" fillId="58" borderId="30" xfId="288" applyFont="1" applyFill="1" applyBorder="1" applyProtection="1"/>
    <xf numFmtId="0" fontId="3" fillId="58" borderId="29" xfId="288" applyFont="1" applyFill="1" applyBorder="1" applyProtection="1"/>
    <xf numFmtId="0" fontId="3" fillId="58" borderId="29" xfId="288" applyFont="1" applyFill="1" applyBorder="1" applyAlignment="1" applyProtection="1"/>
    <xf numFmtId="0" fontId="99" fillId="58" borderId="31" xfId="288" applyFont="1" applyFill="1" applyBorder="1" applyAlignment="1" applyProtection="1">
      <alignment horizontal="left" indent="1"/>
    </xf>
    <xf numFmtId="0" fontId="95" fillId="57" borderId="4" xfId="0" applyFont="1" applyFill="1" applyBorder="1" applyAlignment="1" applyProtection="1">
      <protection locked="0"/>
    </xf>
    <xf numFmtId="0" fontId="95" fillId="57" borderId="3" xfId="0" applyFont="1" applyFill="1" applyBorder="1" applyAlignment="1" applyProtection="1">
      <protection locked="0"/>
    </xf>
    <xf numFmtId="0" fontId="95" fillId="57" borderId="3" xfId="0" applyFont="1" applyFill="1" applyBorder="1" applyProtection="1">
      <protection locked="0"/>
    </xf>
    <xf numFmtId="0" fontId="95" fillId="57" borderId="34" xfId="0" applyFont="1" applyFill="1" applyBorder="1" applyAlignment="1" applyProtection="1">
      <alignment horizontal="left" indent="1"/>
      <protection locked="0"/>
    </xf>
    <xf numFmtId="0" fontId="95" fillId="57" borderId="32" xfId="0" applyFont="1" applyFill="1" applyBorder="1" applyAlignment="1" applyProtection="1">
      <protection locked="0"/>
    </xf>
    <xf numFmtId="0" fontId="97" fillId="57" borderId="32" xfId="0" applyFont="1" applyFill="1" applyBorder="1" applyAlignment="1" applyProtection="1">
      <protection locked="0"/>
    </xf>
    <xf numFmtId="0" fontId="3" fillId="56" borderId="0" xfId="0" quotePrefix="1" applyFont="1" applyFill="1" applyBorder="1" applyAlignment="1" applyProtection="1">
      <alignment horizontal="center" vertical="center"/>
    </xf>
    <xf numFmtId="0" fontId="3" fillId="57" borderId="30" xfId="0" applyFont="1" applyFill="1" applyBorder="1" applyProtection="1">
      <protection locked="0"/>
    </xf>
    <xf numFmtId="0" fontId="3" fillId="57" borderId="29" xfId="0" applyFont="1" applyFill="1" applyBorder="1" applyProtection="1">
      <protection locked="0"/>
    </xf>
    <xf numFmtId="0" fontId="3" fillId="57" borderId="29" xfId="0" applyFont="1" applyFill="1" applyBorder="1" applyAlignment="1" applyProtection="1">
      <protection locked="0"/>
    </xf>
    <xf numFmtId="0" fontId="92" fillId="57" borderId="31" xfId="0" applyFont="1" applyFill="1" applyBorder="1" applyAlignment="1" applyProtection="1">
      <alignment horizontal="left" indent="1"/>
      <protection locked="0"/>
    </xf>
    <xf numFmtId="0" fontId="3" fillId="57" borderId="4" xfId="0" applyFont="1" applyFill="1" applyBorder="1" applyProtection="1">
      <protection locked="0"/>
    </xf>
    <xf numFmtId="0" fontId="3" fillId="57" borderId="3" xfId="0" applyFont="1" applyFill="1" applyBorder="1" applyProtection="1">
      <protection locked="0"/>
    </xf>
    <xf numFmtId="0" fontId="3" fillId="57" borderId="3" xfId="0" applyFont="1" applyFill="1" applyBorder="1" applyAlignment="1" applyProtection="1">
      <protection locked="0"/>
    </xf>
    <xf numFmtId="0" fontId="92" fillId="57" borderId="34" xfId="0" applyFont="1" applyFill="1" applyBorder="1" applyAlignment="1" applyProtection="1">
      <alignment horizontal="left" indent="1"/>
      <protection locked="0"/>
    </xf>
    <xf numFmtId="0" fontId="98" fillId="0" borderId="0" xfId="281" applyFont="1"/>
    <xf numFmtId="0" fontId="97" fillId="57" borderId="32" xfId="281" applyFont="1" applyFill="1" applyBorder="1" applyProtection="1"/>
    <xf numFmtId="0" fontId="3" fillId="56" borderId="0" xfId="0" applyFont="1" applyFill="1" applyBorder="1" applyAlignment="1" applyProtection="1">
      <alignment horizontal="center" vertical="center"/>
    </xf>
    <xf numFmtId="0" fontId="3" fillId="56" borderId="33" xfId="0" applyFont="1" applyFill="1" applyBorder="1" applyAlignment="1" applyProtection="1">
      <alignment horizontal="center" vertical="center"/>
    </xf>
    <xf numFmtId="0" fontId="7" fillId="7" borderId="1" xfId="0" applyNumberFormat="1" applyFont="1" applyFill="1" applyBorder="1" applyAlignment="1" applyProtection="1">
      <alignment horizontal="center" vertical="center" wrapText="1"/>
      <protection locked="0"/>
    </xf>
    <xf numFmtId="0" fontId="93" fillId="57" borderId="33" xfId="0" applyFont="1" applyFill="1" applyBorder="1" applyAlignment="1" applyProtection="1">
      <alignment horizontal="left" indent="1"/>
      <protection locked="0"/>
    </xf>
    <xf numFmtId="0" fontId="3" fillId="57" borderId="32" xfId="0" applyFont="1" applyFill="1" applyBorder="1" applyProtection="1">
      <protection locked="0"/>
    </xf>
    <xf numFmtId="0" fontId="3" fillId="57" borderId="0" xfId="0" applyFont="1" applyFill="1" applyBorder="1" applyProtection="1">
      <protection locked="0"/>
    </xf>
    <xf numFmtId="0" fontId="95" fillId="57" borderId="0" xfId="0" applyFont="1" applyFill="1" applyBorder="1" applyProtection="1">
      <protection locked="0"/>
    </xf>
    <xf numFmtId="0" fontId="95" fillId="57" borderId="33" xfId="0" applyFont="1" applyFill="1" applyBorder="1" applyProtection="1">
      <protection locked="0"/>
    </xf>
    <xf numFmtId="0" fontId="3" fillId="7" borderId="51" xfId="281" applyFill="1" applyBorder="1" applyAlignment="1" applyProtection="1">
      <alignment horizontal="left" vertical="center"/>
      <protection locked="0"/>
    </xf>
    <xf numFmtId="0" fontId="3" fillId="57" borderId="0" xfId="281" applyFont="1" applyFill="1" applyBorder="1" applyAlignment="1" applyProtection="1">
      <alignment horizontal="center"/>
    </xf>
    <xf numFmtId="188" fontId="3" fillId="7" borderId="54" xfId="281" applyNumberFormat="1" applyFont="1" applyFill="1" applyBorder="1" applyAlignment="1" applyProtection="1">
      <alignment horizontal="left" vertical="center"/>
      <protection locked="0"/>
    </xf>
    <xf numFmtId="0" fontId="3" fillId="57" borderId="32" xfId="281" applyFont="1" applyFill="1" applyBorder="1" applyAlignment="1" applyProtection="1">
      <alignment vertical="top"/>
    </xf>
    <xf numFmtId="0" fontId="3" fillId="57" borderId="0" xfId="281" applyFont="1" applyFill="1" applyBorder="1" applyAlignment="1" applyProtection="1">
      <alignment vertical="top"/>
    </xf>
    <xf numFmtId="0" fontId="3" fillId="57" borderId="0" xfId="281" applyFont="1" applyFill="1" applyBorder="1" applyAlignment="1" applyProtection="1">
      <alignment horizontal="center" vertical="top"/>
    </xf>
    <xf numFmtId="0" fontId="3" fillId="7" borderId="54" xfId="281" applyFont="1" applyFill="1" applyBorder="1" applyAlignment="1" applyProtection="1">
      <alignment horizontal="left" vertical="center" wrapText="1"/>
      <protection locked="0"/>
    </xf>
    <xf numFmtId="0" fontId="3" fillId="7" borderId="51" xfId="281" applyFont="1" applyFill="1" applyBorder="1" applyAlignment="1" applyProtection="1">
      <alignment horizontal="left" vertical="center"/>
      <protection locked="0"/>
    </xf>
    <xf numFmtId="0" fontId="93" fillId="57" borderId="33" xfId="281" applyFont="1" applyFill="1" applyBorder="1" applyAlignment="1" applyProtection="1">
      <alignment horizontal="left" vertical="top"/>
    </xf>
    <xf numFmtId="0" fontId="3" fillId="57" borderId="0" xfId="281" applyFont="1" applyFill="1" applyBorder="1" applyAlignment="1" applyProtection="1"/>
    <xf numFmtId="0" fontId="3" fillId="57" borderId="57" xfId="281" applyFont="1" applyFill="1" applyBorder="1" applyProtection="1"/>
    <xf numFmtId="0" fontId="3" fillId="57" borderId="25" xfId="281" applyFont="1" applyFill="1" applyBorder="1" applyProtection="1"/>
    <xf numFmtId="0" fontId="3" fillId="57" borderId="25" xfId="281" applyFont="1" applyFill="1" applyBorder="1" applyAlignment="1" applyProtection="1"/>
    <xf numFmtId="0" fontId="92" fillId="57" borderId="56" xfId="281" applyFont="1" applyFill="1" applyBorder="1" applyAlignment="1" applyProtection="1">
      <alignment horizontal="left" indent="1"/>
    </xf>
    <xf numFmtId="0" fontId="92" fillId="57" borderId="33" xfId="281" applyFont="1" applyFill="1" applyBorder="1" applyAlignment="1" applyProtection="1">
      <alignment horizontal="left" indent="1"/>
    </xf>
    <xf numFmtId="0" fontId="3" fillId="57" borderId="32" xfId="281" applyFont="1" applyFill="1" applyBorder="1" applyAlignment="1" applyProtection="1"/>
    <xf numFmtId="0" fontId="3" fillId="7" borderId="55" xfId="281" applyFont="1" applyFill="1" applyBorder="1" applyAlignment="1" applyProtection="1">
      <alignment horizontal="left"/>
      <protection locked="0"/>
    </xf>
    <xf numFmtId="0" fontId="3" fillId="6" borderId="55" xfId="281" applyFont="1" applyFill="1" applyBorder="1" applyAlignment="1" applyProtection="1">
      <alignment horizontal="left"/>
      <protection locked="0"/>
    </xf>
    <xf numFmtId="0" fontId="95" fillId="57" borderId="0" xfId="281" applyFont="1" applyFill="1" applyBorder="1" applyProtection="1"/>
    <xf numFmtId="0" fontId="95" fillId="57" borderId="0" xfId="281" applyFont="1" applyFill="1" applyBorder="1" applyAlignment="1" applyProtection="1">
      <alignment horizontal="right" indent="1"/>
    </xf>
    <xf numFmtId="0" fontId="96" fillId="57" borderId="33" xfId="281" applyFont="1" applyFill="1" applyBorder="1" applyAlignment="1" applyProtection="1">
      <alignment horizontal="left" indent="1"/>
    </xf>
    <xf numFmtId="0" fontId="95" fillId="57" borderId="32" xfId="281" applyFont="1" applyFill="1" applyBorder="1" applyAlignment="1" applyProtection="1"/>
    <xf numFmtId="0" fontId="3" fillId="57" borderId="30" xfId="281" applyFont="1" applyFill="1" applyBorder="1" applyProtection="1"/>
    <xf numFmtId="0" fontId="3" fillId="57" borderId="29" xfId="281" applyFont="1" applyFill="1" applyBorder="1" applyProtection="1"/>
    <xf numFmtId="0" fontId="3" fillId="57" borderId="29" xfId="281" applyFont="1" applyFill="1" applyBorder="1" applyAlignment="1" applyProtection="1"/>
    <xf numFmtId="0" fontId="92" fillId="57" borderId="31" xfId="281" applyFont="1" applyFill="1" applyBorder="1" applyAlignment="1" applyProtection="1">
      <alignment horizontal="left" indent="1"/>
    </xf>
    <xf numFmtId="0" fontId="3" fillId="57" borderId="4" xfId="281" applyFont="1" applyFill="1" applyBorder="1" applyProtection="1"/>
    <xf numFmtId="0" fontId="3" fillId="57" borderId="3" xfId="281" applyFont="1" applyFill="1" applyBorder="1" applyProtection="1"/>
    <xf numFmtId="0" fontId="3" fillId="57" borderId="3" xfId="281" applyFont="1" applyFill="1" applyBorder="1" applyAlignment="1" applyProtection="1"/>
    <xf numFmtId="0" fontId="92" fillId="57" borderId="34" xfId="281" applyFont="1" applyFill="1" applyBorder="1" applyAlignment="1" applyProtection="1">
      <alignment horizontal="left" indent="1"/>
    </xf>
    <xf numFmtId="0" fontId="3" fillId="57" borderId="0" xfId="281" applyFont="1" applyFill="1" applyBorder="1" applyAlignment="1" applyProtection="1">
      <alignment horizontal="left"/>
    </xf>
    <xf numFmtId="0" fontId="93" fillId="57" borderId="33" xfId="281" quotePrefix="1" applyFont="1" applyFill="1" applyBorder="1" applyAlignment="1" applyProtection="1">
      <alignment horizontal="left" indent="1"/>
    </xf>
    <xf numFmtId="0" fontId="94" fillId="57" borderId="0" xfId="281" applyFont="1" applyFill="1" applyBorder="1" applyProtection="1"/>
    <xf numFmtId="0" fontId="93" fillId="57" borderId="33" xfId="281" applyFont="1" applyFill="1" applyBorder="1" applyAlignment="1" applyProtection="1">
      <alignment horizontal="left" indent="1"/>
    </xf>
    <xf numFmtId="0" fontId="3" fillId="57" borderId="32" xfId="281" applyFont="1" applyFill="1" applyBorder="1" applyProtection="1"/>
    <xf numFmtId="0" fontId="3" fillId="57" borderId="0" xfId="281" applyFont="1" applyFill="1" applyBorder="1" applyProtection="1"/>
    <xf numFmtId="0" fontId="92" fillId="57" borderId="0" xfId="281" applyFont="1" applyFill="1" applyBorder="1" applyProtection="1"/>
    <xf numFmtId="0" fontId="91" fillId="57" borderId="33" xfId="281" applyFont="1" applyFill="1" applyBorder="1" applyAlignment="1" applyProtection="1">
      <alignment horizontal="center"/>
    </xf>
    <xf numFmtId="0" fontId="3" fillId="4" borderId="0" xfId="281" applyFont="1" applyFill="1" applyProtection="1"/>
    <xf numFmtId="0" fontId="89" fillId="5" borderId="0" xfId="281" applyFont="1" applyFill="1"/>
    <xf numFmtId="0" fontId="3" fillId="4" borderId="0" xfId="281" applyFont="1" applyFill="1" applyAlignment="1" applyProtection="1">
      <alignment horizontal="left" vertical="top" wrapText="1"/>
    </xf>
    <xf numFmtId="0" fontId="87" fillId="4" borderId="0" xfId="281" applyFont="1" applyFill="1" applyAlignment="1" applyProtection="1">
      <alignment horizontal="left" vertical="top" wrapText="1"/>
    </xf>
    <xf numFmtId="0" fontId="3" fillId="10" borderId="0" xfId="281" applyFont="1" applyFill="1" applyBorder="1" applyAlignment="1" applyProtection="1">
      <alignment vertical="center"/>
    </xf>
    <xf numFmtId="0" fontId="2" fillId="10" borderId="0" xfId="281" applyFont="1" applyFill="1" applyBorder="1" applyAlignment="1" applyProtection="1">
      <alignment vertical="center"/>
    </xf>
    <xf numFmtId="0" fontId="65" fillId="4" borderId="0" xfId="281" applyFont="1" applyFill="1" applyProtection="1">
      <protection locked="0"/>
    </xf>
    <xf numFmtId="0" fontId="86" fillId="56" borderId="0" xfId="281" applyFont="1" applyFill="1" applyAlignment="1">
      <alignment vertical="center"/>
    </xf>
    <xf numFmtId="0" fontId="67" fillId="50" borderId="0" xfId="281" applyFont="1" applyFill="1" applyBorder="1" applyAlignment="1" applyProtection="1">
      <alignment vertical="center"/>
    </xf>
    <xf numFmtId="0" fontId="85" fillId="50" borderId="0" xfId="281" applyFont="1" applyFill="1" applyBorder="1" applyAlignment="1" applyProtection="1">
      <alignment vertical="center"/>
    </xf>
    <xf numFmtId="0" fontId="67" fillId="50" borderId="0" xfId="281" applyFont="1" applyFill="1" applyBorder="1" applyAlignment="1" applyProtection="1">
      <alignment horizontal="left" vertical="center"/>
    </xf>
    <xf numFmtId="0" fontId="65" fillId="4" borderId="0" xfId="281" applyFont="1" applyFill="1" applyProtection="1"/>
    <xf numFmtId="0" fontId="3" fillId="0" borderId="0" xfId="281"/>
    <xf numFmtId="0" fontId="65" fillId="5" borderId="0" xfId="281" applyFont="1" applyFill="1" applyBorder="1" applyProtection="1"/>
    <xf numFmtId="0" fontId="0" fillId="0" borderId="0" xfId="0"/>
    <xf numFmtId="0" fontId="65" fillId="72" borderId="32" xfId="329" applyFont="1" applyFill="1" applyBorder="1" applyAlignment="1" applyProtection="1">
      <alignment vertical="center"/>
    </xf>
    <xf numFmtId="0" fontId="65" fillId="4" borderId="0" xfId="329" applyFont="1" applyFill="1" applyAlignment="1" applyProtection="1">
      <alignment horizontal="center" vertical="center"/>
    </xf>
    <xf numFmtId="0" fontId="65" fillId="4" borderId="0" xfId="329" applyFont="1" applyFill="1" applyAlignment="1" applyProtection="1">
      <alignment vertical="center"/>
    </xf>
    <xf numFmtId="1" fontId="65" fillId="4" borderId="0" xfId="329" applyNumberFormat="1" applyFont="1" applyFill="1" applyAlignment="1" applyProtection="1">
      <alignment vertical="center"/>
    </xf>
    <xf numFmtId="0" fontId="82" fillId="75" borderId="1" xfId="371" applyFont="1" applyFill="1" applyBorder="1" applyAlignment="1">
      <alignment vertical="center"/>
    </xf>
    <xf numFmtId="0" fontId="2" fillId="0" borderId="124" xfId="329" applyFont="1" applyFill="1" applyBorder="1" applyAlignment="1">
      <alignment vertical="center" wrapText="1"/>
    </xf>
    <xf numFmtId="0" fontId="2" fillId="0" borderId="125" xfId="329" applyFont="1" applyFill="1" applyBorder="1" applyAlignment="1">
      <alignment vertical="center" wrapText="1"/>
    </xf>
    <xf numFmtId="0" fontId="2" fillId="0" borderId="126" xfId="329" applyFont="1" applyFill="1" applyBorder="1" applyAlignment="1">
      <alignment vertical="center" wrapText="1"/>
    </xf>
    <xf numFmtId="0" fontId="2" fillId="73" borderId="127" xfId="329" applyFont="1" applyFill="1" applyBorder="1" applyAlignment="1">
      <alignment vertical="center" wrapText="1"/>
    </xf>
    <xf numFmtId="0" fontId="2" fillId="73" borderId="128" xfId="329" applyFont="1" applyFill="1" applyBorder="1" applyAlignment="1">
      <alignment vertical="center" wrapText="1"/>
    </xf>
    <xf numFmtId="0" fontId="2" fillId="73" borderId="129" xfId="329" applyFont="1" applyFill="1" applyBorder="1" applyAlignment="1">
      <alignment vertical="center" wrapText="1"/>
    </xf>
    <xf numFmtId="0" fontId="3" fillId="0" borderId="130" xfId="281" applyBorder="1" applyAlignment="1" applyProtection="1">
      <alignment horizontal="left" vertical="center"/>
    </xf>
    <xf numFmtId="0" fontId="83" fillId="0" borderId="130" xfId="0" applyFont="1" applyBorder="1"/>
    <xf numFmtId="49" fontId="65" fillId="72" borderId="31" xfId="329" applyNumberFormat="1" applyFont="1" applyFill="1" applyBorder="1" applyProtection="1"/>
    <xf numFmtId="49" fontId="6" fillId="72" borderId="31" xfId="329" applyNumberFormat="1" applyFont="1" applyFill="1" applyBorder="1" applyProtection="1"/>
    <xf numFmtId="0" fontId="3" fillId="72" borderId="29" xfId="329" applyFill="1" applyBorder="1"/>
    <xf numFmtId="0" fontId="65" fillId="72" borderId="64" xfId="329" quotePrefix="1" applyFont="1" applyFill="1" applyBorder="1" applyAlignment="1" applyProtection="1">
      <alignment vertical="center"/>
    </xf>
    <xf numFmtId="0" fontId="120" fillId="72" borderId="106" xfId="329" quotePrefix="1" applyFont="1" applyFill="1" applyBorder="1" applyAlignment="1" applyProtection="1">
      <alignment vertical="center"/>
    </xf>
    <xf numFmtId="0" fontId="3" fillId="72" borderId="0" xfId="329" applyFill="1" applyBorder="1"/>
    <xf numFmtId="0" fontId="5" fillId="72" borderId="32" xfId="329" applyFont="1" applyFill="1" applyBorder="1"/>
    <xf numFmtId="0" fontId="3" fillId="0" borderId="0" xfId="329" applyAlignment="1">
      <alignment horizontal="center"/>
    </xf>
    <xf numFmtId="0" fontId="3" fillId="75" borderId="130" xfId="329" applyFont="1" applyFill="1" applyBorder="1" applyAlignment="1"/>
    <xf numFmtId="0" fontId="121" fillId="76" borderId="131" xfId="295" applyFont="1" applyFill="1" applyBorder="1" applyAlignment="1" applyProtection="1">
      <alignment horizontal="center" wrapText="1"/>
    </xf>
    <xf numFmtId="0" fontId="3" fillId="76" borderId="132" xfId="329" applyFont="1" applyFill="1" applyBorder="1" applyAlignment="1" applyProtection="1">
      <alignment horizontal="center" wrapText="1"/>
    </xf>
    <xf numFmtId="0" fontId="54" fillId="76" borderId="132" xfId="329" applyFont="1" applyFill="1" applyBorder="1" applyAlignment="1" applyProtection="1">
      <alignment horizontal="center" vertical="center"/>
    </xf>
    <xf numFmtId="0" fontId="122" fillId="76" borderId="132" xfId="0" applyFont="1" applyFill="1" applyBorder="1" applyAlignment="1" applyProtection="1">
      <alignment horizontal="center" vertical="center" wrapText="1"/>
    </xf>
    <xf numFmtId="0" fontId="122" fillId="76" borderId="133" xfId="0" applyFont="1" applyFill="1" applyBorder="1" applyAlignment="1" applyProtection="1">
      <alignment horizontal="center" vertical="center" wrapText="1"/>
    </xf>
    <xf numFmtId="0" fontId="3" fillId="55" borderId="134" xfId="339" applyFill="1" applyBorder="1" applyAlignment="1">
      <alignment horizontal="center"/>
    </xf>
    <xf numFmtId="0" fontId="3" fillId="55" borderId="0" xfId="339" applyFill="1" applyBorder="1" applyAlignment="1">
      <alignment horizontal="center"/>
    </xf>
    <xf numFmtId="0" fontId="3" fillId="55" borderId="83" xfId="339" applyFill="1" applyBorder="1" applyAlignment="1">
      <alignment horizontal="center" vertical="center" wrapText="1"/>
    </xf>
    <xf numFmtId="0" fontId="3" fillId="55" borderId="135" xfId="339" applyFill="1" applyBorder="1" applyAlignment="1">
      <alignment horizontal="center" vertical="center" wrapText="1"/>
    </xf>
    <xf numFmtId="0" fontId="3" fillId="0" borderId="0" xfId="329" applyBorder="1"/>
    <xf numFmtId="0" fontId="3" fillId="0" borderId="136" xfId="329" applyBorder="1"/>
    <xf numFmtId="0" fontId="3" fillId="0" borderId="137" xfId="281" applyBorder="1" applyAlignment="1" applyProtection="1">
      <alignment horizontal="left" vertical="center"/>
    </xf>
    <xf numFmtId="0" fontId="83" fillId="0" borderId="137" xfId="0" applyFont="1" applyBorder="1"/>
    <xf numFmtId="49" fontId="65" fillId="72" borderId="33" xfId="329" applyNumberFormat="1" applyFont="1" applyFill="1" applyBorder="1" applyProtection="1"/>
    <xf numFmtId="49" fontId="6" fillId="72" borderId="33" xfId="329" applyNumberFormat="1" applyFont="1" applyFill="1" applyBorder="1" applyProtection="1"/>
    <xf numFmtId="0" fontId="65" fillId="72" borderId="69" xfId="329" quotePrefix="1" applyFont="1" applyFill="1" applyBorder="1" applyAlignment="1" applyProtection="1">
      <alignment vertical="center"/>
    </xf>
    <xf numFmtId="0" fontId="120" fillId="72" borderId="107" xfId="329" quotePrefix="1" applyFont="1" applyFill="1" applyBorder="1" applyAlignment="1" applyProtection="1">
      <alignment vertical="center"/>
    </xf>
    <xf numFmtId="0" fontId="3" fillId="75" borderId="137" xfId="329" applyFont="1" applyFill="1" applyBorder="1" applyAlignment="1"/>
    <xf numFmtId="0" fontId="121" fillId="76" borderId="138" xfId="295" applyFont="1" applyFill="1" applyBorder="1" applyAlignment="1" applyProtection="1">
      <alignment horizontal="center" wrapText="1"/>
    </xf>
    <xf numFmtId="0" fontId="3" fillId="76" borderId="139" xfId="329" applyFont="1" applyFill="1" applyBorder="1" applyAlignment="1" applyProtection="1">
      <alignment horizontal="center" wrapText="1"/>
    </xf>
    <xf numFmtId="0" fontId="54" fillId="76" borderId="139" xfId="0" applyFont="1" applyFill="1" applyBorder="1" applyAlignment="1" applyProtection="1">
      <alignment horizontal="center" vertical="center"/>
    </xf>
    <xf numFmtId="0" fontId="122" fillId="76" borderId="139" xfId="0" applyFont="1" applyFill="1" applyBorder="1" applyAlignment="1" applyProtection="1">
      <alignment horizontal="center" vertical="center" wrapText="1"/>
    </xf>
    <xf numFmtId="0" fontId="122" fillId="76" borderId="140" xfId="0" applyFont="1" applyFill="1" applyBorder="1" applyAlignment="1" applyProtection="1">
      <alignment horizontal="center" vertical="center" wrapText="1"/>
    </xf>
    <xf numFmtId="0" fontId="3" fillId="55" borderId="18" xfId="339" applyFill="1" applyBorder="1" applyAlignment="1">
      <alignment horizontal="center" vertical="center" wrapText="1"/>
    </xf>
    <xf numFmtId="0" fontId="3" fillId="0" borderId="141" xfId="329" applyBorder="1"/>
    <xf numFmtId="0" fontId="3" fillId="0" borderId="142" xfId="281" applyBorder="1" applyProtection="1"/>
    <xf numFmtId="0" fontId="3" fillId="72" borderId="69" xfId="329" applyFill="1" applyBorder="1"/>
    <xf numFmtId="0" fontId="123" fillId="72" borderId="107" xfId="329" applyFont="1" applyFill="1" applyBorder="1"/>
    <xf numFmtId="0" fontId="3" fillId="72" borderId="32" xfId="329" applyFill="1" applyBorder="1"/>
    <xf numFmtId="0" fontId="3" fillId="0" borderId="130" xfId="281" applyBorder="1" applyProtection="1"/>
    <xf numFmtId="0" fontId="3" fillId="55" borderId="3" xfId="339" applyFill="1" applyBorder="1" applyAlignment="1">
      <alignment horizontal="center"/>
    </xf>
    <xf numFmtId="49" fontId="6" fillId="72" borderId="33" xfId="329" quotePrefix="1" applyNumberFormat="1" applyFont="1" applyFill="1" applyBorder="1" applyProtection="1"/>
    <xf numFmtId="0" fontId="121" fillId="76" borderId="138" xfId="295" applyNumberFormat="1" applyFont="1" applyFill="1" applyBorder="1" applyAlignment="1" applyProtection="1">
      <alignment horizontal="center" wrapText="1"/>
    </xf>
    <xf numFmtId="0" fontId="3" fillId="0" borderId="139" xfId="329" applyFont="1" applyFill="1" applyBorder="1"/>
    <xf numFmtId="0" fontId="3" fillId="0" borderId="140" xfId="329" applyFont="1" applyFill="1" applyBorder="1"/>
    <xf numFmtId="0" fontId="3" fillId="0" borderId="143" xfId="329" applyBorder="1" applyAlignment="1">
      <alignment vertical="center"/>
    </xf>
    <xf numFmtId="0" fontId="3" fillId="0" borderId="139" xfId="329" applyFont="1" applyFill="1" applyBorder="1" applyAlignment="1">
      <alignment vertical="center"/>
    </xf>
    <xf numFmtId="0" fontId="3" fillId="0" borderId="144" xfId="281" applyBorder="1" applyProtection="1"/>
    <xf numFmtId="49" fontId="65" fillId="72" borderId="123" xfId="329" applyNumberFormat="1" applyFont="1" applyFill="1" applyBorder="1" applyProtection="1"/>
    <xf numFmtId="49" fontId="6" fillId="72" borderId="123" xfId="329" applyNumberFormat="1" applyFont="1" applyFill="1" applyBorder="1" applyProtection="1"/>
    <xf numFmtId="0" fontId="3" fillId="72" borderId="3" xfId="329" applyFill="1" applyBorder="1"/>
    <xf numFmtId="0" fontId="65" fillId="72" borderId="73" xfId="329" quotePrefix="1" applyFont="1" applyFill="1" applyBorder="1" applyAlignment="1" applyProtection="1">
      <alignment vertical="center"/>
    </xf>
    <xf numFmtId="0" fontId="120" fillId="72" borderId="117" xfId="329" quotePrefix="1" applyFont="1" applyFill="1" applyBorder="1" applyAlignment="1" applyProtection="1">
      <alignment vertical="center"/>
    </xf>
    <xf numFmtId="0" fontId="3" fillId="72" borderId="145" xfId="329" applyFill="1" applyBorder="1"/>
    <xf numFmtId="0" fontId="3" fillId="75" borderId="144" xfId="329" applyFont="1" applyFill="1" applyBorder="1" applyAlignment="1"/>
    <xf numFmtId="0" fontId="3" fillId="0" borderId="138" xfId="329" applyFont="1" applyFill="1" applyBorder="1" applyAlignment="1">
      <alignment vertical="center"/>
    </xf>
    <xf numFmtId="0" fontId="3" fillId="9" borderId="143" xfId="339" applyBorder="1"/>
    <xf numFmtId="0" fontId="3" fillId="4" borderId="146" xfId="281" applyFill="1" applyBorder="1" applyAlignment="1" applyProtection="1">
      <alignment vertical="center"/>
    </xf>
    <xf numFmtId="0" fontId="3" fillId="0" borderId="9" xfId="281" applyBorder="1" applyAlignment="1" applyProtection="1">
      <alignment horizontal="left" vertical="center"/>
    </xf>
    <xf numFmtId="0" fontId="3" fillId="5" borderId="48" xfId="281" applyFill="1" applyBorder="1" applyAlignment="1" applyProtection="1">
      <alignment horizontal="center" vertical="center"/>
    </xf>
    <xf numFmtId="0" fontId="8" fillId="55" borderId="1" xfId="329" applyFont="1" applyFill="1" applyBorder="1" applyProtection="1"/>
    <xf numFmtId="0" fontId="3" fillId="5" borderId="49" xfId="281" applyFill="1" applyBorder="1" applyAlignment="1" applyProtection="1">
      <alignment horizontal="center" vertical="center"/>
    </xf>
    <xf numFmtId="0" fontId="65" fillId="55" borderId="147" xfId="329" applyFont="1" applyFill="1" applyBorder="1" applyProtection="1"/>
    <xf numFmtId="0" fontId="3" fillId="4" borderId="130" xfId="281" applyFill="1" applyBorder="1" applyAlignment="1" applyProtection="1">
      <alignment horizontal="left" vertical="center"/>
    </xf>
    <xf numFmtId="0" fontId="65" fillId="55" borderId="148" xfId="329" applyFont="1" applyFill="1" applyBorder="1" applyProtection="1"/>
    <xf numFmtId="0" fontId="3" fillId="4" borderId="142" xfId="281" applyFill="1" applyBorder="1" applyAlignment="1" applyProtection="1">
      <alignment horizontal="left" vertical="center"/>
    </xf>
    <xf numFmtId="0" fontId="3" fillId="0" borderId="149" xfId="329" applyFont="1" applyFill="1" applyBorder="1" applyAlignment="1">
      <alignment vertical="center"/>
    </xf>
    <xf numFmtId="0" fontId="3" fillId="76" borderId="150" xfId="329" applyFont="1" applyFill="1" applyBorder="1" applyAlignment="1" applyProtection="1">
      <alignment horizontal="center" wrapText="1"/>
    </xf>
    <xf numFmtId="0" fontId="3" fillId="0" borderId="150" xfId="329" applyFont="1" applyFill="1" applyBorder="1" applyAlignment="1">
      <alignment vertical="center"/>
    </xf>
    <xf numFmtId="0" fontId="3" fillId="0" borderId="150" xfId="329" applyFont="1" applyFill="1" applyBorder="1"/>
    <xf numFmtId="0" fontId="3" fillId="0" borderId="151" xfId="329" applyFont="1" applyFill="1" applyBorder="1"/>
    <xf numFmtId="0" fontId="3" fillId="4" borderId="36" xfId="281" applyFill="1" applyBorder="1" applyAlignment="1" applyProtection="1">
      <alignment vertical="center"/>
    </xf>
    <xf numFmtId="0" fontId="0" fillId="0" borderId="0" xfId="0" applyFont="1" applyAlignment="1">
      <alignment horizontal="left" indent="2"/>
    </xf>
    <xf numFmtId="0" fontId="3" fillId="9" borderId="152" xfId="339" applyBorder="1"/>
    <xf numFmtId="0" fontId="3" fillId="0" borderId="74" xfId="329" applyBorder="1"/>
    <xf numFmtId="0" fontId="3" fillId="55" borderId="74" xfId="339" applyFill="1" applyBorder="1" applyAlignment="1">
      <alignment horizontal="center" vertical="center" wrapText="1"/>
    </xf>
    <xf numFmtId="0" fontId="3" fillId="0" borderId="153" xfId="329" applyBorder="1"/>
    <xf numFmtId="0" fontId="3" fillId="4" borderId="33" xfId="281" applyFill="1" applyBorder="1" applyAlignment="1" applyProtection="1">
      <alignment vertical="center"/>
    </xf>
    <xf numFmtId="0" fontId="3" fillId="4" borderId="137" xfId="281" applyFill="1" applyBorder="1" applyAlignment="1" applyProtection="1">
      <alignment horizontal="left" vertical="center"/>
    </xf>
    <xf numFmtId="0" fontId="65" fillId="55" borderId="154" xfId="329" applyFont="1" applyFill="1" applyBorder="1" applyProtection="1"/>
    <xf numFmtId="0" fontId="0" fillId="0" borderId="0" xfId="0" applyFont="1" applyAlignment="1">
      <alignment horizontal="left" indent="3"/>
    </xf>
    <xf numFmtId="0" fontId="3" fillId="0" borderId="134" xfId="329" applyBorder="1" applyAlignment="1">
      <alignment vertical="center"/>
    </xf>
    <xf numFmtId="0" fontId="0" fillId="0" borderId="134" xfId="0" applyBorder="1"/>
    <xf numFmtId="0" fontId="83" fillId="0" borderId="144" xfId="0" applyFont="1" applyBorder="1"/>
    <xf numFmtId="0" fontId="0" fillId="0" borderId="0" xfId="0" applyFont="1" applyAlignment="1">
      <alignment horizontal="left" indent="4"/>
    </xf>
    <xf numFmtId="0" fontId="83" fillId="0" borderId="0" xfId="0" applyFont="1"/>
    <xf numFmtId="0" fontId="65" fillId="55" borderId="1" xfId="329" applyFont="1" applyFill="1" applyBorder="1" applyAlignment="1" applyProtection="1">
      <alignment horizontal="left" vertical="top" wrapText="1"/>
    </xf>
    <xf numFmtId="0" fontId="3" fillId="4" borderId="56" xfId="281" applyFill="1" applyBorder="1" applyAlignment="1" applyProtection="1">
      <alignment vertical="center"/>
    </xf>
    <xf numFmtId="0" fontId="3" fillId="4" borderId="144" xfId="281" applyFill="1" applyBorder="1" applyAlignment="1" applyProtection="1">
      <alignment horizontal="left" vertical="center"/>
    </xf>
    <xf numFmtId="0" fontId="8" fillId="55" borderId="96" xfId="329" applyFont="1" applyFill="1" applyBorder="1" applyProtection="1"/>
    <xf numFmtId="0" fontId="82" fillId="77" borderId="157" xfId="371" applyFont="1" applyFill="1" applyBorder="1" applyAlignment="1">
      <alignment vertical="center"/>
    </xf>
    <xf numFmtId="0" fontId="2" fillId="73" borderId="158" xfId="329" applyFont="1" applyFill="1" applyBorder="1" applyAlignment="1">
      <alignment vertical="center" wrapText="1"/>
    </xf>
    <xf numFmtId="0" fontId="2" fillId="73" borderId="78" xfId="329" applyFont="1" applyFill="1" applyBorder="1" applyAlignment="1">
      <alignment vertical="center" wrapText="1"/>
    </xf>
    <xf numFmtId="0" fontId="2" fillId="73" borderId="159" xfId="329" applyFont="1" applyFill="1" applyBorder="1" applyAlignment="1">
      <alignment vertical="center" wrapText="1"/>
    </xf>
    <xf numFmtId="0" fontId="3" fillId="4" borderId="37" xfId="281" applyFill="1" applyBorder="1" applyAlignment="1" applyProtection="1">
      <alignment horizontal="left" vertical="center"/>
    </xf>
    <xf numFmtId="0" fontId="65" fillId="55" borderId="39" xfId="329" applyFont="1" applyFill="1" applyBorder="1" applyProtection="1"/>
    <xf numFmtId="0" fontId="65" fillId="55" borderId="160" xfId="329" applyFont="1" applyFill="1" applyBorder="1" applyProtection="1"/>
    <xf numFmtId="0" fontId="3" fillId="75" borderId="154" xfId="329" applyFont="1" applyFill="1" applyBorder="1" applyAlignment="1"/>
    <xf numFmtId="0" fontId="3" fillId="55" borderId="161" xfId="339" applyFill="1" applyBorder="1" applyAlignment="1">
      <alignment horizontal="center"/>
    </xf>
    <xf numFmtId="0" fontId="3" fillId="0" borderId="65" xfId="329" applyBorder="1"/>
    <xf numFmtId="0" fontId="3" fillId="55" borderId="65" xfId="339" applyFill="1" applyBorder="1" applyAlignment="1">
      <alignment horizontal="center" vertical="center" wrapText="1"/>
    </xf>
    <xf numFmtId="0" fontId="3" fillId="55" borderId="106" xfId="339" applyFill="1" applyBorder="1" applyAlignment="1">
      <alignment horizontal="center" vertical="center" wrapText="1"/>
    </xf>
    <xf numFmtId="0" fontId="3" fillId="4" borderId="36" xfId="281" applyFill="1" applyBorder="1" applyAlignment="1" applyProtection="1">
      <alignment vertical="top"/>
    </xf>
    <xf numFmtId="0" fontId="65" fillId="55" borderId="24" xfId="329" applyFont="1" applyFill="1" applyBorder="1" applyProtection="1"/>
    <xf numFmtId="0" fontId="65" fillId="55" borderId="162" xfId="329" applyFont="1" applyFill="1" applyBorder="1" applyProtection="1"/>
    <xf numFmtId="0" fontId="3" fillId="55" borderId="143" xfId="339" applyFill="1" applyBorder="1" applyAlignment="1">
      <alignment horizontal="center"/>
    </xf>
    <xf numFmtId="0" fontId="3" fillId="55" borderId="107" xfId="339" applyFill="1" applyBorder="1" applyAlignment="1">
      <alignment horizontal="center" vertical="center" wrapText="1"/>
    </xf>
    <xf numFmtId="0" fontId="3" fillId="4" borderId="33" xfId="281" applyFill="1" applyBorder="1" applyAlignment="1" applyProtection="1">
      <alignment vertical="top"/>
    </xf>
    <xf numFmtId="0" fontId="65" fillId="55" borderId="163" xfId="329" applyFont="1" applyFill="1" applyBorder="1" applyProtection="1"/>
    <xf numFmtId="0" fontId="3" fillId="4" borderId="164" xfId="281" applyFill="1" applyBorder="1" applyAlignment="1" applyProtection="1">
      <alignment vertical="center"/>
    </xf>
    <xf numFmtId="0" fontId="3" fillId="4" borderId="147" xfId="281" applyFill="1" applyBorder="1" applyAlignment="1" applyProtection="1">
      <alignment vertical="center"/>
    </xf>
    <xf numFmtId="0" fontId="3" fillId="4" borderId="148" xfId="281" applyFill="1" applyBorder="1" applyAlignment="1" applyProtection="1">
      <alignment vertical="center"/>
    </xf>
    <xf numFmtId="0" fontId="3" fillId="4" borderId="154" xfId="281" applyFill="1" applyBorder="1" applyAlignment="1" applyProtection="1">
      <alignment vertical="center"/>
    </xf>
    <xf numFmtId="0" fontId="65" fillId="55" borderId="37" xfId="329" applyFont="1" applyFill="1" applyBorder="1" applyProtection="1"/>
    <xf numFmtId="0" fontId="65" fillId="55" borderId="165" xfId="329" applyFont="1" applyFill="1" applyBorder="1" applyProtection="1"/>
    <xf numFmtId="0" fontId="3" fillId="55" borderId="166" xfId="339" applyFill="1" applyBorder="1" applyAlignment="1">
      <alignment horizontal="center"/>
    </xf>
    <xf numFmtId="0" fontId="3" fillId="0" borderId="167" xfId="329" applyBorder="1"/>
    <xf numFmtId="0" fontId="3" fillId="0" borderId="168" xfId="329" applyBorder="1"/>
    <xf numFmtId="0" fontId="3" fillId="0" borderId="169" xfId="329" applyBorder="1"/>
    <xf numFmtId="0" fontId="0" fillId="0" borderId="170" xfId="0" applyBorder="1"/>
    <xf numFmtId="0" fontId="3" fillId="0" borderId="171" xfId="329" applyBorder="1"/>
    <xf numFmtId="0" fontId="3" fillId="0" borderId="172" xfId="293" applyBorder="1"/>
    <xf numFmtId="0" fontId="3" fillId="0" borderId="173" xfId="329" applyBorder="1"/>
    <xf numFmtId="0" fontId="65" fillId="4" borderId="173" xfId="329" applyFont="1" applyFill="1" applyBorder="1" applyProtection="1"/>
    <xf numFmtId="0" fontId="65" fillId="4" borderId="173" xfId="329" applyFont="1" applyFill="1" applyBorder="1" applyAlignment="1" applyProtection="1">
      <alignment horizontal="center"/>
    </xf>
    <xf numFmtId="1" fontId="65" fillId="4" borderId="173" xfId="329" applyNumberFormat="1" applyFont="1" applyFill="1" applyBorder="1" applyProtection="1"/>
    <xf numFmtId="0" fontId="3" fillId="0" borderId="174" xfId="329" applyBorder="1"/>
    <xf numFmtId="0" fontId="9" fillId="73" borderId="175" xfId="329" applyFont="1" applyFill="1" applyBorder="1" applyAlignment="1">
      <alignment vertical="center"/>
    </xf>
    <xf numFmtId="0" fontId="3" fillId="73" borderId="176" xfId="329" applyFill="1" applyBorder="1"/>
    <xf numFmtId="0" fontId="65" fillId="73" borderId="176" xfId="329" applyFont="1" applyFill="1" applyBorder="1" applyProtection="1"/>
    <xf numFmtId="0" fontId="65" fillId="73" borderId="177" xfId="329" applyFont="1" applyFill="1" applyBorder="1" applyAlignment="1" applyProtection="1">
      <alignment horizontal="center"/>
    </xf>
    <xf numFmtId="0" fontId="124" fillId="78" borderId="178" xfId="281" applyFont="1" applyFill="1" applyBorder="1" applyAlignment="1" applyProtection="1">
      <alignment vertical="center" wrapText="1"/>
    </xf>
    <xf numFmtId="0" fontId="124" fillId="78" borderId="179" xfId="281" applyFont="1" applyFill="1" applyBorder="1" applyAlignment="1" applyProtection="1">
      <alignment vertical="center" wrapText="1"/>
    </xf>
    <xf numFmtId="0" fontId="124" fillId="78" borderId="180" xfId="281" applyFont="1" applyFill="1" applyBorder="1" applyAlignment="1" applyProtection="1">
      <alignment vertical="center" wrapText="1"/>
    </xf>
    <xf numFmtId="0" fontId="125" fillId="79" borderId="124" xfId="329" applyFont="1" applyFill="1" applyBorder="1" applyAlignment="1" applyProtection="1">
      <alignment horizontal="center" wrapText="1"/>
    </xf>
    <xf numFmtId="0" fontId="3" fillId="79" borderId="125" xfId="293" applyFont="1" applyFill="1" applyBorder="1"/>
    <xf numFmtId="0" fontId="125" fillId="79" borderId="125" xfId="329" applyFont="1" applyFill="1" applyBorder="1" applyAlignment="1" applyProtection="1">
      <alignment wrapText="1"/>
    </xf>
    <xf numFmtId="0" fontId="125" fillId="79" borderId="181" xfId="329" applyFont="1" applyFill="1" applyBorder="1" applyAlignment="1" applyProtection="1">
      <alignment wrapText="1"/>
    </xf>
    <xf numFmtId="0" fontId="2" fillId="63" borderId="182" xfId="329" applyFont="1" applyFill="1" applyBorder="1"/>
    <xf numFmtId="0" fontId="2" fillId="63" borderId="183" xfId="329" applyFont="1" applyFill="1" applyBorder="1" applyAlignment="1">
      <alignment horizontal="center" vertical="center"/>
    </xf>
    <xf numFmtId="0" fontId="2" fillId="63" borderId="155" xfId="329" applyFont="1" applyFill="1" applyBorder="1" applyAlignment="1">
      <alignment horizontal="center" vertical="center"/>
    </xf>
    <xf numFmtId="0" fontId="2" fillId="64" borderId="62" xfId="329" applyFont="1" applyFill="1" applyBorder="1" applyAlignment="1">
      <alignment horizontal="center" vertical="center"/>
    </xf>
    <xf numFmtId="0" fontId="8" fillId="64" borderId="184" xfId="329" applyFont="1" applyFill="1" applyBorder="1" applyAlignment="1" applyProtection="1">
      <alignment horizontal="center" vertical="center"/>
    </xf>
    <xf numFmtId="0" fontId="126" fillId="78" borderId="185" xfId="281" applyFont="1" applyFill="1" applyBorder="1" applyAlignment="1" applyProtection="1">
      <alignment horizontal="center" vertical="center"/>
    </xf>
    <xf numFmtId="49" fontId="126" fillId="78" borderId="186" xfId="281" applyNumberFormat="1" applyFont="1" applyFill="1" applyBorder="1" applyProtection="1"/>
    <xf numFmtId="0" fontId="126" fillId="78" borderId="187" xfId="281" applyFont="1" applyFill="1" applyBorder="1" applyAlignment="1" applyProtection="1">
      <alignment horizontal="center" vertical="center"/>
    </xf>
    <xf numFmtId="0" fontId="107" fillId="80" borderId="131" xfId="329" applyFont="1" applyFill="1" applyBorder="1" applyAlignment="1" applyProtection="1">
      <alignment horizontal="center"/>
    </xf>
    <xf numFmtId="0" fontId="127" fillId="54" borderId="132" xfId="329" quotePrefix="1" applyFont="1" applyFill="1" applyBorder="1"/>
    <xf numFmtId="0" fontId="126" fillId="81" borderId="132" xfId="329" applyFont="1" applyFill="1" applyBorder="1" applyAlignment="1" applyProtection="1">
      <alignment horizontal="center"/>
    </xf>
    <xf numFmtId="0" fontId="128" fillId="54" borderId="132" xfId="329" quotePrefix="1" applyFont="1" applyFill="1" applyBorder="1" applyAlignment="1" applyProtection="1">
      <alignment horizontal="left"/>
    </xf>
    <xf numFmtId="0" fontId="126" fillId="81" borderId="188" xfId="329" applyFont="1" applyFill="1" applyBorder="1" applyAlignment="1" applyProtection="1">
      <alignment horizontal="center"/>
    </xf>
    <xf numFmtId="0" fontId="112" fillId="0" borderId="189" xfId="329" applyFont="1" applyBorder="1"/>
    <xf numFmtId="0" fontId="3" fillId="63" borderId="87" xfId="329" applyFill="1" applyBorder="1" applyAlignment="1">
      <alignment horizontal="center" vertical="center"/>
    </xf>
    <xf numFmtId="0" fontId="3" fillId="63" borderId="190" xfId="329" applyFill="1" applyBorder="1" applyAlignment="1">
      <alignment horizontal="center" vertical="center"/>
    </xf>
    <xf numFmtId="0" fontId="3" fillId="64" borderId="0" xfId="329" applyFill="1" applyBorder="1" applyAlignment="1">
      <alignment horizontal="center" vertical="center"/>
    </xf>
    <xf numFmtId="0" fontId="3" fillId="64" borderId="191" xfId="329" applyFill="1" applyBorder="1" applyAlignment="1">
      <alignment horizontal="center" vertical="center"/>
    </xf>
    <xf numFmtId="0" fontId="126" fillId="78" borderId="192" xfId="281" applyFont="1" applyFill="1" applyBorder="1" applyAlignment="1" applyProtection="1">
      <alignment horizontal="center" vertical="center"/>
    </xf>
    <xf numFmtId="49" fontId="126" fillId="78" borderId="193" xfId="281" applyNumberFormat="1" applyFont="1" applyFill="1" applyBorder="1" applyProtection="1"/>
    <xf numFmtId="0" fontId="126" fillId="78" borderId="194" xfId="281" applyFont="1" applyFill="1" applyBorder="1" applyAlignment="1" applyProtection="1">
      <alignment horizontal="center" vertical="center"/>
    </xf>
    <xf numFmtId="0" fontId="126" fillId="80" borderId="138" xfId="329" applyFont="1" applyFill="1" applyBorder="1" applyAlignment="1" applyProtection="1">
      <alignment horizontal="center"/>
    </xf>
    <xf numFmtId="0" fontId="127" fillId="54" borderId="139" xfId="329" quotePrefix="1" applyFont="1" applyFill="1" applyBorder="1"/>
    <xf numFmtId="0" fontId="126" fillId="81" borderId="139" xfId="329" applyFont="1" applyFill="1" applyBorder="1" applyAlignment="1" applyProtection="1">
      <alignment horizontal="center"/>
    </xf>
    <xf numFmtId="0" fontId="128" fillId="54" borderId="139" xfId="329" quotePrefix="1" applyFont="1" applyFill="1" applyBorder="1" applyAlignment="1" applyProtection="1">
      <alignment horizontal="left"/>
    </xf>
    <xf numFmtId="0" fontId="126" fillId="81" borderId="195" xfId="329" applyFont="1" applyFill="1" applyBorder="1" applyAlignment="1" applyProtection="1">
      <alignment horizontal="center"/>
    </xf>
    <xf numFmtId="49" fontId="0" fillId="0" borderId="189" xfId="0" applyNumberFormat="1" applyBorder="1"/>
    <xf numFmtId="0" fontId="3" fillId="63" borderId="69" xfId="329" applyFill="1" applyBorder="1" applyAlignment="1">
      <alignment horizontal="center" vertical="center"/>
    </xf>
    <xf numFmtId="0" fontId="3" fillId="63" borderId="107" xfId="329" applyFill="1" applyBorder="1" applyAlignment="1">
      <alignment horizontal="center" vertical="center"/>
    </xf>
    <xf numFmtId="0" fontId="3" fillId="0" borderId="189" xfId="329" applyBorder="1"/>
    <xf numFmtId="0" fontId="126" fillId="78" borderId="196" xfId="281" applyFont="1" applyFill="1" applyBorder="1" applyAlignment="1" applyProtection="1">
      <alignment horizontal="center" vertical="center"/>
    </xf>
    <xf numFmtId="49" fontId="126" fillId="78" borderId="197" xfId="281" applyNumberFormat="1" applyFont="1" applyFill="1" applyBorder="1" applyProtection="1"/>
    <xf numFmtId="0" fontId="126" fillId="78" borderId="198" xfId="281" applyFont="1" applyFill="1" applyBorder="1" applyAlignment="1" applyProtection="1">
      <alignment horizontal="center" vertical="center"/>
    </xf>
    <xf numFmtId="0" fontId="3" fillId="0" borderId="0" xfId="329" applyFont="1" applyFill="1" applyBorder="1"/>
    <xf numFmtId="0" fontId="3" fillId="0" borderId="199" xfId="293" applyFont="1" applyFill="1" applyBorder="1"/>
    <xf numFmtId="0" fontId="126" fillId="59" borderId="0" xfId="329" applyFont="1" applyFill="1" applyBorder="1" applyProtection="1"/>
    <xf numFmtId="0" fontId="126" fillId="59" borderId="0" xfId="329" applyFont="1" applyFill="1" applyBorder="1" applyAlignment="1" applyProtection="1">
      <alignment horizontal="center"/>
    </xf>
    <xf numFmtId="1" fontId="126" fillId="59" borderId="0" xfId="329" applyNumberFormat="1" applyFont="1" applyFill="1" applyBorder="1" applyProtection="1"/>
    <xf numFmtId="0" fontId="3" fillId="0" borderId="200" xfId="329" applyFont="1" applyFill="1" applyBorder="1"/>
    <xf numFmtId="0" fontId="125" fillId="82" borderId="201" xfId="329" applyFont="1" applyFill="1" applyBorder="1" applyAlignment="1" applyProtection="1">
      <alignment horizontal="center" vertical="top" wrapText="1"/>
    </xf>
    <xf numFmtId="0" fontId="125" fillId="82" borderId="65" xfId="329" applyFont="1" applyFill="1" applyBorder="1" applyAlignment="1" applyProtection="1">
      <alignment vertical="top" wrapText="1"/>
    </xf>
    <xf numFmtId="0" fontId="125" fillId="82" borderId="106" xfId="329" applyFont="1" applyFill="1" applyBorder="1" applyAlignment="1" applyProtection="1">
      <alignment vertical="top" wrapText="1"/>
    </xf>
    <xf numFmtId="0" fontId="125" fillId="83" borderId="47" xfId="329" applyFont="1" applyFill="1" applyBorder="1" applyAlignment="1" applyProtection="1">
      <alignment horizontal="center" vertical="top" wrapText="1"/>
    </xf>
    <xf numFmtId="0" fontId="125" fillId="83" borderId="96" xfId="329" applyFont="1" applyFill="1" applyBorder="1" applyAlignment="1" applyProtection="1">
      <alignment vertical="top" wrapText="1"/>
    </xf>
    <xf numFmtId="0" fontId="125" fillId="83" borderId="1" xfId="329" applyFont="1" applyFill="1" applyBorder="1" applyAlignment="1" applyProtection="1">
      <alignment vertical="top" wrapText="1"/>
    </xf>
    <xf numFmtId="49" fontId="3" fillId="84" borderId="202" xfId="329" applyNumberFormat="1" applyFont="1" applyFill="1" applyBorder="1" applyAlignment="1">
      <alignment horizontal="right" indent="1"/>
    </xf>
    <xf numFmtId="49" fontId="3" fillId="82" borderId="18" xfId="329" applyNumberFormat="1" applyFont="1" applyFill="1" applyBorder="1"/>
    <xf numFmtId="49" fontId="3" fillId="82" borderId="18" xfId="329" applyNumberFormat="1" applyFont="1" applyFill="1" applyBorder="1" applyAlignment="1" applyProtection="1">
      <alignment horizontal="right" indent="1"/>
    </xf>
    <xf numFmtId="49" fontId="3" fillId="84" borderId="107" xfId="329" applyNumberFormat="1" applyFont="1" applyFill="1" applyBorder="1"/>
    <xf numFmtId="49" fontId="3" fillId="85" borderId="203" xfId="329" applyNumberFormat="1" applyFont="1" applyFill="1" applyBorder="1" applyAlignment="1">
      <alignment horizontal="right" indent="1"/>
    </xf>
    <xf numFmtId="49" fontId="3" fillId="83" borderId="204" xfId="329" applyNumberFormat="1" applyFont="1" applyFill="1" applyBorder="1"/>
    <xf numFmtId="49" fontId="3" fillId="86" borderId="205" xfId="329" applyNumberFormat="1" applyFont="1" applyFill="1" applyBorder="1" applyAlignment="1" applyProtection="1">
      <alignment horizontal="right" indent="1"/>
    </xf>
    <xf numFmtId="49" fontId="3" fillId="87" borderId="206" xfId="329" applyNumberFormat="1" applyFont="1" applyFill="1" applyBorder="1"/>
    <xf numFmtId="49" fontId="3" fillId="85" borderId="207" xfId="329" applyNumberFormat="1" applyFont="1" applyFill="1" applyBorder="1" applyAlignment="1">
      <alignment horizontal="right" indent="1"/>
    </xf>
    <xf numFmtId="49" fontId="3" fillId="83" borderId="208" xfId="329" applyNumberFormat="1" applyFont="1" applyFill="1" applyBorder="1"/>
    <xf numFmtId="49" fontId="3" fillId="87" borderId="209" xfId="329" applyNumberFormat="1" applyFont="1" applyFill="1" applyBorder="1"/>
    <xf numFmtId="0" fontId="3" fillId="0" borderId="210" xfId="329" applyBorder="1"/>
    <xf numFmtId="0" fontId="3" fillId="63" borderId="211" xfId="329" applyFill="1" applyBorder="1" applyAlignment="1">
      <alignment horizontal="center" vertical="center"/>
    </xf>
    <xf numFmtId="0" fontId="3" fillId="63" borderId="212" xfId="329" applyFill="1" applyBorder="1" applyAlignment="1">
      <alignment horizontal="center" vertical="center"/>
    </xf>
    <xf numFmtId="0" fontId="3" fillId="64" borderId="213" xfId="329" applyFill="1" applyBorder="1" applyAlignment="1">
      <alignment horizontal="center" vertical="center"/>
    </xf>
    <xf numFmtId="0" fontId="3" fillId="64" borderId="214" xfId="329" applyFill="1" applyBorder="1" applyAlignment="1">
      <alignment horizontal="center" vertical="center"/>
    </xf>
    <xf numFmtId="49" fontId="3" fillId="85" borderId="215" xfId="329" applyNumberFormat="1" applyFont="1" applyFill="1" applyBorder="1" applyAlignment="1">
      <alignment horizontal="right" indent="1"/>
    </xf>
    <xf numFmtId="49" fontId="3" fillId="88" borderId="64" xfId="329" applyNumberFormat="1" applyFont="1" applyFill="1" applyBorder="1" applyAlignment="1">
      <alignment horizontal="center"/>
    </xf>
    <xf numFmtId="49" fontId="3" fillId="74" borderId="93" xfId="329" applyNumberFormat="1" applyFill="1" applyBorder="1" applyAlignment="1">
      <alignment horizontal="center"/>
    </xf>
    <xf numFmtId="49" fontId="3" fillId="88" borderId="69" xfId="329" applyNumberFormat="1" applyFont="1" applyFill="1" applyBorder="1" applyAlignment="1">
      <alignment horizontal="center"/>
    </xf>
    <xf numFmtId="49" fontId="3" fillId="74" borderId="94" xfId="329" applyNumberFormat="1" applyFill="1" applyBorder="1" applyAlignment="1">
      <alignment horizontal="center"/>
    </xf>
    <xf numFmtId="49" fontId="3" fillId="85" borderId="3" xfId="329" applyNumberFormat="1" applyFont="1" applyFill="1" applyBorder="1" applyAlignment="1">
      <alignment horizontal="right" indent="1"/>
    </xf>
    <xf numFmtId="49" fontId="3" fillId="83" borderId="216" xfId="329" applyNumberFormat="1" applyFont="1" applyFill="1" applyBorder="1"/>
    <xf numFmtId="49" fontId="3" fillId="86" borderId="217" xfId="329" applyNumberFormat="1" applyFont="1" applyFill="1" applyBorder="1" applyAlignment="1" applyProtection="1">
      <alignment horizontal="right" indent="1"/>
    </xf>
    <xf numFmtId="49" fontId="3" fillId="87" borderId="38" xfId="329" applyNumberFormat="1" applyFont="1" applyFill="1" applyBorder="1"/>
    <xf numFmtId="0" fontId="0" fillId="0" borderId="0" xfId="0" applyBorder="1"/>
    <xf numFmtId="49" fontId="3" fillId="84" borderId="218" xfId="329" applyNumberFormat="1" applyFont="1" applyFill="1" applyBorder="1" applyAlignment="1">
      <alignment horizontal="right" indent="1"/>
    </xf>
    <xf numFmtId="49" fontId="3" fillId="82" borderId="219" xfId="329" applyNumberFormat="1" applyFont="1" applyFill="1" applyBorder="1"/>
    <xf numFmtId="49" fontId="3" fillId="82" borderId="219" xfId="329" applyNumberFormat="1" applyFont="1" applyFill="1" applyBorder="1" applyAlignment="1" applyProtection="1">
      <alignment horizontal="right" indent="1"/>
    </xf>
    <xf numFmtId="49" fontId="3" fillId="84" borderId="220" xfId="329" applyNumberFormat="1" applyFont="1" applyFill="1" applyBorder="1"/>
    <xf numFmtId="0" fontId="0" fillId="0" borderId="221" xfId="0" applyBorder="1"/>
    <xf numFmtId="0" fontId="3" fillId="0" borderId="222" xfId="329" applyFont="1" applyFill="1" applyBorder="1"/>
    <xf numFmtId="49" fontId="3" fillId="88" borderId="73" xfId="329" applyNumberFormat="1" applyFont="1" applyFill="1" applyBorder="1" applyAlignment="1">
      <alignment horizontal="center"/>
    </xf>
    <xf numFmtId="49" fontId="3" fillId="74" borderId="95" xfId="329" applyNumberFormat="1" applyFill="1" applyBorder="1" applyAlignment="1">
      <alignment horizontal="center"/>
    </xf>
    <xf numFmtId="0" fontId="3" fillId="8" borderId="70" xfId="281" quotePrefix="1" applyFont="1" applyFill="1" applyBorder="1" applyAlignment="1" applyProtection="1">
      <alignment horizontal="center" vertical="top"/>
    </xf>
    <xf numFmtId="0" fontId="132" fillId="0" borderId="0" xfId="0" applyFont="1"/>
    <xf numFmtId="0" fontId="133" fillId="50" borderId="0" xfId="0" applyFont="1" applyFill="1" applyBorder="1" applyAlignment="1" applyProtection="1">
      <alignment vertical="center"/>
    </xf>
    <xf numFmtId="0" fontId="133" fillId="50" borderId="0" xfId="0" applyFont="1" applyFill="1" applyAlignment="1" applyProtection="1">
      <alignment vertical="center" wrapText="1"/>
    </xf>
    <xf numFmtId="0" fontId="132" fillId="4" borderId="0" xfId="0" applyFont="1" applyFill="1"/>
    <xf numFmtId="0" fontId="133" fillId="50" borderId="0" xfId="281" applyFont="1" applyFill="1" applyBorder="1" applyAlignment="1" applyProtection="1">
      <alignment horizontal="left" vertical="center"/>
    </xf>
    <xf numFmtId="0" fontId="133" fillId="52" borderId="0" xfId="566" applyFont="1">
      <alignment horizontal="left" vertical="center"/>
      <protection locked="0"/>
    </xf>
    <xf numFmtId="0" fontId="134" fillId="0" borderId="0" xfId="0" applyFont="1" applyFill="1" applyAlignment="1" applyProtection="1">
      <alignment horizontal="left" vertical="center" wrapText="1"/>
    </xf>
    <xf numFmtId="0" fontId="134" fillId="4" borderId="0" xfId="0" applyFont="1" applyFill="1" applyAlignment="1" applyProtection="1">
      <alignment vertical="center" wrapText="1"/>
    </xf>
    <xf numFmtId="0" fontId="132" fillId="4" borderId="0" xfId="0" applyFont="1" applyFill="1" applyAlignment="1" applyProtection="1">
      <alignment horizontal="left" vertical="top" wrapText="1"/>
    </xf>
    <xf numFmtId="0" fontId="135" fillId="5" borderId="0" xfId="1" applyFont="1">
      <alignment vertical="center"/>
      <protection locked="0"/>
    </xf>
    <xf numFmtId="0" fontId="132" fillId="0" borderId="0" xfId="0" applyFont="1" applyBorder="1"/>
    <xf numFmtId="0" fontId="134" fillId="8" borderId="73" xfId="0" applyNumberFormat="1" applyFont="1" applyFill="1" applyBorder="1" applyAlignment="1" applyProtection="1">
      <alignment horizontal="right" vertical="center" indent="1"/>
    </xf>
    <xf numFmtId="0" fontId="134" fillId="8" borderId="74" xfId="0" applyNumberFormat="1" applyFont="1" applyFill="1" applyBorder="1" applyAlignment="1" applyProtection="1">
      <alignment horizontal="right" vertical="center" indent="1"/>
    </xf>
    <xf numFmtId="0" fontId="134" fillId="8" borderId="95" xfId="0" applyNumberFormat="1" applyFont="1" applyFill="1" applyBorder="1" applyAlignment="1" applyProtection="1">
      <alignment horizontal="right" vertical="center" indent="1"/>
    </xf>
    <xf numFmtId="0" fontId="136" fillId="0" borderId="64" xfId="0" applyFont="1" applyBorder="1" applyAlignment="1" applyProtection="1">
      <alignment horizontal="left" vertical="center" wrapText="1" indent="1"/>
    </xf>
    <xf numFmtId="43" fontId="136" fillId="7" borderId="18" xfId="696" applyFont="1" applyFill="1" applyBorder="1" applyAlignment="1" applyProtection="1">
      <alignment horizontal="right" vertical="center" wrapText="1" indent="1"/>
      <protection locked="0"/>
    </xf>
    <xf numFmtId="189" fontId="136" fillId="7" borderId="18" xfId="696" applyNumberFormat="1" applyFont="1" applyFill="1" applyBorder="1" applyAlignment="1" applyProtection="1">
      <alignment horizontal="right" vertical="center" wrapText="1" indent="1"/>
      <protection locked="0"/>
    </xf>
    <xf numFmtId="189" fontId="136" fillId="7" borderId="94" xfId="696" applyNumberFormat="1" applyFont="1" applyFill="1" applyBorder="1" applyAlignment="1" applyProtection="1">
      <alignment horizontal="right" vertical="center" wrapText="1" indent="1"/>
      <protection locked="0"/>
    </xf>
    <xf numFmtId="0" fontId="137" fillId="0" borderId="69" xfId="0" applyFont="1" applyBorder="1" applyAlignment="1" applyProtection="1">
      <alignment horizontal="left" vertical="center" wrapText="1" indent="2"/>
    </xf>
    <xf numFmtId="0" fontId="134" fillId="6" borderId="18" xfId="0" applyFont="1" applyFill="1" applyBorder="1" applyAlignment="1" applyProtection="1">
      <alignment horizontal="left" vertical="center" indent="1"/>
    </xf>
    <xf numFmtId="0" fontId="134" fillId="6" borderId="94" xfId="0" applyFont="1" applyFill="1" applyBorder="1" applyAlignment="1" applyProtection="1">
      <alignment horizontal="left" vertical="center" indent="1"/>
    </xf>
    <xf numFmtId="0" fontId="136" fillId="7" borderId="69" xfId="0" applyFont="1" applyFill="1" applyBorder="1" applyAlignment="1" applyProtection="1">
      <alignment horizontal="left" vertical="center" indent="3"/>
      <protection locked="0"/>
    </xf>
    <xf numFmtId="43" fontId="136" fillId="7" borderId="94" xfId="696" applyFont="1" applyFill="1" applyBorder="1" applyAlignment="1" applyProtection="1">
      <alignment horizontal="right" vertical="center" wrapText="1" indent="1"/>
      <protection locked="0"/>
    </xf>
    <xf numFmtId="0" fontId="136" fillId="7" borderId="88" xfId="0" applyFont="1" applyFill="1" applyBorder="1" applyAlignment="1" applyProtection="1">
      <alignment horizontal="left" vertical="center" indent="3"/>
      <protection locked="0"/>
    </xf>
    <xf numFmtId="43" fontId="136" fillId="7" borderId="89" xfId="696" applyFont="1" applyFill="1" applyBorder="1" applyAlignment="1" applyProtection="1">
      <alignment horizontal="right" vertical="center" wrapText="1" indent="1"/>
      <protection locked="0"/>
    </xf>
    <xf numFmtId="43" fontId="136" fillId="7" borderId="225" xfId="696" applyFont="1" applyFill="1" applyBorder="1" applyAlignment="1" applyProtection="1">
      <alignment horizontal="right" vertical="center" wrapText="1" indent="1"/>
      <protection locked="0"/>
    </xf>
    <xf numFmtId="0" fontId="138" fillId="6" borderId="183" xfId="0" applyFont="1" applyFill="1" applyBorder="1" applyAlignment="1" applyProtection="1">
      <alignment horizontal="right" wrapText="1" indent="2"/>
    </xf>
    <xf numFmtId="189" fontId="134" fillId="6" borderId="228" xfId="696" applyNumberFormat="1" applyFont="1" applyFill="1" applyBorder="1" applyAlignment="1" applyProtection="1">
      <alignment horizontal="left" wrapText="1" indent="1"/>
    </xf>
    <xf numFmtId="189" fontId="134" fillId="6" borderId="229" xfId="696" applyNumberFormat="1" applyFont="1" applyFill="1" applyBorder="1" applyAlignment="1" applyProtection="1">
      <alignment horizontal="left" wrapText="1" indent="1"/>
    </xf>
    <xf numFmtId="189" fontId="136" fillId="7" borderId="65" xfId="696" applyNumberFormat="1" applyFont="1" applyFill="1" applyBorder="1" applyAlignment="1" applyProtection="1">
      <alignment horizontal="left" vertical="center" wrapText="1" indent="1"/>
      <protection locked="0"/>
    </xf>
    <xf numFmtId="189" fontId="132" fillId="4" borderId="0" xfId="0" applyNumberFormat="1" applyFont="1" applyFill="1"/>
    <xf numFmtId="0" fontId="3" fillId="4" borderId="36" xfId="281" applyFill="1" applyBorder="1" applyAlignment="1" applyProtection="1">
      <alignment vertical="center"/>
    </xf>
    <xf numFmtId="0" fontId="3" fillId="4" borderId="33" xfId="281" applyFill="1" applyBorder="1" applyAlignment="1" applyProtection="1">
      <alignment vertical="center"/>
    </xf>
    <xf numFmtId="0" fontId="3" fillId="4" borderId="56" xfId="281" applyFill="1" applyBorder="1" applyAlignment="1" applyProtection="1">
      <alignment vertical="center"/>
    </xf>
    <xf numFmtId="0" fontId="113" fillId="61" borderId="0" xfId="329" applyFont="1" applyFill="1" applyAlignment="1" applyProtection="1">
      <alignment horizontal="center" vertical="center" wrapText="1"/>
    </xf>
    <xf numFmtId="0" fontId="115" fillId="6" borderId="0" xfId="0" applyFont="1" applyFill="1" applyAlignment="1">
      <alignment horizontal="center"/>
    </xf>
    <xf numFmtId="0" fontId="2" fillId="8" borderId="31" xfId="0" applyFont="1" applyFill="1" applyBorder="1" applyAlignment="1">
      <alignment horizontal="center"/>
    </xf>
    <xf numFmtId="0" fontId="2" fillId="8" borderId="29" xfId="0" applyFont="1" applyFill="1" applyBorder="1" applyAlignment="1">
      <alignment horizontal="center"/>
    </xf>
    <xf numFmtId="0" fontId="82" fillId="61" borderId="31" xfId="0" applyFont="1" applyFill="1" applyBorder="1" applyAlignment="1">
      <alignment horizontal="center"/>
    </xf>
    <xf numFmtId="0" fontId="82" fillId="61" borderId="29" xfId="0" applyFont="1" applyFill="1" applyBorder="1" applyAlignment="1">
      <alignment horizontal="center"/>
    </xf>
    <xf numFmtId="0" fontId="82" fillId="61" borderId="30" xfId="0" applyFont="1" applyFill="1" applyBorder="1" applyAlignment="1">
      <alignment horizontal="center"/>
    </xf>
    <xf numFmtId="0" fontId="3" fillId="71" borderId="31" xfId="329" applyFill="1" applyBorder="1" applyAlignment="1">
      <alignment horizontal="center" vertical="center"/>
    </xf>
    <xf numFmtId="0" fontId="3" fillId="71" borderId="29" xfId="329" applyFill="1" applyBorder="1" applyAlignment="1">
      <alignment horizontal="center" vertical="center"/>
    </xf>
    <xf numFmtId="0" fontId="3" fillId="71" borderId="30" xfId="329" applyFill="1" applyBorder="1" applyAlignment="1">
      <alignment horizontal="center" vertical="center"/>
    </xf>
    <xf numFmtId="0" fontId="65" fillId="72" borderId="7" xfId="329" applyFont="1" applyFill="1" applyBorder="1" applyAlignment="1" applyProtection="1">
      <alignment horizontal="left" vertical="top" wrapText="1"/>
    </xf>
    <xf numFmtId="0" fontId="65" fillId="72" borderId="62" xfId="329" applyFont="1" applyFill="1" applyBorder="1" applyAlignment="1" applyProtection="1">
      <alignment horizontal="left" vertical="top" wrapText="1"/>
    </xf>
    <xf numFmtId="0" fontId="65" fillId="72" borderId="47" xfId="329" applyFont="1" applyFill="1" applyBorder="1" applyAlignment="1" applyProtection="1">
      <alignment horizontal="left" vertical="top" wrapText="1"/>
    </xf>
    <xf numFmtId="0" fontId="2" fillId="67" borderId="119" xfId="329" applyFont="1" applyFill="1" applyBorder="1" applyAlignment="1">
      <alignment horizontal="center" vertical="center"/>
    </xf>
    <xf numFmtId="0" fontId="2" fillId="73" borderId="120" xfId="329" applyFont="1" applyFill="1" applyBorder="1" applyAlignment="1">
      <alignment horizontal="center"/>
    </xf>
    <xf numFmtId="0" fontId="2" fillId="73" borderId="121" xfId="329" applyFont="1" applyFill="1" applyBorder="1" applyAlignment="1">
      <alignment horizontal="center"/>
    </xf>
    <xf numFmtId="0" fontId="2" fillId="73" borderId="122" xfId="329" applyFont="1" applyFill="1" applyBorder="1" applyAlignment="1">
      <alignment horizontal="center"/>
    </xf>
    <xf numFmtId="49" fontId="107" fillId="72" borderId="62" xfId="329" applyNumberFormat="1" applyFont="1" applyFill="1" applyBorder="1" applyAlignment="1" applyProtection="1">
      <alignment horizontal="center" vertical="center"/>
    </xf>
    <xf numFmtId="0" fontId="3" fillId="62" borderId="78" xfId="329" applyFont="1" applyFill="1" applyBorder="1" applyAlignment="1">
      <alignment vertical="center" wrapText="1"/>
    </xf>
    <xf numFmtId="0" fontId="3" fillId="62" borderId="155" xfId="329" applyFont="1" applyFill="1" applyBorder="1" applyAlignment="1">
      <alignment vertical="center" wrapText="1"/>
    </xf>
    <xf numFmtId="0" fontId="2" fillId="73" borderId="156" xfId="329" applyFont="1" applyFill="1" applyBorder="1" applyAlignment="1">
      <alignment horizontal="center"/>
    </xf>
    <xf numFmtId="0" fontId="2" fillId="73" borderId="62" xfId="329" applyFont="1" applyFill="1" applyBorder="1" applyAlignment="1">
      <alignment horizontal="center"/>
    </xf>
    <xf numFmtId="0" fontId="2" fillId="73" borderId="47" xfId="329" applyFont="1" applyFill="1" applyBorder="1" applyAlignment="1">
      <alignment horizontal="center"/>
    </xf>
    <xf numFmtId="0" fontId="3" fillId="0" borderId="199" xfId="293" applyFont="1" applyFill="1" applyBorder="1" applyAlignment="1">
      <alignment horizontal="left" vertical="top" wrapText="1"/>
    </xf>
    <xf numFmtId="0" fontId="3" fillId="0" borderId="0" xfId="293" applyFont="1" applyFill="1" applyBorder="1" applyAlignment="1">
      <alignment horizontal="left" vertical="top" wrapText="1"/>
    </xf>
    <xf numFmtId="0" fontId="3" fillId="0" borderId="3" xfId="293" applyFont="1" applyFill="1" applyBorder="1" applyAlignment="1">
      <alignment horizontal="left" vertical="top" wrapText="1"/>
    </xf>
    <xf numFmtId="0" fontId="3" fillId="10" borderId="0" xfId="281" applyFont="1" applyFill="1" applyBorder="1" applyAlignment="1" applyProtection="1">
      <alignment vertical="center" wrapText="1"/>
    </xf>
    <xf numFmtId="0" fontId="88" fillId="10" borderId="0" xfId="281" applyFont="1" applyFill="1" applyBorder="1" applyAlignment="1" applyProtection="1">
      <alignment vertical="center" wrapText="1"/>
    </xf>
    <xf numFmtId="0" fontId="90" fillId="57" borderId="31" xfId="281" applyFont="1" applyFill="1" applyBorder="1" applyAlignment="1" applyProtection="1">
      <alignment horizontal="center"/>
    </xf>
    <xf numFmtId="0" fontId="90" fillId="57" borderId="29" xfId="281" applyFont="1" applyFill="1" applyBorder="1" applyAlignment="1" applyProtection="1">
      <alignment horizontal="center"/>
    </xf>
    <xf numFmtId="0" fontId="90" fillId="57" borderId="30" xfId="281" applyFont="1" applyFill="1" applyBorder="1" applyAlignment="1" applyProtection="1">
      <alignment horizontal="center"/>
    </xf>
    <xf numFmtId="0" fontId="3" fillId="7" borderId="51" xfId="281" applyFont="1" applyFill="1" applyBorder="1" applyAlignment="1" applyProtection="1">
      <alignment horizontal="left"/>
      <protection locked="0"/>
    </xf>
    <xf numFmtId="0" fontId="3" fillId="7" borderId="52" xfId="281" applyFont="1" applyFill="1" applyBorder="1" applyAlignment="1" applyProtection="1">
      <alignment horizontal="left"/>
      <protection locked="0"/>
    </xf>
    <xf numFmtId="187" fontId="3" fillId="6" borderId="53" xfId="281" applyNumberFormat="1" applyFont="1" applyFill="1" applyBorder="1" applyAlignment="1" applyProtection="1">
      <alignment horizontal="left"/>
    </xf>
    <xf numFmtId="0" fontId="95" fillId="57" borderId="0" xfId="281" applyFont="1" applyFill="1" applyBorder="1" applyAlignment="1" applyProtection="1">
      <alignment horizontal="right" indent="1"/>
    </xf>
    <xf numFmtId="0" fontId="95" fillId="57" borderId="5" xfId="281" applyFont="1" applyFill="1" applyBorder="1" applyAlignment="1" applyProtection="1">
      <alignment horizontal="right" indent="1"/>
    </xf>
    <xf numFmtId="0" fontId="3" fillId="7" borderId="54" xfId="281" applyFont="1" applyFill="1" applyBorder="1" applyAlignment="1" applyProtection="1">
      <alignment horizontal="left"/>
      <protection locked="0"/>
    </xf>
    <xf numFmtId="0" fontId="108" fillId="8" borderId="66" xfId="281" applyFont="1" applyFill="1" applyBorder="1" applyAlignment="1" applyProtection="1">
      <alignment horizontal="left" vertical="top" wrapText="1"/>
    </xf>
    <xf numFmtId="0" fontId="108" fillId="8" borderId="67" xfId="281" applyFont="1" applyFill="1" applyBorder="1" applyAlignment="1" applyProtection="1">
      <alignment horizontal="left" vertical="top" wrapText="1"/>
    </xf>
    <xf numFmtId="0" fontId="108" fillId="8" borderId="68" xfId="281" applyFont="1" applyFill="1" applyBorder="1" applyAlignment="1" applyProtection="1">
      <alignment horizontal="left" vertical="top" wrapText="1"/>
    </xf>
    <xf numFmtId="0" fontId="90" fillId="57" borderId="31" xfId="0" applyFont="1" applyFill="1" applyBorder="1" applyAlignment="1" applyProtection="1">
      <alignment horizontal="center"/>
      <protection locked="0"/>
    </xf>
    <xf numFmtId="0" fontId="90" fillId="57" borderId="29" xfId="0" applyFont="1" applyFill="1" applyBorder="1" applyAlignment="1" applyProtection="1">
      <alignment horizontal="center"/>
      <protection locked="0"/>
    </xf>
    <xf numFmtId="0" fontId="90" fillId="57" borderId="30" xfId="0" applyFont="1" applyFill="1" applyBorder="1" applyAlignment="1" applyProtection="1">
      <alignment horizontal="center"/>
      <protection locked="0"/>
    </xf>
    <xf numFmtId="0" fontId="2" fillId="7" borderId="7" xfId="281" applyFont="1" applyFill="1" applyBorder="1" applyAlignment="1" applyProtection="1">
      <alignment horizontal="left"/>
      <protection locked="0"/>
    </xf>
    <xf numFmtId="0" fontId="2" fillId="7" borderId="47" xfId="281" applyFont="1" applyFill="1" applyBorder="1" applyAlignment="1" applyProtection="1">
      <alignment horizontal="left"/>
      <protection locked="0"/>
    </xf>
    <xf numFmtId="0" fontId="3" fillId="7" borderId="7" xfId="281" applyFont="1" applyFill="1" applyBorder="1" applyAlignment="1" applyProtection="1">
      <alignment horizontal="left" vertical="top" wrapText="1"/>
      <protection locked="0"/>
    </xf>
    <xf numFmtId="0" fontId="3" fillId="7" borderId="62" xfId="281" applyFont="1" applyFill="1" applyBorder="1" applyAlignment="1" applyProtection="1">
      <alignment horizontal="left" vertical="top"/>
      <protection locked="0"/>
    </xf>
    <xf numFmtId="0" fontId="3" fillId="7" borderId="47" xfId="281" applyFont="1" applyFill="1" applyBorder="1" applyAlignment="1" applyProtection="1">
      <alignment horizontal="left" vertical="top"/>
      <protection locked="0"/>
    </xf>
    <xf numFmtId="0" fontId="134" fillId="8" borderId="226" xfId="0" applyFont="1" applyFill="1" applyBorder="1" applyAlignment="1" applyProtection="1">
      <alignment horizontal="center" vertical="center" wrapText="1"/>
    </xf>
    <xf numFmtId="0" fontId="134" fillId="8" borderId="67" xfId="0" applyFont="1" applyFill="1" applyBorder="1" applyAlignment="1" applyProtection="1">
      <alignment horizontal="center" vertical="center" wrapText="1"/>
    </xf>
    <xf numFmtId="0" fontId="134" fillId="8" borderId="68" xfId="0" applyFont="1" applyFill="1" applyBorder="1" applyAlignment="1" applyProtection="1">
      <alignment horizontal="center" vertical="center" wrapText="1"/>
    </xf>
    <xf numFmtId="0" fontId="134" fillId="8" borderId="64" xfId="0" applyFont="1" applyFill="1" applyBorder="1" applyAlignment="1" applyProtection="1">
      <alignment horizontal="center" vertical="center" wrapText="1"/>
    </xf>
    <xf numFmtId="0" fontId="134" fillId="8" borderId="65" xfId="0" applyFont="1" applyFill="1" applyBorder="1" applyAlignment="1" applyProtection="1">
      <alignment horizontal="center" vertical="center" wrapText="1"/>
    </xf>
    <xf numFmtId="0" fontId="134" fillId="8" borderId="93" xfId="0" applyFont="1" applyFill="1" applyBorder="1" applyAlignment="1" applyProtection="1">
      <alignment horizontal="center" vertical="center" wrapText="1"/>
    </xf>
    <xf numFmtId="0" fontId="132" fillId="74" borderId="224" xfId="0" applyFont="1" applyFill="1" applyBorder="1" applyAlignment="1" applyProtection="1">
      <alignment vertical="top" wrapText="1"/>
    </xf>
    <xf numFmtId="0" fontId="132" fillId="74" borderId="35" xfId="0" applyFont="1" applyFill="1" applyBorder="1" applyAlignment="1" applyProtection="1">
      <alignment vertical="top" wrapText="1"/>
    </xf>
    <xf numFmtId="0" fontId="134" fillId="8" borderId="69" xfId="0" applyFont="1" applyFill="1" applyBorder="1" applyAlignment="1" applyProtection="1">
      <alignment horizontal="center" vertical="center" wrapText="1"/>
    </xf>
    <xf numFmtId="0" fontId="134" fillId="8" borderId="18" xfId="0" applyFont="1" applyFill="1" applyBorder="1" applyAlignment="1" applyProtection="1">
      <alignment horizontal="center" vertical="center" wrapText="1"/>
    </xf>
    <xf numFmtId="0" fontId="134" fillId="8" borderId="94" xfId="0" applyFont="1" applyFill="1" applyBorder="1" applyAlignment="1" applyProtection="1">
      <alignment horizontal="center" vertical="center" wrapText="1"/>
    </xf>
    <xf numFmtId="0" fontId="134" fillId="8" borderId="230" xfId="0" applyFont="1" applyFill="1" applyBorder="1" applyAlignment="1" applyProtection="1">
      <alignment horizontal="center" vertical="center" wrapText="1"/>
    </xf>
    <xf numFmtId="0" fontId="134" fillId="8" borderId="71" xfId="0" applyFont="1" applyFill="1" applyBorder="1" applyAlignment="1" applyProtection="1">
      <alignment horizontal="center" vertical="center" wrapText="1"/>
    </xf>
    <xf numFmtId="0" fontId="134" fillId="8" borderId="72" xfId="0" applyFont="1" applyFill="1" applyBorder="1" applyAlignment="1" applyProtection="1">
      <alignment horizontal="center" vertical="center" wrapText="1"/>
    </xf>
    <xf numFmtId="0" fontId="132" fillId="74" borderId="227" xfId="0" applyFont="1" applyFill="1" applyBorder="1" applyAlignment="1" applyProtection="1">
      <alignment vertical="top" wrapText="1"/>
    </xf>
    <xf numFmtId="0" fontId="132" fillId="74" borderId="223" xfId="0" applyFont="1" applyFill="1" applyBorder="1" applyAlignment="1" applyProtection="1">
      <alignment vertical="top" wrapText="1"/>
    </xf>
  </cellXfs>
  <cellStyles count="697">
    <cellStyle name=" 1" xfId="7" xr:uid="{00000000-0005-0000-0000-000000000000}"/>
    <cellStyle name=" 1 2" xfId="8" xr:uid="{00000000-0005-0000-0000-000001000000}"/>
    <cellStyle name=" 1 2 2" xfId="9" xr:uid="{00000000-0005-0000-0000-000002000000}"/>
    <cellStyle name=" 1 2 3" xfId="10" xr:uid="{00000000-0005-0000-0000-000003000000}"/>
    <cellStyle name=" 1 3" xfId="11" xr:uid="{00000000-0005-0000-0000-000004000000}"/>
    <cellStyle name=" 1 3 2" xfId="12" xr:uid="{00000000-0005-0000-0000-000005000000}"/>
    <cellStyle name=" 1 4" xfId="13" xr:uid="{00000000-0005-0000-0000-000006000000}"/>
    <cellStyle name=" 1_29(d) - Gas extensions -tariffs" xfId="14" xr:uid="{00000000-0005-0000-0000-000007000000}"/>
    <cellStyle name="_3GIS model v2.77_Distribution Business_Retail Fin Perform " xfId="15" xr:uid="{00000000-0005-0000-0000-000008000000}"/>
    <cellStyle name="_3GIS model v2.77_Fleet Overhead Costs 2_Retail Fin Perform " xfId="16" xr:uid="{00000000-0005-0000-0000-000009000000}"/>
    <cellStyle name="_3GIS model v2.77_Fleet Overhead Costs_Retail Fin Perform " xfId="17" xr:uid="{00000000-0005-0000-0000-00000A000000}"/>
    <cellStyle name="_3GIS model v2.77_Forecast 2_Retail Fin Perform " xfId="18" xr:uid="{00000000-0005-0000-0000-00000B000000}"/>
    <cellStyle name="_3GIS model v2.77_Forecast_Retail Fin Perform " xfId="19" xr:uid="{00000000-0005-0000-0000-00000C000000}"/>
    <cellStyle name="_3GIS model v2.77_Funding &amp; Cashflow_1_Retail Fin Perform " xfId="20" xr:uid="{00000000-0005-0000-0000-00000D000000}"/>
    <cellStyle name="_3GIS model v2.77_Funding &amp; Cashflow_Retail Fin Perform " xfId="21" xr:uid="{00000000-0005-0000-0000-00000E000000}"/>
    <cellStyle name="_3GIS model v2.77_Group P&amp;L_1_Retail Fin Perform " xfId="22" xr:uid="{00000000-0005-0000-0000-00000F000000}"/>
    <cellStyle name="_3GIS model v2.77_Group P&amp;L_Retail Fin Perform " xfId="23" xr:uid="{00000000-0005-0000-0000-000010000000}"/>
    <cellStyle name="_3GIS model v2.77_Opening  Detailed BS_Retail Fin Perform " xfId="24" xr:uid="{00000000-0005-0000-0000-000011000000}"/>
    <cellStyle name="_3GIS model v2.77_OUTPUT DB_Retail Fin Perform " xfId="25" xr:uid="{00000000-0005-0000-0000-000012000000}"/>
    <cellStyle name="_3GIS model v2.77_OUTPUT EB_Retail Fin Perform " xfId="26" xr:uid="{00000000-0005-0000-0000-000013000000}"/>
    <cellStyle name="_3GIS model v2.77_Report_Retail Fin Perform " xfId="27" xr:uid="{00000000-0005-0000-0000-000014000000}"/>
    <cellStyle name="_3GIS model v2.77_Retail Fin Perform " xfId="28" xr:uid="{00000000-0005-0000-0000-000015000000}"/>
    <cellStyle name="_3GIS model v2.77_Sheet2 2_Retail Fin Perform " xfId="29" xr:uid="{00000000-0005-0000-0000-000016000000}"/>
    <cellStyle name="_3GIS model v2.77_Sheet2_Retail Fin Perform " xfId="30" xr:uid="{00000000-0005-0000-0000-000017000000}"/>
    <cellStyle name="_Capex" xfId="31" xr:uid="{00000000-0005-0000-0000-000018000000}"/>
    <cellStyle name="_Capex 2" xfId="32" xr:uid="{00000000-0005-0000-0000-000019000000}"/>
    <cellStyle name="_Capex_29(d) - Gas extensions -tariffs" xfId="33" xr:uid="{00000000-0005-0000-0000-00001A000000}"/>
    <cellStyle name="_UED AMP 2009-14 Final 250309 Less PU" xfId="34" xr:uid="{00000000-0005-0000-0000-00001B000000}"/>
    <cellStyle name="_UED AMP 2009-14 Final 250309 Less PU_1011 monthly" xfId="35" xr:uid="{00000000-0005-0000-0000-00001C000000}"/>
    <cellStyle name="20% - Accent1 2" xfId="36" xr:uid="{00000000-0005-0000-0000-00001D000000}"/>
    <cellStyle name="20% - Accent1 3" xfId="37" xr:uid="{00000000-0005-0000-0000-00001E000000}"/>
    <cellStyle name="20% - Accent2 2" xfId="38" xr:uid="{00000000-0005-0000-0000-00001F000000}"/>
    <cellStyle name="20% - Accent3 2" xfId="39" xr:uid="{00000000-0005-0000-0000-000020000000}"/>
    <cellStyle name="20% - Accent4 2" xfId="40" xr:uid="{00000000-0005-0000-0000-000021000000}"/>
    <cellStyle name="20% - Accent5 2" xfId="41" xr:uid="{00000000-0005-0000-0000-000022000000}"/>
    <cellStyle name="20% - Accent6 2" xfId="42" xr:uid="{00000000-0005-0000-0000-000023000000}"/>
    <cellStyle name="40% - Accent1 2" xfId="43" xr:uid="{00000000-0005-0000-0000-000024000000}"/>
    <cellStyle name="40% - Accent1 3" xfId="44" xr:uid="{00000000-0005-0000-0000-000025000000}"/>
    <cellStyle name="40% - Accent2 2" xfId="45" xr:uid="{00000000-0005-0000-0000-000026000000}"/>
    <cellStyle name="40% - Accent3 2" xfId="46" xr:uid="{00000000-0005-0000-0000-000027000000}"/>
    <cellStyle name="40% - Accent4 2" xfId="47" xr:uid="{00000000-0005-0000-0000-000028000000}"/>
    <cellStyle name="40% - Accent5 2" xfId="48" xr:uid="{00000000-0005-0000-0000-000029000000}"/>
    <cellStyle name="40% - Accent6 2" xfId="49" xr:uid="{00000000-0005-0000-0000-00002A000000}"/>
    <cellStyle name="60% - Accent1 2" xfId="50" xr:uid="{00000000-0005-0000-0000-00002B000000}"/>
    <cellStyle name="60% - Accent2 2" xfId="51" xr:uid="{00000000-0005-0000-0000-00002C000000}"/>
    <cellStyle name="60% - Accent3 2" xfId="52" xr:uid="{00000000-0005-0000-0000-00002D000000}"/>
    <cellStyle name="60% - Accent4 2" xfId="53" xr:uid="{00000000-0005-0000-0000-00002E000000}"/>
    <cellStyle name="60% - Accent5 2" xfId="54" xr:uid="{00000000-0005-0000-0000-00002F000000}"/>
    <cellStyle name="60% - Accent6 2" xfId="55" xr:uid="{00000000-0005-0000-0000-000030000000}"/>
    <cellStyle name="Accent1 - 20%" xfId="56" xr:uid="{00000000-0005-0000-0000-000031000000}"/>
    <cellStyle name="Accent1 - 40%" xfId="57" xr:uid="{00000000-0005-0000-0000-000032000000}"/>
    <cellStyle name="Accent1 - 60%" xfId="58" xr:uid="{00000000-0005-0000-0000-000033000000}"/>
    <cellStyle name="Accent1 2" xfId="59" xr:uid="{00000000-0005-0000-0000-000034000000}"/>
    <cellStyle name="Accent1 3" xfId="677" xr:uid="{00000000-0005-0000-0000-000035000000}"/>
    <cellStyle name="Accent1 4" xfId="676" xr:uid="{00000000-0005-0000-0000-000036000000}"/>
    <cellStyle name="Accent1 5" xfId="675" xr:uid="{00000000-0005-0000-0000-000037000000}"/>
    <cellStyle name="Accent2 - 20%" xfId="60" xr:uid="{00000000-0005-0000-0000-000038000000}"/>
    <cellStyle name="Accent2 - 40%" xfId="61" xr:uid="{00000000-0005-0000-0000-000039000000}"/>
    <cellStyle name="Accent2 - 60%" xfId="62" xr:uid="{00000000-0005-0000-0000-00003A000000}"/>
    <cellStyle name="Accent2 2" xfId="63" xr:uid="{00000000-0005-0000-0000-00003B000000}"/>
    <cellStyle name="Accent2 3" xfId="674" xr:uid="{00000000-0005-0000-0000-00003C000000}"/>
    <cellStyle name="Accent2 4" xfId="673" xr:uid="{00000000-0005-0000-0000-00003D000000}"/>
    <cellStyle name="Accent2 5" xfId="672" xr:uid="{00000000-0005-0000-0000-00003E000000}"/>
    <cellStyle name="Accent3 - 20%" xfId="64" xr:uid="{00000000-0005-0000-0000-00003F000000}"/>
    <cellStyle name="Accent3 - 40%" xfId="65" xr:uid="{00000000-0005-0000-0000-000040000000}"/>
    <cellStyle name="Accent3 - 60%" xfId="66" xr:uid="{00000000-0005-0000-0000-000041000000}"/>
    <cellStyle name="Accent3 2" xfId="67" xr:uid="{00000000-0005-0000-0000-000042000000}"/>
    <cellStyle name="Accent3 3" xfId="671" xr:uid="{00000000-0005-0000-0000-000043000000}"/>
    <cellStyle name="Accent3 4" xfId="670" xr:uid="{00000000-0005-0000-0000-000044000000}"/>
    <cellStyle name="Accent3 5" xfId="669" xr:uid="{00000000-0005-0000-0000-000045000000}"/>
    <cellStyle name="Accent4 - 20%" xfId="68" xr:uid="{00000000-0005-0000-0000-000046000000}"/>
    <cellStyle name="Accent4 - 40%" xfId="69" xr:uid="{00000000-0005-0000-0000-000047000000}"/>
    <cellStyle name="Accent4 - 60%" xfId="70" xr:uid="{00000000-0005-0000-0000-000048000000}"/>
    <cellStyle name="Accent4 2" xfId="71" xr:uid="{00000000-0005-0000-0000-000049000000}"/>
    <cellStyle name="Accent4 3" xfId="668" xr:uid="{00000000-0005-0000-0000-00004A000000}"/>
    <cellStyle name="Accent4 4" xfId="667" xr:uid="{00000000-0005-0000-0000-00004B000000}"/>
    <cellStyle name="Accent4 5" xfId="666" xr:uid="{00000000-0005-0000-0000-00004C000000}"/>
    <cellStyle name="Accent5 - 20%" xfId="72" xr:uid="{00000000-0005-0000-0000-00004D000000}"/>
    <cellStyle name="Accent5 - 40%" xfId="73" xr:uid="{00000000-0005-0000-0000-00004E000000}"/>
    <cellStyle name="Accent5 - 60%" xfId="74" xr:uid="{00000000-0005-0000-0000-00004F000000}"/>
    <cellStyle name="Accent5 2" xfId="75" xr:uid="{00000000-0005-0000-0000-000050000000}"/>
    <cellStyle name="Accent5 3" xfId="665" xr:uid="{00000000-0005-0000-0000-000051000000}"/>
    <cellStyle name="Accent5 4" xfId="664" xr:uid="{00000000-0005-0000-0000-000052000000}"/>
    <cellStyle name="Accent5 5" xfId="663" xr:uid="{00000000-0005-0000-0000-000053000000}"/>
    <cellStyle name="Accent6 - 20%" xfId="76" xr:uid="{00000000-0005-0000-0000-000054000000}"/>
    <cellStyle name="Accent6 - 40%" xfId="77" xr:uid="{00000000-0005-0000-0000-000055000000}"/>
    <cellStyle name="Accent6 - 60%" xfId="78" xr:uid="{00000000-0005-0000-0000-000056000000}"/>
    <cellStyle name="Accent6 2" xfId="79" xr:uid="{00000000-0005-0000-0000-000057000000}"/>
    <cellStyle name="Accent6 3" xfId="662" xr:uid="{00000000-0005-0000-0000-000058000000}"/>
    <cellStyle name="Accent6 4" xfId="661" xr:uid="{00000000-0005-0000-0000-000059000000}"/>
    <cellStyle name="Accent6 5" xfId="660" xr:uid="{00000000-0005-0000-0000-00005A000000}"/>
    <cellStyle name="Agara" xfId="80" xr:uid="{00000000-0005-0000-0000-00005B000000}"/>
    <cellStyle name="Assumptions Right Number" xfId="81" xr:uid="{00000000-0005-0000-0000-00005C000000}"/>
    <cellStyle name="Assumptions Right Number 2" xfId="82" xr:uid="{00000000-0005-0000-0000-00005D000000}"/>
    <cellStyle name="Assumptions Right Number 2 2" xfId="591" xr:uid="{00000000-0005-0000-0000-00005E000000}"/>
    <cellStyle name="Assumptions Right Number 3" xfId="590" xr:uid="{00000000-0005-0000-0000-00005F000000}"/>
    <cellStyle name="B79812_.wvu.PrintTitlest" xfId="83" xr:uid="{00000000-0005-0000-0000-000060000000}"/>
    <cellStyle name="Bad 2" xfId="84" xr:uid="{00000000-0005-0000-0000-000061000000}"/>
    <cellStyle name="Black" xfId="85" xr:uid="{00000000-0005-0000-0000-000062000000}"/>
    <cellStyle name="Blockout" xfId="86" xr:uid="{00000000-0005-0000-0000-000063000000}"/>
    <cellStyle name="Blockout 2" xfId="87" xr:uid="{00000000-0005-0000-0000-000064000000}"/>
    <cellStyle name="Blockout 3" xfId="88" xr:uid="{00000000-0005-0000-0000-000065000000}"/>
    <cellStyle name="Blue" xfId="89" xr:uid="{00000000-0005-0000-0000-000066000000}"/>
    <cellStyle name="Calcs_Divider" xfId="90" xr:uid="{00000000-0005-0000-0000-000067000000}"/>
    <cellStyle name="Calculation 2" xfId="91" xr:uid="{00000000-0005-0000-0000-000068000000}"/>
    <cellStyle name="Calculation 2 2" xfId="92" xr:uid="{00000000-0005-0000-0000-000069000000}"/>
    <cellStyle name="Calculation 2 2 2" xfId="593" xr:uid="{00000000-0005-0000-0000-00006A000000}"/>
    <cellStyle name="Calculation 2 3" xfId="93" xr:uid="{00000000-0005-0000-0000-00006B000000}"/>
    <cellStyle name="Calculation 2 3 2" xfId="594" xr:uid="{00000000-0005-0000-0000-00006C000000}"/>
    <cellStyle name="Calculation 2 4" xfId="94" xr:uid="{00000000-0005-0000-0000-00006D000000}"/>
    <cellStyle name="Calculation 2 4 2" xfId="595" xr:uid="{00000000-0005-0000-0000-00006E000000}"/>
    <cellStyle name="Calculation 2 5" xfId="592" xr:uid="{00000000-0005-0000-0000-00006F000000}"/>
    <cellStyle name="Check" xfId="95" xr:uid="{00000000-0005-0000-0000-000070000000}"/>
    <cellStyle name="Check 2" xfId="596" xr:uid="{00000000-0005-0000-0000-000071000000}"/>
    <cellStyle name="Check Cell 2" xfId="96" xr:uid="{00000000-0005-0000-0000-000072000000}"/>
    <cellStyle name="Check Cell 2 2 2 2" xfId="97" xr:uid="{00000000-0005-0000-0000-000073000000}"/>
    <cellStyle name="Column_Heading_1" xfId="98" xr:uid="{00000000-0005-0000-0000-000074000000}"/>
    <cellStyle name="Comma" xfId="696" builtinId="3"/>
    <cellStyle name="Comma [0]7Z_87C" xfId="99" xr:uid="{00000000-0005-0000-0000-000076000000}"/>
    <cellStyle name="Comma 0" xfId="100" xr:uid="{00000000-0005-0000-0000-000077000000}"/>
    <cellStyle name="Comma 1" xfId="101" xr:uid="{00000000-0005-0000-0000-000078000000}"/>
    <cellStyle name="Comma 1 2" xfId="102" xr:uid="{00000000-0005-0000-0000-000079000000}"/>
    <cellStyle name="Comma 10" xfId="103" xr:uid="{00000000-0005-0000-0000-00007A000000}"/>
    <cellStyle name="Comma 11" xfId="6" xr:uid="{00000000-0005-0000-0000-00007B000000}"/>
    <cellStyle name="Comma 12" xfId="2" xr:uid="{00000000-0005-0000-0000-00007C000000}"/>
    <cellStyle name="Comma 13" xfId="104" xr:uid="{00000000-0005-0000-0000-00007D000000}"/>
    <cellStyle name="Comma 2" xfId="105" xr:uid="{00000000-0005-0000-0000-00007E000000}"/>
    <cellStyle name="Comma 2 2" xfId="106" xr:uid="{00000000-0005-0000-0000-00007F000000}"/>
    <cellStyle name="Comma 2 2 2" xfId="107" xr:uid="{00000000-0005-0000-0000-000080000000}"/>
    <cellStyle name="Comma 2 2 3" xfId="108" xr:uid="{00000000-0005-0000-0000-000081000000}"/>
    <cellStyle name="Comma 2 3" xfId="109" xr:uid="{00000000-0005-0000-0000-000082000000}"/>
    <cellStyle name="Comma 2 3 2" xfId="110" xr:uid="{00000000-0005-0000-0000-000083000000}"/>
    <cellStyle name="Comma 2 4" xfId="111" xr:uid="{00000000-0005-0000-0000-000084000000}"/>
    <cellStyle name="Comma 2 5" xfId="112" xr:uid="{00000000-0005-0000-0000-000085000000}"/>
    <cellStyle name="Comma 2 6" xfId="113" xr:uid="{00000000-0005-0000-0000-000086000000}"/>
    <cellStyle name="Comma 3" xfId="114" xr:uid="{00000000-0005-0000-0000-000087000000}"/>
    <cellStyle name="Comma 3 2" xfId="115" xr:uid="{00000000-0005-0000-0000-000088000000}"/>
    <cellStyle name="Comma 3 2 2" xfId="116" xr:uid="{00000000-0005-0000-0000-000089000000}"/>
    <cellStyle name="Comma 3 3" xfId="117" xr:uid="{00000000-0005-0000-0000-00008A000000}"/>
    <cellStyle name="Comma 3 3 2" xfId="118" xr:uid="{00000000-0005-0000-0000-00008B000000}"/>
    <cellStyle name="Comma 3 4" xfId="119" xr:uid="{00000000-0005-0000-0000-00008C000000}"/>
    <cellStyle name="Comma 3 5" xfId="120" xr:uid="{00000000-0005-0000-0000-00008D000000}"/>
    <cellStyle name="Comma 3 6" xfId="121" xr:uid="{00000000-0005-0000-0000-00008E000000}"/>
    <cellStyle name="Comma 4" xfId="122" xr:uid="{00000000-0005-0000-0000-00008F000000}"/>
    <cellStyle name="Comma 4 2" xfId="123" xr:uid="{00000000-0005-0000-0000-000090000000}"/>
    <cellStyle name="Comma 5" xfId="124" xr:uid="{00000000-0005-0000-0000-000091000000}"/>
    <cellStyle name="Comma 6" xfId="125" xr:uid="{00000000-0005-0000-0000-000092000000}"/>
    <cellStyle name="Comma 7" xfId="126" xr:uid="{00000000-0005-0000-0000-000093000000}"/>
    <cellStyle name="Comma 8" xfId="127" xr:uid="{00000000-0005-0000-0000-000094000000}"/>
    <cellStyle name="Comma 9" xfId="128" xr:uid="{00000000-0005-0000-0000-000095000000}"/>
    <cellStyle name="Comma 9 2" xfId="129" xr:uid="{00000000-0005-0000-0000-000096000000}"/>
    <cellStyle name="Comma 9 3" xfId="130" xr:uid="{00000000-0005-0000-0000-000097000000}"/>
    <cellStyle name="Comma0" xfId="131" xr:uid="{00000000-0005-0000-0000-000098000000}"/>
    <cellStyle name="Currency 11" xfId="132" xr:uid="{00000000-0005-0000-0000-000099000000}"/>
    <cellStyle name="Currency 11 2" xfId="133" xr:uid="{00000000-0005-0000-0000-00009A000000}"/>
    <cellStyle name="Currency 2" xfId="134" xr:uid="{00000000-0005-0000-0000-00009B000000}"/>
    <cellStyle name="Currency 2 2" xfId="135" xr:uid="{00000000-0005-0000-0000-00009C000000}"/>
    <cellStyle name="Currency 2 3" xfId="136" xr:uid="{00000000-0005-0000-0000-00009D000000}"/>
    <cellStyle name="Currency 3" xfId="137" xr:uid="{00000000-0005-0000-0000-00009E000000}"/>
    <cellStyle name="Currency 3 2" xfId="138" xr:uid="{00000000-0005-0000-0000-00009F000000}"/>
    <cellStyle name="Currency 4" xfId="139" xr:uid="{00000000-0005-0000-0000-0000A0000000}"/>
    <cellStyle name="Currency 4 2" xfId="140" xr:uid="{00000000-0005-0000-0000-0000A1000000}"/>
    <cellStyle name="Currency 5" xfId="141" xr:uid="{00000000-0005-0000-0000-0000A2000000}"/>
    <cellStyle name="Currency 5 2" xfId="142" xr:uid="{00000000-0005-0000-0000-0000A3000000}"/>
    <cellStyle name="Currency 6" xfId="143" xr:uid="{00000000-0005-0000-0000-0000A4000000}"/>
    <cellStyle name="Currency 6 2" xfId="144" xr:uid="{00000000-0005-0000-0000-0000A5000000}"/>
    <cellStyle name="Currency 6 3" xfId="145" xr:uid="{00000000-0005-0000-0000-0000A6000000}"/>
    <cellStyle name="Currency 7" xfId="146" xr:uid="{00000000-0005-0000-0000-0000A7000000}"/>
    <cellStyle name="Currency 8" xfId="147" xr:uid="{00000000-0005-0000-0000-0000A8000000}"/>
    <cellStyle name="D4_B8B1_005004B79812_.wvu.PrintTitlest" xfId="148" xr:uid="{00000000-0005-0000-0000-0000A9000000}"/>
    <cellStyle name="Date" xfId="149" xr:uid="{00000000-0005-0000-0000-0000AA000000}"/>
    <cellStyle name="Date 2" xfId="150" xr:uid="{00000000-0005-0000-0000-0000AB000000}"/>
    <cellStyle name="dms_Blue_HDR" xfId="151" xr:uid="{00000000-0005-0000-0000-0000AC000000}"/>
    <cellStyle name="Emphasis 1" xfId="152" xr:uid="{00000000-0005-0000-0000-0000AD000000}"/>
    <cellStyle name="Emphasis 2" xfId="153" xr:uid="{00000000-0005-0000-0000-0000AE000000}"/>
    <cellStyle name="Emphasis 3" xfId="154" xr:uid="{00000000-0005-0000-0000-0000AF000000}"/>
    <cellStyle name="Empty_Cell" xfId="155" xr:uid="{00000000-0005-0000-0000-0000B0000000}"/>
    <cellStyle name="Euro" xfId="156" xr:uid="{00000000-0005-0000-0000-0000B1000000}"/>
    <cellStyle name="Explanatory Text 2" xfId="157" xr:uid="{00000000-0005-0000-0000-0000B2000000}"/>
    <cellStyle name="Fixed" xfId="158" xr:uid="{00000000-0005-0000-0000-0000B3000000}"/>
    <cellStyle name="Fixed 2" xfId="159" xr:uid="{00000000-0005-0000-0000-0000B4000000}"/>
    <cellStyle name="Gilsans" xfId="160" xr:uid="{00000000-0005-0000-0000-0000B5000000}"/>
    <cellStyle name="Gilsansl" xfId="161" xr:uid="{00000000-0005-0000-0000-0000B6000000}"/>
    <cellStyle name="Good 2" xfId="162" xr:uid="{00000000-0005-0000-0000-0000B7000000}"/>
    <cellStyle name="Header1" xfId="163" xr:uid="{00000000-0005-0000-0000-0000B8000000}"/>
    <cellStyle name="Header2" xfId="164" xr:uid="{00000000-0005-0000-0000-0000B9000000}"/>
    <cellStyle name="Header3" xfId="165" xr:uid="{00000000-0005-0000-0000-0000BA000000}"/>
    <cellStyle name="Header4" xfId="166" xr:uid="{00000000-0005-0000-0000-0000BB000000}"/>
    <cellStyle name="Header5" xfId="167" xr:uid="{00000000-0005-0000-0000-0000BC000000}"/>
    <cellStyle name="Heading 1 2" xfId="168" xr:uid="{00000000-0005-0000-0000-0000BD000000}"/>
    <cellStyle name="Heading 1 2 2" xfId="169" xr:uid="{00000000-0005-0000-0000-0000BE000000}"/>
    <cellStyle name="Heading 1 3" xfId="170" xr:uid="{00000000-0005-0000-0000-0000BF000000}"/>
    <cellStyle name="Heading 2 2" xfId="171" xr:uid="{00000000-0005-0000-0000-0000C0000000}"/>
    <cellStyle name="Heading 2 2 2" xfId="172" xr:uid="{00000000-0005-0000-0000-0000C1000000}"/>
    <cellStyle name="Heading 2 3" xfId="173" xr:uid="{00000000-0005-0000-0000-0000C2000000}"/>
    <cellStyle name="Heading 3 2" xfId="174" xr:uid="{00000000-0005-0000-0000-0000C3000000}"/>
    <cellStyle name="Heading 3 2 2" xfId="175" xr:uid="{00000000-0005-0000-0000-0000C4000000}"/>
    <cellStyle name="Heading 3 2 2 2" xfId="176" xr:uid="{00000000-0005-0000-0000-0000C5000000}"/>
    <cellStyle name="Heading 3 2 2 2 2" xfId="177" xr:uid="{00000000-0005-0000-0000-0000C6000000}"/>
    <cellStyle name="Heading 3 2 2 2 2 2" xfId="178" xr:uid="{00000000-0005-0000-0000-0000C7000000}"/>
    <cellStyle name="Heading 3 2 2 2 2 2 2" xfId="601" xr:uid="{00000000-0005-0000-0000-0000C8000000}"/>
    <cellStyle name="Heading 3 2 2 2 2 3" xfId="179" xr:uid="{00000000-0005-0000-0000-0000C9000000}"/>
    <cellStyle name="Heading 3 2 2 2 2 3 2" xfId="602" xr:uid="{00000000-0005-0000-0000-0000CA000000}"/>
    <cellStyle name="Heading 3 2 2 2 2 4" xfId="180" xr:uid="{00000000-0005-0000-0000-0000CB000000}"/>
    <cellStyle name="Heading 3 2 2 2 2 4 2" xfId="603" xr:uid="{00000000-0005-0000-0000-0000CC000000}"/>
    <cellStyle name="Heading 3 2 2 2 2 5" xfId="600" xr:uid="{00000000-0005-0000-0000-0000CD000000}"/>
    <cellStyle name="Heading 3 2 2 2 3" xfId="181" xr:uid="{00000000-0005-0000-0000-0000CE000000}"/>
    <cellStyle name="Heading 3 2 2 2 3 2" xfId="604" xr:uid="{00000000-0005-0000-0000-0000CF000000}"/>
    <cellStyle name="Heading 3 2 2 2 4" xfId="182" xr:uid="{00000000-0005-0000-0000-0000D0000000}"/>
    <cellStyle name="Heading 3 2 2 2 4 2" xfId="605" xr:uid="{00000000-0005-0000-0000-0000D1000000}"/>
    <cellStyle name="Heading 3 2 2 2 5" xfId="183" xr:uid="{00000000-0005-0000-0000-0000D2000000}"/>
    <cellStyle name="Heading 3 2 2 2 5 2" xfId="606" xr:uid="{00000000-0005-0000-0000-0000D3000000}"/>
    <cellStyle name="Heading 3 2 2 2 6" xfId="599" xr:uid="{00000000-0005-0000-0000-0000D4000000}"/>
    <cellStyle name="Heading 3 2 2 3" xfId="184" xr:uid="{00000000-0005-0000-0000-0000D5000000}"/>
    <cellStyle name="Heading 3 2 2 3 2" xfId="185" xr:uid="{00000000-0005-0000-0000-0000D6000000}"/>
    <cellStyle name="Heading 3 2 2 3 2 2" xfId="186" xr:uid="{00000000-0005-0000-0000-0000D7000000}"/>
    <cellStyle name="Heading 3 2 2 3 2 2 2" xfId="609" xr:uid="{00000000-0005-0000-0000-0000D8000000}"/>
    <cellStyle name="Heading 3 2 2 3 2 3" xfId="187" xr:uid="{00000000-0005-0000-0000-0000D9000000}"/>
    <cellStyle name="Heading 3 2 2 3 2 3 2" xfId="610" xr:uid="{00000000-0005-0000-0000-0000DA000000}"/>
    <cellStyle name="Heading 3 2 2 3 2 4" xfId="188" xr:uid="{00000000-0005-0000-0000-0000DB000000}"/>
    <cellStyle name="Heading 3 2 2 3 2 4 2" xfId="611" xr:uid="{00000000-0005-0000-0000-0000DC000000}"/>
    <cellStyle name="Heading 3 2 2 3 2 5" xfId="608" xr:uid="{00000000-0005-0000-0000-0000DD000000}"/>
    <cellStyle name="Heading 3 2 2 3 3" xfId="189" xr:uid="{00000000-0005-0000-0000-0000DE000000}"/>
    <cellStyle name="Heading 3 2 2 3 3 2" xfId="612" xr:uid="{00000000-0005-0000-0000-0000DF000000}"/>
    <cellStyle name="Heading 3 2 2 3 4" xfId="190" xr:uid="{00000000-0005-0000-0000-0000E0000000}"/>
    <cellStyle name="Heading 3 2 2 3 4 2" xfId="613" xr:uid="{00000000-0005-0000-0000-0000E1000000}"/>
    <cellStyle name="Heading 3 2 2 3 5" xfId="191" xr:uid="{00000000-0005-0000-0000-0000E2000000}"/>
    <cellStyle name="Heading 3 2 2 3 5 2" xfId="614" xr:uid="{00000000-0005-0000-0000-0000E3000000}"/>
    <cellStyle name="Heading 3 2 2 3 6" xfId="607" xr:uid="{00000000-0005-0000-0000-0000E4000000}"/>
    <cellStyle name="Heading 3 2 2 4" xfId="192" xr:uid="{00000000-0005-0000-0000-0000E5000000}"/>
    <cellStyle name="Heading 3 2 2 4 2" xfId="193" xr:uid="{00000000-0005-0000-0000-0000E6000000}"/>
    <cellStyle name="Heading 3 2 2 4 2 2" xfId="616" xr:uid="{00000000-0005-0000-0000-0000E7000000}"/>
    <cellStyle name="Heading 3 2 2 4 3" xfId="194" xr:uid="{00000000-0005-0000-0000-0000E8000000}"/>
    <cellStyle name="Heading 3 2 2 4 3 2" xfId="617" xr:uid="{00000000-0005-0000-0000-0000E9000000}"/>
    <cellStyle name="Heading 3 2 2 4 4" xfId="195" xr:uid="{00000000-0005-0000-0000-0000EA000000}"/>
    <cellStyle name="Heading 3 2 2 4 4 2" xfId="618" xr:uid="{00000000-0005-0000-0000-0000EB000000}"/>
    <cellStyle name="Heading 3 2 2 4 5" xfId="615" xr:uid="{00000000-0005-0000-0000-0000EC000000}"/>
    <cellStyle name="Heading 3 2 2 5" xfId="196" xr:uid="{00000000-0005-0000-0000-0000ED000000}"/>
    <cellStyle name="Heading 3 2 2 5 2" xfId="197" xr:uid="{00000000-0005-0000-0000-0000EE000000}"/>
    <cellStyle name="Heading 3 2 2 5 2 2" xfId="620" xr:uid="{00000000-0005-0000-0000-0000EF000000}"/>
    <cellStyle name="Heading 3 2 2 5 3" xfId="198" xr:uid="{00000000-0005-0000-0000-0000F0000000}"/>
    <cellStyle name="Heading 3 2 2 5 3 2" xfId="621" xr:uid="{00000000-0005-0000-0000-0000F1000000}"/>
    <cellStyle name="Heading 3 2 2 5 4" xfId="619" xr:uid="{00000000-0005-0000-0000-0000F2000000}"/>
    <cellStyle name="Heading 3 2 2 6" xfId="199" xr:uid="{00000000-0005-0000-0000-0000F3000000}"/>
    <cellStyle name="Heading 3 2 2 6 2" xfId="622" xr:uid="{00000000-0005-0000-0000-0000F4000000}"/>
    <cellStyle name="Heading 3 2 2 7" xfId="598" xr:uid="{00000000-0005-0000-0000-0000F5000000}"/>
    <cellStyle name="Heading 3 2 3" xfId="200" xr:uid="{00000000-0005-0000-0000-0000F6000000}"/>
    <cellStyle name="Heading 3 2 4" xfId="201" xr:uid="{00000000-0005-0000-0000-0000F7000000}"/>
    <cellStyle name="Heading 3 2 4 2" xfId="202" xr:uid="{00000000-0005-0000-0000-0000F8000000}"/>
    <cellStyle name="Heading 3 2 4 2 2" xfId="203" xr:uid="{00000000-0005-0000-0000-0000F9000000}"/>
    <cellStyle name="Heading 3 2 4 2 2 2" xfId="625" xr:uid="{00000000-0005-0000-0000-0000FA000000}"/>
    <cellStyle name="Heading 3 2 4 2 3" xfId="204" xr:uid="{00000000-0005-0000-0000-0000FB000000}"/>
    <cellStyle name="Heading 3 2 4 2 3 2" xfId="626" xr:uid="{00000000-0005-0000-0000-0000FC000000}"/>
    <cellStyle name="Heading 3 2 4 2 4" xfId="205" xr:uid="{00000000-0005-0000-0000-0000FD000000}"/>
    <cellStyle name="Heading 3 2 4 2 4 2" xfId="627" xr:uid="{00000000-0005-0000-0000-0000FE000000}"/>
    <cellStyle name="Heading 3 2 4 2 5" xfId="624" xr:uid="{00000000-0005-0000-0000-0000FF000000}"/>
    <cellStyle name="Heading 3 2 4 3" xfId="206" xr:uid="{00000000-0005-0000-0000-000000010000}"/>
    <cellStyle name="Heading 3 2 4 3 2" xfId="628" xr:uid="{00000000-0005-0000-0000-000001010000}"/>
    <cellStyle name="Heading 3 2 4 4" xfId="207" xr:uid="{00000000-0005-0000-0000-000002010000}"/>
    <cellStyle name="Heading 3 2 4 4 2" xfId="629" xr:uid="{00000000-0005-0000-0000-000003010000}"/>
    <cellStyle name="Heading 3 2 4 5" xfId="208" xr:uid="{00000000-0005-0000-0000-000004010000}"/>
    <cellStyle name="Heading 3 2 4 5 2" xfId="630" xr:uid="{00000000-0005-0000-0000-000005010000}"/>
    <cellStyle name="Heading 3 2 4 6" xfId="623" xr:uid="{00000000-0005-0000-0000-000006010000}"/>
    <cellStyle name="Heading 3 2 5" xfId="209" xr:uid="{00000000-0005-0000-0000-000007010000}"/>
    <cellStyle name="Heading 3 2 5 2" xfId="210" xr:uid="{00000000-0005-0000-0000-000008010000}"/>
    <cellStyle name="Heading 3 2 5 2 2" xfId="211" xr:uid="{00000000-0005-0000-0000-000009010000}"/>
    <cellStyle name="Heading 3 2 5 2 2 2" xfId="633" xr:uid="{00000000-0005-0000-0000-00000A010000}"/>
    <cellStyle name="Heading 3 2 5 2 3" xfId="212" xr:uid="{00000000-0005-0000-0000-00000B010000}"/>
    <cellStyle name="Heading 3 2 5 2 3 2" xfId="634" xr:uid="{00000000-0005-0000-0000-00000C010000}"/>
    <cellStyle name="Heading 3 2 5 2 4" xfId="213" xr:uid="{00000000-0005-0000-0000-00000D010000}"/>
    <cellStyle name="Heading 3 2 5 2 4 2" xfId="635" xr:uid="{00000000-0005-0000-0000-00000E010000}"/>
    <cellStyle name="Heading 3 2 5 2 5" xfId="632" xr:uid="{00000000-0005-0000-0000-00000F010000}"/>
    <cellStyle name="Heading 3 2 5 3" xfId="214" xr:uid="{00000000-0005-0000-0000-000010010000}"/>
    <cellStyle name="Heading 3 2 5 3 2" xfId="636" xr:uid="{00000000-0005-0000-0000-000011010000}"/>
    <cellStyle name="Heading 3 2 5 4" xfId="215" xr:uid="{00000000-0005-0000-0000-000012010000}"/>
    <cellStyle name="Heading 3 2 5 4 2" xfId="637" xr:uid="{00000000-0005-0000-0000-000013010000}"/>
    <cellStyle name="Heading 3 2 5 5" xfId="216" xr:uid="{00000000-0005-0000-0000-000014010000}"/>
    <cellStyle name="Heading 3 2 5 5 2" xfId="638" xr:uid="{00000000-0005-0000-0000-000015010000}"/>
    <cellStyle name="Heading 3 2 5 6" xfId="631" xr:uid="{00000000-0005-0000-0000-000016010000}"/>
    <cellStyle name="Heading 3 2 6" xfId="217" xr:uid="{00000000-0005-0000-0000-000017010000}"/>
    <cellStyle name="Heading 3 2 6 2" xfId="218" xr:uid="{00000000-0005-0000-0000-000018010000}"/>
    <cellStyle name="Heading 3 2 6 2 2" xfId="640" xr:uid="{00000000-0005-0000-0000-000019010000}"/>
    <cellStyle name="Heading 3 2 6 3" xfId="219" xr:uid="{00000000-0005-0000-0000-00001A010000}"/>
    <cellStyle name="Heading 3 2 6 3 2" xfId="641" xr:uid="{00000000-0005-0000-0000-00001B010000}"/>
    <cellStyle name="Heading 3 2 6 4" xfId="220" xr:uid="{00000000-0005-0000-0000-00001C010000}"/>
    <cellStyle name="Heading 3 2 6 4 2" xfId="642" xr:uid="{00000000-0005-0000-0000-00001D010000}"/>
    <cellStyle name="Heading 3 2 6 5" xfId="639" xr:uid="{00000000-0005-0000-0000-00001E010000}"/>
    <cellStyle name="Heading 3 2 7" xfId="221" xr:uid="{00000000-0005-0000-0000-00001F010000}"/>
    <cellStyle name="Heading 3 2 7 2" xfId="222" xr:uid="{00000000-0005-0000-0000-000020010000}"/>
    <cellStyle name="Heading 3 2 7 2 2" xfId="644" xr:uid="{00000000-0005-0000-0000-000021010000}"/>
    <cellStyle name="Heading 3 2 7 3" xfId="223" xr:uid="{00000000-0005-0000-0000-000022010000}"/>
    <cellStyle name="Heading 3 2 7 3 2" xfId="645" xr:uid="{00000000-0005-0000-0000-000023010000}"/>
    <cellStyle name="Heading 3 2 7 4" xfId="643" xr:uid="{00000000-0005-0000-0000-000024010000}"/>
    <cellStyle name="Heading 3 2 8" xfId="597" xr:uid="{00000000-0005-0000-0000-000025010000}"/>
    <cellStyle name="Heading 3 3" xfId="224" xr:uid="{00000000-0005-0000-0000-000026010000}"/>
    <cellStyle name="Heading 4 2" xfId="225" xr:uid="{00000000-0005-0000-0000-000027010000}"/>
    <cellStyle name="Heading 4 2 2" xfId="226" xr:uid="{00000000-0005-0000-0000-000028010000}"/>
    <cellStyle name="Heading 4 3" xfId="227" xr:uid="{00000000-0005-0000-0000-000029010000}"/>
    <cellStyle name="Heading(4)" xfId="228" xr:uid="{00000000-0005-0000-0000-00002A010000}"/>
    <cellStyle name="Hyperlink 2" xfId="229" xr:uid="{00000000-0005-0000-0000-00002B010000}"/>
    <cellStyle name="Hyperlink 2 2" xfId="230" xr:uid="{00000000-0005-0000-0000-00002C010000}"/>
    <cellStyle name="Hyperlink 2 3" xfId="231" xr:uid="{00000000-0005-0000-0000-00002D010000}"/>
    <cellStyle name="Hyperlink 3" xfId="232" xr:uid="{00000000-0005-0000-0000-00002E010000}"/>
    <cellStyle name="Hyperlink 4" xfId="233" xr:uid="{00000000-0005-0000-0000-00002F010000}"/>
    <cellStyle name="Hyperlink Arrow" xfId="234" xr:uid="{00000000-0005-0000-0000-000030010000}"/>
    <cellStyle name="Hyperlink Text" xfId="235" xr:uid="{00000000-0005-0000-0000-000031010000}"/>
    <cellStyle name="import" xfId="236" xr:uid="{00000000-0005-0000-0000-000032010000}"/>
    <cellStyle name="import%" xfId="237" xr:uid="{00000000-0005-0000-0000-000033010000}"/>
    <cellStyle name="import_ICRC Electricity model 1-1  (1 Feb 2003) " xfId="238" xr:uid="{00000000-0005-0000-0000-000034010000}"/>
    <cellStyle name="Input 2" xfId="239" xr:uid="{00000000-0005-0000-0000-000035010000}"/>
    <cellStyle name="Input 2 2" xfId="240" xr:uid="{00000000-0005-0000-0000-000036010000}"/>
    <cellStyle name="Input 2 2 2" xfId="647" xr:uid="{00000000-0005-0000-0000-000037010000}"/>
    <cellStyle name="Input 2 3" xfId="241" xr:uid="{00000000-0005-0000-0000-000038010000}"/>
    <cellStyle name="Input 2 3 2" xfId="648" xr:uid="{00000000-0005-0000-0000-000039010000}"/>
    <cellStyle name="Input 2 4" xfId="242" xr:uid="{00000000-0005-0000-0000-00003A010000}"/>
    <cellStyle name="Input 2 4 2" xfId="649" xr:uid="{00000000-0005-0000-0000-00003B010000}"/>
    <cellStyle name="Input 2 5" xfId="646" xr:uid="{00000000-0005-0000-0000-00003C010000}"/>
    <cellStyle name="Input|Date" xfId="243" xr:uid="{00000000-0005-0000-0000-00003D010000}"/>
    <cellStyle name="Input1" xfId="244" xr:uid="{00000000-0005-0000-0000-00003E010000}"/>
    <cellStyle name="Input1 2" xfId="245" xr:uid="{00000000-0005-0000-0000-00003F010000}"/>
    <cellStyle name="Input1 2 2" xfId="246" xr:uid="{00000000-0005-0000-0000-000040010000}"/>
    <cellStyle name="Input1 3" xfId="247" xr:uid="{00000000-0005-0000-0000-000041010000}"/>
    <cellStyle name="Input1 3 2" xfId="248" xr:uid="{00000000-0005-0000-0000-000042010000}"/>
    <cellStyle name="Input1 4" xfId="249" xr:uid="{00000000-0005-0000-0000-000043010000}"/>
    <cellStyle name="Input1 5" xfId="250" xr:uid="{00000000-0005-0000-0000-000044010000}"/>
    <cellStyle name="Input1%" xfId="251" xr:uid="{00000000-0005-0000-0000-000045010000}"/>
    <cellStyle name="Input1_ICRC Electricity model 1-1  (1 Feb 2003) " xfId="252" xr:uid="{00000000-0005-0000-0000-000046010000}"/>
    <cellStyle name="Input1default" xfId="253" xr:uid="{00000000-0005-0000-0000-000047010000}"/>
    <cellStyle name="Input1default%" xfId="254" xr:uid="{00000000-0005-0000-0000-000048010000}"/>
    <cellStyle name="Input2" xfId="255" xr:uid="{00000000-0005-0000-0000-000049010000}"/>
    <cellStyle name="Input2 2" xfId="256" xr:uid="{00000000-0005-0000-0000-00004A010000}"/>
    <cellStyle name="Input2 3" xfId="257" xr:uid="{00000000-0005-0000-0000-00004B010000}"/>
    <cellStyle name="Input3" xfId="258" xr:uid="{00000000-0005-0000-0000-00004C010000}"/>
    <cellStyle name="Input3 2" xfId="259" xr:uid="{00000000-0005-0000-0000-00004D010000}"/>
    <cellStyle name="Input3 3" xfId="260" xr:uid="{00000000-0005-0000-0000-00004E010000}"/>
    <cellStyle name="InputCell" xfId="261" xr:uid="{00000000-0005-0000-0000-00004F010000}"/>
    <cellStyle name="InputCell 2" xfId="262" xr:uid="{00000000-0005-0000-0000-000050010000}"/>
    <cellStyle name="InputCell 3" xfId="263" xr:uid="{00000000-0005-0000-0000-000051010000}"/>
    <cellStyle name="InputCellText" xfId="264" xr:uid="{00000000-0005-0000-0000-000052010000}"/>
    <cellStyle name="InputCellText 2" xfId="265" xr:uid="{00000000-0005-0000-0000-000053010000}"/>
    <cellStyle name="InputCellText 3" xfId="266" xr:uid="{00000000-0005-0000-0000-000054010000}"/>
    <cellStyle name="Inputs_Divider" xfId="267" xr:uid="{00000000-0005-0000-0000-000055010000}"/>
    <cellStyle name="InSheet" xfId="268" xr:uid="{00000000-0005-0000-0000-000056010000}"/>
    <cellStyle name="key result" xfId="269" xr:uid="{00000000-0005-0000-0000-000057010000}"/>
    <cellStyle name="Lines" xfId="270" xr:uid="{00000000-0005-0000-0000-000058010000}"/>
    <cellStyle name="Linked Cell 2" xfId="271" xr:uid="{00000000-0005-0000-0000-000059010000}"/>
    <cellStyle name="Local import" xfId="272" xr:uid="{00000000-0005-0000-0000-00005A010000}"/>
    <cellStyle name="Local import %" xfId="273" xr:uid="{00000000-0005-0000-0000-00005B010000}"/>
    <cellStyle name="Mine" xfId="274" xr:uid="{00000000-0005-0000-0000-00005C010000}"/>
    <cellStyle name="Model Name" xfId="275" xr:uid="{00000000-0005-0000-0000-00005D010000}"/>
    <cellStyle name="Neutral 2" xfId="276" xr:uid="{00000000-0005-0000-0000-00005E010000}"/>
    <cellStyle name="NonInputCell" xfId="277" xr:uid="{00000000-0005-0000-0000-00005F010000}"/>
    <cellStyle name="NonInputCell 2" xfId="278" xr:uid="{00000000-0005-0000-0000-000060010000}"/>
    <cellStyle name="NonInputCell 3" xfId="279" xr:uid="{00000000-0005-0000-0000-000061010000}"/>
    <cellStyle name="Normal" xfId="0" builtinId="0"/>
    <cellStyle name="Normal - Style1" xfId="280" xr:uid="{00000000-0005-0000-0000-000063010000}"/>
    <cellStyle name="Normal 10" xfId="281" xr:uid="{00000000-0005-0000-0000-000064010000}"/>
    <cellStyle name="Normal 10 2" xfId="282" xr:uid="{00000000-0005-0000-0000-000065010000}"/>
    <cellStyle name="Normal 10 2 2 2" xfId="659" xr:uid="{00000000-0005-0000-0000-000066010000}"/>
    <cellStyle name="Normal 10 3" xfId="283" xr:uid="{00000000-0005-0000-0000-000067010000}"/>
    <cellStyle name="Normal 11" xfId="284" xr:uid="{00000000-0005-0000-0000-000068010000}"/>
    <cellStyle name="Normal 11 2" xfId="285" xr:uid="{00000000-0005-0000-0000-000069010000}"/>
    <cellStyle name="Normal 11 3" xfId="286" xr:uid="{00000000-0005-0000-0000-00006A010000}"/>
    <cellStyle name="Normal 11 4" xfId="287" xr:uid="{00000000-0005-0000-0000-00006B010000}"/>
    <cellStyle name="Normal 114" xfId="288" xr:uid="{00000000-0005-0000-0000-00006C010000}"/>
    <cellStyle name="Normal 114 2" xfId="289" xr:uid="{00000000-0005-0000-0000-00006D010000}"/>
    <cellStyle name="Normal 12" xfId="290" xr:uid="{00000000-0005-0000-0000-00006E010000}"/>
    <cellStyle name="Normal 12 2" xfId="291" xr:uid="{00000000-0005-0000-0000-00006F010000}"/>
    <cellStyle name="Normal 13" xfId="292" xr:uid="{00000000-0005-0000-0000-000070010000}"/>
    <cellStyle name="Normal 13 2" xfId="293" xr:uid="{00000000-0005-0000-0000-000071010000}"/>
    <cellStyle name="Normal 13_29(d) - Gas extensions -tariffs" xfId="294" xr:uid="{00000000-0005-0000-0000-000072010000}"/>
    <cellStyle name="Normal 14" xfId="295" xr:uid="{00000000-0005-0000-0000-000073010000}"/>
    <cellStyle name="Normal 14 2" xfId="296" xr:uid="{00000000-0005-0000-0000-000074010000}"/>
    <cellStyle name="Normal 14 3" xfId="297" xr:uid="{00000000-0005-0000-0000-000075010000}"/>
    <cellStyle name="Normal 14 3 2" xfId="298" xr:uid="{00000000-0005-0000-0000-000076010000}"/>
    <cellStyle name="Normal 14 3 3" xfId="299" xr:uid="{00000000-0005-0000-0000-000077010000}"/>
    <cellStyle name="Normal 14 4" xfId="300" xr:uid="{00000000-0005-0000-0000-000078010000}"/>
    <cellStyle name="Normal 14 5" xfId="301" xr:uid="{00000000-0005-0000-0000-000079010000}"/>
    <cellStyle name="Normal 15" xfId="302" xr:uid="{00000000-0005-0000-0000-00007A010000}"/>
    <cellStyle name="Normal 15 2" xfId="303" xr:uid="{00000000-0005-0000-0000-00007B010000}"/>
    <cellStyle name="Normal 16" xfId="304" xr:uid="{00000000-0005-0000-0000-00007C010000}"/>
    <cellStyle name="Normal 16 2" xfId="305" xr:uid="{00000000-0005-0000-0000-00007D010000}"/>
    <cellStyle name="Normal 17" xfId="306" xr:uid="{00000000-0005-0000-0000-00007E010000}"/>
    <cellStyle name="Normal 17 2" xfId="307" xr:uid="{00000000-0005-0000-0000-00007F010000}"/>
    <cellStyle name="Normal 17 2 2" xfId="308" xr:uid="{00000000-0005-0000-0000-000080010000}"/>
    <cellStyle name="Normal 17 2 2 2" xfId="309" xr:uid="{00000000-0005-0000-0000-000081010000}"/>
    <cellStyle name="Normal 17 2 2 3" xfId="310" xr:uid="{00000000-0005-0000-0000-000082010000}"/>
    <cellStyle name="Normal 17 2 3" xfId="311" xr:uid="{00000000-0005-0000-0000-000083010000}"/>
    <cellStyle name="Normal 17 2 4" xfId="312" xr:uid="{00000000-0005-0000-0000-000084010000}"/>
    <cellStyle name="Normal 17 3" xfId="313" xr:uid="{00000000-0005-0000-0000-000085010000}"/>
    <cellStyle name="Normal 17 3 2" xfId="314" xr:uid="{00000000-0005-0000-0000-000086010000}"/>
    <cellStyle name="Normal 17 3 2 2" xfId="315" xr:uid="{00000000-0005-0000-0000-000087010000}"/>
    <cellStyle name="Normal 17 3 2 3" xfId="316" xr:uid="{00000000-0005-0000-0000-000088010000}"/>
    <cellStyle name="Normal 17 3 3" xfId="317" xr:uid="{00000000-0005-0000-0000-000089010000}"/>
    <cellStyle name="Normal 17 3 4" xfId="318" xr:uid="{00000000-0005-0000-0000-00008A010000}"/>
    <cellStyle name="Normal 17 4" xfId="319" xr:uid="{00000000-0005-0000-0000-00008B010000}"/>
    <cellStyle name="Normal 17 4 2" xfId="320" xr:uid="{00000000-0005-0000-0000-00008C010000}"/>
    <cellStyle name="Normal 17 4 3" xfId="321" xr:uid="{00000000-0005-0000-0000-00008D010000}"/>
    <cellStyle name="Normal 17 5" xfId="322" xr:uid="{00000000-0005-0000-0000-00008E010000}"/>
    <cellStyle name="Normal 17 6" xfId="323" xr:uid="{00000000-0005-0000-0000-00008F010000}"/>
    <cellStyle name="Normal 18" xfId="324" xr:uid="{00000000-0005-0000-0000-000090010000}"/>
    <cellStyle name="Normal 18 2" xfId="325" xr:uid="{00000000-0005-0000-0000-000091010000}"/>
    <cellStyle name="Normal 19" xfId="326" xr:uid="{00000000-0005-0000-0000-000092010000}"/>
    <cellStyle name="Normal 2" xfId="327" xr:uid="{00000000-0005-0000-0000-000093010000}"/>
    <cellStyle name="Normal 2 2" xfId="328" xr:uid="{00000000-0005-0000-0000-000094010000}"/>
    <cellStyle name="Normal 2 2 2" xfId="329" xr:uid="{00000000-0005-0000-0000-000095010000}"/>
    <cellStyle name="Normal 2 2 3" xfId="330" xr:uid="{00000000-0005-0000-0000-000096010000}"/>
    <cellStyle name="Normal 2 2 4" xfId="331" xr:uid="{00000000-0005-0000-0000-000097010000}"/>
    <cellStyle name="Normal 2 2 5" xfId="332" xr:uid="{00000000-0005-0000-0000-000098010000}"/>
    <cellStyle name="Normal 2 3" xfId="333" xr:uid="{00000000-0005-0000-0000-000099010000}"/>
    <cellStyle name="Normal 2 3 2" xfId="334" xr:uid="{00000000-0005-0000-0000-00009A010000}"/>
    <cellStyle name="Normal 2 3_29(d) - Gas extensions -tariffs" xfId="335" xr:uid="{00000000-0005-0000-0000-00009B010000}"/>
    <cellStyle name="Normal 2 4" xfId="336" xr:uid="{00000000-0005-0000-0000-00009C010000}"/>
    <cellStyle name="Normal 2 4 2" xfId="337" xr:uid="{00000000-0005-0000-0000-00009D010000}"/>
    <cellStyle name="Normal 2 4 3" xfId="338" xr:uid="{00000000-0005-0000-0000-00009E010000}"/>
    <cellStyle name="Normal 2 5" xfId="339" xr:uid="{00000000-0005-0000-0000-00009F010000}"/>
    <cellStyle name="Normal 2_29(d) - Gas extensions -tariffs" xfId="340" xr:uid="{00000000-0005-0000-0000-0000A0010000}"/>
    <cellStyle name="Normal 20" xfId="341" xr:uid="{00000000-0005-0000-0000-0000A1010000}"/>
    <cellStyle name="Normal 20 2" xfId="342" xr:uid="{00000000-0005-0000-0000-0000A2010000}"/>
    <cellStyle name="Normal 20 2 2" xfId="343" xr:uid="{00000000-0005-0000-0000-0000A3010000}"/>
    <cellStyle name="Normal 20 3" xfId="344" xr:uid="{00000000-0005-0000-0000-0000A4010000}"/>
    <cellStyle name="Normal 20 4" xfId="345" xr:uid="{00000000-0005-0000-0000-0000A5010000}"/>
    <cellStyle name="Normal 21" xfId="346" xr:uid="{00000000-0005-0000-0000-0000A6010000}"/>
    <cellStyle name="Normal 21 2" xfId="347" xr:uid="{00000000-0005-0000-0000-0000A7010000}"/>
    <cellStyle name="Normal 21 3" xfId="348" xr:uid="{00000000-0005-0000-0000-0000A8010000}"/>
    <cellStyle name="Normal 22" xfId="349" xr:uid="{00000000-0005-0000-0000-0000A9010000}"/>
    <cellStyle name="Normal 23" xfId="350" xr:uid="{00000000-0005-0000-0000-0000AA010000}"/>
    <cellStyle name="Normal 23 2" xfId="351" xr:uid="{00000000-0005-0000-0000-0000AB010000}"/>
    <cellStyle name="Normal 23 2 2" xfId="352" xr:uid="{00000000-0005-0000-0000-0000AC010000}"/>
    <cellStyle name="Normal 23 3" xfId="353" xr:uid="{00000000-0005-0000-0000-0000AD010000}"/>
    <cellStyle name="Normal 23 4" xfId="354" xr:uid="{00000000-0005-0000-0000-0000AE010000}"/>
    <cellStyle name="Normal 24" xfId="355" xr:uid="{00000000-0005-0000-0000-0000AF010000}"/>
    <cellStyle name="Normal 24 2" xfId="356" xr:uid="{00000000-0005-0000-0000-0000B0010000}"/>
    <cellStyle name="Normal 24 2 2" xfId="357" xr:uid="{00000000-0005-0000-0000-0000B1010000}"/>
    <cellStyle name="Normal 24 3" xfId="358" xr:uid="{00000000-0005-0000-0000-0000B2010000}"/>
    <cellStyle name="Normal 24 4" xfId="359" xr:uid="{00000000-0005-0000-0000-0000B3010000}"/>
    <cellStyle name="Normal 25" xfId="360" xr:uid="{00000000-0005-0000-0000-0000B4010000}"/>
    <cellStyle name="Normal 25 2" xfId="361" xr:uid="{00000000-0005-0000-0000-0000B5010000}"/>
    <cellStyle name="Normal 25 2 2" xfId="362" xr:uid="{00000000-0005-0000-0000-0000B6010000}"/>
    <cellStyle name="Normal 25 3" xfId="363" xr:uid="{00000000-0005-0000-0000-0000B7010000}"/>
    <cellStyle name="Normal 25 4" xfId="364" xr:uid="{00000000-0005-0000-0000-0000B8010000}"/>
    <cellStyle name="Normal 26" xfId="365" xr:uid="{00000000-0005-0000-0000-0000B9010000}"/>
    <cellStyle name="Normal 26 2" xfId="366" xr:uid="{00000000-0005-0000-0000-0000BA010000}"/>
    <cellStyle name="Normal 26 2 2" xfId="367" xr:uid="{00000000-0005-0000-0000-0000BB010000}"/>
    <cellStyle name="Normal 26 3" xfId="368" xr:uid="{00000000-0005-0000-0000-0000BC010000}"/>
    <cellStyle name="Normal 26 4" xfId="369" xr:uid="{00000000-0005-0000-0000-0000BD010000}"/>
    <cellStyle name="Normal 27" xfId="370" xr:uid="{00000000-0005-0000-0000-0000BE010000}"/>
    <cellStyle name="Normal 28" xfId="371" xr:uid="{00000000-0005-0000-0000-0000BF010000}"/>
    <cellStyle name="Normal 29" xfId="372" xr:uid="{00000000-0005-0000-0000-0000C0010000}"/>
    <cellStyle name="Normal 3" xfId="373" xr:uid="{00000000-0005-0000-0000-0000C1010000}"/>
    <cellStyle name="Normal 3 2" xfId="374" xr:uid="{00000000-0005-0000-0000-0000C2010000}"/>
    <cellStyle name="Normal 3 3" xfId="375" xr:uid="{00000000-0005-0000-0000-0000C3010000}"/>
    <cellStyle name="Normal 3 3 2" xfId="376" xr:uid="{00000000-0005-0000-0000-0000C4010000}"/>
    <cellStyle name="Normal 3 3 3" xfId="377" xr:uid="{00000000-0005-0000-0000-0000C5010000}"/>
    <cellStyle name="Normal 3 4" xfId="378" xr:uid="{00000000-0005-0000-0000-0000C6010000}"/>
    <cellStyle name="Normal 3 5" xfId="379" xr:uid="{00000000-0005-0000-0000-0000C7010000}"/>
    <cellStyle name="Normal 3 5 2" xfId="380" xr:uid="{00000000-0005-0000-0000-0000C8010000}"/>
    <cellStyle name="Normal 3 5 3" xfId="381" xr:uid="{00000000-0005-0000-0000-0000C9010000}"/>
    <cellStyle name="Normal 3_29(d) - Gas extensions -tariffs" xfId="382" xr:uid="{00000000-0005-0000-0000-0000CA010000}"/>
    <cellStyle name="Normal 30" xfId="383" xr:uid="{00000000-0005-0000-0000-0000CB010000}"/>
    <cellStyle name="Normal 31" xfId="384" xr:uid="{00000000-0005-0000-0000-0000CC010000}"/>
    <cellStyle name="Normal 32" xfId="385" xr:uid="{00000000-0005-0000-0000-0000CD010000}"/>
    <cellStyle name="Normal 33" xfId="386" xr:uid="{00000000-0005-0000-0000-0000CE010000}"/>
    <cellStyle name="Normal 34" xfId="4" xr:uid="{00000000-0005-0000-0000-0000CF010000}"/>
    <cellStyle name="Normal 35" xfId="3" xr:uid="{00000000-0005-0000-0000-0000D0010000}"/>
    <cellStyle name="Normal 36" xfId="387" xr:uid="{00000000-0005-0000-0000-0000D1010000}"/>
    <cellStyle name="Normal 37" xfId="658" xr:uid="{00000000-0005-0000-0000-0000D2010000}"/>
    <cellStyle name="Normal 38" xfId="388" xr:uid="{00000000-0005-0000-0000-0000D3010000}"/>
    <cellStyle name="Normal 38 2" xfId="389" xr:uid="{00000000-0005-0000-0000-0000D4010000}"/>
    <cellStyle name="Normal 38_29(d) - Gas extensions -tariffs" xfId="390" xr:uid="{00000000-0005-0000-0000-0000D5010000}"/>
    <cellStyle name="Normal 4" xfId="391" xr:uid="{00000000-0005-0000-0000-0000D6010000}"/>
    <cellStyle name="Normal 4 2" xfId="392" xr:uid="{00000000-0005-0000-0000-0000D7010000}"/>
    <cellStyle name="Normal 4 2 2" xfId="393" xr:uid="{00000000-0005-0000-0000-0000D8010000}"/>
    <cellStyle name="Normal 4 2 2 2" xfId="394" xr:uid="{00000000-0005-0000-0000-0000D9010000}"/>
    <cellStyle name="Normal 4 2 2 2 2" xfId="395" xr:uid="{00000000-0005-0000-0000-0000DA010000}"/>
    <cellStyle name="Normal 4 2 2 2 3" xfId="396" xr:uid="{00000000-0005-0000-0000-0000DB010000}"/>
    <cellStyle name="Normal 4 2 2 3" xfId="397" xr:uid="{00000000-0005-0000-0000-0000DC010000}"/>
    <cellStyle name="Normal 4 2 2 4" xfId="398" xr:uid="{00000000-0005-0000-0000-0000DD010000}"/>
    <cellStyle name="Normal 4 2 3" xfId="399" xr:uid="{00000000-0005-0000-0000-0000DE010000}"/>
    <cellStyle name="Normal 4 2 3 2" xfId="400" xr:uid="{00000000-0005-0000-0000-0000DF010000}"/>
    <cellStyle name="Normal 4 2 3 2 2" xfId="401" xr:uid="{00000000-0005-0000-0000-0000E0010000}"/>
    <cellStyle name="Normal 4 2 3 2 3" xfId="402" xr:uid="{00000000-0005-0000-0000-0000E1010000}"/>
    <cellStyle name="Normal 4 2 3 3" xfId="403" xr:uid="{00000000-0005-0000-0000-0000E2010000}"/>
    <cellStyle name="Normal 4 2 3 4" xfId="404" xr:uid="{00000000-0005-0000-0000-0000E3010000}"/>
    <cellStyle name="Normal 4 2 4" xfId="405" xr:uid="{00000000-0005-0000-0000-0000E4010000}"/>
    <cellStyle name="Normal 4 3" xfId="406" xr:uid="{00000000-0005-0000-0000-0000E5010000}"/>
    <cellStyle name="Normal 4 3 2" xfId="407" xr:uid="{00000000-0005-0000-0000-0000E6010000}"/>
    <cellStyle name="Normal 4 3 2 2" xfId="408" xr:uid="{00000000-0005-0000-0000-0000E7010000}"/>
    <cellStyle name="Normal 4 3 2 3" xfId="409" xr:uid="{00000000-0005-0000-0000-0000E8010000}"/>
    <cellStyle name="Normal 4 3 3" xfId="410" xr:uid="{00000000-0005-0000-0000-0000E9010000}"/>
    <cellStyle name="Normal 4 3 3 2" xfId="411" xr:uid="{00000000-0005-0000-0000-0000EA010000}"/>
    <cellStyle name="Normal 4 3 4" xfId="412" xr:uid="{00000000-0005-0000-0000-0000EB010000}"/>
    <cellStyle name="Normal 4 4" xfId="413" xr:uid="{00000000-0005-0000-0000-0000EC010000}"/>
    <cellStyle name="Normal 4 5" xfId="414" xr:uid="{00000000-0005-0000-0000-0000ED010000}"/>
    <cellStyle name="Normal 4 6" xfId="415" xr:uid="{00000000-0005-0000-0000-0000EE010000}"/>
    <cellStyle name="Normal 4_29(d) - Gas extensions -tariffs" xfId="416" xr:uid="{00000000-0005-0000-0000-0000EF010000}"/>
    <cellStyle name="Normal 40" xfId="417" xr:uid="{00000000-0005-0000-0000-0000F0010000}"/>
    <cellStyle name="Normal 40 2" xfId="418" xr:uid="{00000000-0005-0000-0000-0000F1010000}"/>
    <cellStyle name="Normal 40_29(d) - Gas extensions -tariffs" xfId="419" xr:uid="{00000000-0005-0000-0000-0000F2010000}"/>
    <cellStyle name="Normal 5" xfId="420" xr:uid="{00000000-0005-0000-0000-0000F3010000}"/>
    <cellStyle name="Normal 5 2" xfId="421" xr:uid="{00000000-0005-0000-0000-0000F4010000}"/>
    <cellStyle name="Normal 5 3" xfId="422" xr:uid="{00000000-0005-0000-0000-0000F5010000}"/>
    <cellStyle name="Normal 6" xfId="423" xr:uid="{00000000-0005-0000-0000-0000F6010000}"/>
    <cellStyle name="Normal 6 2" xfId="424" xr:uid="{00000000-0005-0000-0000-0000F7010000}"/>
    <cellStyle name="Normal 6 2 2" xfId="425" xr:uid="{00000000-0005-0000-0000-0000F8010000}"/>
    <cellStyle name="Normal 7" xfId="426" xr:uid="{00000000-0005-0000-0000-0000F9010000}"/>
    <cellStyle name="Normal 7 2" xfId="427" xr:uid="{00000000-0005-0000-0000-0000FA010000}"/>
    <cellStyle name="Normal 7 2 2" xfId="428" xr:uid="{00000000-0005-0000-0000-0000FB010000}"/>
    <cellStyle name="Normal 7 2 2 2" xfId="429" xr:uid="{00000000-0005-0000-0000-0000FC010000}"/>
    <cellStyle name="Normal 7 2 2 3" xfId="430" xr:uid="{00000000-0005-0000-0000-0000FD010000}"/>
    <cellStyle name="Normal 7 2 3" xfId="431" xr:uid="{00000000-0005-0000-0000-0000FE010000}"/>
    <cellStyle name="Normal 7 2 4" xfId="432" xr:uid="{00000000-0005-0000-0000-0000FF010000}"/>
    <cellStyle name="Normal 8" xfId="433" xr:uid="{00000000-0005-0000-0000-000000020000}"/>
    <cellStyle name="Normal 8 2" xfId="434" xr:uid="{00000000-0005-0000-0000-000001020000}"/>
    <cellStyle name="Normal 8 2 2" xfId="435" xr:uid="{00000000-0005-0000-0000-000002020000}"/>
    <cellStyle name="Normal 8 2 3" xfId="436" xr:uid="{00000000-0005-0000-0000-000003020000}"/>
    <cellStyle name="Normal 8 2 3 2" xfId="437" xr:uid="{00000000-0005-0000-0000-000004020000}"/>
    <cellStyle name="Normal 8 2 3 3" xfId="438" xr:uid="{00000000-0005-0000-0000-000005020000}"/>
    <cellStyle name="Normal 8 2 4" xfId="439" xr:uid="{00000000-0005-0000-0000-000006020000}"/>
    <cellStyle name="Normal 9" xfId="440" xr:uid="{00000000-0005-0000-0000-000007020000}"/>
    <cellStyle name="Normal 9 2" xfId="441" xr:uid="{00000000-0005-0000-0000-000008020000}"/>
    <cellStyle name="Normal_2010 06 22 - IE - Scheme Template for data collection 2" xfId="691" xr:uid="{00000000-0005-0000-0000-000009020000}"/>
    <cellStyle name="Normal_2010 07 28 - AA - Template for data collection 2" xfId="657" xr:uid="{00000000-0005-0000-0000-00000A020000}"/>
    <cellStyle name="Note 2" xfId="442" xr:uid="{00000000-0005-0000-0000-00000B020000}"/>
    <cellStyle name="Note 2 2" xfId="443" xr:uid="{00000000-0005-0000-0000-00000C020000}"/>
    <cellStyle name="Note 2 2 2" xfId="679" xr:uid="{00000000-0005-0000-0000-00000D020000}"/>
    <cellStyle name="Note 2 3" xfId="444" xr:uid="{00000000-0005-0000-0000-00000E020000}"/>
    <cellStyle name="Note 2 3 2" xfId="680" xr:uid="{00000000-0005-0000-0000-00000F020000}"/>
    <cellStyle name="Note 2 4" xfId="678" xr:uid="{00000000-0005-0000-0000-000010020000}"/>
    <cellStyle name="Note 3" xfId="445" xr:uid="{00000000-0005-0000-0000-000011020000}"/>
    <cellStyle name="Note 3 2" xfId="446" xr:uid="{00000000-0005-0000-0000-000012020000}"/>
    <cellStyle name="Note 3 2 2" xfId="682" xr:uid="{00000000-0005-0000-0000-000013020000}"/>
    <cellStyle name="Note 3 3" xfId="447" xr:uid="{00000000-0005-0000-0000-000014020000}"/>
    <cellStyle name="Note 3 3 2" xfId="683" xr:uid="{00000000-0005-0000-0000-000015020000}"/>
    <cellStyle name="Note 3 4" xfId="681" xr:uid="{00000000-0005-0000-0000-000016020000}"/>
    <cellStyle name="Note 4" xfId="448" xr:uid="{00000000-0005-0000-0000-000017020000}"/>
    <cellStyle name="Note 4 2" xfId="449" xr:uid="{00000000-0005-0000-0000-000018020000}"/>
    <cellStyle name="Note 4 2 2" xfId="685" xr:uid="{00000000-0005-0000-0000-000019020000}"/>
    <cellStyle name="Note 4 3" xfId="450" xr:uid="{00000000-0005-0000-0000-00001A020000}"/>
    <cellStyle name="Note 4 3 2" xfId="686" xr:uid="{00000000-0005-0000-0000-00001B020000}"/>
    <cellStyle name="Note 4 4" xfId="684" xr:uid="{00000000-0005-0000-0000-00001C020000}"/>
    <cellStyle name="OffSheet" xfId="451" xr:uid="{00000000-0005-0000-0000-00001D020000}"/>
    <cellStyle name="Output 2" xfId="452" xr:uid="{00000000-0005-0000-0000-00001E020000}"/>
    <cellStyle name="Output 2 2" xfId="453" xr:uid="{00000000-0005-0000-0000-00001F020000}"/>
    <cellStyle name="Output 2 2 2" xfId="688" xr:uid="{00000000-0005-0000-0000-000020020000}"/>
    <cellStyle name="Output 2 3" xfId="454" xr:uid="{00000000-0005-0000-0000-000021020000}"/>
    <cellStyle name="Output 2 3 2" xfId="689" xr:uid="{00000000-0005-0000-0000-000022020000}"/>
    <cellStyle name="Output 2 4" xfId="455" xr:uid="{00000000-0005-0000-0000-000023020000}"/>
    <cellStyle name="Output 2 4 2" xfId="690" xr:uid="{00000000-0005-0000-0000-000024020000}"/>
    <cellStyle name="Output 2 5" xfId="687" xr:uid="{00000000-0005-0000-0000-000025020000}"/>
    <cellStyle name="Percent [2]" xfId="456" xr:uid="{00000000-0005-0000-0000-000026020000}"/>
    <cellStyle name="Percent [2] 2" xfId="457" xr:uid="{00000000-0005-0000-0000-000027020000}"/>
    <cellStyle name="Percent [2]_29(d) - Gas extensions -tariffs" xfId="458" xr:uid="{00000000-0005-0000-0000-000028020000}"/>
    <cellStyle name="Percent 10" xfId="459" xr:uid="{00000000-0005-0000-0000-000029020000}"/>
    <cellStyle name="Percent 11" xfId="656" xr:uid="{00000000-0005-0000-0000-00002A020000}"/>
    <cellStyle name="Percent 12" xfId="460" xr:uid="{00000000-0005-0000-0000-00002B020000}"/>
    <cellStyle name="Percent 12 2" xfId="461" xr:uid="{00000000-0005-0000-0000-00002C020000}"/>
    <cellStyle name="Percent 12 2 2" xfId="462" xr:uid="{00000000-0005-0000-0000-00002D020000}"/>
    <cellStyle name="Percent 12 3" xfId="463" xr:uid="{00000000-0005-0000-0000-00002E020000}"/>
    <cellStyle name="Percent 12 4" xfId="464" xr:uid="{00000000-0005-0000-0000-00002F020000}"/>
    <cellStyle name="Percent 2" xfId="465" xr:uid="{00000000-0005-0000-0000-000030020000}"/>
    <cellStyle name="Percent 2 2" xfId="466" xr:uid="{00000000-0005-0000-0000-000031020000}"/>
    <cellStyle name="Percent 2 2 2" xfId="467" xr:uid="{00000000-0005-0000-0000-000032020000}"/>
    <cellStyle name="Percent 2 2 2 2" xfId="468" xr:uid="{00000000-0005-0000-0000-000033020000}"/>
    <cellStyle name="Percent 2 2 2 2 2" xfId="469" xr:uid="{00000000-0005-0000-0000-000034020000}"/>
    <cellStyle name="Percent 2 2 2 2 3" xfId="470" xr:uid="{00000000-0005-0000-0000-000035020000}"/>
    <cellStyle name="Percent 2 2 2 3" xfId="471" xr:uid="{00000000-0005-0000-0000-000036020000}"/>
    <cellStyle name="Percent 2 2 2 4" xfId="472" xr:uid="{00000000-0005-0000-0000-000037020000}"/>
    <cellStyle name="Percent 2 2 3" xfId="473" xr:uid="{00000000-0005-0000-0000-000038020000}"/>
    <cellStyle name="Percent 2 2 3 2" xfId="474" xr:uid="{00000000-0005-0000-0000-000039020000}"/>
    <cellStyle name="Percent 2 2 3 2 2" xfId="475" xr:uid="{00000000-0005-0000-0000-00003A020000}"/>
    <cellStyle name="Percent 2 2 3 2 3" xfId="476" xr:uid="{00000000-0005-0000-0000-00003B020000}"/>
    <cellStyle name="Percent 2 2 3 3" xfId="477" xr:uid="{00000000-0005-0000-0000-00003C020000}"/>
    <cellStyle name="Percent 2 2 3 4" xfId="478" xr:uid="{00000000-0005-0000-0000-00003D020000}"/>
    <cellStyle name="Percent 2 3" xfId="479" xr:uid="{00000000-0005-0000-0000-00003E020000}"/>
    <cellStyle name="Percent 2 3 2" xfId="480" xr:uid="{00000000-0005-0000-0000-00003F020000}"/>
    <cellStyle name="Percent 2 3 2 2" xfId="481" xr:uid="{00000000-0005-0000-0000-000040020000}"/>
    <cellStyle name="Percent 2 3 2 3" xfId="482" xr:uid="{00000000-0005-0000-0000-000041020000}"/>
    <cellStyle name="Percent 2 3 3" xfId="483" xr:uid="{00000000-0005-0000-0000-000042020000}"/>
    <cellStyle name="Percent 2 3 4" xfId="484" xr:uid="{00000000-0005-0000-0000-000043020000}"/>
    <cellStyle name="Percent 2 4" xfId="485" xr:uid="{00000000-0005-0000-0000-000044020000}"/>
    <cellStyle name="Percent 2 4 2" xfId="486" xr:uid="{00000000-0005-0000-0000-000045020000}"/>
    <cellStyle name="Percent 2 4 2 2" xfId="487" xr:uid="{00000000-0005-0000-0000-000046020000}"/>
    <cellStyle name="Percent 2 4 2 3" xfId="488" xr:uid="{00000000-0005-0000-0000-000047020000}"/>
    <cellStyle name="Percent 2 4 3" xfId="489" xr:uid="{00000000-0005-0000-0000-000048020000}"/>
    <cellStyle name="Percent 2 4 4" xfId="490" xr:uid="{00000000-0005-0000-0000-000049020000}"/>
    <cellStyle name="Percent 2 5" xfId="491" xr:uid="{00000000-0005-0000-0000-00004A020000}"/>
    <cellStyle name="Percent 3" xfId="492" xr:uid="{00000000-0005-0000-0000-00004B020000}"/>
    <cellStyle name="Percent 3 2" xfId="493" xr:uid="{00000000-0005-0000-0000-00004C020000}"/>
    <cellStyle name="Percent 3 4" xfId="494" xr:uid="{00000000-0005-0000-0000-00004D020000}"/>
    <cellStyle name="Percent 3 4 2" xfId="495" xr:uid="{00000000-0005-0000-0000-00004E020000}"/>
    <cellStyle name="Percent 3 4 3" xfId="496" xr:uid="{00000000-0005-0000-0000-00004F020000}"/>
    <cellStyle name="Percent 4" xfId="497" xr:uid="{00000000-0005-0000-0000-000050020000}"/>
    <cellStyle name="Percent 5" xfId="498" xr:uid="{00000000-0005-0000-0000-000051020000}"/>
    <cellStyle name="Percent 5 2" xfId="499" xr:uid="{00000000-0005-0000-0000-000052020000}"/>
    <cellStyle name="Percent 5 3" xfId="500" xr:uid="{00000000-0005-0000-0000-000053020000}"/>
    <cellStyle name="Percent 6" xfId="501" xr:uid="{00000000-0005-0000-0000-000054020000}"/>
    <cellStyle name="Percent 7" xfId="502" xr:uid="{00000000-0005-0000-0000-000055020000}"/>
    <cellStyle name="Percent 8" xfId="5" xr:uid="{00000000-0005-0000-0000-000056020000}"/>
    <cellStyle name="Percent 9" xfId="503" xr:uid="{00000000-0005-0000-0000-000057020000}"/>
    <cellStyle name="Percentage" xfId="504" xr:uid="{00000000-0005-0000-0000-000058020000}"/>
    <cellStyle name="Period Title" xfId="505" xr:uid="{00000000-0005-0000-0000-000059020000}"/>
    <cellStyle name="PSChar" xfId="506" xr:uid="{00000000-0005-0000-0000-00005A020000}"/>
    <cellStyle name="PSDate" xfId="507" xr:uid="{00000000-0005-0000-0000-00005B020000}"/>
    <cellStyle name="PSDec" xfId="508" xr:uid="{00000000-0005-0000-0000-00005C020000}"/>
    <cellStyle name="PSDetail" xfId="509" xr:uid="{00000000-0005-0000-0000-00005D020000}"/>
    <cellStyle name="PSHeading" xfId="510" xr:uid="{00000000-0005-0000-0000-00005E020000}"/>
    <cellStyle name="PSHeading 2" xfId="511" xr:uid="{00000000-0005-0000-0000-00005F020000}"/>
    <cellStyle name="PSHeading 2 2" xfId="512" xr:uid="{00000000-0005-0000-0000-000060020000}"/>
    <cellStyle name="PSHeading 2 2 2" xfId="655" xr:uid="{00000000-0005-0000-0000-000061020000}"/>
    <cellStyle name="PSHeading 2 3" xfId="654" xr:uid="{00000000-0005-0000-0000-000062020000}"/>
    <cellStyle name="PSHeading 3" xfId="513" xr:uid="{00000000-0005-0000-0000-000063020000}"/>
    <cellStyle name="PSHeading 3 2" xfId="514" xr:uid="{00000000-0005-0000-0000-000064020000}"/>
    <cellStyle name="PSHeading 3 2 2" xfId="515" xr:uid="{00000000-0005-0000-0000-000065020000}"/>
    <cellStyle name="PSHeading 3 2 2 2" xfId="653" xr:uid="{00000000-0005-0000-0000-000066020000}"/>
    <cellStyle name="PSHeading 3 2 3" xfId="652" xr:uid="{00000000-0005-0000-0000-000067020000}"/>
    <cellStyle name="PSHeading 3 3" xfId="651" xr:uid="{00000000-0005-0000-0000-000068020000}"/>
    <cellStyle name="PSHeading 4" xfId="516" xr:uid="{00000000-0005-0000-0000-000069020000}"/>
    <cellStyle name="PSHeading 4 2" xfId="650" xr:uid="{00000000-0005-0000-0000-00006A020000}"/>
    <cellStyle name="PSHeading 5" xfId="517" xr:uid="{00000000-0005-0000-0000-00006B020000}"/>
    <cellStyle name="PSInt" xfId="518" xr:uid="{00000000-0005-0000-0000-00006C020000}"/>
    <cellStyle name="PSSpacer" xfId="519" xr:uid="{00000000-0005-0000-0000-00006D020000}"/>
    <cellStyle name="Ratio" xfId="520" xr:uid="{00000000-0005-0000-0000-00006E020000}"/>
    <cellStyle name="Ratio 2" xfId="521" xr:uid="{00000000-0005-0000-0000-00006F020000}"/>
    <cellStyle name="Ratio_29(d) - Gas extensions -tariffs" xfId="522" xr:uid="{00000000-0005-0000-0000-000070020000}"/>
    <cellStyle name="Right Date" xfId="523" xr:uid="{00000000-0005-0000-0000-000071020000}"/>
    <cellStyle name="Right Number" xfId="524" xr:uid="{00000000-0005-0000-0000-000072020000}"/>
    <cellStyle name="Right Year" xfId="525" xr:uid="{00000000-0005-0000-0000-000073020000}"/>
    <cellStyle name="RIN_Input$_3dp" xfId="526" xr:uid="{00000000-0005-0000-0000-000074020000}"/>
    <cellStyle name="SAPError" xfId="527" xr:uid="{00000000-0005-0000-0000-000075020000}"/>
    <cellStyle name="SAPError 2" xfId="528" xr:uid="{00000000-0005-0000-0000-000076020000}"/>
    <cellStyle name="SAPKey" xfId="529" xr:uid="{00000000-0005-0000-0000-000077020000}"/>
    <cellStyle name="SAPKey 2" xfId="530" xr:uid="{00000000-0005-0000-0000-000078020000}"/>
    <cellStyle name="SAPLocked" xfId="531" xr:uid="{00000000-0005-0000-0000-000079020000}"/>
    <cellStyle name="SAPLocked 2" xfId="532" xr:uid="{00000000-0005-0000-0000-00007A020000}"/>
    <cellStyle name="SAPOutput" xfId="533" xr:uid="{00000000-0005-0000-0000-00007B020000}"/>
    <cellStyle name="SAPOutput 2" xfId="534" xr:uid="{00000000-0005-0000-0000-00007C020000}"/>
    <cellStyle name="SAPSpace" xfId="535" xr:uid="{00000000-0005-0000-0000-00007D020000}"/>
    <cellStyle name="SAPSpace 2" xfId="536" xr:uid="{00000000-0005-0000-0000-00007E020000}"/>
    <cellStyle name="SAPText" xfId="537" xr:uid="{00000000-0005-0000-0000-00007F020000}"/>
    <cellStyle name="SAPText 2" xfId="538" xr:uid="{00000000-0005-0000-0000-000080020000}"/>
    <cellStyle name="SAPUnLocked" xfId="539" xr:uid="{00000000-0005-0000-0000-000081020000}"/>
    <cellStyle name="SAPUnLocked 2" xfId="540" xr:uid="{00000000-0005-0000-0000-000082020000}"/>
    <cellStyle name="Sheet Title" xfId="541" xr:uid="{00000000-0005-0000-0000-000083020000}"/>
    <cellStyle name="SheetHeader1" xfId="542" xr:uid="{00000000-0005-0000-0000-000084020000}"/>
    <cellStyle name="SheetHeader2" xfId="543" xr:uid="{00000000-0005-0000-0000-000085020000}"/>
    <cellStyle name="SheetHeader3" xfId="544" xr:uid="{00000000-0005-0000-0000-000086020000}"/>
    <cellStyle name="Style 1" xfId="545" xr:uid="{00000000-0005-0000-0000-000087020000}"/>
    <cellStyle name="Style 1 2" xfId="546" xr:uid="{00000000-0005-0000-0000-000088020000}"/>
    <cellStyle name="Style 1 2 2" xfId="547" xr:uid="{00000000-0005-0000-0000-000089020000}"/>
    <cellStyle name="Style 1 3" xfId="548" xr:uid="{00000000-0005-0000-0000-00008A020000}"/>
    <cellStyle name="Style 1 3 2" xfId="549" xr:uid="{00000000-0005-0000-0000-00008B020000}"/>
    <cellStyle name="Style 1 3 3" xfId="550" xr:uid="{00000000-0005-0000-0000-00008C020000}"/>
    <cellStyle name="Style 1 4" xfId="551" xr:uid="{00000000-0005-0000-0000-00008D020000}"/>
    <cellStyle name="Style 1_29(d) - Gas extensions -tariffs" xfId="552" xr:uid="{00000000-0005-0000-0000-00008E020000}"/>
    <cellStyle name="Style2" xfId="553" xr:uid="{00000000-0005-0000-0000-00008F020000}"/>
    <cellStyle name="Style3" xfId="554" xr:uid="{00000000-0005-0000-0000-000090020000}"/>
    <cellStyle name="Style4" xfId="555" xr:uid="{00000000-0005-0000-0000-000091020000}"/>
    <cellStyle name="Style4 2" xfId="556" xr:uid="{00000000-0005-0000-0000-000092020000}"/>
    <cellStyle name="Style4_29(d) - Gas extensions -tariffs" xfId="557" xr:uid="{00000000-0005-0000-0000-000093020000}"/>
    <cellStyle name="Style5" xfId="558" xr:uid="{00000000-0005-0000-0000-000094020000}"/>
    <cellStyle name="Style5 2" xfId="559" xr:uid="{00000000-0005-0000-0000-000095020000}"/>
    <cellStyle name="Style5_29(d) - Gas extensions -tariffs" xfId="560" xr:uid="{00000000-0005-0000-0000-000096020000}"/>
    <cellStyle name="Table Head Green" xfId="561" xr:uid="{00000000-0005-0000-0000-000097020000}"/>
    <cellStyle name="Table Head_pldt" xfId="562" xr:uid="{00000000-0005-0000-0000-000098020000}"/>
    <cellStyle name="Table Source" xfId="563" xr:uid="{00000000-0005-0000-0000-000099020000}"/>
    <cellStyle name="Table Units" xfId="564" xr:uid="{00000000-0005-0000-0000-00009A020000}"/>
    <cellStyle name="Table_Heading" xfId="565" xr:uid="{00000000-0005-0000-0000-00009B020000}"/>
    <cellStyle name="TableLvl2" xfId="566" xr:uid="{00000000-0005-0000-0000-00009C020000}"/>
    <cellStyle name="TableLvl3" xfId="1" xr:uid="{00000000-0005-0000-0000-00009D020000}"/>
    <cellStyle name="Technical_Input" xfId="567" xr:uid="{00000000-0005-0000-0000-00009E020000}"/>
    <cellStyle name="Text" xfId="568" xr:uid="{00000000-0005-0000-0000-00009F020000}"/>
    <cellStyle name="Text 2" xfId="569" xr:uid="{00000000-0005-0000-0000-0000A0020000}"/>
    <cellStyle name="Text 3" xfId="570" xr:uid="{00000000-0005-0000-0000-0000A1020000}"/>
    <cellStyle name="Text Head 1" xfId="571" xr:uid="{00000000-0005-0000-0000-0000A2020000}"/>
    <cellStyle name="Text Head 2" xfId="572" xr:uid="{00000000-0005-0000-0000-0000A3020000}"/>
    <cellStyle name="Text Indent 2" xfId="573" xr:uid="{00000000-0005-0000-0000-0000A4020000}"/>
    <cellStyle name="Theirs" xfId="574" xr:uid="{00000000-0005-0000-0000-0000A5020000}"/>
    <cellStyle name="Title 2" xfId="575" xr:uid="{00000000-0005-0000-0000-0000A6020000}"/>
    <cellStyle name="TOC 1" xfId="576" xr:uid="{00000000-0005-0000-0000-0000A7020000}"/>
    <cellStyle name="TOC 2" xfId="577" xr:uid="{00000000-0005-0000-0000-0000A8020000}"/>
    <cellStyle name="TOC 3" xfId="578" xr:uid="{00000000-0005-0000-0000-0000A9020000}"/>
    <cellStyle name="Total 2" xfId="579" xr:uid="{00000000-0005-0000-0000-0000AA020000}"/>
    <cellStyle name="Total 2 2" xfId="580" xr:uid="{00000000-0005-0000-0000-0000AB020000}"/>
    <cellStyle name="Total 2 2 2" xfId="693" xr:uid="{00000000-0005-0000-0000-0000AC020000}"/>
    <cellStyle name="Total 2 3" xfId="581" xr:uid="{00000000-0005-0000-0000-0000AD020000}"/>
    <cellStyle name="Total 2 3 2" xfId="694" xr:uid="{00000000-0005-0000-0000-0000AE020000}"/>
    <cellStyle name="Total 2 4" xfId="582" xr:uid="{00000000-0005-0000-0000-0000AF020000}"/>
    <cellStyle name="Total 2 4 2" xfId="695" xr:uid="{00000000-0005-0000-0000-0000B0020000}"/>
    <cellStyle name="Total 2 5" xfId="692" xr:uid="{00000000-0005-0000-0000-0000B1020000}"/>
    <cellStyle name="Totals" xfId="583" xr:uid="{00000000-0005-0000-0000-0000B2020000}"/>
    <cellStyle name="unit" xfId="584" xr:uid="{00000000-0005-0000-0000-0000B3020000}"/>
    <cellStyle name="User_Input" xfId="585" xr:uid="{00000000-0005-0000-0000-0000B4020000}"/>
    <cellStyle name="Warning Text 2" xfId="586" xr:uid="{00000000-0005-0000-0000-0000B5020000}"/>
    <cellStyle name="year" xfId="587" xr:uid="{00000000-0005-0000-0000-0000B6020000}"/>
    <cellStyle name="year 2" xfId="588" xr:uid="{00000000-0005-0000-0000-0000B7020000}"/>
    <cellStyle name="year_29(d) - Gas extensions -tariffs" xfId="589" xr:uid="{00000000-0005-0000-0000-0000B8020000}"/>
  </cellStyles>
  <dxfs count="40">
    <dxf>
      <font>
        <b/>
        <i val="0"/>
        <color rgb="FFFF0000"/>
      </font>
    </dxf>
    <dxf>
      <font>
        <b/>
        <i val="0"/>
        <color rgb="FFFF0000"/>
      </font>
    </dxf>
    <dxf>
      <font>
        <color theme="0" tint="-0.34998626667073579"/>
      </font>
    </dxf>
    <dxf>
      <font>
        <color theme="0" tint="-0.34998626667073579"/>
      </font>
    </dxf>
    <dxf>
      <border diagonalUp="0" diagonalDown="0">
        <left style="thin">
          <color theme="0" tint="-0.24994659260841701"/>
        </left>
        <right style="thin">
          <color indexed="64"/>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auto="1"/>
        <name val="Arial"/>
        <scheme val="none"/>
      </font>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medium">
          <color indexed="64"/>
        </left>
        <right style="thin">
          <color theme="0" tint="-0.24994659260841701"/>
        </right>
        <top style="thin">
          <color theme="0" tint="-0.24994659260841701"/>
        </top>
        <bottom style="thin">
          <color theme="0" tint="-0.24994659260841701"/>
        </bottom>
        <vertical/>
        <horizontal/>
      </border>
    </dxf>
    <dxf>
      <fill>
        <patternFill patternType="solid">
          <fgColor indexed="64"/>
          <bgColor theme="0"/>
        </patternFill>
      </fill>
      <border diagonalUp="0" diagonalDown="0">
        <left/>
        <right style="medium">
          <color auto="1"/>
        </right>
        <top style="thin">
          <color theme="0" tint="-0.24994659260841701"/>
        </top>
        <bottom style="thin">
          <color theme="0" tint="-0.24994659260841701"/>
        </bottom>
        <vertical/>
        <horizontal/>
      </border>
    </dxf>
    <dxf>
      <fill>
        <patternFill patternType="solid">
          <fgColor indexed="64"/>
          <bgColor theme="0" tint="-0.249977111117893"/>
        </patternFill>
      </fill>
      <border diagonalUp="0" diagonalDown="0">
        <left style="thin">
          <color theme="0" tint="-0.24994659260841701"/>
        </left>
        <right style="thin">
          <color indexed="64"/>
        </right>
        <top style="thin">
          <color theme="0" tint="-0.24994659260841701"/>
        </top>
        <bottom style="thin">
          <color theme="0" tint="-0.24994659260841701"/>
        </bottom>
        <vertical/>
        <horizontal/>
      </border>
    </dxf>
    <dxf>
      <fill>
        <patternFill patternType="solid">
          <fgColor indexed="64"/>
          <bgColor rgb="FFFFFF99"/>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patternType="solid">
          <fgColor indexed="64"/>
          <bgColor rgb="FFFFFF99"/>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general" vertical="center" textRotation="0" wrapText="0"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numFmt numFmtId="30" formatCode="@"/>
      <alignment horizontal="general" vertical="center" textRotation="0" wrapText="0"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alignment horizontal="general"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general" vertical="center" textRotation="0" wrapText="0" indent="0" justifyLastLine="0" shrinkToFit="0" readingOrder="0"/>
      <border diagonalUp="0" diagonalDown="0">
        <left style="medium">
          <color auto="1"/>
        </left>
        <right style="thin">
          <color theme="0" tint="-0.24994659260841701"/>
        </right>
        <top style="thin">
          <color theme="0" tint="-0.24994659260841701"/>
        </top>
        <bottom style="thin">
          <color theme="0" tint="-0.24994659260841701"/>
        </bottom>
        <vertical/>
        <horizontal/>
      </border>
    </dxf>
    <dxf>
      <numFmt numFmtId="30" formatCode="@"/>
      <alignment horizontal="general" vertical="center" textRotation="0" wrapText="0"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general" vertical="center" textRotation="0" wrapText="0" indent="0" justifyLastLine="0" shrinkToFit="0" readingOrder="0"/>
      <border diagonalUp="0" diagonalDown="0">
        <left style="medium">
          <color auto="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auto="1"/>
        <name val="Arial"/>
        <scheme val="none"/>
      </font>
      <alignment horizontal="general" vertical="top" textRotation="0" wrapText="0"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auto="1"/>
        <name val="Arial"/>
        <scheme val="none"/>
      </font>
      <alignment horizontal="center" vertical="top" textRotation="0" wrapText="0" indent="0" justifyLastLine="0" shrinkToFit="0" readingOrder="0"/>
      <border diagonalUp="0" diagonalDown="0">
        <left style="medium">
          <color indexed="64"/>
        </left>
        <right style="thin">
          <color theme="0" tint="-0.24994659260841701"/>
        </right>
        <top style="thin">
          <color theme="0" tint="-0.24994659260841701"/>
        </top>
        <bottom style="thin">
          <color theme="0" tint="-0.24994659260841701"/>
        </bottom>
        <vertical/>
        <horizontal/>
      </border>
    </dxf>
    <dxf>
      <numFmt numFmtId="1" formatCode="0"/>
      <alignment horizontal="center" vertical="top" textRotation="0" wrapText="0"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alignment horizontal="center" vertical="top"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top"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center" vertical="top"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top"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0"/>
        <color auto="1"/>
        <name val="Arial"/>
        <scheme val="none"/>
      </font>
      <alignment horizontal="general" vertical="top"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auto="1"/>
        <name val="Arial"/>
        <scheme val="none"/>
      </font>
      <alignment horizontal="general" vertical="top"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auto="1"/>
        <name val="Arial"/>
        <scheme val="none"/>
      </font>
      <alignment horizontal="general" vertical="top" textRotation="0" wrapText="0"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Arial"/>
        <scheme val="none"/>
      </font>
      <numFmt numFmtId="187" formatCode="##\ ###\ ###\ ###\ ##0"/>
      <fill>
        <patternFill patternType="solid">
          <fgColor indexed="64"/>
          <bgColor theme="0"/>
        </patternFill>
      </fill>
      <alignment horizontal="right" vertical="top" textRotation="0" wrapText="0" relativeIndent="1" justifyLastLine="0" shrinkToFit="0" readingOrder="0"/>
      <border diagonalUp="0" diagonalDown="0" outline="0">
        <left style="thin">
          <color theme="0" tint="-0.34998626667073579"/>
        </left>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top" textRotation="0" wrapText="0" indent="0" justifyLastLine="0" shrinkToFit="0" readingOrder="0"/>
      <border diagonalUp="0" diagonalDown="0" outline="0">
        <left style="medium">
          <color indexed="64"/>
        </left>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top" textRotation="0" wrapText="0"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1" hidden="0"/>
    </dxf>
    <dxf>
      <border outline="0">
        <left style="medium">
          <color indexed="64"/>
        </left>
        <top style="medium">
          <color indexed="64"/>
        </top>
        <bottom style="medium">
          <color auto="1"/>
        </bottom>
      </border>
    </dxf>
    <dxf>
      <font>
        <b/>
        <i val="0"/>
        <strike val="0"/>
        <condense val="0"/>
        <extend val="0"/>
        <outline val="0"/>
        <shadow val="0"/>
        <u val="none"/>
        <vertAlign val="baseline"/>
        <sz val="10"/>
        <color auto="1"/>
        <name val="Arial"/>
        <scheme val="none"/>
      </font>
      <fill>
        <patternFill patternType="solid">
          <fgColor indexed="64"/>
          <bgColor theme="8" tint="0.59999389629810485"/>
        </patternFill>
      </fill>
      <alignment horizontal="general"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1.1 Instructions'!A1"/><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42</xdr:col>
      <xdr:colOff>155864</xdr:colOff>
      <xdr:row>7</xdr:row>
      <xdr:rowOff>294409</xdr:rowOff>
    </xdr:from>
    <xdr:to>
      <xdr:col>52</xdr:col>
      <xdr:colOff>77847</xdr:colOff>
      <xdr:row>16</xdr:row>
      <xdr:rowOff>37246</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63315273" y="1835727"/>
          <a:ext cx="5983347" cy="1924928"/>
          <a:chOff x="6257924" y="76200"/>
          <a:chExt cx="5973778" cy="1034035"/>
        </a:xfrm>
      </xdr:grpSpPr>
      <xdr:grpSp>
        <xdr:nvGrpSpPr>
          <xdr:cNvPr id="3" name="Group 2">
            <a:extLst>
              <a:ext uri="{FF2B5EF4-FFF2-40B4-BE49-F238E27FC236}">
                <a16:creationId xmlns:a16="http://schemas.microsoft.com/office/drawing/2014/main" id="{00000000-0008-0000-00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0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0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0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0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0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0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0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000-000007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997323" y="22412"/>
          <a:ext cx="1154206" cy="1183341"/>
          <a:chOff x="165320" y="2985326"/>
          <a:chExt cx="963805" cy="1410158"/>
        </a:xfrm>
      </xdr:grpSpPr>
      <xdr:grpSp>
        <xdr:nvGrpSpPr>
          <xdr:cNvPr id="3" name="Group 2">
            <a:extLst>
              <a:ext uri="{FF2B5EF4-FFF2-40B4-BE49-F238E27FC236}">
                <a16:creationId xmlns:a16="http://schemas.microsoft.com/office/drawing/2014/main" id="{00000000-0008-0000-0100-000003000000}"/>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0000000-0008-0000-0100-000006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100-000004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00000000-0008-0000-0100-000005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150329</xdr:colOff>
      <xdr:row>0</xdr:row>
      <xdr:rowOff>75784</xdr:rowOff>
    </xdr:from>
    <xdr:to>
      <xdr:col>0</xdr:col>
      <xdr:colOff>1383196</xdr:colOff>
      <xdr:row>3</xdr:row>
      <xdr:rowOff>347869</xdr:rowOff>
    </xdr:to>
    <xdr:grpSp>
      <xdr:nvGrpSpPr>
        <xdr:cNvPr id="3" name="Group 2">
          <a:extLst>
            <a:ext uri="{FF2B5EF4-FFF2-40B4-BE49-F238E27FC236}">
              <a16:creationId xmlns:a16="http://schemas.microsoft.com/office/drawing/2014/main" id="{00000000-0008-0000-0200-000003000000}"/>
            </a:ext>
          </a:extLst>
        </xdr:cNvPr>
        <xdr:cNvGrpSpPr>
          <a:grpSpLocks/>
        </xdr:cNvGrpSpPr>
      </xdr:nvGrpSpPr>
      <xdr:grpSpPr bwMode="auto">
        <a:xfrm>
          <a:off x="150329" y="75784"/>
          <a:ext cx="1232867" cy="1415085"/>
          <a:chOff x="0" y="0"/>
          <a:chExt cx="78" cy="103"/>
        </a:xfrm>
      </xdr:grpSpPr>
      <xdr:grpSp>
        <xdr:nvGrpSpPr>
          <xdr:cNvPr id="4" name="Group 3">
            <a:extLst>
              <a:ext uri="{FF2B5EF4-FFF2-40B4-BE49-F238E27FC236}">
                <a16:creationId xmlns:a16="http://schemas.microsoft.com/office/drawing/2014/main" id="{00000000-0008-0000-0200-000004000000}"/>
              </a:ext>
            </a:extLst>
          </xdr:cNvPr>
          <xdr:cNvGrpSpPr>
            <a:grpSpLocks/>
          </xdr:cNvGrpSpPr>
        </xdr:nvGrpSpPr>
        <xdr:grpSpPr bwMode="auto">
          <a:xfrm>
            <a:off x="0" y="0"/>
            <a:ext cx="78" cy="103"/>
            <a:chOff x="64" y="0"/>
            <a:chExt cx="78" cy="103"/>
          </a:xfrm>
        </xdr:grpSpPr>
        <xdr:sp macro="" textlink="">
          <xdr:nvSpPr>
            <xdr:cNvPr id="7" name="Rectangle 3">
              <a:extLst>
                <a:ext uri="{FF2B5EF4-FFF2-40B4-BE49-F238E27FC236}">
                  <a16:creationId xmlns:a16="http://schemas.microsoft.com/office/drawing/2014/main" id="{00000000-0008-0000-0200-000007000000}"/>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8" name="Picture 4" descr="item">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200-000005000000}"/>
              </a:ext>
            </a:extLst>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6" name="AutoShape 6">
            <a:hlinkClick xmlns:r="http://schemas.openxmlformats.org/officeDocument/2006/relationships" r:id="rId3"/>
            <a:extLst>
              <a:ext uri="{FF2B5EF4-FFF2-40B4-BE49-F238E27FC236}">
                <a16:creationId xmlns:a16="http://schemas.microsoft.com/office/drawing/2014/main" id="{00000000-0008-0000-0200-000006000000}"/>
              </a:ext>
            </a:extLst>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ER/DMT/TEMPLATES/RIN%20Templates/Benchmarking/Benchmarking%202015-16/DNSP%20-%20Benchmarking%20RIN%20-%202015-16%20blank%20template%20(unlocked)%20@%202016032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hoga\AppData\Local\Temp\1\Temp1_Pre-draft%20RIN%20-%20update%20for%20information%20-%20issued%20July%202017.zip\Transgrid%20opex%20model%2014-18%20unprotect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row r="12">
          <cell r="G12" t="str">
            <v>dms_Segment_List</v>
          </cell>
        </row>
        <row r="13">
          <cell r="G13" t="str">
            <v>Distribution</v>
          </cell>
        </row>
        <row r="14">
          <cell r="G14" t="str">
            <v>Distribution</v>
          </cell>
        </row>
        <row r="15">
          <cell r="G15" t="str">
            <v>Distribution</v>
          </cell>
        </row>
        <row r="16">
          <cell r="G16" t="str">
            <v>Distribution</v>
          </cell>
        </row>
        <row r="17">
          <cell r="G17" t="str">
            <v>Distribution</v>
          </cell>
        </row>
        <row r="18">
          <cell r="G18" t="str">
            <v>Distribution</v>
          </cell>
        </row>
        <row r="19">
          <cell r="G19" t="str">
            <v>Transmission</v>
          </cell>
        </row>
        <row r="20">
          <cell r="G20" t="str">
            <v>Distribution</v>
          </cell>
        </row>
        <row r="21">
          <cell r="G21" t="str">
            <v>Transmission</v>
          </cell>
        </row>
        <row r="22">
          <cell r="G22" t="str">
            <v>Distribution</v>
          </cell>
        </row>
        <row r="23">
          <cell r="G23" t="str">
            <v>Transmission</v>
          </cell>
        </row>
        <row r="24">
          <cell r="G24" t="str">
            <v>Transmission</v>
          </cell>
        </row>
        <row r="25">
          <cell r="G25" t="str">
            <v>Distribution</v>
          </cell>
        </row>
        <row r="26">
          <cell r="G26" t="str">
            <v>Distribution</v>
          </cell>
        </row>
        <row r="27">
          <cell r="G27" t="str">
            <v>Distribution</v>
          </cell>
        </row>
        <row r="28">
          <cell r="G28" t="str">
            <v>Distribution</v>
          </cell>
        </row>
        <row r="29">
          <cell r="G29" t="str">
            <v>Distribution</v>
          </cell>
        </row>
        <row r="30">
          <cell r="G30" t="str">
            <v>Transmission</v>
          </cell>
        </row>
        <row r="31">
          <cell r="G31" t="str">
            <v>Distribution</v>
          </cell>
        </row>
        <row r="32">
          <cell r="G32" t="str">
            <v>Transmission</v>
          </cell>
        </row>
        <row r="33">
          <cell r="G33" t="str">
            <v>Distribution</v>
          </cell>
        </row>
        <row r="34">
          <cell r="G34" t="str">
            <v>Distribution</v>
          </cell>
        </row>
        <row r="35">
          <cell r="G35" t="str">
            <v>Distribution</v>
          </cell>
        </row>
        <row r="36">
          <cell r="G36" t="str">
            <v>Transmission</v>
          </cell>
        </row>
        <row r="37">
          <cell r="G37" t="str">
            <v>Transmission</v>
          </cell>
        </row>
        <row r="38">
          <cell r="G38" t="str">
            <v>Distribution</v>
          </cell>
        </row>
        <row r="39">
          <cell r="G39" t="str">
            <v>Distribution</v>
          </cell>
        </row>
        <row r="40">
          <cell r="G40" t="str">
            <v>Distribution</v>
          </cell>
        </row>
        <row r="41">
          <cell r="G41" t="str">
            <v>Distribution</v>
          </cell>
        </row>
        <row r="42">
          <cell r="G42" t="str">
            <v>Transmission</v>
          </cell>
        </row>
        <row r="58">
          <cell r="G58" t="str">
            <v>dms_CRCPlength_Num_List</v>
          </cell>
        </row>
        <row r="59">
          <cell r="G59">
            <v>1</v>
          </cell>
        </row>
        <row r="60">
          <cell r="G60">
            <v>2</v>
          </cell>
        </row>
        <row r="61">
          <cell r="G61">
            <v>3</v>
          </cell>
        </row>
        <row r="62">
          <cell r="G62">
            <v>4</v>
          </cell>
        </row>
        <row r="63">
          <cell r="G63">
            <v>5</v>
          </cell>
        </row>
        <row r="64">
          <cell r="G64">
            <v>6</v>
          </cell>
        </row>
        <row r="65">
          <cell r="G65">
            <v>7</v>
          </cell>
        </row>
        <row r="66">
          <cell r="G66">
            <v>8</v>
          </cell>
        </row>
        <row r="67">
          <cell r="G67">
            <v>9</v>
          </cell>
        </row>
        <row r="68">
          <cell r="G68">
            <v>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General"/>
      <sheetName val="Input|Inflation"/>
      <sheetName val="Input|Reported opex"/>
      <sheetName val="Input|Rate of change"/>
      <sheetName val="Input|Step changes"/>
      <sheetName val="Calc|Opex forecast"/>
      <sheetName val="Output|Models"/>
      <sheetName val="Output|Decision tables"/>
      <sheetName val="Lookup|Tables"/>
      <sheetName val="Check|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4">
          <cell r="G14" t="str">
            <v>Per cent</v>
          </cell>
        </row>
      </sheetData>
      <sheetData sheetId="1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8:AM48" totalsRowShown="0" headerRowDxfId="39" tableBorderDxfId="38" headerRowCellStyle="Normal 10">
  <autoFilter ref="B8:AM48" xr:uid="{00000000-0009-0000-0100-000001000000}"/>
  <sortState ref="B9:AM48">
    <sortCondition ref="B8:B48"/>
  </sortState>
  <tableColumns count="38">
    <tableColumn id="1" xr3:uid="{00000000-0010-0000-0000-000001000000}" name="dms_TradingName_List" dataDxfId="37" dataCellStyle="Normal 2 2 2"/>
    <tableColumn id="2" xr3:uid="{00000000-0010-0000-0000-000002000000}" name="dms_TradingNameFull_List" dataDxfId="36" dataCellStyle="Normal 10"/>
    <tableColumn id="3" xr3:uid="{00000000-0010-0000-0000-000003000000}" name="dms_ABN_List" dataDxfId="35" dataCellStyle="Normal 2 2 2"/>
    <tableColumn id="4" xr3:uid="{00000000-0010-0000-0000-000004000000}" name="dms_JurisdictionList" dataDxfId="34" dataCellStyle="Normal 13 2"/>
    <tableColumn id="5" xr3:uid="{00000000-0010-0000-0000-000005000000}" name="dms_Sector_List" dataDxfId="33" dataCellStyle="Normal 2 2 2"/>
    <tableColumn id="6" xr3:uid="{00000000-0010-0000-0000-000006000000}" name="dms_Segment_List" dataDxfId="32" dataCellStyle="Normal 2 2 2"/>
    <tableColumn id="7" xr3:uid="{00000000-0010-0000-0000-000007000000}" name="dms_FormControl_List" dataDxfId="31" dataCellStyle="Normal 2 2 2"/>
    <tableColumn id="8" xr3:uid="{00000000-0010-0000-0000-000008000000}" name="dms_RPT_List" dataDxfId="30" dataCellStyle="Normal 2 2 2"/>
    <tableColumn id="9" xr3:uid="{00000000-0010-0000-0000-000009000000}" name="dms_RPTMonth_List" dataDxfId="29" dataCellStyle="Normal 2 2 2"/>
    <tableColumn id="10" xr3:uid="{00000000-0010-0000-0000-00000A000000}" name="dms_CRCPlength_List" dataDxfId="28" dataCellStyle="Normal 2 2 2"/>
    <tableColumn id="11" xr3:uid="{00000000-0010-0000-0000-00000B000000}" name="dms_FRCPlength_List" dataDxfId="27" dataCellStyle="Normal 2 2 2"/>
    <tableColumn id="12" xr3:uid="{00000000-0010-0000-0000-00000C000000}" name="dms_663_List" dataDxfId="26" dataCellStyle="Normal 13 2"/>
    <tableColumn id="13" xr3:uid="{00000000-0010-0000-0000-00000D000000}" name="dms_DeterminationRef_List" dataDxfId="25" dataCellStyle="Normal 2 2 2"/>
    <tableColumn id="14" xr3:uid="{00000000-0010-0000-0000-00000E000000}" name="dms_Addr1_List" dataDxfId="24" dataCellStyle="Normal 2 2 2"/>
    <tableColumn id="15" xr3:uid="{00000000-0010-0000-0000-00000F000000}" name="dms_Addr2_List" dataDxfId="23" dataCellStyle="Normal 2 2 2"/>
    <tableColumn id="16" xr3:uid="{00000000-0010-0000-0000-000010000000}" name="dms_Suburb_List" dataDxfId="22" dataCellStyle="Normal 2 2 2"/>
    <tableColumn id="17" xr3:uid="{00000000-0010-0000-0000-000011000000}" name="dms_State_List" dataDxfId="21" dataCellStyle="Normal 13 2"/>
    <tableColumn id="18" xr3:uid="{00000000-0010-0000-0000-000012000000}" name="dms_PostCode_List" dataDxfId="20" dataCellStyle="Normal 2 2 2"/>
    <tableColumn id="19" xr3:uid="{00000000-0010-0000-0000-000013000000}" name="dms_PAddr1_List" dataDxfId="19" dataCellStyle="Normal 2 2 2"/>
    <tableColumn id="20" xr3:uid="{00000000-0010-0000-0000-000014000000}" name="dms_PAddr2_List" dataDxfId="18" dataCellStyle="Normal 2 2 2"/>
    <tableColumn id="21" xr3:uid="{00000000-0010-0000-0000-000015000000}" name="dms_PSuburb_List" dataDxfId="17" dataCellStyle="Normal 2 2 2"/>
    <tableColumn id="22" xr3:uid="{00000000-0010-0000-0000-000016000000}" name="dms_PState_List" dataDxfId="16" dataCellStyle="Normal 2 2 2"/>
    <tableColumn id="23" xr3:uid="{00000000-0010-0000-0000-000017000000}" name="dms_PPostCode_List" dataDxfId="15" dataCellStyle="Normal 2 2 2"/>
    <tableColumn id="24" xr3:uid="{00000000-0010-0000-0000-000018000000}" name="dms_ContactName1_List" dataDxfId="14" dataCellStyle="Normal 2 2 2"/>
    <tableColumn id="25" xr3:uid="{00000000-0010-0000-0000-000019000000}" name="dms_ContactPh1_List" dataDxfId="13" dataCellStyle="Normal 2 2 2"/>
    <tableColumn id="26" xr3:uid="{00000000-0010-0000-0000-00001A000000}" name="dms_ContactEmail_List"/>
    <tableColumn id="27" xr3:uid="{00000000-0010-0000-0000-00001B000000}" name="Column1"/>
    <tableColumn id="28" xr3:uid="{00000000-0010-0000-0000-00001C000000}" name="dms_CBD_flag"/>
    <tableColumn id="29" xr3:uid="{00000000-0010-0000-0000-00001D000000}" name="dms_Urban_flag" dataDxfId="12" dataCellStyle="Normal 32"/>
    <tableColumn id="30" xr3:uid="{00000000-0010-0000-0000-00001E000000}" name="dms_ShortRural_flag" dataDxfId="11" dataCellStyle="Normal 32"/>
    <tableColumn id="31" xr3:uid="{00000000-0010-0000-0000-00001F000000}" name="dms_LongRural_flag"/>
    <tableColumn id="32" xr3:uid="{00000000-0010-0000-0000-000020000000}" name="dms_FeederType_5_flag" dataDxfId="10" dataCellStyle="Normal 32"/>
    <tableColumn id="33" xr3:uid="{00000000-0010-0000-0000-000021000000}" name="dms_MAIFI_flag_List" dataDxfId="9" dataCellStyle="Normal 32"/>
    <tableColumn id="34" xr3:uid="{00000000-0010-0000-0000-000022000000}" name="dms_FeederName_1" dataDxfId="8"/>
    <tableColumn id="35" xr3:uid="{00000000-0010-0000-0000-000023000000}" name="dms_FeederName_2" dataDxfId="7"/>
    <tableColumn id="36" xr3:uid="{00000000-0010-0000-0000-000024000000}" name="dms_FeederName_3" dataDxfId="6"/>
    <tableColumn id="37" xr3:uid="{00000000-0010-0000-0000-000025000000}" name="dms_FeederName_4" dataDxfId="5"/>
    <tableColumn id="38" xr3:uid="{00000000-0010-0000-0000-000026000000}" name="dms_FeederName_5" dataDxfId="4"/>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tabColor theme="9" tint="-0.249977111117893"/>
  </sheetPr>
  <dimension ref="A1:AN147"/>
  <sheetViews>
    <sheetView showGridLines="0" topLeftCell="A42" zoomScale="55" zoomScaleNormal="55" workbookViewId="0">
      <selection activeCell="F75" sqref="F75"/>
    </sheetView>
  </sheetViews>
  <sheetFormatPr defaultColWidth="9.109375" defaultRowHeight="14.4"/>
  <cols>
    <col min="1" max="1" width="24.33203125" style="210" customWidth="1"/>
    <col min="2" max="2" width="33.88671875" style="201" bestFit="1" customWidth="1"/>
    <col min="3" max="3" width="60.5546875" style="201" customWidth="1"/>
    <col min="4" max="4" width="19.88671875" style="210" customWidth="1"/>
    <col min="5" max="5" width="17.44140625" style="200" customWidth="1"/>
    <col min="6" max="6" width="21" style="210" customWidth="1"/>
    <col min="7" max="7" width="23" style="210" customWidth="1"/>
    <col min="8" max="8" width="27.5546875" style="201" customWidth="1"/>
    <col min="9" max="9" width="19" style="199" customWidth="1"/>
    <col min="10" max="10" width="25.5546875" style="201" customWidth="1"/>
    <col min="11" max="11" width="27" style="201" customWidth="1"/>
    <col min="12" max="12" width="26.6640625" style="198" customWidth="1"/>
    <col min="13" max="13" width="18.109375" style="210" customWidth="1"/>
    <col min="14" max="14" width="36.33203125" style="210" customWidth="1"/>
    <col min="15" max="15" width="19.88671875" style="209" customWidth="1"/>
    <col min="16" max="16" width="20.109375" style="209" customWidth="1"/>
    <col min="17" max="17" width="21.33203125" style="209" customWidth="1"/>
    <col min="18" max="18" width="19.5546875" style="209" customWidth="1"/>
    <col min="19" max="19" width="24.6640625" style="209" customWidth="1"/>
    <col min="20" max="20" width="21.44140625" style="209" customWidth="1"/>
    <col min="21" max="21" width="21.88671875" style="209" customWidth="1"/>
    <col min="22" max="22" width="22.88671875" style="209" customWidth="1"/>
    <col min="23" max="23" width="21.33203125" style="209" customWidth="1"/>
    <col min="24" max="24" width="26.33203125" style="210" customWidth="1"/>
    <col min="25" max="25" width="29.109375" style="210" customWidth="1"/>
    <col min="26" max="26" width="26.109375" style="210" customWidth="1"/>
    <col min="27" max="27" width="47.109375" style="210" customWidth="1"/>
    <col min="28" max="28" width="3.44140625" style="421" customWidth="1"/>
    <col min="29" max="29" width="12.109375" style="421" bestFit="1" customWidth="1"/>
    <col min="30" max="30" width="13.109375" style="210" bestFit="1" customWidth="1"/>
    <col min="31" max="31" width="13.5546875" style="210" bestFit="1" customWidth="1"/>
    <col min="32" max="32" width="12.44140625" style="210" bestFit="1" customWidth="1"/>
    <col min="33" max="33" width="16.6640625" style="210" bestFit="1" customWidth="1"/>
    <col min="34" max="34" width="16.6640625" style="210" customWidth="1"/>
    <col min="35" max="35" width="18" style="210" customWidth="1"/>
    <col min="36" max="36" width="28.88671875" style="210" customWidth="1"/>
    <col min="37" max="37" width="28.5546875" style="210" customWidth="1"/>
    <col min="38" max="38" width="14.33203125" style="210" bestFit="1" customWidth="1"/>
    <col min="39" max="39" width="12.44140625" style="210" bestFit="1" customWidth="1"/>
    <col min="40" max="40" width="37" style="210" customWidth="1"/>
    <col min="41" max="16384" width="9.109375" style="210"/>
  </cols>
  <sheetData>
    <row r="1" spans="2:40" ht="17.399999999999999">
      <c r="B1" s="686" t="s">
        <v>154</v>
      </c>
      <c r="C1" s="686"/>
      <c r="D1" s="686"/>
      <c r="E1" s="686"/>
      <c r="F1" s="686"/>
      <c r="G1" s="686"/>
      <c r="H1" s="686"/>
      <c r="I1" s="686"/>
      <c r="J1" s="686"/>
      <c r="K1" s="686"/>
      <c r="L1" s="686"/>
    </row>
    <row r="2" spans="2:40" ht="17.399999999999999">
      <c r="B2" s="208" t="s">
        <v>155</v>
      </c>
      <c r="C2" s="207">
        <v>42751</v>
      </c>
      <c r="D2" s="206" t="s">
        <v>156</v>
      </c>
      <c r="E2" s="206"/>
      <c r="F2" s="205"/>
      <c r="G2" s="205"/>
      <c r="H2" s="204"/>
      <c r="I2" s="203"/>
      <c r="J2" s="204"/>
      <c r="K2" s="204"/>
      <c r="L2" s="2"/>
    </row>
    <row r="3" spans="2:40" ht="17.399999999999999">
      <c r="B3" s="202"/>
      <c r="C3" s="207">
        <v>42660</v>
      </c>
      <c r="D3" s="206" t="s">
        <v>157</v>
      </c>
      <c r="E3" s="206"/>
      <c r="F3" s="205"/>
      <c r="G3" s="205"/>
      <c r="H3" s="204"/>
      <c r="I3" s="203"/>
      <c r="J3" s="204"/>
      <c r="K3" s="204"/>
      <c r="L3" s="2"/>
    </row>
    <row r="4" spans="2:40" ht="17.399999999999999">
      <c r="B4" s="202"/>
      <c r="C4" s="207">
        <v>42767</v>
      </c>
      <c r="D4" s="205" t="s">
        <v>158</v>
      </c>
      <c r="E4" s="206"/>
      <c r="F4" s="205"/>
      <c r="G4" s="205"/>
      <c r="H4" s="204"/>
      <c r="I4" s="203"/>
      <c r="J4" s="204"/>
      <c r="K4" s="204"/>
      <c r="L4" s="2"/>
    </row>
    <row r="5" spans="2:40" ht="18" thickBot="1">
      <c r="B5" s="204"/>
      <c r="C5" s="207">
        <v>42797</v>
      </c>
      <c r="D5" s="205" t="s">
        <v>159</v>
      </c>
      <c r="E5" s="206"/>
      <c r="F5" s="205"/>
      <c r="G5" s="205"/>
      <c r="H5" s="204"/>
      <c r="I5" s="203"/>
      <c r="J5" s="204"/>
      <c r="K5" s="204"/>
      <c r="L5" s="2"/>
      <c r="AC5" s="687" t="s">
        <v>160</v>
      </c>
      <c r="AD5" s="687"/>
      <c r="AE5" s="687"/>
      <c r="AF5" s="687"/>
      <c r="AG5" s="687"/>
      <c r="AH5" s="687"/>
      <c r="AI5" s="687"/>
      <c r="AJ5" s="687"/>
      <c r="AK5" s="687"/>
      <c r="AL5" s="687"/>
      <c r="AM5" s="687"/>
    </row>
    <row r="6" spans="2:40">
      <c r="AC6" s="688" t="s">
        <v>161</v>
      </c>
      <c r="AD6" s="689"/>
      <c r="AE6" s="689"/>
      <c r="AF6" s="689"/>
      <c r="AG6" s="197" t="s">
        <v>162</v>
      </c>
      <c r="AH6" s="196" t="s">
        <v>163</v>
      </c>
      <c r="AI6" s="690" t="s">
        <v>164</v>
      </c>
      <c r="AJ6" s="691"/>
      <c r="AK6" s="691"/>
      <c r="AL6" s="691"/>
      <c r="AM6" s="692"/>
    </row>
    <row r="7" spans="2:40" ht="15" thickBot="1">
      <c r="C7" s="195"/>
      <c r="AC7" s="194" t="s">
        <v>165</v>
      </c>
      <c r="AD7" s="193" t="s">
        <v>166</v>
      </c>
      <c r="AE7" s="193" t="s">
        <v>167</v>
      </c>
      <c r="AF7" s="193" t="s">
        <v>168</v>
      </c>
      <c r="AG7" s="192" t="s">
        <v>169</v>
      </c>
      <c r="AH7" s="191"/>
      <c r="AI7" s="190"/>
      <c r="AJ7" s="189"/>
      <c r="AK7" s="189"/>
      <c r="AL7" s="189"/>
      <c r="AM7" s="188"/>
    </row>
    <row r="8" spans="2:40" ht="53.4" thickBot="1">
      <c r="B8" s="187" t="s">
        <v>170</v>
      </c>
      <c r="C8" s="186" t="s">
        <v>171</v>
      </c>
      <c r="D8" s="185" t="s">
        <v>172</v>
      </c>
      <c r="E8" s="184" t="s">
        <v>173</v>
      </c>
      <c r="F8" s="183" t="s">
        <v>174</v>
      </c>
      <c r="G8" s="183" t="s">
        <v>175</v>
      </c>
      <c r="H8" s="183" t="s">
        <v>176</v>
      </c>
      <c r="I8" s="183" t="s">
        <v>177</v>
      </c>
      <c r="J8" s="183" t="s">
        <v>178</v>
      </c>
      <c r="K8" s="183" t="s">
        <v>179</v>
      </c>
      <c r="L8" s="182" t="s">
        <v>180</v>
      </c>
      <c r="M8" s="181" t="s">
        <v>181</v>
      </c>
      <c r="N8" s="180" t="s">
        <v>182</v>
      </c>
      <c r="O8" s="179" t="s">
        <v>183</v>
      </c>
      <c r="P8" s="178" t="s">
        <v>184</v>
      </c>
      <c r="Q8" s="178" t="s">
        <v>185</v>
      </c>
      <c r="R8" s="178" t="s">
        <v>186</v>
      </c>
      <c r="S8" s="178" t="s">
        <v>187</v>
      </c>
      <c r="T8" s="177" t="s">
        <v>188</v>
      </c>
      <c r="U8" s="177" t="s">
        <v>189</v>
      </c>
      <c r="V8" s="177" t="s">
        <v>190</v>
      </c>
      <c r="W8" s="177" t="s">
        <v>191</v>
      </c>
      <c r="X8" s="176" t="s">
        <v>192</v>
      </c>
      <c r="Y8" s="175" t="s">
        <v>193</v>
      </c>
      <c r="Z8" s="175" t="s">
        <v>194</v>
      </c>
      <c r="AA8" s="174" t="s">
        <v>195</v>
      </c>
      <c r="AB8" s="173" t="s">
        <v>196</v>
      </c>
      <c r="AC8" s="172" t="s">
        <v>197</v>
      </c>
      <c r="AD8" s="172" t="s">
        <v>198</v>
      </c>
      <c r="AE8" s="172" t="s">
        <v>199</v>
      </c>
      <c r="AF8" s="172" t="s">
        <v>200</v>
      </c>
      <c r="AG8" s="172" t="s">
        <v>201</v>
      </c>
      <c r="AH8" s="172" t="s">
        <v>202</v>
      </c>
      <c r="AI8" s="172" t="s">
        <v>203</v>
      </c>
      <c r="AJ8" s="172" t="s">
        <v>204</v>
      </c>
      <c r="AK8" s="172" t="s">
        <v>205</v>
      </c>
      <c r="AL8" s="172" t="s">
        <v>206</v>
      </c>
      <c r="AM8" s="171" t="s">
        <v>207</v>
      </c>
    </row>
    <row r="9" spans="2:40">
      <c r="B9" s="170" t="s">
        <v>208</v>
      </c>
      <c r="C9" s="169" t="s">
        <v>208</v>
      </c>
      <c r="D9" s="168">
        <v>76670568688</v>
      </c>
      <c r="E9" s="167" t="s">
        <v>209</v>
      </c>
      <c r="F9" s="166" t="s">
        <v>210</v>
      </c>
      <c r="G9" s="166" t="s">
        <v>211</v>
      </c>
      <c r="H9" s="165" t="s">
        <v>212</v>
      </c>
      <c r="I9" s="164" t="s">
        <v>213</v>
      </c>
      <c r="J9" s="165" t="s">
        <v>214</v>
      </c>
      <c r="K9" s="163">
        <v>5</v>
      </c>
      <c r="L9" s="162">
        <v>5</v>
      </c>
      <c r="M9" s="161">
        <v>5</v>
      </c>
      <c r="N9" s="160" t="s">
        <v>215</v>
      </c>
      <c r="O9" s="159" t="s">
        <v>216</v>
      </c>
      <c r="P9" s="158"/>
      <c r="Q9" s="157" t="s">
        <v>217</v>
      </c>
      <c r="R9" s="156" t="s">
        <v>209</v>
      </c>
      <c r="S9" s="155" t="s">
        <v>218</v>
      </c>
      <c r="T9" s="154" t="s">
        <v>219</v>
      </c>
      <c r="U9" s="158"/>
      <c r="V9" s="158" t="s">
        <v>217</v>
      </c>
      <c r="W9" s="158" t="s">
        <v>209</v>
      </c>
      <c r="X9" s="153">
        <v>2601</v>
      </c>
      <c r="Y9" s="154" t="s">
        <v>220</v>
      </c>
      <c r="Z9" s="158" t="s">
        <v>221</v>
      </c>
      <c r="AA9" s="152" t="s">
        <v>222</v>
      </c>
      <c r="AC9" s="151" t="s">
        <v>140</v>
      </c>
      <c r="AD9" s="150" t="s">
        <v>223</v>
      </c>
      <c r="AE9" s="150" t="s">
        <v>223</v>
      </c>
      <c r="AF9" s="149" t="s">
        <v>140</v>
      </c>
      <c r="AG9" s="148" t="s">
        <v>140</v>
      </c>
      <c r="AH9" s="147"/>
      <c r="AI9" s="146" t="s">
        <v>165</v>
      </c>
      <c r="AJ9" s="145" t="s">
        <v>166</v>
      </c>
      <c r="AK9" s="145" t="s">
        <v>167</v>
      </c>
      <c r="AL9" s="144" t="s">
        <v>224</v>
      </c>
      <c r="AM9" s="143"/>
      <c r="AN9" s="142" t="s">
        <v>208</v>
      </c>
    </row>
    <row r="10" spans="2:40">
      <c r="B10" s="170" t="s">
        <v>225</v>
      </c>
      <c r="C10" s="169" t="s">
        <v>225</v>
      </c>
      <c r="D10" s="168">
        <v>76670568688</v>
      </c>
      <c r="E10" s="141" t="s">
        <v>209</v>
      </c>
      <c r="F10" s="140" t="s">
        <v>210</v>
      </c>
      <c r="G10" s="140" t="s">
        <v>211</v>
      </c>
      <c r="H10" s="139" t="s">
        <v>212</v>
      </c>
      <c r="I10" s="138" t="s">
        <v>213</v>
      </c>
      <c r="J10" s="139" t="s">
        <v>214</v>
      </c>
      <c r="K10" s="137">
        <v>5</v>
      </c>
      <c r="L10" s="136">
        <v>5</v>
      </c>
      <c r="M10" s="135">
        <v>5</v>
      </c>
      <c r="N10" s="134" t="s">
        <v>226</v>
      </c>
      <c r="O10" s="133" t="s">
        <v>216</v>
      </c>
      <c r="P10" s="132"/>
      <c r="Q10" s="131" t="s">
        <v>217</v>
      </c>
      <c r="R10" s="130" t="s">
        <v>209</v>
      </c>
      <c r="S10" s="129" t="s">
        <v>218</v>
      </c>
      <c r="T10" s="128" t="s">
        <v>219</v>
      </c>
      <c r="U10" s="132"/>
      <c r="V10" s="132" t="s">
        <v>217</v>
      </c>
      <c r="W10" s="132" t="s">
        <v>209</v>
      </c>
      <c r="X10" s="127">
        <v>2601</v>
      </c>
      <c r="Y10" s="128" t="s">
        <v>220</v>
      </c>
      <c r="Z10" s="132" t="s">
        <v>221</v>
      </c>
      <c r="AA10" s="126" t="s">
        <v>222</v>
      </c>
      <c r="AC10" s="125"/>
      <c r="AD10" s="124"/>
      <c r="AE10" s="124"/>
      <c r="AF10" s="124"/>
      <c r="AG10" s="123"/>
      <c r="AH10" s="122"/>
      <c r="AI10" s="125" t="s">
        <v>165</v>
      </c>
      <c r="AJ10" s="124" t="s">
        <v>166</v>
      </c>
      <c r="AK10" s="124" t="s">
        <v>167</v>
      </c>
      <c r="AL10" s="121" t="s">
        <v>224</v>
      </c>
      <c r="AM10" s="123"/>
      <c r="AN10" s="142" t="s">
        <v>225</v>
      </c>
    </row>
    <row r="11" spans="2:40">
      <c r="B11" s="120" t="s">
        <v>227</v>
      </c>
      <c r="C11" s="119" t="s">
        <v>227</v>
      </c>
      <c r="D11" s="168">
        <v>76670568688</v>
      </c>
      <c r="E11" s="141" t="s">
        <v>209</v>
      </c>
      <c r="F11" s="140" t="s">
        <v>228</v>
      </c>
      <c r="G11" s="140" t="s">
        <v>211</v>
      </c>
      <c r="H11" s="139" t="s">
        <v>229</v>
      </c>
      <c r="I11" s="138" t="s">
        <v>213</v>
      </c>
      <c r="J11" s="139" t="s">
        <v>214</v>
      </c>
      <c r="K11" s="137">
        <v>5</v>
      </c>
      <c r="L11" s="136">
        <v>5</v>
      </c>
      <c r="M11" s="135" t="s">
        <v>230</v>
      </c>
      <c r="N11" s="134"/>
      <c r="O11" s="133" t="s">
        <v>216</v>
      </c>
      <c r="P11" s="132"/>
      <c r="Q11" s="131" t="s">
        <v>217</v>
      </c>
      <c r="R11" s="130" t="s">
        <v>209</v>
      </c>
      <c r="S11" s="129" t="s">
        <v>218</v>
      </c>
      <c r="T11" s="128" t="s">
        <v>219</v>
      </c>
      <c r="U11" s="132"/>
      <c r="V11" s="132" t="s">
        <v>217</v>
      </c>
      <c r="W11" s="132" t="s">
        <v>209</v>
      </c>
      <c r="X11" s="127">
        <v>2601</v>
      </c>
      <c r="Y11" s="128" t="s">
        <v>231</v>
      </c>
      <c r="Z11" s="132" t="s">
        <v>232</v>
      </c>
      <c r="AA11" s="126" t="s">
        <v>233</v>
      </c>
      <c r="AC11" s="125"/>
      <c r="AD11" s="124"/>
      <c r="AE11" s="124"/>
      <c r="AF11" s="124"/>
      <c r="AG11" s="123"/>
      <c r="AH11" s="122"/>
      <c r="AI11" s="125"/>
      <c r="AJ11" s="124"/>
      <c r="AK11" s="124"/>
      <c r="AL11" s="121"/>
      <c r="AM11" s="123"/>
      <c r="AN11" s="118" t="s">
        <v>227</v>
      </c>
    </row>
    <row r="12" spans="2:40">
      <c r="B12" s="117" t="s">
        <v>234</v>
      </c>
      <c r="C12" s="116" t="s">
        <v>235</v>
      </c>
      <c r="D12" s="168">
        <v>94072010327</v>
      </c>
      <c r="E12" s="141" t="s">
        <v>236</v>
      </c>
      <c r="F12" s="115" t="s">
        <v>210</v>
      </c>
      <c r="G12" s="115" t="s">
        <v>237</v>
      </c>
      <c r="H12" s="139" t="s">
        <v>238</v>
      </c>
      <c r="I12" s="138" t="s">
        <v>213</v>
      </c>
      <c r="J12" s="139" t="s">
        <v>239</v>
      </c>
      <c r="K12" s="114">
        <v>5</v>
      </c>
      <c r="L12" s="113">
        <v>5</v>
      </c>
      <c r="M12" s="112" t="s">
        <v>230</v>
      </c>
      <c r="N12" s="111" t="s">
        <v>238</v>
      </c>
      <c r="O12" s="110" t="s">
        <v>240</v>
      </c>
      <c r="P12" s="109" t="s">
        <v>241</v>
      </c>
      <c r="Q12" s="109" t="s">
        <v>242</v>
      </c>
      <c r="R12" s="108" t="s">
        <v>243</v>
      </c>
      <c r="S12" s="107" t="s">
        <v>244</v>
      </c>
      <c r="T12" s="110" t="s">
        <v>245</v>
      </c>
      <c r="U12" s="109"/>
      <c r="V12" s="109" t="s">
        <v>242</v>
      </c>
      <c r="W12" s="109" t="s">
        <v>243</v>
      </c>
      <c r="X12" s="107" t="s">
        <v>246</v>
      </c>
      <c r="Y12" s="128"/>
      <c r="Z12" s="132"/>
      <c r="AA12" s="126"/>
      <c r="AC12" s="125"/>
      <c r="AD12" s="124"/>
      <c r="AE12" s="124"/>
      <c r="AF12" s="124"/>
      <c r="AG12" s="123"/>
      <c r="AH12" s="122"/>
      <c r="AI12" s="125"/>
      <c r="AJ12" s="124"/>
      <c r="AK12" s="124"/>
      <c r="AL12" s="121"/>
      <c r="AM12" s="123"/>
      <c r="AN12" s="118" t="s">
        <v>234</v>
      </c>
    </row>
    <row r="13" spans="2:40">
      <c r="B13" s="106" t="s">
        <v>247</v>
      </c>
      <c r="C13" s="105" t="s">
        <v>248</v>
      </c>
      <c r="D13" s="104">
        <v>19078551685</v>
      </c>
      <c r="E13" s="141" t="s">
        <v>236</v>
      </c>
      <c r="F13" s="140" t="s">
        <v>228</v>
      </c>
      <c r="G13" s="140" t="s">
        <v>211</v>
      </c>
      <c r="H13" s="103" t="s">
        <v>229</v>
      </c>
      <c r="I13" s="102" t="s">
        <v>249</v>
      </c>
      <c r="J13" s="140" t="s">
        <v>250</v>
      </c>
      <c r="K13" s="137">
        <v>5</v>
      </c>
      <c r="L13" s="136">
        <v>5</v>
      </c>
      <c r="M13" s="135" t="s">
        <v>230</v>
      </c>
      <c r="N13" s="101"/>
      <c r="O13" s="128" t="s">
        <v>251</v>
      </c>
      <c r="P13" s="132" t="s">
        <v>252</v>
      </c>
      <c r="Q13" s="132" t="s">
        <v>253</v>
      </c>
      <c r="R13" s="100" t="s">
        <v>254</v>
      </c>
      <c r="S13" s="129" t="s">
        <v>255</v>
      </c>
      <c r="T13" s="128" t="s">
        <v>256</v>
      </c>
      <c r="U13" s="132" t="s">
        <v>257</v>
      </c>
      <c r="V13" s="132" t="s">
        <v>253</v>
      </c>
      <c r="W13" s="132" t="s">
        <v>254</v>
      </c>
      <c r="X13" s="129" t="s">
        <v>255</v>
      </c>
      <c r="Y13" s="128" t="s">
        <v>258</v>
      </c>
      <c r="Z13" s="132" t="s">
        <v>259</v>
      </c>
      <c r="AA13" s="126" t="s">
        <v>260</v>
      </c>
      <c r="AC13" s="125"/>
      <c r="AD13" s="124"/>
      <c r="AE13" s="124"/>
      <c r="AF13" s="124"/>
      <c r="AG13" s="123"/>
      <c r="AH13" s="122"/>
      <c r="AI13" s="125" t="s">
        <v>165</v>
      </c>
      <c r="AJ13" s="124" t="s">
        <v>166</v>
      </c>
      <c r="AK13" s="124" t="s">
        <v>167</v>
      </c>
      <c r="AL13" s="121" t="s">
        <v>224</v>
      </c>
      <c r="AM13" s="123"/>
      <c r="AN13" s="99" t="s">
        <v>261</v>
      </c>
    </row>
    <row r="14" spans="2:40">
      <c r="B14" s="106" t="s">
        <v>261</v>
      </c>
      <c r="C14" s="105" t="s">
        <v>262</v>
      </c>
      <c r="D14" s="104">
        <v>19078551685</v>
      </c>
      <c r="E14" s="141" t="s">
        <v>236</v>
      </c>
      <c r="F14" s="140" t="s">
        <v>228</v>
      </c>
      <c r="G14" s="140" t="s">
        <v>211</v>
      </c>
      <c r="H14" s="103" t="s">
        <v>229</v>
      </c>
      <c r="I14" s="102" t="s">
        <v>249</v>
      </c>
      <c r="J14" s="140" t="s">
        <v>250</v>
      </c>
      <c r="K14" s="137">
        <v>5</v>
      </c>
      <c r="L14" s="136">
        <v>5</v>
      </c>
      <c r="M14" s="135" t="s">
        <v>230</v>
      </c>
      <c r="N14" s="101"/>
      <c r="O14" s="128" t="s">
        <v>251</v>
      </c>
      <c r="P14" s="132" t="s">
        <v>252</v>
      </c>
      <c r="Q14" s="132" t="s">
        <v>253</v>
      </c>
      <c r="R14" s="100" t="s">
        <v>254</v>
      </c>
      <c r="S14" s="129" t="s">
        <v>255</v>
      </c>
      <c r="T14" s="128" t="s">
        <v>256</v>
      </c>
      <c r="U14" s="132" t="s">
        <v>257</v>
      </c>
      <c r="V14" s="132" t="s">
        <v>253</v>
      </c>
      <c r="W14" s="132" t="s">
        <v>254</v>
      </c>
      <c r="X14" s="129" t="s">
        <v>255</v>
      </c>
      <c r="Y14" s="128" t="s">
        <v>258</v>
      </c>
      <c r="Z14" s="132" t="s">
        <v>259</v>
      </c>
      <c r="AA14" s="126" t="s">
        <v>260</v>
      </c>
      <c r="AC14" s="125"/>
      <c r="AD14" s="124"/>
      <c r="AE14" s="124"/>
      <c r="AF14" s="124"/>
      <c r="AG14" s="123"/>
      <c r="AH14" s="122"/>
      <c r="AI14" s="125" t="s">
        <v>165</v>
      </c>
      <c r="AJ14" s="124" t="s">
        <v>166</v>
      </c>
      <c r="AK14" s="124" t="s">
        <v>167</v>
      </c>
      <c r="AL14" s="121" t="s">
        <v>224</v>
      </c>
      <c r="AM14" s="123"/>
      <c r="AN14" s="99"/>
    </row>
    <row r="15" spans="2:40">
      <c r="B15" s="106" t="s">
        <v>263</v>
      </c>
      <c r="C15" s="105" t="s">
        <v>264</v>
      </c>
      <c r="D15" s="104">
        <v>19078551685</v>
      </c>
      <c r="E15" s="141" t="s">
        <v>254</v>
      </c>
      <c r="F15" s="140" t="s">
        <v>228</v>
      </c>
      <c r="G15" s="140" t="s">
        <v>211</v>
      </c>
      <c r="H15" s="139" t="s">
        <v>229</v>
      </c>
      <c r="I15" s="138" t="s">
        <v>213</v>
      </c>
      <c r="J15" s="139" t="s">
        <v>214</v>
      </c>
      <c r="K15" s="137">
        <v>5</v>
      </c>
      <c r="L15" s="136">
        <v>5</v>
      </c>
      <c r="M15" s="135">
        <v>5</v>
      </c>
      <c r="N15" s="134" t="s">
        <v>226</v>
      </c>
      <c r="O15" s="128" t="s">
        <v>251</v>
      </c>
      <c r="P15" s="132" t="s">
        <v>252</v>
      </c>
      <c r="Q15" s="132" t="s">
        <v>253</v>
      </c>
      <c r="R15" s="100" t="s">
        <v>254</v>
      </c>
      <c r="S15" s="129" t="s">
        <v>255</v>
      </c>
      <c r="T15" s="128" t="s">
        <v>256</v>
      </c>
      <c r="U15" s="132" t="s">
        <v>257</v>
      </c>
      <c r="V15" s="132" t="s">
        <v>253</v>
      </c>
      <c r="W15" s="132" t="s">
        <v>254</v>
      </c>
      <c r="X15" s="129" t="s">
        <v>255</v>
      </c>
      <c r="Y15" s="128" t="s">
        <v>258</v>
      </c>
      <c r="Z15" s="132" t="s">
        <v>259</v>
      </c>
      <c r="AA15" s="126" t="s">
        <v>260</v>
      </c>
      <c r="AC15" s="98"/>
      <c r="AD15" s="97"/>
      <c r="AE15" s="97"/>
      <c r="AF15" s="97"/>
      <c r="AG15" s="96"/>
      <c r="AH15" s="95"/>
      <c r="AI15" s="125"/>
      <c r="AJ15" s="124"/>
      <c r="AK15" s="124"/>
      <c r="AL15" s="121"/>
      <c r="AM15" s="123"/>
      <c r="AN15" s="99" t="s">
        <v>263</v>
      </c>
    </row>
    <row r="16" spans="2:40">
      <c r="B16" s="106" t="s">
        <v>265</v>
      </c>
      <c r="C16" s="105" t="s">
        <v>266</v>
      </c>
      <c r="D16" s="104">
        <v>19078551685</v>
      </c>
      <c r="E16" s="141" t="s">
        <v>236</v>
      </c>
      <c r="F16" s="140" t="s">
        <v>228</v>
      </c>
      <c r="G16" s="140" t="s">
        <v>211</v>
      </c>
      <c r="H16" s="103" t="s">
        <v>229</v>
      </c>
      <c r="I16" s="102" t="s">
        <v>249</v>
      </c>
      <c r="J16" s="140" t="s">
        <v>250</v>
      </c>
      <c r="K16" s="137">
        <v>5</v>
      </c>
      <c r="L16" s="136">
        <v>5</v>
      </c>
      <c r="M16" s="135" t="s">
        <v>230</v>
      </c>
      <c r="N16" s="101"/>
      <c r="O16" s="128"/>
      <c r="P16" s="132"/>
      <c r="Q16" s="132"/>
      <c r="R16" s="132"/>
      <c r="S16" s="129"/>
      <c r="T16" s="128"/>
      <c r="U16" s="132"/>
      <c r="V16" s="132"/>
      <c r="W16" s="132"/>
      <c r="X16" s="127"/>
      <c r="Y16" s="125"/>
      <c r="Z16" s="124"/>
      <c r="AA16" s="123"/>
      <c r="AC16" s="98"/>
      <c r="AD16" s="97"/>
      <c r="AE16" s="97"/>
      <c r="AF16" s="97"/>
      <c r="AG16" s="96"/>
      <c r="AH16" s="95"/>
      <c r="AI16" s="125"/>
      <c r="AJ16" s="124"/>
      <c r="AK16" s="124"/>
      <c r="AL16" s="121"/>
      <c r="AM16" s="123"/>
      <c r="AN16" s="99" t="s">
        <v>265</v>
      </c>
    </row>
    <row r="17" spans="2:40">
      <c r="B17" s="106" t="s">
        <v>267</v>
      </c>
      <c r="C17" s="105" t="s">
        <v>268</v>
      </c>
      <c r="D17" s="104">
        <v>39009737393</v>
      </c>
      <c r="E17" s="141" t="s">
        <v>269</v>
      </c>
      <c r="F17" s="140" t="s">
        <v>228</v>
      </c>
      <c r="G17" s="140" t="s">
        <v>237</v>
      </c>
      <c r="H17" s="139" t="s">
        <v>229</v>
      </c>
      <c r="I17" s="138" t="s">
        <v>213</v>
      </c>
      <c r="J17" s="139" t="s">
        <v>214</v>
      </c>
      <c r="K17" s="137">
        <v>5</v>
      </c>
      <c r="L17" s="136">
        <v>5</v>
      </c>
      <c r="M17" s="135" t="s">
        <v>230</v>
      </c>
      <c r="N17" s="134" t="s">
        <v>270</v>
      </c>
      <c r="O17" s="128" t="s">
        <v>271</v>
      </c>
      <c r="P17" s="132" t="s">
        <v>272</v>
      </c>
      <c r="Q17" s="132" t="s">
        <v>273</v>
      </c>
      <c r="R17" s="100" t="s">
        <v>274</v>
      </c>
      <c r="S17" s="129" t="s">
        <v>275</v>
      </c>
      <c r="T17" s="128" t="s">
        <v>271</v>
      </c>
      <c r="U17" s="132" t="s">
        <v>272</v>
      </c>
      <c r="V17" s="132" t="s">
        <v>273</v>
      </c>
      <c r="W17" s="100" t="s">
        <v>274</v>
      </c>
      <c r="X17" s="129" t="s">
        <v>275</v>
      </c>
      <c r="Y17" s="128" t="s">
        <v>276</v>
      </c>
      <c r="Z17" s="132" t="s">
        <v>277</v>
      </c>
      <c r="AA17" s="126" t="s">
        <v>278</v>
      </c>
      <c r="AC17" s="94"/>
      <c r="AD17" s="93"/>
      <c r="AE17" s="93"/>
      <c r="AF17" s="93"/>
      <c r="AG17" s="92"/>
      <c r="AH17" s="122"/>
      <c r="AI17" s="125"/>
      <c r="AJ17" s="124"/>
      <c r="AK17" s="124"/>
      <c r="AL17" s="121"/>
      <c r="AM17" s="123"/>
      <c r="AN17" s="99" t="s">
        <v>267</v>
      </c>
    </row>
    <row r="18" spans="2:40">
      <c r="B18" s="106" t="s">
        <v>279</v>
      </c>
      <c r="C18" s="105" t="s">
        <v>280</v>
      </c>
      <c r="D18" s="91" t="s">
        <v>281</v>
      </c>
      <c r="E18" s="141" t="s">
        <v>236</v>
      </c>
      <c r="F18" s="140" t="s">
        <v>228</v>
      </c>
      <c r="G18" s="140" t="s">
        <v>237</v>
      </c>
      <c r="H18" s="103" t="s">
        <v>229</v>
      </c>
      <c r="I18" s="138" t="s">
        <v>249</v>
      </c>
      <c r="J18" s="139" t="s">
        <v>250</v>
      </c>
      <c r="K18" s="137">
        <v>5</v>
      </c>
      <c r="L18" s="90">
        <v>5</v>
      </c>
      <c r="M18" s="135" t="s">
        <v>230</v>
      </c>
      <c r="N18" s="134"/>
      <c r="O18" s="128" t="s">
        <v>271</v>
      </c>
      <c r="P18" s="132" t="s">
        <v>272</v>
      </c>
      <c r="Q18" s="132" t="s">
        <v>273</v>
      </c>
      <c r="R18" s="100" t="s">
        <v>274</v>
      </c>
      <c r="S18" s="129" t="s">
        <v>275</v>
      </c>
      <c r="T18" s="128" t="s">
        <v>282</v>
      </c>
      <c r="U18" s="132"/>
      <c r="V18" s="132" t="s">
        <v>283</v>
      </c>
      <c r="W18" s="100" t="s">
        <v>274</v>
      </c>
      <c r="X18" s="129" t="s">
        <v>284</v>
      </c>
      <c r="Y18" s="128"/>
      <c r="Z18" s="132" t="s">
        <v>285</v>
      </c>
      <c r="AA18" s="126"/>
      <c r="AC18" s="125"/>
      <c r="AD18" s="124"/>
      <c r="AE18" s="124"/>
      <c r="AF18" s="124"/>
      <c r="AG18" s="123"/>
      <c r="AH18" s="122"/>
      <c r="AI18" s="125"/>
      <c r="AJ18" s="124"/>
      <c r="AK18" s="124"/>
      <c r="AL18" s="121"/>
      <c r="AM18" s="123"/>
      <c r="AN18" s="99" t="s">
        <v>279</v>
      </c>
    </row>
    <row r="19" spans="2:40">
      <c r="B19" s="117" t="s">
        <v>286</v>
      </c>
      <c r="C19" s="105" t="s">
        <v>286</v>
      </c>
      <c r="D19" s="104">
        <v>78508211731</v>
      </c>
      <c r="E19" s="141" t="s">
        <v>274</v>
      </c>
      <c r="F19" s="140" t="s">
        <v>210</v>
      </c>
      <c r="G19" s="140" t="s">
        <v>211</v>
      </c>
      <c r="H19" s="139" t="s">
        <v>212</v>
      </c>
      <c r="I19" s="138" t="s">
        <v>213</v>
      </c>
      <c r="J19" s="139" t="s">
        <v>214</v>
      </c>
      <c r="K19" s="137">
        <v>5</v>
      </c>
      <c r="L19" s="136">
        <v>5</v>
      </c>
      <c r="M19" s="135">
        <v>5</v>
      </c>
      <c r="N19" s="101" t="s">
        <v>215</v>
      </c>
      <c r="O19" s="128" t="s">
        <v>287</v>
      </c>
      <c r="P19" s="132"/>
      <c r="Q19" s="132" t="s">
        <v>273</v>
      </c>
      <c r="R19" s="100" t="s">
        <v>274</v>
      </c>
      <c r="S19" s="129">
        <v>2000</v>
      </c>
      <c r="T19" s="128" t="s">
        <v>288</v>
      </c>
      <c r="U19" s="132"/>
      <c r="V19" s="132" t="s">
        <v>273</v>
      </c>
      <c r="W19" s="132" t="s">
        <v>274</v>
      </c>
      <c r="X19" s="129" t="s">
        <v>289</v>
      </c>
      <c r="Y19" s="128" t="s">
        <v>290</v>
      </c>
      <c r="Z19" s="132" t="s">
        <v>291</v>
      </c>
      <c r="AA19" s="126" t="s">
        <v>292</v>
      </c>
      <c r="AC19" s="89" t="s">
        <v>223</v>
      </c>
      <c r="AD19" s="88" t="s">
        <v>223</v>
      </c>
      <c r="AE19" s="88" t="s">
        <v>223</v>
      </c>
      <c r="AF19" s="88" t="s">
        <v>223</v>
      </c>
      <c r="AG19" s="87" t="s">
        <v>140</v>
      </c>
      <c r="AH19" s="4"/>
      <c r="AI19" s="125" t="s">
        <v>165</v>
      </c>
      <c r="AJ19" s="124" t="s">
        <v>166</v>
      </c>
      <c r="AK19" s="124" t="s">
        <v>167</v>
      </c>
      <c r="AL19" s="121" t="s">
        <v>224</v>
      </c>
      <c r="AM19" s="123"/>
      <c r="AN19" s="8" t="s">
        <v>286</v>
      </c>
    </row>
    <row r="20" spans="2:40">
      <c r="B20" s="117" t="s">
        <v>293</v>
      </c>
      <c r="C20" s="105" t="s">
        <v>293</v>
      </c>
      <c r="D20" s="168">
        <v>67505337385</v>
      </c>
      <c r="E20" s="141" t="s">
        <v>274</v>
      </c>
      <c r="F20" s="140" t="s">
        <v>210</v>
      </c>
      <c r="G20" s="140" t="s">
        <v>211</v>
      </c>
      <c r="H20" s="139" t="s">
        <v>212</v>
      </c>
      <c r="I20" s="138" t="s">
        <v>213</v>
      </c>
      <c r="J20" s="139" t="s">
        <v>214</v>
      </c>
      <c r="K20" s="137">
        <v>5</v>
      </c>
      <c r="L20" s="136">
        <v>5</v>
      </c>
      <c r="M20" s="135">
        <v>5</v>
      </c>
      <c r="N20" s="134" t="s">
        <v>226</v>
      </c>
      <c r="O20" s="128"/>
      <c r="P20" s="132"/>
      <c r="Q20" s="132"/>
      <c r="R20" s="100" t="s">
        <v>274</v>
      </c>
      <c r="S20" s="129"/>
      <c r="T20" s="128"/>
      <c r="U20" s="132"/>
      <c r="V20" s="132"/>
      <c r="W20" s="132"/>
      <c r="X20" s="129"/>
      <c r="Y20" s="128"/>
      <c r="Z20" s="132"/>
      <c r="AA20" s="126"/>
      <c r="AC20" s="125"/>
      <c r="AD20" s="124"/>
      <c r="AE20" s="124"/>
      <c r="AF20" s="124"/>
      <c r="AG20" s="123"/>
      <c r="AH20" s="122"/>
      <c r="AI20" s="125" t="s">
        <v>165</v>
      </c>
      <c r="AJ20" s="124" t="s">
        <v>166</v>
      </c>
      <c r="AK20" s="124" t="s">
        <v>167</v>
      </c>
      <c r="AL20" s="121" t="s">
        <v>224</v>
      </c>
      <c r="AM20" s="123"/>
      <c r="AN20" s="8" t="s">
        <v>293</v>
      </c>
    </row>
    <row r="21" spans="2:40" ht="15" customHeight="1">
      <c r="B21" s="117" t="s">
        <v>294</v>
      </c>
      <c r="C21" s="105" t="s">
        <v>295</v>
      </c>
      <c r="D21" s="104">
        <v>91064651118</v>
      </c>
      <c r="E21" s="141" t="s">
        <v>236</v>
      </c>
      <c r="F21" s="140" t="s">
        <v>210</v>
      </c>
      <c r="G21" s="140" t="s">
        <v>211</v>
      </c>
      <c r="H21" s="139" t="s">
        <v>212</v>
      </c>
      <c r="I21" s="138" t="s">
        <v>249</v>
      </c>
      <c r="J21" s="139" t="s">
        <v>250</v>
      </c>
      <c r="K21" s="137">
        <v>5</v>
      </c>
      <c r="L21" s="136">
        <v>5</v>
      </c>
      <c r="M21" s="135">
        <v>2</v>
      </c>
      <c r="N21" s="101" t="s">
        <v>296</v>
      </c>
      <c r="O21" s="128" t="s">
        <v>297</v>
      </c>
      <c r="P21" s="132" t="s">
        <v>298</v>
      </c>
      <c r="Q21" s="132" t="s">
        <v>299</v>
      </c>
      <c r="R21" s="132" t="s">
        <v>236</v>
      </c>
      <c r="S21" s="129" t="s">
        <v>300</v>
      </c>
      <c r="T21" s="86" t="s">
        <v>301</v>
      </c>
      <c r="U21" s="132"/>
      <c r="V21" s="132" t="s">
        <v>302</v>
      </c>
      <c r="W21" s="132" t="s">
        <v>243</v>
      </c>
      <c r="X21" s="129">
        <v>8001</v>
      </c>
      <c r="Y21" s="128"/>
      <c r="Z21" s="85"/>
      <c r="AA21" s="84"/>
      <c r="AC21" s="83"/>
      <c r="AD21" s="88" t="s">
        <v>223</v>
      </c>
      <c r="AE21" s="88" t="s">
        <v>223</v>
      </c>
      <c r="AF21" s="88" t="s">
        <v>223</v>
      </c>
      <c r="AG21" s="87" t="s">
        <v>140</v>
      </c>
      <c r="AH21" s="4"/>
      <c r="AI21" s="125" t="s">
        <v>165</v>
      </c>
      <c r="AJ21" s="124" t="s">
        <v>166</v>
      </c>
      <c r="AK21" s="124" t="s">
        <v>167</v>
      </c>
      <c r="AL21" s="121" t="s">
        <v>224</v>
      </c>
      <c r="AM21" s="123"/>
      <c r="AN21" s="8" t="s">
        <v>294</v>
      </c>
    </row>
    <row r="22" spans="2:40" ht="15" customHeight="1">
      <c r="B22" s="106" t="s">
        <v>303</v>
      </c>
      <c r="C22" s="105" t="s">
        <v>304</v>
      </c>
      <c r="D22" s="91" t="s">
        <v>305</v>
      </c>
      <c r="E22" s="141" t="s">
        <v>236</v>
      </c>
      <c r="F22" s="140" t="s">
        <v>228</v>
      </c>
      <c r="G22" s="140" t="s">
        <v>211</v>
      </c>
      <c r="H22" s="103" t="s">
        <v>229</v>
      </c>
      <c r="I22" s="138" t="s">
        <v>249</v>
      </c>
      <c r="J22" s="139" t="s">
        <v>250</v>
      </c>
      <c r="K22" s="137">
        <v>5</v>
      </c>
      <c r="L22" s="136">
        <v>5</v>
      </c>
      <c r="M22" s="135" t="s">
        <v>306</v>
      </c>
      <c r="N22" s="101"/>
      <c r="O22" s="128" t="s">
        <v>271</v>
      </c>
      <c r="P22" s="132" t="s">
        <v>272</v>
      </c>
      <c r="Q22" s="132" t="s">
        <v>273</v>
      </c>
      <c r="R22" s="132" t="s">
        <v>274</v>
      </c>
      <c r="S22" s="129" t="s">
        <v>275</v>
      </c>
      <c r="T22" s="86" t="s">
        <v>282</v>
      </c>
      <c r="U22" s="132"/>
      <c r="V22" s="132" t="s">
        <v>283</v>
      </c>
      <c r="W22" s="132" t="s">
        <v>274</v>
      </c>
      <c r="X22" s="129" t="s">
        <v>284</v>
      </c>
      <c r="Y22" s="128" t="s">
        <v>276</v>
      </c>
      <c r="Z22" s="82" t="s">
        <v>277</v>
      </c>
      <c r="AA22" s="84" t="s">
        <v>278</v>
      </c>
      <c r="AC22" s="83"/>
      <c r="AD22" s="88"/>
      <c r="AE22" s="88"/>
      <c r="AF22" s="88"/>
      <c r="AG22" s="87"/>
      <c r="AH22" s="122"/>
      <c r="AI22" s="125"/>
      <c r="AJ22" s="124"/>
      <c r="AK22" s="124"/>
      <c r="AL22" s="121"/>
      <c r="AM22" s="123"/>
      <c r="AN22" s="99" t="s">
        <v>303</v>
      </c>
    </row>
    <row r="23" spans="2:40">
      <c r="B23" s="117" t="s">
        <v>307</v>
      </c>
      <c r="C23" s="81" t="s">
        <v>308</v>
      </c>
      <c r="D23" s="80">
        <v>48116124362</v>
      </c>
      <c r="E23" s="141" t="s">
        <v>236</v>
      </c>
      <c r="F23" s="140" t="s">
        <v>210</v>
      </c>
      <c r="G23" s="140" t="s">
        <v>237</v>
      </c>
      <c r="H23" s="139" t="s">
        <v>212</v>
      </c>
      <c r="I23" s="138" t="s">
        <v>213</v>
      </c>
      <c r="J23" s="139" t="s">
        <v>239</v>
      </c>
      <c r="K23" s="137">
        <v>5</v>
      </c>
      <c r="L23" s="79">
        <v>5</v>
      </c>
      <c r="M23" s="135">
        <v>2</v>
      </c>
      <c r="N23" s="134" t="s">
        <v>309</v>
      </c>
      <c r="O23" s="128" t="s">
        <v>297</v>
      </c>
      <c r="P23" s="132" t="s">
        <v>298</v>
      </c>
      <c r="Q23" s="132" t="s">
        <v>299</v>
      </c>
      <c r="R23" s="132" t="s">
        <v>236</v>
      </c>
      <c r="S23" s="129" t="s">
        <v>300</v>
      </c>
      <c r="T23" s="128" t="s">
        <v>301</v>
      </c>
      <c r="U23" s="132"/>
      <c r="V23" s="132" t="s">
        <v>302</v>
      </c>
      <c r="W23" s="132" t="s">
        <v>236</v>
      </c>
      <c r="X23" s="129" t="s">
        <v>310</v>
      </c>
      <c r="Y23" s="128" t="s">
        <v>311</v>
      </c>
      <c r="Z23" s="85" t="s">
        <v>312</v>
      </c>
      <c r="AA23" s="84" t="s">
        <v>313</v>
      </c>
      <c r="AC23" s="125"/>
      <c r="AD23" s="124"/>
      <c r="AE23" s="124"/>
      <c r="AF23" s="124"/>
      <c r="AG23" s="123"/>
      <c r="AH23" s="122"/>
      <c r="AI23" s="125" t="s">
        <v>165</v>
      </c>
      <c r="AJ23" s="124" t="s">
        <v>166</v>
      </c>
      <c r="AK23" s="124" t="s">
        <v>167</v>
      </c>
      <c r="AL23" s="121" t="s">
        <v>224</v>
      </c>
      <c r="AM23" s="123"/>
      <c r="AN23" s="8" t="s">
        <v>307</v>
      </c>
    </row>
    <row r="24" spans="2:40">
      <c r="B24" s="78" t="s">
        <v>21</v>
      </c>
      <c r="C24" s="77" t="s">
        <v>21</v>
      </c>
      <c r="D24" s="76">
        <v>11222333444</v>
      </c>
      <c r="E24" s="75" t="s">
        <v>238</v>
      </c>
      <c r="F24" s="74" t="s">
        <v>210</v>
      </c>
      <c r="G24" s="74" t="s">
        <v>211</v>
      </c>
      <c r="H24" s="74" t="s">
        <v>212</v>
      </c>
      <c r="I24" s="73" t="s">
        <v>213</v>
      </c>
      <c r="J24" s="74" t="s">
        <v>214</v>
      </c>
      <c r="K24" s="72">
        <v>5</v>
      </c>
      <c r="L24" s="71">
        <v>5</v>
      </c>
      <c r="M24" s="70">
        <v>2</v>
      </c>
      <c r="N24" s="69" t="s">
        <v>226</v>
      </c>
      <c r="O24" s="68" t="s">
        <v>314</v>
      </c>
      <c r="P24" s="67"/>
      <c r="Q24" s="67" t="s">
        <v>273</v>
      </c>
      <c r="R24" s="66" t="s">
        <v>274</v>
      </c>
      <c r="S24" s="65" t="s">
        <v>275</v>
      </c>
      <c r="T24" s="68" t="s">
        <v>315</v>
      </c>
      <c r="U24" s="67"/>
      <c r="V24" s="67" t="s">
        <v>273</v>
      </c>
      <c r="W24" s="67" t="s">
        <v>274</v>
      </c>
      <c r="X24" s="65">
        <v>2000</v>
      </c>
      <c r="Y24" s="68" t="s">
        <v>316</v>
      </c>
      <c r="Z24" s="67" t="s">
        <v>317</v>
      </c>
      <c r="AA24" s="64" t="s">
        <v>318</v>
      </c>
      <c r="AC24" s="125"/>
      <c r="AD24" s="124"/>
      <c r="AE24" s="124"/>
      <c r="AF24" s="124"/>
      <c r="AG24" s="123"/>
      <c r="AH24" s="122"/>
      <c r="AI24" s="125" t="s">
        <v>165</v>
      </c>
      <c r="AJ24" s="124" t="s">
        <v>166</v>
      </c>
      <c r="AK24" s="124" t="s">
        <v>167</v>
      </c>
      <c r="AL24" s="121" t="s">
        <v>224</v>
      </c>
      <c r="AM24" s="123"/>
      <c r="AN24" s="63" t="s">
        <v>21</v>
      </c>
    </row>
    <row r="25" spans="2:40">
      <c r="B25" s="78" t="s">
        <v>319</v>
      </c>
      <c r="C25" s="77" t="s">
        <v>320</v>
      </c>
      <c r="D25" s="76">
        <v>11222333444</v>
      </c>
      <c r="E25" s="75" t="s">
        <v>236</v>
      </c>
      <c r="F25" s="74" t="s">
        <v>210</v>
      </c>
      <c r="G25" s="74" t="s">
        <v>211</v>
      </c>
      <c r="H25" s="74" t="s">
        <v>212</v>
      </c>
      <c r="I25" s="73" t="s">
        <v>249</v>
      </c>
      <c r="J25" s="74" t="s">
        <v>250</v>
      </c>
      <c r="K25" s="72">
        <v>5</v>
      </c>
      <c r="L25" s="71">
        <v>5</v>
      </c>
      <c r="M25" s="70">
        <v>2</v>
      </c>
      <c r="N25" s="69" t="s">
        <v>226</v>
      </c>
      <c r="O25" s="68" t="s">
        <v>314</v>
      </c>
      <c r="P25" s="67"/>
      <c r="Q25" s="67" t="s">
        <v>242</v>
      </c>
      <c r="R25" s="66" t="s">
        <v>236</v>
      </c>
      <c r="S25" s="65" t="s">
        <v>244</v>
      </c>
      <c r="T25" s="68" t="s">
        <v>315</v>
      </c>
      <c r="U25" s="67"/>
      <c r="V25" s="67" t="s">
        <v>242</v>
      </c>
      <c r="W25" s="67" t="s">
        <v>243</v>
      </c>
      <c r="X25" s="65" t="s">
        <v>244</v>
      </c>
      <c r="Y25" s="68" t="s">
        <v>316</v>
      </c>
      <c r="Z25" s="67" t="s">
        <v>317</v>
      </c>
      <c r="AA25" s="64" t="s">
        <v>318</v>
      </c>
      <c r="AC25" s="125"/>
      <c r="AD25" s="124"/>
      <c r="AE25" s="124"/>
      <c r="AF25" s="124"/>
      <c r="AG25" s="123"/>
      <c r="AH25" s="122"/>
      <c r="AI25" s="125" t="s">
        <v>165</v>
      </c>
      <c r="AJ25" s="124" t="s">
        <v>166</v>
      </c>
      <c r="AK25" s="124" t="s">
        <v>167</v>
      </c>
      <c r="AL25" s="121" t="s">
        <v>224</v>
      </c>
      <c r="AM25" s="123"/>
      <c r="AN25" s="63" t="s">
        <v>319</v>
      </c>
    </row>
    <row r="26" spans="2:40">
      <c r="B26" s="78" t="s">
        <v>321</v>
      </c>
      <c r="C26" s="77" t="s">
        <v>321</v>
      </c>
      <c r="D26" s="76">
        <v>11222333444</v>
      </c>
      <c r="E26" s="75" t="s">
        <v>238</v>
      </c>
      <c r="F26" s="74" t="s">
        <v>210</v>
      </c>
      <c r="G26" s="74" t="s">
        <v>237</v>
      </c>
      <c r="H26" s="62" t="s">
        <v>212</v>
      </c>
      <c r="I26" s="61" t="s">
        <v>213</v>
      </c>
      <c r="J26" s="62" t="s">
        <v>214</v>
      </c>
      <c r="K26" s="60">
        <v>5</v>
      </c>
      <c r="L26" s="59">
        <v>5</v>
      </c>
      <c r="M26" s="70">
        <v>5</v>
      </c>
      <c r="N26" s="69" t="s">
        <v>309</v>
      </c>
      <c r="O26" s="68" t="s">
        <v>314</v>
      </c>
      <c r="P26" s="67"/>
      <c r="Q26" s="67" t="s">
        <v>273</v>
      </c>
      <c r="R26" s="66" t="s">
        <v>274</v>
      </c>
      <c r="S26" s="65" t="s">
        <v>275</v>
      </c>
      <c r="T26" s="68" t="s">
        <v>315</v>
      </c>
      <c r="U26" s="67"/>
      <c r="V26" s="67" t="s">
        <v>273</v>
      </c>
      <c r="W26" s="67" t="s">
        <v>274</v>
      </c>
      <c r="X26" s="65">
        <v>2000</v>
      </c>
      <c r="Y26" s="68" t="s">
        <v>316</v>
      </c>
      <c r="Z26" s="67" t="s">
        <v>317</v>
      </c>
      <c r="AA26" s="64" t="s">
        <v>318</v>
      </c>
      <c r="AC26" s="125"/>
      <c r="AD26" s="124"/>
      <c r="AE26" s="124"/>
      <c r="AF26" s="124"/>
      <c r="AG26" s="123"/>
      <c r="AH26" s="122"/>
      <c r="AI26" s="125" t="s">
        <v>165</v>
      </c>
      <c r="AJ26" s="124" t="s">
        <v>166</v>
      </c>
      <c r="AK26" s="124" t="s">
        <v>167</v>
      </c>
      <c r="AL26" s="121" t="s">
        <v>224</v>
      </c>
      <c r="AM26" s="123"/>
      <c r="AN26" s="63" t="s">
        <v>321</v>
      </c>
    </row>
    <row r="27" spans="2:40">
      <c r="B27" s="117" t="s">
        <v>322</v>
      </c>
      <c r="C27" s="105" t="s">
        <v>322</v>
      </c>
      <c r="D27" s="104">
        <v>76064651056</v>
      </c>
      <c r="E27" s="141" t="s">
        <v>236</v>
      </c>
      <c r="F27" s="140" t="s">
        <v>210</v>
      </c>
      <c r="G27" s="140" t="s">
        <v>211</v>
      </c>
      <c r="H27" s="139" t="s">
        <v>212</v>
      </c>
      <c r="I27" s="138" t="s">
        <v>249</v>
      </c>
      <c r="J27" s="139" t="s">
        <v>250</v>
      </c>
      <c r="K27" s="137">
        <v>5</v>
      </c>
      <c r="L27" s="136">
        <v>5</v>
      </c>
      <c r="M27" s="135">
        <v>2</v>
      </c>
      <c r="N27" s="101" t="s">
        <v>296</v>
      </c>
      <c r="O27" s="128" t="s">
        <v>323</v>
      </c>
      <c r="P27" s="132"/>
      <c r="Q27" s="132" t="s">
        <v>242</v>
      </c>
      <c r="R27" s="132" t="s">
        <v>236</v>
      </c>
      <c r="S27" s="129" t="s">
        <v>244</v>
      </c>
      <c r="T27" s="128" t="s">
        <v>324</v>
      </c>
      <c r="U27" s="132"/>
      <c r="V27" s="132" t="s">
        <v>242</v>
      </c>
      <c r="W27" s="132" t="s">
        <v>243</v>
      </c>
      <c r="X27" s="127">
        <v>8001</v>
      </c>
      <c r="Y27" s="128" t="s">
        <v>325</v>
      </c>
      <c r="Z27" s="132" t="s">
        <v>326</v>
      </c>
      <c r="AA27" s="126" t="s">
        <v>327</v>
      </c>
      <c r="AC27" s="89" t="s">
        <v>223</v>
      </c>
      <c r="AD27" s="88" t="s">
        <v>223</v>
      </c>
      <c r="AE27" s="58" t="s">
        <v>140</v>
      </c>
      <c r="AF27" s="58" t="s">
        <v>140</v>
      </c>
      <c r="AG27" s="87" t="s">
        <v>140</v>
      </c>
      <c r="AH27" s="95"/>
      <c r="AI27" s="125" t="s">
        <v>165</v>
      </c>
      <c r="AJ27" s="124" t="s">
        <v>166</v>
      </c>
      <c r="AK27" s="124" t="s">
        <v>167</v>
      </c>
      <c r="AL27" s="121" t="s">
        <v>224</v>
      </c>
      <c r="AM27" s="123"/>
      <c r="AN27" s="8" t="s">
        <v>322</v>
      </c>
    </row>
    <row r="28" spans="2:40">
      <c r="B28" s="117" t="s">
        <v>328</v>
      </c>
      <c r="C28" s="105" t="s">
        <v>328</v>
      </c>
      <c r="D28" s="104">
        <v>16779340889</v>
      </c>
      <c r="E28" s="141" t="s">
        <v>329</v>
      </c>
      <c r="F28" s="140" t="s">
        <v>210</v>
      </c>
      <c r="G28" s="140" t="s">
        <v>237</v>
      </c>
      <c r="H28" s="139" t="s">
        <v>212</v>
      </c>
      <c r="I28" s="138" t="s">
        <v>213</v>
      </c>
      <c r="J28" s="139" t="s">
        <v>214</v>
      </c>
      <c r="K28" s="137">
        <v>9</v>
      </c>
      <c r="L28" s="79">
        <v>5</v>
      </c>
      <c r="M28" s="135">
        <v>5</v>
      </c>
      <c r="N28" s="134" t="s">
        <v>309</v>
      </c>
      <c r="O28" s="128" t="s">
        <v>271</v>
      </c>
      <c r="P28" s="132" t="s">
        <v>272</v>
      </c>
      <c r="Q28" s="132" t="s">
        <v>273</v>
      </c>
      <c r="R28" s="57" t="s">
        <v>274</v>
      </c>
      <c r="S28" s="129" t="s">
        <v>275</v>
      </c>
      <c r="T28" s="128" t="s">
        <v>282</v>
      </c>
      <c r="U28" s="132"/>
      <c r="V28" s="132" t="s">
        <v>283</v>
      </c>
      <c r="W28" s="132" t="s">
        <v>274</v>
      </c>
      <c r="X28" s="129" t="s">
        <v>284</v>
      </c>
      <c r="Y28" s="128" t="s">
        <v>330</v>
      </c>
      <c r="Z28" s="132" t="s">
        <v>331</v>
      </c>
      <c r="AA28" s="126" t="s">
        <v>332</v>
      </c>
      <c r="AC28" s="125"/>
      <c r="AD28" s="124"/>
      <c r="AE28" s="124"/>
      <c r="AF28" s="124"/>
      <c r="AG28" s="123"/>
      <c r="AH28" s="122"/>
      <c r="AI28" s="125" t="s">
        <v>165</v>
      </c>
      <c r="AJ28" s="124" t="s">
        <v>166</v>
      </c>
      <c r="AK28" s="124" t="s">
        <v>167</v>
      </c>
      <c r="AL28" s="121" t="s">
        <v>224</v>
      </c>
      <c r="AM28" s="123"/>
      <c r="AN28" s="8" t="s">
        <v>328</v>
      </c>
    </row>
    <row r="29" spans="2:40">
      <c r="B29" s="117" t="s">
        <v>333</v>
      </c>
      <c r="C29" s="105" t="s">
        <v>333</v>
      </c>
      <c r="D29" s="104">
        <v>41094482416</v>
      </c>
      <c r="E29" s="141" t="s">
        <v>254</v>
      </c>
      <c r="F29" s="140" t="s">
        <v>210</v>
      </c>
      <c r="G29" s="140" t="s">
        <v>237</v>
      </c>
      <c r="H29" s="139" t="s">
        <v>212</v>
      </c>
      <c r="I29" s="138" t="s">
        <v>213</v>
      </c>
      <c r="J29" s="139" t="s">
        <v>214</v>
      </c>
      <c r="K29" s="137">
        <v>5</v>
      </c>
      <c r="L29" s="79">
        <v>5</v>
      </c>
      <c r="M29" s="135">
        <v>5</v>
      </c>
      <c r="N29" s="134" t="s">
        <v>309</v>
      </c>
      <c r="O29" s="128" t="s">
        <v>334</v>
      </c>
      <c r="P29" s="132" t="s">
        <v>335</v>
      </c>
      <c r="Q29" s="132" t="s">
        <v>253</v>
      </c>
      <c r="R29" s="100" t="s">
        <v>254</v>
      </c>
      <c r="S29" s="129" t="s">
        <v>255</v>
      </c>
      <c r="T29" s="128" t="s">
        <v>336</v>
      </c>
      <c r="U29" s="132" t="s">
        <v>337</v>
      </c>
      <c r="V29" s="132" t="s">
        <v>253</v>
      </c>
      <c r="W29" s="132" t="s">
        <v>254</v>
      </c>
      <c r="X29" s="127">
        <v>5000</v>
      </c>
      <c r="Y29" s="128" t="s">
        <v>338</v>
      </c>
      <c r="Z29" s="132" t="s">
        <v>339</v>
      </c>
      <c r="AA29" s="126" t="s">
        <v>340</v>
      </c>
      <c r="AC29" s="125"/>
      <c r="AD29" s="124"/>
      <c r="AE29" s="124"/>
      <c r="AF29" s="124"/>
      <c r="AG29" s="123"/>
      <c r="AH29" s="122"/>
      <c r="AI29" s="125" t="s">
        <v>165</v>
      </c>
      <c r="AJ29" s="124" t="s">
        <v>166</v>
      </c>
      <c r="AK29" s="124" t="s">
        <v>167</v>
      </c>
      <c r="AL29" s="121" t="s">
        <v>224</v>
      </c>
      <c r="AM29" s="123"/>
      <c r="AN29" s="8" t="s">
        <v>333</v>
      </c>
    </row>
    <row r="30" spans="2:40">
      <c r="B30" s="117" t="s">
        <v>341</v>
      </c>
      <c r="C30" s="105" t="s">
        <v>341</v>
      </c>
      <c r="D30" s="104">
        <v>59253130878</v>
      </c>
      <c r="E30" s="141" t="s">
        <v>274</v>
      </c>
      <c r="F30" s="140" t="s">
        <v>210</v>
      </c>
      <c r="G30" s="140" t="s">
        <v>211</v>
      </c>
      <c r="H30" s="139" t="s">
        <v>212</v>
      </c>
      <c r="I30" s="138" t="s">
        <v>213</v>
      </c>
      <c r="J30" s="139" t="s">
        <v>214</v>
      </c>
      <c r="K30" s="137">
        <v>5</v>
      </c>
      <c r="L30" s="136">
        <v>5</v>
      </c>
      <c r="M30" s="135">
        <v>5</v>
      </c>
      <c r="N30" s="101" t="s">
        <v>215</v>
      </c>
      <c r="O30" s="128" t="s">
        <v>342</v>
      </c>
      <c r="P30" s="132"/>
      <c r="Q30" s="132" t="s">
        <v>343</v>
      </c>
      <c r="R30" s="100" t="s">
        <v>274</v>
      </c>
      <c r="S30" s="129" t="s">
        <v>344</v>
      </c>
      <c r="T30" s="128" t="s">
        <v>345</v>
      </c>
      <c r="U30" s="132"/>
      <c r="V30" s="132" t="s">
        <v>346</v>
      </c>
      <c r="W30" s="132" t="s">
        <v>274</v>
      </c>
      <c r="X30" s="127" t="s">
        <v>347</v>
      </c>
      <c r="Y30" s="128" t="s">
        <v>348</v>
      </c>
      <c r="Z30" s="85" t="s">
        <v>349</v>
      </c>
      <c r="AA30" s="84" t="s">
        <v>350</v>
      </c>
      <c r="AC30" s="83" t="s">
        <v>140</v>
      </c>
      <c r="AD30" s="88" t="s">
        <v>223</v>
      </c>
      <c r="AE30" s="88" t="s">
        <v>223</v>
      </c>
      <c r="AF30" s="88" t="s">
        <v>223</v>
      </c>
      <c r="AG30" s="87" t="s">
        <v>140</v>
      </c>
      <c r="AH30" s="95"/>
      <c r="AI30" s="125" t="s">
        <v>165</v>
      </c>
      <c r="AJ30" s="124" t="s">
        <v>166</v>
      </c>
      <c r="AK30" s="124" t="s">
        <v>167</v>
      </c>
      <c r="AL30" s="121" t="s">
        <v>224</v>
      </c>
      <c r="AM30" s="123"/>
      <c r="AN30" s="8" t="s">
        <v>341</v>
      </c>
    </row>
    <row r="31" spans="2:40">
      <c r="B31" s="117" t="s">
        <v>351</v>
      </c>
      <c r="C31" s="105" t="s">
        <v>351</v>
      </c>
      <c r="D31" s="104">
        <v>40078849055</v>
      </c>
      <c r="E31" s="141" t="s">
        <v>329</v>
      </c>
      <c r="F31" s="140" t="s">
        <v>210</v>
      </c>
      <c r="G31" s="140" t="s">
        <v>211</v>
      </c>
      <c r="H31" s="140" t="s">
        <v>212</v>
      </c>
      <c r="I31" s="102" t="s">
        <v>213</v>
      </c>
      <c r="J31" s="140" t="s">
        <v>214</v>
      </c>
      <c r="K31" s="137">
        <v>5</v>
      </c>
      <c r="L31" s="136">
        <v>5</v>
      </c>
      <c r="M31" s="135">
        <v>5</v>
      </c>
      <c r="N31" s="101" t="s">
        <v>352</v>
      </c>
      <c r="O31" s="128" t="s">
        <v>353</v>
      </c>
      <c r="P31" s="132"/>
      <c r="Q31" s="132" t="s">
        <v>354</v>
      </c>
      <c r="R31" s="132" t="s">
        <v>329</v>
      </c>
      <c r="S31" s="129" t="s">
        <v>355</v>
      </c>
      <c r="T31" s="128" t="s">
        <v>353</v>
      </c>
      <c r="U31" s="132"/>
      <c r="V31" s="132" t="s">
        <v>354</v>
      </c>
      <c r="W31" s="132" t="s">
        <v>356</v>
      </c>
      <c r="X31" s="127" t="s">
        <v>355</v>
      </c>
      <c r="Y31" s="128" t="s">
        <v>357</v>
      </c>
      <c r="Z31" s="132" t="s">
        <v>358</v>
      </c>
      <c r="AA31" s="126" t="s">
        <v>359</v>
      </c>
      <c r="AC31" s="89" t="s">
        <v>223</v>
      </c>
      <c r="AD31" s="88" t="s">
        <v>223</v>
      </c>
      <c r="AE31" s="88" t="s">
        <v>223</v>
      </c>
      <c r="AF31" s="58" t="s">
        <v>140</v>
      </c>
      <c r="AG31" s="87" t="s">
        <v>140</v>
      </c>
      <c r="AH31" s="95"/>
      <c r="AI31" s="125" t="s">
        <v>165</v>
      </c>
      <c r="AJ31" s="124" t="s">
        <v>166</v>
      </c>
      <c r="AK31" s="124" t="s">
        <v>167</v>
      </c>
      <c r="AL31" s="121" t="s">
        <v>224</v>
      </c>
      <c r="AM31" s="123"/>
      <c r="AN31" s="8" t="s">
        <v>351</v>
      </c>
    </row>
    <row r="32" spans="2:40">
      <c r="B32" s="117" t="s">
        <v>360</v>
      </c>
      <c r="C32" s="105" t="s">
        <v>360</v>
      </c>
      <c r="D32" s="104">
        <v>50087646062</v>
      </c>
      <c r="E32" s="141" t="s">
        <v>329</v>
      </c>
      <c r="F32" s="140" t="s">
        <v>210</v>
      </c>
      <c r="G32" s="140" t="s">
        <v>211</v>
      </c>
      <c r="H32" s="140" t="s">
        <v>212</v>
      </c>
      <c r="I32" s="102" t="s">
        <v>213</v>
      </c>
      <c r="J32" s="140" t="s">
        <v>214</v>
      </c>
      <c r="K32" s="137">
        <v>5</v>
      </c>
      <c r="L32" s="136">
        <v>5</v>
      </c>
      <c r="M32" s="135">
        <v>5</v>
      </c>
      <c r="N32" s="101" t="s">
        <v>352</v>
      </c>
      <c r="O32" s="128" t="s">
        <v>361</v>
      </c>
      <c r="P32" s="132"/>
      <c r="Q32" s="132" t="s">
        <v>362</v>
      </c>
      <c r="R32" s="132" t="s">
        <v>329</v>
      </c>
      <c r="S32" s="129" t="s">
        <v>363</v>
      </c>
      <c r="T32" s="128" t="s">
        <v>364</v>
      </c>
      <c r="U32" s="132"/>
      <c r="V32" s="132" t="s">
        <v>365</v>
      </c>
      <c r="W32" s="132" t="s">
        <v>356</v>
      </c>
      <c r="X32" s="127">
        <v>4006</v>
      </c>
      <c r="Y32" s="128" t="s">
        <v>366</v>
      </c>
      <c r="Z32" s="132" t="s">
        <v>367</v>
      </c>
      <c r="AA32" s="123" t="s">
        <v>368</v>
      </c>
      <c r="AC32" s="83" t="s">
        <v>140</v>
      </c>
      <c r="AD32" s="88" t="s">
        <v>223</v>
      </c>
      <c r="AE32" s="88" t="s">
        <v>223</v>
      </c>
      <c r="AF32" s="88" t="s">
        <v>223</v>
      </c>
      <c r="AG32" s="87" t="s">
        <v>140</v>
      </c>
      <c r="AH32" s="95"/>
      <c r="AI32" s="125" t="s">
        <v>165</v>
      </c>
      <c r="AJ32" s="124" t="s">
        <v>166</v>
      </c>
      <c r="AK32" s="124" t="s">
        <v>167</v>
      </c>
      <c r="AL32" s="121" t="s">
        <v>224</v>
      </c>
      <c r="AM32" s="123"/>
      <c r="AN32" s="8" t="s">
        <v>360</v>
      </c>
    </row>
    <row r="33" spans="2:40">
      <c r="B33" s="117" t="s">
        <v>369</v>
      </c>
      <c r="C33" s="105" t="s">
        <v>369</v>
      </c>
      <c r="D33" s="104">
        <v>37428185226</v>
      </c>
      <c r="E33" s="141" t="s">
        <v>274</v>
      </c>
      <c r="F33" s="140" t="s">
        <v>210</v>
      </c>
      <c r="G33" s="140" t="s">
        <v>211</v>
      </c>
      <c r="H33" s="140" t="s">
        <v>212</v>
      </c>
      <c r="I33" s="102" t="s">
        <v>213</v>
      </c>
      <c r="J33" s="140" t="s">
        <v>214</v>
      </c>
      <c r="K33" s="137">
        <v>5</v>
      </c>
      <c r="L33" s="136">
        <v>5</v>
      </c>
      <c r="M33" s="135">
        <v>5</v>
      </c>
      <c r="N33" s="101" t="s">
        <v>215</v>
      </c>
      <c r="O33" s="128" t="s">
        <v>370</v>
      </c>
      <c r="P33" s="132"/>
      <c r="Q33" s="132" t="s">
        <v>371</v>
      </c>
      <c r="R33" s="100" t="s">
        <v>274</v>
      </c>
      <c r="S33" s="129" t="s">
        <v>372</v>
      </c>
      <c r="T33" s="128" t="s">
        <v>373</v>
      </c>
      <c r="U33" s="132"/>
      <c r="V33" s="132" t="s">
        <v>371</v>
      </c>
      <c r="W33" s="132" t="s">
        <v>274</v>
      </c>
      <c r="X33" s="127" t="s">
        <v>372</v>
      </c>
      <c r="Y33" s="128" t="s">
        <v>374</v>
      </c>
      <c r="Z33" s="132" t="s">
        <v>375</v>
      </c>
      <c r="AA33" s="126" t="s">
        <v>376</v>
      </c>
      <c r="AC33" s="83"/>
      <c r="AD33" s="88"/>
      <c r="AE33" s="88" t="s">
        <v>223</v>
      </c>
      <c r="AF33" s="88" t="s">
        <v>223</v>
      </c>
      <c r="AG33" s="87" t="s">
        <v>140</v>
      </c>
      <c r="AH33" s="95"/>
      <c r="AI33" s="125" t="s">
        <v>165</v>
      </c>
      <c r="AJ33" s="124" t="s">
        <v>166</v>
      </c>
      <c r="AK33" s="124" t="s">
        <v>167</v>
      </c>
      <c r="AL33" s="121" t="s">
        <v>224</v>
      </c>
      <c r="AM33" s="123"/>
      <c r="AN33" s="8" t="s">
        <v>369</v>
      </c>
    </row>
    <row r="34" spans="2:40">
      <c r="B34" s="117" t="s">
        <v>377</v>
      </c>
      <c r="C34" s="105" t="s">
        <v>377</v>
      </c>
      <c r="D34" s="104">
        <v>82064651083</v>
      </c>
      <c r="E34" s="141" t="s">
        <v>236</v>
      </c>
      <c r="F34" s="140" t="s">
        <v>210</v>
      </c>
      <c r="G34" s="140" t="s">
        <v>211</v>
      </c>
      <c r="H34" s="139" t="s">
        <v>212</v>
      </c>
      <c r="I34" s="138" t="s">
        <v>249</v>
      </c>
      <c r="J34" s="139" t="s">
        <v>250</v>
      </c>
      <c r="K34" s="137">
        <v>5</v>
      </c>
      <c r="L34" s="136">
        <v>5</v>
      </c>
      <c r="M34" s="135">
        <v>2</v>
      </c>
      <c r="N34" s="101" t="s">
        <v>296</v>
      </c>
      <c r="O34" s="128" t="s">
        <v>378</v>
      </c>
      <c r="P34" s="132" t="s">
        <v>379</v>
      </c>
      <c r="Q34" s="132" t="s">
        <v>242</v>
      </c>
      <c r="R34" s="100" t="s">
        <v>243</v>
      </c>
      <c r="S34" s="129" t="s">
        <v>244</v>
      </c>
      <c r="T34" s="128" t="s">
        <v>380</v>
      </c>
      <c r="U34" s="132"/>
      <c r="V34" s="132" t="s">
        <v>242</v>
      </c>
      <c r="W34" s="132" t="s">
        <v>243</v>
      </c>
      <c r="X34" s="127">
        <v>8001</v>
      </c>
      <c r="Y34" s="128" t="s">
        <v>381</v>
      </c>
      <c r="Z34" s="132" t="s">
        <v>382</v>
      </c>
      <c r="AA34" s="126" t="s">
        <v>383</v>
      </c>
      <c r="AC34" s="83"/>
      <c r="AD34" s="88"/>
      <c r="AE34" s="88" t="s">
        <v>223</v>
      </c>
      <c r="AF34" s="58" t="s">
        <v>140</v>
      </c>
      <c r="AG34" s="87" t="s">
        <v>140</v>
      </c>
      <c r="AH34" s="95"/>
      <c r="AI34" s="125" t="s">
        <v>165</v>
      </c>
      <c r="AJ34" s="124" t="s">
        <v>166</v>
      </c>
      <c r="AK34" s="124" t="s">
        <v>167</v>
      </c>
      <c r="AL34" s="121" t="s">
        <v>224</v>
      </c>
      <c r="AM34" s="123"/>
      <c r="AN34" s="8" t="s">
        <v>377</v>
      </c>
    </row>
    <row r="35" spans="2:40">
      <c r="B35" s="106" t="s">
        <v>384</v>
      </c>
      <c r="C35" s="105" t="s">
        <v>385</v>
      </c>
      <c r="D35" s="104" t="s">
        <v>386</v>
      </c>
      <c r="E35" s="141" t="s">
        <v>274</v>
      </c>
      <c r="F35" s="140" t="s">
        <v>228</v>
      </c>
      <c r="G35" s="140" t="s">
        <v>211</v>
      </c>
      <c r="H35" s="103" t="s">
        <v>229</v>
      </c>
      <c r="I35" s="138" t="s">
        <v>213</v>
      </c>
      <c r="J35" s="139" t="s">
        <v>214</v>
      </c>
      <c r="K35" s="137">
        <v>5</v>
      </c>
      <c r="L35" s="136">
        <v>5</v>
      </c>
      <c r="M35" s="135"/>
      <c r="N35" s="101"/>
      <c r="O35" s="128"/>
      <c r="P35" s="132"/>
      <c r="Q35" s="132"/>
      <c r="R35" s="100"/>
      <c r="S35" s="129"/>
      <c r="T35" s="128"/>
      <c r="U35" s="132"/>
      <c r="V35" s="132"/>
      <c r="W35" s="132"/>
      <c r="X35" s="127"/>
      <c r="Y35" s="128"/>
      <c r="Z35" s="56"/>
      <c r="AC35" s="83"/>
      <c r="AD35" s="88"/>
      <c r="AE35" s="88"/>
      <c r="AF35" s="58"/>
      <c r="AG35" s="87"/>
      <c r="AH35" s="95"/>
      <c r="AI35" s="125"/>
      <c r="AJ35" s="124"/>
      <c r="AK35" s="124"/>
      <c r="AL35" s="121"/>
      <c r="AM35" s="123"/>
      <c r="AN35" s="99" t="s">
        <v>384</v>
      </c>
    </row>
    <row r="36" spans="2:40">
      <c r="B36" s="106" t="s">
        <v>387</v>
      </c>
      <c r="C36" s="105" t="s">
        <v>388</v>
      </c>
      <c r="D36" s="91" t="s">
        <v>389</v>
      </c>
      <c r="E36" s="141" t="s">
        <v>236</v>
      </c>
      <c r="F36" s="140" t="s">
        <v>228</v>
      </c>
      <c r="G36" s="140" t="s">
        <v>211</v>
      </c>
      <c r="H36" s="103" t="s">
        <v>229</v>
      </c>
      <c r="I36" s="138" t="s">
        <v>249</v>
      </c>
      <c r="J36" s="139" t="s">
        <v>250</v>
      </c>
      <c r="K36" s="137">
        <v>5</v>
      </c>
      <c r="L36" s="136">
        <v>5</v>
      </c>
      <c r="M36" s="135" t="s">
        <v>230</v>
      </c>
      <c r="N36" s="101"/>
      <c r="O36" s="128" t="s">
        <v>390</v>
      </c>
      <c r="P36" s="132"/>
      <c r="Q36" s="132" t="s">
        <v>391</v>
      </c>
      <c r="R36" s="132" t="s">
        <v>236</v>
      </c>
      <c r="S36" s="129" t="s">
        <v>392</v>
      </c>
      <c r="T36" s="128"/>
      <c r="U36" s="132"/>
      <c r="V36" s="132"/>
      <c r="W36" s="132"/>
      <c r="X36" s="129"/>
      <c r="Y36" s="128" t="s">
        <v>393</v>
      </c>
      <c r="Z36" s="55" t="s">
        <v>394</v>
      </c>
      <c r="AA36" s="54" t="s">
        <v>395</v>
      </c>
      <c r="AC36" s="83"/>
      <c r="AD36" s="88"/>
      <c r="AE36" s="88"/>
      <c r="AF36" s="58"/>
      <c r="AG36" s="87"/>
      <c r="AH36" s="122"/>
      <c r="AI36" s="125"/>
      <c r="AJ36" s="124"/>
      <c r="AK36" s="124"/>
      <c r="AL36" s="121"/>
      <c r="AM36" s="123"/>
      <c r="AN36" s="99" t="s">
        <v>387</v>
      </c>
    </row>
    <row r="37" spans="2:40">
      <c r="B37" s="117" t="s">
        <v>396</v>
      </c>
      <c r="C37" s="105" t="s">
        <v>396</v>
      </c>
      <c r="D37" s="104">
        <v>79181207909</v>
      </c>
      <c r="E37" s="141" t="s">
        <v>254</v>
      </c>
      <c r="F37" s="140" t="s">
        <v>210</v>
      </c>
      <c r="G37" s="140" t="s">
        <v>237</v>
      </c>
      <c r="H37" s="139" t="s">
        <v>212</v>
      </c>
      <c r="I37" s="138" t="s">
        <v>213</v>
      </c>
      <c r="J37" s="139" t="s">
        <v>214</v>
      </c>
      <c r="K37" s="137">
        <v>5</v>
      </c>
      <c r="L37" s="79">
        <v>5</v>
      </c>
      <c r="M37" s="135">
        <v>5</v>
      </c>
      <c r="N37" s="134" t="s">
        <v>309</v>
      </c>
      <c r="O37" s="128" t="s">
        <v>397</v>
      </c>
      <c r="P37" s="132" t="s">
        <v>272</v>
      </c>
      <c r="Q37" s="132" t="s">
        <v>273</v>
      </c>
      <c r="R37" s="57" t="s">
        <v>274</v>
      </c>
      <c r="S37" s="129" t="s">
        <v>275</v>
      </c>
      <c r="T37" s="128"/>
      <c r="U37" s="132"/>
      <c r="V37" s="132"/>
      <c r="W37" s="132"/>
      <c r="X37" s="129"/>
      <c r="Y37" s="128" t="s">
        <v>330</v>
      </c>
      <c r="Z37" s="132" t="s">
        <v>331</v>
      </c>
      <c r="AA37" s="126" t="s">
        <v>332</v>
      </c>
      <c r="AC37" s="125"/>
      <c r="AD37" s="124"/>
      <c r="AE37" s="124"/>
      <c r="AF37" s="124"/>
      <c r="AG37" s="123"/>
      <c r="AH37" s="122"/>
      <c r="AI37" s="125" t="s">
        <v>165</v>
      </c>
      <c r="AJ37" s="124" t="s">
        <v>166</v>
      </c>
      <c r="AK37" s="124" t="s">
        <v>167</v>
      </c>
      <c r="AL37" s="121" t="s">
        <v>224</v>
      </c>
      <c r="AM37" s="123"/>
      <c r="AN37" s="8" t="s">
        <v>396</v>
      </c>
    </row>
    <row r="38" spans="2:40">
      <c r="B38" s="117" t="s">
        <v>398</v>
      </c>
      <c r="C38" s="116" t="s">
        <v>399</v>
      </c>
      <c r="D38" s="104">
        <v>15947352360</v>
      </c>
      <c r="E38" s="53" t="s">
        <v>269</v>
      </c>
      <c r="F38" s="115" t="s">
        <v>210</v>
      </c>
      <c r="G38" s="115" t="s">
        <v>211</v>
      </c>
      <c r="H38" s="139" t="s">
        <v>212</v>
      </c>
      <c r="I38" s="138" t="s">
        <v>213</v>
      </c>
      <c r="J38" s="139" t="s">
        <v>214</v>
      </c>
      <c r="K38" s="114">
        <v>5</v>
      </c>
      <c r="L38" s="113">
        <v>5</v>
      </c>
      <c r="M38" s="112" t="s">
        <v>230</v>
      </c>
      <c r="N38" s="111" t="s">
        <v>226</v>
      </c>
      <c r="O38" s="110" t="s">
        <v>400</v>
      </c>
      <c r="P38" s="109"/>
      <c r="Q38" s="109" t="s">
        <v>401</v>
      </c>
      <c r="R38" s="108" t="s">
        <v>269</v>
      </c>
      <c r="S38" s="107" t="s">
        <v>402</v>
      </c>
      <c r="T38" s="110" t="s">
        <v>400</v>
      </c>
      <c r="U38" s="109"/>
      <c r="V38" s="109" t="s">
        <v>401</v>
      </c>
      <c r="W38" s="108" t="s">
        <v>269</v>
      </c>
      <c r="X38" s="107" t="s">
        <v>402</v>
      </c>
      <c r="Y38" s="128" t="s">
        <v>403</v>
      </c>
      <c r="Z38" s="56" t="s">
        <v>404</v>
      </c>
      <c r="AA38" s="126" t="s">
        <v>405</v>
      </c>
      <c r="AC38" s="89" t="s">
        <v>223</v>
      </c>
      <c r="AD38" s="88" t="s">
        <v>223</v>
      </c>
      <c r="AE38" s="88" t="s">
        <v>223</v>
      </c>
      <c r="AF38" s="88" t="s">
        <v>223</v>
      </c>
      <c r="AG38" s="87" t="s">
        <v>140</v>
      </c>
      <c r="AH38" s="122"/>
      <c r="AI38" s="125"/>
      <c r="AJ38" s="124"/>
      <c r="AK38" s="124"/>
      <c r="AL38" s="121"/>
      <c r="AM38" s="123"/>
      <c r="AN38" s="8"/>
    </row>
    <row r="39" spans="2:40">
      <c r="B39" s="117" t="s">
        <v>406</v>
      </c>
      <c r="C39" s="105" t="s">
        <v>406</v>
      </c>
      <c r="D39" s="104">
        <v>89064651109</v>
      </c>
      <c r="E39" s="141" t="s">
        <v>236</v>
      </c>
      <c r="F39" s="140" t="s">
        <v>210</v>
      </c>
      <c r="G39" s="140" t="s">
        <v>211</v>
      </c>
      <c r="H39" s="139" t="s">
        <v>212</v>
      </c>
      <c r="I39" s="138" t="s">
        <v>249</v>
      </c>
      <c r="J39" s="139" t="s">
        <v>250</v>
      </c>
      <c r="K39" s="137">
        <v>5</v>
      </c>
      <c r="L39" s="136">
        <v>5</v>
      </c>
      <c r="M39" s="135">
        <v>2</v>
      </c>
      <c r="N39" s="101" t="s">
        <v>296</v>
      </c>
      <c r="O39" s="128" t="s">
        <v>323</v>
      </c>
      <c r="P39" s="132"/>
      <c r="Q39" s="132" t="s">
        <v>242</v>
      </c>
      <c r="R39" s="100" t="s">
        <v>236</v>
      </c>
      <c r="S39" s="129" t="s">
        <v>244</v>
      </c>
      <c r="T39" s="128" t="s">
        <v>407</v>
      </c>
      <c r="U39" s="132"/>
      <c r="V39" s="132" t="s">
        <v>242</v>
      </c>
      <c r="W39" s="132" t="s">
        <v>243</v>
      </c>
      <c r="X39" s="129">
        <v>8001</v>
      </c>
      <c r="Y39" s="128" t="s">
        <v>325</v>
      </c>
      <c r="Z39" s="132" t="s">
        <v>326</v>
      </c>
      <c r="AA39" s="126" t="s">
        <v>327</v>
      </c>
      <c r="AC39" s="83"/>
      <c r="AD39" s="88"/>
      <c r="AE39" s="88" t="s">
        <v>223</v>
      </c>
      <c r="AF39" s="88" t="s">
        <v>223</v>
      </c>
      <c r="AG39" s="87" t="s">
        <v>140</v>
      </c>
      <c r="AH39" s="4"/>
      <c r="AI39" s="125" t="s">
        <v>165</v>
      </c>
      <c r="AJ39" s="124" t="s">
        <v>166</v>
      </c>
      <c r="AK39" s="124" t="s">
        <v>167</v>
      </c>
      <c r="AL39" s="121" t="s">
        <v>224</v>
      </c>
      <c r="AM39" s="123"/>
      <c r="AN39" s="8" t="s">
        <v>406</v>
      </c>
    </row>
    <row r="40" spans="2:40" ht="27.6">
      <c r="B40" s="117" t="s">
        <v>408</v>
      </c>
      <c r="C40" s="52" t="s">
        <v>409</v>
      </c>
      <c r="D40" s="104">
        <v>82078849233</v>
      </c>
      <c r="E40" s="141" t="s">
        <v>329</v>
      </c>
      <c r="F40" s="140" t="s">
        <v>210</v>
      </c>
      <c r="G40" s="140" t="s">
        <v>237</v>
      </c>
      <c r="H40" s="139" t="s">
        <v>212</v>
      </c>
      <c r="I40" s="138" t="s">
        <v>213</v>
      </c>
      <c r="J40" s="139" t="s">
        <v>214</v>
      </c>
      <c r="K40" s="137">
        <v>5</v>
      </c>
      <c r="L40" s="79">
        <v>5</v>
      </c>
      <c r="M40" s="135">
        <v>5</v>
      </c>
      <c r="N40" s="134" t="s">
        <v>309</v>
      </c>
      <c r="O40" s="128" t="s">
        <v>410</v>
      </c>
      <c r="P40" s="132"/>
      <c r="Q40" s="132" t="s">
        <v>411</v>
      </c>
      <c r="R40" s="132" t="s">
        <v>329</v>
      </c>
      <c r="S40" s="129" t="s">
        <v>412</v>
      </c>
      <c r="T40" s="128" t="s">
        <v>413</v>
      </c>
      <c r="U40" s="132"/>
      <c r="V40" s="132" t="s">
        <v>411</v>
      </c>
      <c r="W40" s="132" t="s">
        <v>356</v>
      </c>
      <c r="X40" s="129">
        <v>4014</v>
      </c>
      <c r="Y40" s="128" t="s">
        <v>414</v>
      </c>
      <c r="Z40" s="132" t="s">
        <v>415</v>
      </c>
      <c r="AA40" s="126" t="s">
        <v>416</v>
      </c>
      <c r="AC40" s="125"/>
      <c r="AD40" s="124"/>
      <c r="AE40" s="124"/>
      <c r="AF40" s="124"/>
      <c r="AG40" s="123"/>
      <c r="AH40" s="122"/>
      <c r="AI40" s="125" t="s">
        <v>165</v>
      </c>
      <c r="AJ40" s="124" t="s">
        <v>166</v>
      </c>
      <c r="AK40" s="124" t="s">
        <v>167</v>
      </c>
      <c r="AL40" s="121" t="s">
        <v>224</v>
      </c>
      <c r="AM40" s="123"/>
      <c r="AN40" s="8" t="s">
        <v>408</v>
      </c>
    </row>
    <row r="41" spans="2:40">
      <c r="B41" s="106" t="s">
        <v>417</v>
      </c>
      <c r="C41" s="105" t="s">
        <v>418</v>
      </c>
      <c r="D41" s="91" t="s">
        <v>419</v>
      </c>
      <c r="E41" s="141" t="s">
        <v>329</v>
      </c>
      <c r="F41" s="140" t="s">
        <v>228</v>
      </c>
      <c r="G41" s="140" t="s">
        <v>237</v>
      </c>
      <c r="H41" s="103" t="s">
        <v>229</v>
      </c>
      <c r="I41" s="138" t="s">
        <v>213</v>
      </c>
      <c r="J41" s="139" t="s">
        <v>214</v>
      </c>
      <c r="K41" s="137">
        <v>5</v>
      </c>
      <c r="L41" s="136">
        <v>5</v>
      </c>
      <c r="M41" s="135" t="s">
        <v>230</v>
      </c>
      <c r="N41" s="101" t="s">
        <v>270</v>
      </c>
      <c r="O41" s="128" t="s">
        <v>272</v>
      </c>
      <c r="P41" s="132"/>
      <c r="Q41" s="132" t="s">
        <v>273</v>
      </c>
      <c r="R41" s="132" t="s">
        <v>274</v>
      </c>
      <c r="S41" s="51" t="s">
        <v>275</v>
      </c>
      <c r="T41" s="128" t="s">
        <v>282</v>
      </c>
      <c r="U41" s="132"/>
      <c r="V41" s="132" t="s">
        <v>283</v>
      </c>
      <c r="W41" s="132" t="s">
        <v>274</v>
      </c>
      <c r="X41" s="129" t="s">
        <v>284</v>
      </c>
      <c r="Y41" s="128" t="s">
        <v>420</v>
      </c>
      <c r="Z41" s="132" t="s">
        <v>421</v>
      </c>
      <c r="AA41" s="126" t="s">
        <v>422</v>
      </c>
      <c r="AC41" s="125"/>
      <c r="AD41" s="124"/>
      <c r="AE41" s="124"/>
      <c r="AF41" s="124"/>
      <c r="AG41" s="123"/>
      <c r="AH41" s="122"/>
      <c r="AI41" s="125" t="s">
        <v>165</v>
      </c>
      <c r="AJ41" s="124" t="s">
        <v>166</v>
      </c>
      <c r="AK41" s="124" t="s">
        <v>167</v>
      </c>
      <c r="AL41" s="121" t="s">
        <v>224</v>
      </c>
      <c r="AM41" s="123"/>
      <c r="AN41" s="99" t="s">
        <v>417</v>
      </c>
    </row>
    <row r="42" spans="2:40">
      <c r="B42" s="117" t="s">
        <v>423</v>
      </c>
      <c r="C42" s="105" t="s">
        <v>423</v>
      </c>
      <c r="D42" s="104">
        <v>13332330749</v>
      </c>
      <c r="E42" s="141" t="s">
        <v>254</v>
      </c>
      <c r="F42" s="140" t="s">
        <v>210</v>
      </c>
      <c r="G42" s="140" t="s">
        <v>211</v>
      </c>
      <c r="H42" s="139" t="s">
        <v>212</v>
      </c>
      <c r="I42" s="138" t="s">
        <v>213</v>
      </c>
      <c r="J42" s="139" t="s">
        <v>214</v>
      </c>
      <c r="K42" s="137">
        <v>5</v>
      </c>
      <c r="L42" s="136">
        <v>5</v>
      </c>
      <c r="M42" s="135">
        <v>5</v>
      </c>
      <c r="N42" s="101" t="s">
        <v>352</v>
      </c>
      <c r="O42" s="128" t="s">
        <v>424</v>
      </c>
      <c r="P42" s="132"/>
      <c r="Q42" s="132" t="s">
        <v>425</v>
      </c>
      <c r="R42" s="132" t="s">
        <v>254</v>
      </c>
      <c r="S42" s="51" t="s">
        <v>426</v>
      </c>
      <c r="T42" s="128" t="s">
        <v>427</v>
      </c>
      <c r="U42" s="132"/>
      <c r="V42" s="132" t="s">
        <v>253</v>
      </c>
      <c r="W42" s="132" t="s">
        <v>254</v>
      </c>
      <c r="X42" s="129" t="s">
        <v>255</v>
      </c>
      <c r="Y42" s="128" t="s">
        <v>428</v>
      </c>
      <c r="Z42" s="132" t="s">
        <v>429</v>
      </c>
      <c r="AA42" s="126" t="s">
        <v>430</v>
      </c>
      <c r="AC42" s="89"/>
      <c r="AD42" s="88"/>
      <c r="AE42" s="88" t="s">
        <v>223</v>
      </c>
      <c r="AF42" s="88" t="s">
        <v>223</v>
      </c>
      <c r="AG42" s="87" t="s">
        <v>140</v>
      </c>
      <c r="AH42" s="4"/>
      <c r="AI42" s="125" t="s">
        <v>165</v>
      </c>
      <c r="AJ42" s="124" t="s">
        <v>166</v>
      </c>
      <c r="AK42" s="124" t="s">
        <v>167</v>
      </c>
      <c r="AL42" s="121" t="s">
        <v>224</v>
      </c>
      <c r="AM42" s="123"/>
      <c r="AN42" s="8" t="s">
        <v>423</v>
      </c>
    </row>
    <row r="43" spans="2:40" ht="26.4">
      <c r="B43" s="117" t="s">
        <v>162</v>
      </c>
      <c r="C43" s="50" t="s">
        <v>162</v>
      </c>
      <c r="D43" s="104">
        <v>24167357299</v>
      </c>
      <c r="E43" s="141" t="s">
        <v>431</v>
      </c>
      <c r="F43" s="140" t="s">
        <v>210</v>
      </c>
      <c r="G43" s="140" t="s">
        <v>211</v>
      </c>
      <c r="H43" s="139" t="s">
        <v>212</v>
      </c>
      <c r="I43" s="138" t="s">
        <v>213</v>
      </c>
      <c r="J43" s="139" t="s">
        <v>214</v>
      </c>
      <c r="K43" s="137">
        <v>5</v>
      </c>
      <c r="L43" s="136">
        <v>5</v>
      </c>
      <c r="M43" s="135">
        <v>5</v>
      </c>
      <c r="N43" s="134" t="s">
        <v>226</v>
      </c>
      <c r="O43" s="128" t="s">
        <v>432</v>
      </c>
      <c r="P43" s="132"/>
      <c r="Q43" s="132" t="s">
        <v>433</v>
      </c>
      <c r="R43" s="100" t="s">
        <v>431</v>
      </c>
      <c r="S43" s="51" t="s">
        <v>434</v>
      </c>
      <c r="T43" s="128" t="s">
        <v>435</v>
      </c>
      <c r="U43" s="132"/>
      <c r="V43" s="132" t="s">
        <v>436</v>
      </c>
      <c r="W43" s="132" t="s">
        <v>431</v>
      </c>
      <c r="X43" s="129" t="s">
        <v>437</v>
      </c>
      <c r="Y43" s="128" t="s">
        <v>438</v>
      </c>
      <c r="Z43" s="132" t="s">
        <v>439</v>
      </c>
      <c r="AA43" s="126" t="s">
        <v>440</v>
      </c>
      <c r="AC43" s="89"/>
      <c r="AD43" s="88"/>
      <c r="AE43" s="88" t="s">
        <v>223</v>
      </c>
      <c r="AF43" s="88" t="s">
        <v>223</v>
      </c>
      <c r="AG43" s="49" t="s">
        <v>223</v>
      </c>
      <c r="AH43" s="4"/>
      <c r="AI43" s="48" t="s">
        <v>441</v>
      </c>
      <c r="AJ43" s="47" t="s">
        <v>442</v>
      </c>
      <c r="AK43" s="47" t="s">
        <v>166</v>
      </c>
      <c r="AL43" s="47" t="s">
        <v>443</v>
      </c>
      <c r="AM43" s="46" t="s">
        <v>444</v>
      </c>
      <c r="AN43" s="8" t="s">
        <v>162</v>
      </c>
    </row>
    <row r="44" spans="2:40">
      <c r="B44" s="117" t="s">
        <v>445</v>
      </c>
      <c r="C44" s="105" t="s">
        <v>445</v>
      </c>
      <c r="D44" s="104">
        <v>24167357299</v>
      </c>
      <c r="E44" s="141" t="s">
        <v>431</v>
      </c>
      <c r="F44" s="140" t="s">
        <v>210</v>
      </c>
      <c r="G44" s="140" t="s">
        <v>237</v>
      </c>
      <c r="H44" s="139" t="s">
        <v>212</v>
      </c>
      <c r="I44" s="138" t="s">
        <v>213</v>
      </c>
      <c r="J44" s="139" t="s">
        <v>214</v>
      </c>
      <c r="K44" s="137">
        <v>5</v>
      </c>
      <c r="L44" s="79">
        <v>5</v>
      </c>
      <c r="M44" s="135">
        <v>5</v>
      </c>
      <c r="N44" s="134" t="s">
        <v>309</v>
      </c>
      <c r="O44" s="128" t="s">
        <v>432</v>
      </c>
      <c r="P44" s="132"/>
      <c r="Q44" s="132" t="s">
        <v>433</v>
      </c>
      <c r="R44" s="100" t="s">
        <v>431</v>
      </c>
      <c r="S44" s="51" t="s">
        <v>434</v>
      </c>
      <c r="T44" s="128" t="s">
        <v>435</v>
      </c>
      <c r="U44" s="132"/>
      <c r="V44" s="132" t="s">
        <v>436</v>
      </c>
      <c r="W44" s="132" t="s">
        <v>431</v>
      </c>
      <c r="X44" s="129" t="s">
        <v>437</v>
      </c>
      <c r="Y44" s="128" t="s">
        <v>438</v>
      </c>
      <c r="Z44" s="132" t="s">
        <v>439</v>
      </c>
      <c r="AA44" s="126" t="s">
        <v>440</v>
      </c>
      <c r="AC44" s="125"/>
      <c r="AD44" s="124"/>
      <c r="AE44" s="124"/>
      <c r="AF44" s="124"/>
      <c r="AG44" s="123"/>
      <c r="AH44" s="122"/>
      <c r="AI44" s="125" t="s">
        <v>165</v>
      </c>
      <c r="AJ44" s="124" t="s">
        <v>166</v>
      </c>
      <c r="AK44" s="124" t="s">
        <v>167</v>
      </c>
      <c r="AL44" s="121" t="s">
        <v>224</v>
      </c>
      <c r="AM44" s="123"/>
      <c r="AN44" s="8" t="s">
        <v>445</v>
      </c>
    </row>
    <row r="45" spans="2:40">
      <c r="B45" s="117" t="s">
        <v>446</v>
      </c>
      <c r="C45" s="105" t="s">
        <v>447</v>
      </c>
      <c r="D45" s="104">
        <v>609169959</v>
      </c>
      <c r="E45" s="141" t="s">
        <v>274</v>
      </c>
      <c r="F45" s="140" t="s">
        <v>210</v>
      </c>
      <c r="G45" s="140" t="s">
        <v>237</v>
      </c>
      <c r="H45" s="139" t="s">
        <v>212</v>
      </c>
      <c r="I45" s="138" t="s">
        <v>213</v>
      </c>
      <c r="J45" s="139" t="s">
        <v>214</v>
      </c>
      <c r="K45" s="137">
        <v>5</v>
      </c>
      <c r="L45" s="79">
        <v>4</v>
      </c>
      <c r="M45" s="135">
        <v>5</v>
      </c>
      <c r="N45" s="134" t="s">
        <v>309</v>
      </c>
      <c r="O45" s="128" t="s">
        <v>448</v>
      </c>
      <c r="P45" s="132"/>
      <c r="Q45" s="132" t="s">
        <v>273</v>
      </c>
      <c r="R45" s="100" t="s">
        <v>274</v>
      </c>
      <c r="S45" s="129" t="s">
        <v>275</v>
      </c>
      <c r="T45" s="128" t="s">
        <v>449</v>
      </c>
      <c r="U45" s="132"/>
      <c r="V45" s="132" t="s">
        <v>450</v>
      </c>
      <c r="W45" s="132" t="s">
        <v>274</v>
      </c>
      <c r="X45" s="129" t="s">
        <v>451</v>
      </c>
      <c r="Y45" s="128" t="s">
        <v>452</v>
      </c>
      <c r="Z45" s="85" t="s">
        <v>453</v>
      </c>
      <c r="AA45" s="84" t="s">
        <v>454</v>
      </c>
      <c r="AC45" s="125"/>
      <c r="AD45" s="124"/>
      <c r="AE45" s="124"/>
      <c r="AF45" s="124"/>
      <c r="AG45" s="123"/>
      <c r="AH45" s="122"/>
      <c r="AI45" s="125" t="s">
        <v>165</v>
      </c>
      <c r="AJ45" s="124" t="s">
        <v>166</v>
      </c>
      <c r="AK45" s="124" t="s">
        <v>167</v>
      </c>
      <c r="AL45" s="121" t="s">
        <v>224</v>
      </c>
      <c r="AM45" s="123"/>
      <c r="AN45" s="8" t="s">
        <v>446</v>
      </c>
    </row>
    <row r="46" spans="2:40">
      <c r="B46" s="117" t="s">
        <v>455</v>
      </c>
      <c r="C46" s="105" t="s">
        <v>455</v>
      </c>
      <c r="D46" s="104">
        <v>70064651029</v>
      </c>
      <c r="E46" s="141" t="s">
        <v>236</v>
      </c>
      <c r="F46" s="140" t="s">
        <v>210</v>
      </c>
      <c r="G46" s="140" t="s">
        <v>211</v>
      </c>
      <c r="H46" s="139" t="s">
        <v>212</v>
      </c>
      <c r="I46" s="138" t="s">
        <v>249</v>
      </c>
      <c r="J46" s="139" t="s">
        <v>250</v>
      </c>
      <c r="K46" s="137">
        <v>5</v>
      </c>
      <c r="L46" s="136">
        <v>5</v>
      </c>
      <c r="M46" s="135">
        <v>2</v>
      </c>
      <c r="N46" s="101" t="s">
        <v>296</v>
      </c>
      <c r="O46" s="128" t="s">
        <v>456</v>
      </c>
      <c r="P46" s="132" t="s">
        <v>390</v>
      </c>
      <c r="Q46" s="132" t="s">
        <v>391</v>
      </c>
      <c r="R46" s="132" t="s">
        <v>236</v>
      </c>
      <c r="S46" s="129" t="s">
        <v>392</v>
      </c>
      <c r="T46" s="128" t="s">
        <v>457</v>
      </c>
      <c r="U46" s="132"/>
      <c r="V46" s="132" t="s">
        <v>458</v>
      </c>
      <c r="W46" s="132" t="s">
        <v>243</v>
      </c>
      <c r="X46" s="129">
        <v>3170</v>
      </c>
      <c r="Y46" s="128" t="s">
        <v>459</v>
      </c>
      <c r="Z46" s="132" t="s">
        <v>460</v>
      </c>
      <c r="AA46" s="126" t="s">
        <v>461</v>
      </c>
      <c r="AC46" s="83"/>
      <c r="AD46" s="88"/>
      <c r="AE46" s="88" t="s">
        <v>223</v>
      </c>
      <c r="AF46" s="58" t="s">
        <v>140</v>
      </c>
      <c r="AG46" s="87" t="s">
        <v>140</v>
      </c>
      <c r="AH46" s="4"/>
      <c r="AI46" s="125" t="s">
        <v>165</v>
      </c>
      <c r="AJ46" s="124" t="s">
        <v>166</v>
      </c>
      <c r="AK46" s="124" t="s">
        <v>167</v>
      </c>
      <c r="AL46" s="121" t="s">
        <v>224</v>
      </c>
      <c r="AM46" s="123"/>
      <c r="AN46" s="8" t="s">
        <v>455</v>
      </c>
    </row>
    <row r="47" spans="2:40">
      <c r="B47" s="117" t="s">
        <v>462</v>
      </c>
      <c r="C47" s="105" t="s">
        <v>462</v>
      </c>
      <c r="D47" s="104">
        <v>18540492861</v>
      </c>
      <c r="E47" s="141" t="s">
        <v>463</v>
      </c>
      <c r="F47" s="140" t="s">
        <v>210</v>
      </c>
      <c r="G47" s="140" t="s">
        <v>211</v>
      </c>
      <c r="H47" s="139" t="s">
        <v>212</v>
      </c>
      <c r="I47" s="138" t="s">
        <v>213</v>
      </c>
      <c r="J47" s="139" t="s">
        <v>214</v>
      </c>
      <c r="K47" s="137">
        <v>12</v>
      </c>
      <c r="L47" s="79">
        <v>4</v>
      </c>
      <c r="M47" s="135" t="s">
        <v>230</v>
      </c>
      <c r="N47" s="134" t="s">
        <v>226</v>
      </c>
      <c r="O47" s="128" t="s">
        <v>464</v>
      </c>
      <c r="P47" s="132"/>
      <c r="Q47" s="132" t="s">
        <v>465</v>
      </c>
      <c r="R47" s="100" t="s">
        <v>463</v>
      </c>
      <c r="S47" s="129" t="s">
        <v>466</v>
      </c>
      <c r="T47" s="128" t="s">
        <v>467</v>
      </c>
      <c r="U47" s="132"/>
      <c r="V47" s="132" t="s">
        <v>465</v>
      </c>
      <c r="W47" s="132" t="s">
        <v>463</v>
      </c>
      <c r="X47" s="129">
        <v>6842</v>
      </c>
      <c r="Y47" s="128" t="s">
        <v>468</v>
      </c>
      <c r="Z47" s="85" t="s">
        <v>469</v>
      </c>
      <c r="AA47" s="45" t="s">
        <v>470</v>
      </c>
      <c r="AC47" s="89"/>
      <c r="AD47" s="88"/>
      <c r="AE47" s="88" t="s">
        <v>223</v>
      </c>
      <c r="AF47" s="88" t="s">
        <v>223</v>
      </c>
      <c r="AG47" s="87" t="s">
        <v>140</v>
      </c>
      <c r="AH47" s="44" t="s">
        <v>140</v>
      </c>
      <c r="AI47" s="125" t="s">
        <v>165</v>
      </c>
      <c r="AJ47" s="124" t="s">
        <v>166</v>
      </c>
      <c r="AK47" s="124" t="s">
        <v>167</v>
      </c>
      <c r="AL47" s="121" t="s">
        <v>224</v>
      </c>
      <c r="AM47" s="123"/>
      <c r="AN47" s="8" t="s">
        <v>462</v>
      </c>
    </row>
    <row r="48" spans="2:40" ht="15" thickBot="1">
      <c r="B48" s="43" t="s">
        <v>471</v>
      </c>
      <c r="C48" s="42" t="s">
        <v>471</v>
      </c>
      <c r="D48" s="41">
        <v>18540492861</v>
      </c>
      <c r="E48" s="40" t="s">
        <v>463</v>
      </c>
      <c r="F48" s="39" t="s">
        <v>210</v>
      </c>
      <c r="G48" s="39" t="s">
        <v>237</v>
      </c>
      <c r="H48" s="38" t="s">
        <v>212</v>
      </c>
      <c r="I48" s="37" t="s">
        <v>213</v>
      </c>
      <c r="J48" s="38" t="s">
        <v>214</v>
      </c>
      <c r="K48" s="36">
        <v>12</v>
      </c>
      <c r="L48" s="35">
        <v>4</v>
      </c>
      <c r="M48" s="34" t="s">
        <v>230</v>
      </c>
      <c r="N48" s="33" t="s">
        <v>309</v>
      </c>
      <c r="O48" s="32" t="s">
        <v>464</v>
      </c>
      <c r="P48" s="31"/>
      <c r="Q48" s="31" t="s">
        <v>465</v>
      </c>
      <c r="R48" s="30" t="s">
        <v>463</v>
      </c>
      <c r="S48" s="29" t="s">
        <v>466</v>
      </c>
      <c r="T48" s="32" t="s">
        <v>467</v>
      </c>
      <c r="U48" s="31"/>
      <c r="V48" s="31" t="s">
        <v>465</v>
      </c>
      <c r="W48" s="31" t="s">
        <v>463</v>
      </c>
      <c r="X48" s="29">
        <v>6842</v>
      </c>
      <c r="Y48" s="32" t="s">
        <v>468</v>
      </c>
      <c r="Z48" s="28" t="s">
        <v>469</v>
      </c>
      <c r="AA48" s="27" t="s">
        <v>470</v>
      </c>
      <c r="AC48" s="26"/>
      <c r="AD48" s="25"/>
      <c r="AE48" s="25" t="s">
        <v>223</v>
      </c>
      <c r="AF48" s="25" t="s">
        <v>223</v>
      </c>
      <c r="AG48" s="24" t="s">
        <v>140</v>
      </c>
      <c r="AH48" s="23"/>
      <c r="AI48" s="22" t="s">
        <v>165</v>
      </c>
      <c r="AJ48" s="21" t="s">
        <v>166</v>
      </c>
      <c r="AK48" s="21" t="s">
        <v>167</v>
      </c>
      <c r="AL48" s="20" t="s">
        <v>224</v>
      </c>
      <c r="AM48" s="19"/>
      <c r="AN48" s="18" t="s">
        <v>471</v>
      </c>
    </row>
    <row r="49" spans="2:38">
      <c r="C49" s="195"/>
    </row>
    <row r="50" spans="2:38" ht="15" thickBot="1">
      <c r="C50" s="195"/>
    </row>
    <row r="51" spans="2:38" ht="15" thickBot="1">
      <c r="W51" s="693" t="s">
        <v>472</v>
      </c>
      <c r="X51" s="694"/>
      <c r="Y51" s="694"/>
      <c r="Z51" s="694"/>
      <c r="AA51" s="695"/>
      <c r="AC51" s="693" t="s">
        <v>473</v>
      </c>
      <c r="AD51" s="694"/>
      <c r="AE51" s="694"/>
      <c r="AF51" s="694"/>
    </row>
    <row r="52" spans="2:38" ht="53.25" customHeight="1" thickBot="1">
      <c r="B52" s="696" t="s">
        <v>474</v>
      </c>
      <c r="C52" s="697"/>
      <c r="D52" s="697"/>
      <c r="E52" s="697"/>
      <c r="F52" s="698"/>
      <c r="G52" s="17" t="str">
        <f>IF(dms_RPT="financial",VALUE(LEFT(CRCP_y1,4)-1)&amp;"-"&amp;TEXT(VALUE(RIGHT(CRCP_y1,2)-1),"00"),VALUE(LEFT(CRCP_y1,4)-1))</f>
        <v>2013-14</v>
      </c>
      <c r="H52" s="16"/>
      <c r="N52" s="15" t="s">
        <v>475</v>
      </c>
      <c r="O52" s="699" t="s">
        <v>476</v>
      </c>
      <c r="P52" s="699"/>
      <c r="Q52" s="699"/>
      <c r="R52" s="699"/>
      <c r="S52" s="699"/>
      <c r="T52" s="699"/>
      <c r="U52" s="699"/>
      <c r="V52" s="699"/>
      <c r="W52" s="700" t="s">
        <v>477</v>
      </c>
      <c r="X52" s="701"/>
      <c r="Y52" s="701"/>
      <c r="Z52" s="701"/>
      <c r="AA52" s="702"/>
      <c r="AC52" s="700" t="s">
        <v>478</v>
      </c>
      <c r="AD52" s="701"/>
      <c r="AE52" s="701"/>
      <c r="AF52" s="702"/>
      <c r="AI52" s="14" t="s">
        <v>479</v>
      </c>
      <c r="AJ52" s="13" t="s">
        <v>480</v>
      </c>
      <c r="AK52" s="12" t="s">
        <v>481</v>
      </c>
      <c r="AL52" s="421"/>
    </row>
    <row r="53" spans="2:38" s="209" customFormat="1" ht="42" customHeight="1" thickBot="1">
      <c r="B53" s="11" t="s">
        <v>482</v>
      </c>
      <c r="C53" s="703" t="s">
        <v>40</v>
      </c>
      <c r="D53" s="703"/>
      <c r="E53" s="10" t="s">
        <v>483</v>
      </c>
      <c r="F53" s="10"/>
      <c r="G53" s="9"/>
      <c r="H53" s="422"/>
      <c r="I53" s="423"/>
      <c r="J53" s="424"/>
      <c r="K53" s="424"/>
      <c r="L53" s="425"/>
      <c r="N53" s="426" t="s">
        <v>484</v>
      </c>
      <c r="O53" s="427" t="s">
        <v>485</v>
      </c>
      <c r="P53" s="428" t="s">
        <v>486</v>
      </c>
      <c r="Q53" s="428" t="s">
        <v>487</v>
      </c>
      <c r="R53" s="428" t="s">
        <v>488</v>
      </c>
      <c r="S53" s="428" t="s">
        <v>489</v>
      </c>
      <c r="T53" s="428" t="s">
        <v>490</v>
      </c>
      <c r="U53" s="428" t="s">
        <v>491</v>
      </c>
      <c r="V53" s="429" t="s">
        <v>492</v>
      </c>
      <c r="W53" s="430" t="s">
        <v>493</v>
      </c>
      <c r="X53" s="431" t="s">
        <v>494</v>
      </c>
      <c r="Y53" s="431" t="s">
        <v>495</v>
      </c>
      <c r="Z53" s="431" t="s">
        <v>496</v>
      </c>
      <c r="AA53" s="432" t="s">
        <v>497</v>
      </c>
      <c r="AB53" s="421"/>
      <c r="AC53" s="430" t="s">
        <v>498</v>
      </c>
      <c r="AD53" s="431" t="s">
        <v>499</v>
      </c>
      <c r="AE53" s="431"/>
      <c r="AF53" s="432"/>
      <c r="AI53" s="683" t="s">
        <v>500</v>
      </c>
      <c r="AJ53" s="433" t="s">
        <v>501</v>
      </c>
      <c r="AK53" s="434" t="s">
        <v>500</v>
      </c>
      <c r="AL53" s="421"/>
    </row>
    <row r="54" spans="2:38" ht="28.8">
      <c r="B54" s="435" t="s">
        <v>67</v>
      </c>
      <c r="C54" s="436" t="s">
        <v>502</v>
      </c>
      <c r="D54" s="437"/>
      <c r="E54" s="438" t="str">
        <f ca="1">LEFT(dms_SingleYear_FinalYear_Result,2)&amp;RIGHT(dms_SingleYear_FinalYear_Result,2)</f>
        <v>2015</v>
      </c>
      <c r="F54" s="439" t="s">
        <v>503</v>
      </c>
      <c r="G54" s="440"/>
      <c r="H54" s="441" t="s">
        <v>504</v>
      </c>
      <c r="I54" s="442"/>
      <c r="N54" s="443" t="s">
        <v>505</v>
      </c>
      <c r="O54" s="444" t="s">
        <v>506</v>
      </c>
      <c r="P54" s="445" t="s">
        <v>507</v>
      </c>
      <c r="Q54" s="445" t="s">
        <v>507</v>
      </c>
      <c r="R54" s="445" t="s">
        <v>507</v>
      </c>
      <c r="S54" s="445" t="s">
        <v>507</v>
      </c>
      <c r="T54" s="446" t="s">
        <v>507</v>
      </c>
      <c r="U54" s="447" t="s">
        <v>507</v>
      </c>
      <c r="V54" s="448" t="s">
        <v>508</v>
      </c>
      <c r="W54" s="449" t="s">
        <v>509</v>
      </c>
      <c r="X54" s="450" t="s">
        <v>509</v>
      </c>
      <c r="Y54" s="451" t="s">
        <v>510</v>
      </c>
      <c r="Z54" s="451" t="s">
        <v>511</v>
      </c>
      <c r="AA54" s="452" t="s">
        <v>512</v>
      </c>
      <c r="AC54" s="451" t="s">
        <v>513</v>
      </c>
      <c r="AD54" s="451" t="s">
        <v>513</v>
      </c>
      <c r="AE54" s="453"/>
      <c r="AF54" s="454"/>
      <c r="AI54" s="684"/>
      <c r="AJ54" s="455" t="s">
        <v>514</v>
      </c>
      <c r="AK54" s="456" t="s">
        <v>515</v>
      </c>
      <c r="AL54" s="421"/>
    </row>
    <row r="55" spans="2:38" ht="29.4" thickBot="1">
      <c r="B55" s="457" t="s">
        <v>516</v>
      </c>
      <c r="C55" s="458" t="s">
        <v>517</v>
      </c>
      <c r="D55" s="440"/>
      <c r="E55" s="459" t="str">
        <f ca="1">LEFT(dms_SingleYear_FinalYear_Result,2)&amp;RIGHT(dms_SingleYear_FinalYear_Result,2)</f>
        <v>2015</v>
      </c>
      <c r="F55" s="460" t="s">
        <v>503</v>
      </c>
      <c r="G55" s="440"/>
      <c r="H55" s="441" t="s">
        <v>504</v>
      </c>
      <c r="I55" s="442"/>
      <c r="N55" s="461" t="s">
        <v>518</v>
      </c>
      <c r="O55" s="462" t="s">
        <v>506</v>
      </c>
      <c r="P55" s="463" t="s">
        <v>507</v>
      </c>
      <c r="Q55" s="463" t="s">
        <v>507</v>
      </c>
      <c r="R55" s="463" t="s">
        <v>507</v>
      </c>
      <c r="S55" s="463" t="s">
        <v>507</v>
      </c>
      <c r="T55" s="464" t="s">
        <v>507</v>
      </c>
      <c r="U55" s="465" t="s">
        <v>507</v>
      </c>
      <c r="V55" s="466" t="s">
        <v>507</v>
      </c>
      <c r="W55" s="449" t="s">
        <v>509</v>
      </c>
      <c r="X55" s="450" t="s">
        <v>509</v>
      </c>
      <c r="Y55" s="467" t="s">
        <v>519</v>
      </c>
      <c r="Z55" s="467" t="s">
        <v>520</v>
      </c>
      <c r="AA55" s="468"/>
      <c r="AC55" s="467" t="s">
        <v>513</v>
      </c>
      <c r="AD55" s="467" t="s">
        <v>513</v>
      </c>
      <c r="AE55" s="453"/>
      <c r="AF55" s="454"/>
      <c r="AI55" s="685"/>
      <c r="AJ55" s="469" t="s">
        <v>521</v>
      </c>
      <c r="AK55" s="456" t="s">
        <v>521</v>
      </c>
      <c r="AL55" s="421"/>
    </row>
    <row r="56" spans="2:38" ht="28.8">
      <c r="B56" s="457" t="s">
        <v>522</v>
      </c>
      <c r="C56" s="458" t="s">
        <v>522</v>
      </c>
      <c r="D56" s="440"/>
      <c r="E56" s="470"/>
      <c r="F56" s="471"/>
      <c r="G56" s="440"/>
      <c r="H56" s="472"/>
      <c r="I56" s="442"/>
      <c r="J56" s="210"/>
      <c r="N56" s="461" t="s">
        <v>523</v>
      </c>
      <c r="O56" s="462" t="s">
        <v>506</v>
      </c>
      <c r="P56" s="463" t="s">
        <v>524</v>
      </c>
      <c r="Q56" s="463" t="s">
        <v>524</v>
      </c>
      <c r="R56" s="463" t="s">
        <v>524</v>
      </c>
      <c r="S56" s="463" t="s">
        <v>524</v>
      </c>
      <c r="T56" s="464" t="s">
        <v>507</v>
      </c>
      <c r="U56" s="465" t="s">
        <v>507</v>
      </c>
      <c r="V56" s="466" t="s">
        <v>133</v>
      </c>
      <c r="W56" s="449" t="s">
        <v>525</v>
      </c>
      <c r="X56" s="450" t="s">
        <v>525</v>
      </c>
      <c r="Y56" s="467" t="s">
        <v>526</v>
      </c>
      <c r="Z56" s="467" t="s">
        <v>520</v>
      </c>
      <c r="AA56" s="468"/>
      <c r="AC56" s="467" t="s">
        <v>513</v>
      </c>
      <c r="AD56" s="467" t="s">
        <v>513</v>
      </c>
      <c r="AE56" s="453"/>
      <c r="AF56" s="454"/>
      <c r="AI56" s="683" t="s">
        <v>515</v>
      </c>
      <c r="AJ56" s="473" t="s">
        <v>527</v>
      </c>
      <c r="AK56" s="456" t="s">
        <v>528</v>
      </c>
      <c r="AL56" s="200"/>
    </row>
    <row r="57" spans="2:38" ht="29.4" thickBot="1">
      <c r="B57" s="457" t="s">
        <v>529</v>
      </c>
      <c r="C57" s="458" t="s">
        <v>530</v>
      </c>
      <c r="D57" s="440"/>
      <c r="E57" s="459" t="str">
        <f ca="1">LEFT(dms_SingleYear_FinalYear_Result,2)&amp;RIGHT(dms_SingleYear_FinalYear_Result,2)</f>
        <v>2015</v>
      </c>
      <c r="F57" s="460" t="s">
        <v>503</v>
      </c>
      <c r="G57" s="440"/>
      <c r="H57" s="441" t="s">
        <v>504</v>
      </c>
      <c r="I57" s="442"/>
      <c r="J57" s="210"/>
      <c r="N57" s="461" t="s">
        <v>531</v>
      </c>
      <c r="O57" s="462" t="s">
        <v>506</v>
      </c>
      <c r="P57" s="463" t="s">
        <v>507</v>
      </c>
      <c r="Q57" s="463" t="s">
        <v>507</v>
      </c>
      <c r="R57" s="463" t="s">
        <v>507</v>
      </c>
      <c r="S57" s="463" t="s">
        <v>507</v>
      </c>
      <c r="T57" s="464" t="s">
        <v>507</v>
      </c>
      <c r="U57" s="465" t="s">
        <v>133</v>
      </c>
      <c r="V57" s="466" t="s">
        <v>507</v>
      </c>
      <c r="W57" s="449" t="s">
        <v>525</v>
      </c>
      <c r="X57" s="474" t="s">
        <v>525</v>
      </c>
      <c r="Y57" s="85"/>
      <c r="Z57" s="467" t="s">
        <v>520</v>
      </c>
      <c r="AA57" s="468"/>
      <c r="AC57" s="467" t="s">
        <v>513</v>
      </c>
      <c r="AD57" s="467" t="s">
        <v>513</v>
      </c>
      <c r="AE57" s="453"/>
      <c r="AF57" s="454"/>
      <c r="AI57" s="684"/>
      <c r="AJ57" s="455" t="s">
        <v>532</v>
      </c>
      <c r="AK57" s="456" t="s">
        <v>533</v>
      </c>
      <c r="AL57" s="200"/>
    </row>
    <row r="58" spans="2:38">
      <c r="B58" s="457" t="s">
        <v>534</v>
      </c>
      <c r="C58" s="475" t="s">
        <v>535</v>
      </c>
      <c r="D58" s="440"/>
      <c r="E58" s="459" t="str">
        <f ca="1">LEFT(dms_MultiYear_FinalYear_Result,2)&amp;RIGHT(dms_MultiYear_FinalYear_Result,2)</f>
        <v>2024</v>
      </c>
      <c r="F58" s="460" t="s">
        <v>536</v>
      </c>
      <c r="G58" s="440"/>
      <c r="H58" s="472"/>
      <c r="I58" s="442"/>
      <c r="J58" s="210"/>
      <c r="N58" s="461" t="s">
        <v>537</v>
      </c>
      <c r="O58" s="476" t="s">
        <v>538</v>
      </c>
      <c r="P58" s="463" t="s">
        <v>539</v>
      </c>
      <c r="Q58" s="463" t="s">
        <v>539</v>
      </c>
      <c r="R58" s="463" t="s">
        <v>539</v>
      </c>
      <c r="S58" s="463" t="s">
        <v>539</v>
      </c>
      <c r="T58" s="464" t="s">
        <v>540</v>
      </c>
      <c r="U58" s="477"/>
      <c r="V58" s="478"/>
      <c r="W58" s="479"/>
      <c r="X58" s="85"/>
      <c r="Y58" s="85"/>
      <c r="Z58" s="467" t="s">
        <v>520</v>
      </c>
      <c r="AA58" s="468"/>
      <c r="AC58" s="467" t="s">
        <v>513</v>
      </c>
      <c r="AD58" s="467" t="s">
        <v>540</v>
      </c>
      <c r="AE58" s="453"/>
      <c r="AF58" s="454"/>
      <c r="AI58" s="684"/>
      <c r="AJ58" s="455" t="s">
        <v>541</v>
      </c>
      <c r="AK58" s="456" t="s">
        <v>542</v>
      </c>
      <c r="AL58" s="200"/>
    </row>
    <row r="59" spans="2:38">
      <c r="B59" s="457" t="s">
        <v>543</v>
      </c>
      <c r="C59" s="458" t="s">
        <v>3</v>
      </c>
      <c r="D59" s="440"/>
      <c r="E59" s="459" t="str">
        <f ca="1">LEFT(dms_MultiYear_FinalYear_Result,2)&amp;RIGHT(dms_MultiYear_FinalYear_Result,2)</f>
        <v>2024</v>
      </c>
      <c r="F59" s="460" t="s">
        <v>536</v>
      </c>
      <c r="G59" s="440"/>
      <c r="H59" s="441" t="s">
        <v>504</v>
      </c>
      <c r="I59" s="442"/>
      <c r="J59" s="210"/>
      <c r="N59" s="461" t="s">
        <v>544</v>
      </c>
      <c r="O59" s="476" t="s">
        <v>538</v>
      </c>
      <c r="P59" s="463" t="s">
        <v>545</v>
      </c>
      <c r="Q59" s="463" t="s">
        <v>545</v>
      </c>
      <c r="R59" s="463" t="s">
        <v>545</v>
      </c>
      <c r="S59" s="463" t="s">
        <v>545</v>
      </c>
      <c r="T59" s="480"/>
      <c r="U59" s="477"/>
      <c r="V59" s="478"/>
      <c r="W59" s="479"/>
      <c r="X59" s="85"/>
      <c r="Y59" s="85"/>
      <c r="Z59" s="467" t="s">
        <v>546</v>
      </c>
      <c r="AA59" s="468"/>
      <c r="AC59" s="467" t="s">
        <v>513</v>
      </c>
      <c r="AD59" s="453"/>
      <c r="AE59" s="453"/>
      <c r="AF59" s="454"/>
      <c r="AI59" s="684"/>
      <c r="AJ59" s="455" t="s">
        <v>547</v>
      </c>
      <c r="AK59" s="456" t="s">
        <v>548</v>
      </c>
      <c r="AL59" s="200"/>
    </row>
    <row r="60" spans="2:38" ht="15" thickBot="1">
      <c r="B60" s="457" t="s">
        <v>549</v>
      </c>
      <c r="C60" s="458" t="s">
        <v>550</v>
      </c>
      <c r="D60" s="440"/>
      <c r="E60" s="459" t="str">
        <f>LEFT(dms_CRCP_FinalYear_Result,2)&amp;RIGHT(dms_CRCP_FinalYear_Result,2)</f>
        <v>2019</v>
      </c>
      <c r="F60" s="460" t="s">
        <v>551</v>
      </c>
      <c r="G60" s="440"/>
      <c r="H60" s="472"/>
      <c r="I60" s="442"/>
      <c r="J60" s="210"/>
      <c r="N60" s="461" t="s">
        <v>552</v>
      </c>
      <c r="O60" s="476" t="s">
        <v>538</v>
      </c>
      <c r="P60" s="463" t="s">
        <v>539</v>
      </c>
      <c r="Q60" s="463" t="s">
        <v>539</v>
      </c>
      <c r="R60" s="463" t="s">
        <v>539</v>
      </c>
      <c r="S60" s="463" t="s">
        <v>539</v>
      </c>
      <c r="T60" s="480"/>
      <c r="U60" s="477"/>
      <c r="V60" s="478"/>
      <c r="W60" s="479"/>
      <c r="X60" s="85"/>
      <c r="Y60" s="85"/>
      <c r="Z60" s="467" t="s">
        <v>546</v>
      </c>
      <c r="AA60" s="468"/>
      <c r="AC60" s="467" t="s">
        <v>513</v>
      </c>
      <c r="AD60" s="453"/>
      <c r="AE60" s="453"/>
      <c r="AF60" s="454"/>
      <c r="AI60" s="685"/>
      <c r="AJ60" s="481" t="s">
        <v>553</v>
      </c>
      <c r="AK60" s="456" t="s">
        <v>554</v>
      </c>
      <c r="AL60" s="200"/>
    </row>
    <row r="61" spans="2:38" ht="15" thickBot="1">
      <c r="B61" s="482" t="s">
        <v>555</v>
      </c>
      <c r="C61" s="483" t="s">
        <v>556</v>
      </c>
      <c r="D61" s="484"/>
      <c r="E61" s="485" t="str">
        <f ca="1">LEFT(dms_MultiYear_FinalYear_Result,2)&amp;RIGHT(dms_MultiYear_FinalYear_Result,2)</f>
        <v>2024</v>
      </c>
      <c r="F61" s="486" t="s">
        <v>536</v>
      </c>
      <c r="G61" s="484"/>
      <c r="H61" s="487"/>
      <c r="I61" s="442"/>
      <c r="J61" s="210"/>
      <c r="N61" s="488" t="s">
        <v>521</v>
      </c>
      <c r="O61" s="489"/>
      <c r="P61" s="463" t="s">
        <v>545</v>
      </c>
      <c r="Q61" s="463" t="s">
        <v>545</v>
      </c>
      <c r="R61" s="463" t="s">
        <v>545</v>
      </c>
      <c r="S61" s="463" t="s">
        <v>545</v>
      </c>
      <c r="T61" s="480"/>
      <c r="U61" s="477"/>
      <c r="V61" s="478"/>
      <c r="W61" s="490"/>
      <c r="X61" s="85"/>
      <c r="Y61" s="85"/>
      <c r="Z61" s="467" t="s">
        <v>557</v>
      </c>
      <c r="AA61" s="468"/>
      <c r="AC61" s="467" t="s">
        <v>513</v>
      </c>
      <c r="AD61" s="453"/>
      <c r="AE61" s="453"/>
      <c r="AF61" s="454"/>
      <c r="AI61" s="491" t="s">
        <v>521</v>
      </c>
      <c r="AJ61" s="492" t="s">
        <v>558</v>
      </c>
      <c r="AK61" s="456" t="s">
        <v>559</v>
      </c>
      <c r="AL61" s="200"/>
    </row>
    <row r="62" spans="2:38" ht="15" thickBot="1">
      <c r="C62" s="195"/>
      <c r="H62" s="210"/>
      <c r="I62" s="442"/>
      <c r="J62" s="210"/>
      <c r="O62" s="489"/>
      <c r="P62" s="463" t="s">
        <v>539</v>
      </c>
      <c r="Q62" s="463" t="s">
        <v>539</v>
      </c>
      <c r="R62" s="463" t="s">
        <v>539</v>
      </c>
      <c r="S62" s="463" t="s">
        <v>539</v>
      </c>
      <c r="T62" s="480"/>
      <c r="U62" s="477"/>
      <c r="V62" s="478"/>
      <c r="W62" s="490"/>
      <c r="X62" s="85"/>
      <c r="Y62" s="85"/>
      <c r="Z62" s="467" t="s">
        <v>557</v>
      </c>
      <c r="AA62" s="468"/>
      <c r="AC62" s="467" t="s">
        <v>513</v>
      </c>
      <c r="AD62" s="453"/>
      <c r="AE62" s="453"/>
      <c r="AF62" s="454"/>
      <c r="AI62" s="491" t="s">
        <v>528</v>
      </c>
      <c r="AJ62" s="493" t="s">
        <v>238</v>
      </c>
      <c r="AK62" s="456" t="s">
        <v>560</v>
      </c>
      <c r="AL62" s="200"/>
    </row>
    <row r="63" spans="2:38" ht="15" thickBot="1">
      <c r="B63" s="494" t="s">
        <v>561</v>
      </c>
      <c r="C63" s="195"/>
      <c r="O63" s="489"/>
      <c r="P63" s="463" t="s">
        <v>507</v>
      </c>
      <c r="Q63" s="480"/>
      <c r="R63" s="463" t="s">
        <v>133</v>
      </c>
      <c r="S63" s="480"/>
      <c r="T63" s="480"/>
      <c r="U63" s="477"/>
      <c r="V63" s="478"/>
      <c r="W63" s="490"/>
      <c r="X63" s="85"/>
      <c r="Y63" s="85"/>
      <c r="Z63" s="467" t="s">
        <v>562</v>
      </c>
      <c r="AA63" s="468"/>
      <c r="AC63" s="467" t="s">
        <v>513</v>
      </c>
      <c r="AD63" s="453"/>
      <c r="AE63" s="453"/>
      <c r="AF63" s="454"/>
      <c r="AI63" s="491" t="s">
        <v>533</v>
      </c>
      <c r="AJ63" s="495" t="s">
        <v>238</v>
      </c>
      <c r="AK63" s="456" t="s">
        <v>563</v>
      </c>
      <c r="AL63" s="200"/>
    </row>
    <row r="64" spans="2:38">
      <c r="B64" s="496" t="s">
        <v>2</v>
      </c>
      <c r="C64" s="195"/>
      <c r="O64" s="489"/>
      <c r="P64" s="463" t="s">
        <v>507</v>
      </c>
      <c r="Q64" s="480"/>
      <c r="R64" s="480"/>
      <c r="S64" s="480"/>
      <c r="T64" s="480"/>
      <c r="U64" s="477"/>
      <c r="V64" s="478"/>
      <c r="W64" s="490"/>
      <c r="X64" s="85"/>
      <c r="Y64" s="85"/>
      <c r="Z64" s="467" t="s">
        <v>562</v>
      </c>
      <c r="AA64" s="468"/>
      <c r="AC64" s="467" t="s">
        <v>513</v>
      </c>
      <c r="AD64" s="453"/>
      <c r="AE64" s="453"/>
      <c r="AF64" s="454"/>
      <c r="AI64" s="683" t="s">
        <v>542</v>
      </c>
      <c r="AJ64" s="497" t="s">
        <v>564</v>
      </c>
      <c r="AK64" s="456" t="s">
        <v>565</v>
      </c>
      <c r="AL64" s="200"/>
    </row>
    <row r="65" spans="2:38" ht="15" thickBot="1">
      <c r="B65" s="498" t="s">
        <v>566</v>
      </c>
      <c r="C65" s="195"/>
      <c r="O65" s="489"/>
      <c r="P65" s="463" t="s">
        <v>507</v>
      </c>
      <c r="Q65" s="480"/>
      <c r="R65" s="480"/>
      <c r="S65" s="480"/>
      <c r="T65" s="480"/>
      <c r="U65" s="477"/>
      <c r="V65" s="478"/>
      <c r="W65" s="490"/>
      <c r="X65" s="85"/>
      <c r="Y65" s="85"/>
      <c r="Z65" s="467" t="s">
        <v>567</v>
      </c>
      <c r="AA65" s="468"/>
      <c r="AC65" s="467" t="s">
        <v>513</v>
      </c>
      <c r="AD65" s="453"/>
      <c r="AE65" s="453"/>
      <c r="AF65" s="454"/>
      <c r="AI65" s="684"/>
      <c r="AJ65" s="499" t="s">
        <v>568</v>
      </c>
      <c r="AK65" s="456" t="s">
        <v>569</v>
      </c>
      <c r="AL65" s="200"/>
    </row>
    <row r="66" spans="2:38" ht="15" thickBot="1">
      <c r="B66" s="498" t="s">
        <v>46</v>
      </c>
      <c r="C66" s="195"/>
      <c r="O66" s="500"/>
      <c r="P66" s="501" t="s">
        <v>133</v>
      </c>
      <c r="Q66" s="502"/>
      <c r="R66" s="502"/>
      <c r="S66" s="502"/>
      <c r="T66" s="502"/>
      <c r="U66" s="503"/>
      <c r="V66" s="504"/>
      <c r="W66" s="490"/>
      <c r="X66" s="85"/>
      <c r="Y66" s="85"/>
      <c r="Z66" s="467" t="s">
        <v>512</v>
      </c>
      <c r="AA66" s="468"/>
      <c r="AC66" s="467" t="s">
        <v>540</v>
      </c>
      <c r="AD66" s="453"/>
      <c r="AE66" s="453"/>
      <c r="AF66" s="454"/>
      <c r="AI66" s="505" t="s">
        <v>548</v>
      </c>
      <c r="AJ66" s="473" t="s">
        <v>570</v>
      </c>
      <c r="AK66" s="456" t="s">
        <v>571</v>
      </c>
      <c r="AL66" s="200"/>
    </row>
    <row r="67" spans="2:38" ht="15" thickBot="1">
      <c r="B67" s="498" t="s">
        <v>572</v>
      </c>
      <c r="C67" s="195"/>
      <c r="E67" s="421"/>
      <c r="T67" s="506"/>
      <c r="W67" s="507"/>
      <c r="X67" s="508"/>
      <c r="Y67" s="508"/>
      <c r="Z67" s="509" t="s">
        <v>567</v>
      </c>
      <c r="AA67" s="510"/>
      <c r="AC67" s="509" t="s">
        <v>540</v>
      </c>
      <c r="AD67" s="453" t="s">
        <v>573</v>
      </c>
      <c r="AE67" s="453"/>
      <c r="AF67" s="454"/>
      <c r="AI67" s="511"/>
      <c r="AJ67" s="512" t="s">
        <v>521</v>
      </c>
      <c r="AK67" s="456" t="s">
        <v>574</v>
      </c>
      <c r="AL67" s="200"/>
    </row>
    <row r="68" spans="2:38" ht="15" thickBot="1">
      <c r="B68" s="513" t="s">
        <v>71</v>
      </c>
      <c r="C68" s="195"/>
      <c r="E68" s="421"/>
      <c r="T68" s="514"/>
      <c r="W68" s="515"/>
      <c r="X68" s="453"/>
      <c r="Y68" s="453"/>
      <c r="Z68" s="453"/>
      <c r="AA68" s="454"/>
      <c r="AC68" s="516"/>
      <c r="AD68" s="453"/>
      <c r="AE68" s="453"/>
      <c r="AF68" s="454"/>
      <c r="AI68" s="511"/>
      <c r="AJ68" s="512" t="s">
        <v>575</v>
      </c>
      <c r="AK68" s="517" t="s">
        <v>576</v>
      </c>
      <c r="AL68" s="200"/>
    </row>
    <row r="69" spans="2:38" ht="15" thickBot="1">
      <c r="C69" s="195"/>
      <c r="E69" s="421"/>
      <c r="T69" s="518"/>
      <c r="W69" s="515"/>
      <c r="X69" s="453"/>
      <c r="Y69" s="453"/>
      <c r="Z69" s="453"/>
      <c r="AA69" s="454"/>
      <c r="AC69" s="516"/>
      <c r="AD69" s="453"/>
      <c r="AE69" s="453"/>
      <c r="AF69" s="454"/>
      <c r="AI69" s="511"/>
      <c r="AJ69" s="512" t="s">
        <v>577</v>
      </c>
      <c r="AK69" s="519"/>
      <c r="AL69" s="200"/>
    </row>
    <row r="70" spans="2:38" ht="58.5" customHeight="1" thickBot="1">
      <c r="B70" s="520" t="s">
        <v>578</v>
      </c>
      <c r="C70" s="520" t="s">
        <v>579</v>
      </c>
      <c r="E70" s="421"/>
      <c r="O70" s="704" t="s">
        <v>580</v>
      </c>
      <c r="P70" s="705"/>
      <c r="W70" s="706" t="s">
        <v>581</v>
      </c>
      <c r="X70" s="707"/>
      <c r="Y70" s="707"/>
      <c r="Z70" s="708"/>
      <c r="AA70" s="454"/>
      <c r="AC70" s="516"/>
      <c r="AD70" s="453"/>
      <c r="AE70" s="453"/>
      <c r="AF70" s="454"/>
      <c r="AI70" s="521"/>
      <c r="AJ70" s="522" t="s">
        <v>582</v>
      </c>
      <c r="AK70" s="519"/>
      <c r="AL70" s="200"/>
    </row>
    <row r="71" spans="2:38" ht="15" thickBot="1">
      <c r="B71" s="523" t="s">
        <v>583</v>
      </c>
      <c r="C71" s="523" t="s">
        <v>584</v>
      </c>
      <c r="E71" s="421"/>
      <c r="O71" s="524" t="s">
        <v>585</v>
      </c>
      <c r="W71" s="525" t="s">
        <v>493</v>
      </c>
      <c r="X71" s="17"/>
      <c r="Y71" s="526" t="s">
        <v>495</v>
      </c>
      <c r="Z71" s="527" t="s">
        <v>496</v>
      </c>
      <c r="AA71" s="454"/>
      <c r="AC71" s="516"/>
      <c r="AD71" s="453"/>
      <c r="AE71" s="453"/>
      <c r="AF71" s="454"/>
      <c r="AI71" s="491" t="s">
        <v>554</v>
      </c>
      <c r="AJ71" s="528" t="s">
        <v>554</v>
      </c>
      <c r="AK71" s="519"/>
      <c r="AL71" s="200"/>
    </row>
    <row r="72" spans="2:38" ht="15" thickBot="1">
      <c r="B72" s="529" t="s">
        <v>586</v>
      </c>
      <c r="C72" s="530" t="s">
        <v>212</v>
      </c>
      <c r="E72" s="421"/>
      <c r="O72" s="531" t="s">
        <v>587</v>
      </c>
      <c r="W72" s="532" t="s">
        <v>511</v>
      </c>
      <c r="X72" s="533"/>
      <c r="Y72" s="534" t="s">
        <v>520</v>
      </c>
      <c r="Z72" s="535" t="s">
        <v>512</v>
      </c>
      <c r="AA72" s="454"/>
      <c r="AC72" s="516"/>
      <c r="AD72" s="453"/>
      <c r="AE72" s="453"/>
      <c r="AF72" s="454"/>
      <c r="AI72" s="536" t="s">
        <v>559</v>
      </c>
      <c r="AJ72" s="497" t="s">
        <v>588</v>
      </c>
      <c r="AK72" s="519"/>
      <c r="AL72" s="200"/>
    </row>
    <row r="73" spans="2:38">
      <c r="B73" s="537" t="s">
        <v>589</v>
      </c>
      <c r="C73" s="538" t="s">
        <v>590</v>
      </c>
      <c r="E73" s="421"/>
      <c r="W73" s="539" t="s">
        <v>513</v>
      </c>
      <c r="X73" s="85"/>
      <c r="Y73" s="467" t="s">
        <v>546</v>
      </c>
      <c r="Z73" s="540" t="s">
        <v>511</v>
      </c>
      <c r="AA73" s="454"/>
      <c r="AC73" s="516"/>
      <c r="AD73" s="453"/>
      <c r="AE73" s="453"/>
      <c r="AF73" s="454"/>
      <c r="AI73" s="541"/>
      <c r="AJ73" s="512" t="s">
        <v>591</v>
      </c>
      <c r="AK73" s="519"/>
      <c r="AL73" s="200"/>
    </row>
    <row r="74" spans="2:38" ht="15" thickBot="1">
      <c r="B74" s="537" t="s">
        <v>592</v>
      </c>
      <c r="C74" s="542" t="s">
        <v>229</v>
      </c>
      <c r="E74" s="421"/>
      <c r="W74" s="539" t="s">
        <v>513</v>
      </c>
      <c r="X74" s="85"/>
      <c r="Y74" s="467" t="s">
        <v>557</v>
      </c>
      <c r="Z74" s="540" t="s">
        <v>512</v>
      </c>
      <c r="AA74" s="454"/>
      <c r="AC74" s="516"/>
      <c r="AD74" s="453"/>
      <c r="AE74" s="453"/>
      <c r="AF74" s="454"/>
      <c r="AI74" s="541"/>
      <c r="AJ74" s="512" t="s">
        <v>593</v>
      </c>
      <c r="AK74" s="519"/>
      <c r="AL74" s="200"/>
    </row>
    <row r="75" spans="2:38" ht="15" thickBot="1">
      <c r="B75" s="537" t="s">
        <v>594</v>
      </c>
      <c r="C75" s="210"/>
      <c r="E75" s="421"/>
      <c r="W75" s="539" t="s">
        <v>511</v>
      </c>
      <c r="X75" s="85"/>
      <c r="Y75" s="467" t="s">
        <v>562</v>
      </c>
      <c r="Z75" s="540" t="s">
        <v>513</v>
      </c>
      <c r="AA75" s="454"/>
      <c r="AC75" s="516"/>
      <c r="AD75" s="453"/>
      <c r="AE75" s="453"/>
      <c r="AF75" s="454"/>
      <c r="AI75" s="541"/>
      <c r="AJ75" s="522" t="s">
        <v>595</v>
      </c>
      <c r="AK75" s="519"/>
      <c r="AL75" s="200"/>
    </row>
    <row r="76" spans="2:38">
      <c r="B76" s="537" t="s">
        <v>596</v>
      </c>
      <c r="E76" s="421"/>
      <c r="W76" s="539" t="s">
        <v>513</v>
      </c>
      <c r="X76" s="85"/>
      <c r="Y76" s="467" t="s">
        <v>520</v>
      </c>
      <c r="Z76" s="84"/>
      <c r="AA76" s="454"/>
      <c r="AC76" s="516"/>
      <c r="AD76" s="453"/>
      <c r="AE76" s="453"/>
      <c r="AF76" s="454"/>
      <c r="AI76" s="543" t="s">
        <v>560</v>
      </c>
      <c r="AJ76" s="421"/>
      <c r="AK76" s="519"/>
      <c r="AL76" s="200"/>
    </row>
    <row r="77" spans="2:38">
      <c r="B77" s="537" t="s">
        <v>597</v>
      </c>
      <c r="E77" s="421"/>
      <c r="W77" s="539" t="s">
        <v>513</v>
      </c>
      <c r="X77" s="85"/>
      <c r="Y77" s="467" t="s">
        <v>512</v>
      </c>
      <c r="Z77" s="84"/>
      <c r="AA77" s="454"/>
      <c r="AC77" s="516"/>
      <c r="AD77" s="453"/>
      <c r="AE77" s="453"/>
      <c r="AF77" s="454"/>
      <c r="AI77" s="544" t="s">
        <v>563</v>
      </c>
      <c r="AJ77" s="421"/>
      <c r="AK77" s="519"/>
      <c r="AL77" s="200"/>
    </row>
    <row r="78" spans="2:38">
      <c r="B78" s="537" t="s">
        <v>598</v>
      </c>
      <c r="E78" s="421"/>
      <c r="W78" s="539" t="s">
        <v>511</v>
      </c>
      <c r="X78" s="85"/>
      <c r="Y78" s="467" t="s">
        <v>512</v>
      </c>
      <c r="Z78" s="84"/>
      <c r="AA78" s="454"/>
      <c r="AC78" s="516"/>
      <c r="AD78" s="453"/>
      <c r="AE78" s="453"/>
      <c r="AF78" s="454"/>
      <c r="AI78" s="545" t="s">
        <v>565</v>
      </c>
      <c r="AJ78" s="421"/>
      <c r="AK78" s="421"/>
      <c r="AL78" s="200"/>
    </row>
    <row r="79" spans="2:38">
      <c r="B79" s="537" t="s">
        <v>599</v>
      </c>
      <c r="E79" s="421"/>
      <c r="W79" s="539" t="s">
        <v>513</v>
      </c>
      <c r="X79" s="85"/>
      <c r="Y79" s="467" t="s">
        <v>520</v>
      </c>
      <c r="Z79" s="84"/>
      <c r="AA79" s="454"/>
      <c r="AC79" s="516"/>
      <c r="AD79" s="453"/>
      <c r="AE79" s="453"/>
      <c r="AF79" s="454"/>
      <c r="AI79" s="545" t="s">
        <v>569</v>
      </c>
      <c r="AJ79" s="421"/>
      <c r="AK79" s="421"/>
      <c r="AL79" s="200"/>
    </row>
    <row r="80" spans="2:38">
      <c r="B80" s="537" t="s">
        <v>600</v>
      </c>
      <c r="E80" s="421"/>
      <c r="W80" s="539" t="s">
        <v>513</v>
      </c>
      <c r="X80" s="85"/>
      <c r="Y80" s="85"/>
      <c r="Z80" s="84"/>
      <c r="AA80" s="454"/>
      <c r="AC80" s="516"/>
      <c r="AD80" s="453"/>
      <c r="AE80" s="453"/>
      <c r="AF80" s="454"/>
      <c r="AI80" s="545" t="s">
        <v>571</v>
      </c>
      <c r="AJ80" s="421"/>
      <c r="AK80" s="421"/>
      <c r="AL80" s="200"/>
    </row>
    <row r="81" spans="1:38">
      <c r="B81" s="537" t="s">
        <v>601</v>
      </c>
      <c r="E81" s="421"/>
      <c r="W81" s="539" t="s">
        <v>511</v>
      </c>
      <c r="X81" s="85"/>
      <c r="Y81" s="85"/>
      <c r="Z81" s="84"/>
      <c r="AA81" s="454"/>
      <c r="AC81" s="516"/>
      <c r="AD81" s="453"/>
      <c r="AE81" s="453"/>
      <c r="AF81" s="454"/>
      <c r="AI81" s="545" t="s">
        <v>574</v>
      </c>
      <c r="AJ81" s="421"/>
      <c r="AK81" s="421"/>
      <c r="AL81" s="200"/>
    </row>
    <row r="82" spans="1:38" ht="15" thickBot="1">
      <c r="B82" s="537" t="s">
        <v>602</v>
      </c>
      <c r="E82" s="421"/>
      <c r="W82" s="539" t="s">
        <v>513</v>
      </c>
      <c r="X82" s="85"/>
      <c r="Y82" s="85"/>
      <c r="Z82" s="84"/>
      <c r="AA82" s="454"/>
      <c r="AC82" s="516"/>
      <c r="AD82" s="453"/>
      <c r="AE82" s="453"/>
      <c r="AF82" s="454"/>
      <c r="AI82" s="546" t="s">
        <v>576</v>
      </c>
      <c r="AJ82" s="421"/>
      <c r="AK82" s="421"/>
      <c r="AL82" s="200"/>
    </row>
    <row r="83" spans="1:38">
      <c r="B83" s="547" t="s">
        <v>43</v>
      </c>
      <c r="E83" s="421"/>
      <c r="W83" s="539" t="s">
        <v>511</v>
      </c>
      <c r="X83" s="85"/>
      <c r="Y83" s="85"/>
      <c r="Z83" s="84"/>
      <c r="AA83" s="454"/>
      <c r="AC83" s="516"/>
      <c r="AD83" s="453"/>
      <c r="AE83" s="453"/>
      <c r="AF83" s="454"/>
    </row>
    <row r="84" spans="1:38" ht="15" thickBot="1">
      <c r="B84" s="548" t="s">
        <v>603</v>
      </c>
      <c r="E84" s="421"/>
      <c r="W84" s="539" t="s">
        <v>513</v>
      </c>
      <c r="X84" s="85"/>
      <c r="Y84" s="85"/>
      <c r="Z84" s="84"/>
      <c r="AA84" s="454"/>
      <c r="AC84" s="516"/>
      <c r="AD84" s="453"/>
      <c r="AE84" s="453"/>
      <c r="AF84" s="454"/>
    </row>
    <row r="85" spans="1:38">
      <c r="B85" s="421"/>
      <c r="E85" s="421"/>
      <c r="W85" s="539" t="s">
        <v>511</v>
      </c>
      <c r="X85" s="85"/>
      <c r="Y85" s="85"/>
      <c r="Z85" s="84"/>
      <c r="AA85" s="454"/>
      <c r="AC85" s="516"/>
      <c r="AD85" s="453"/>
      <c r="AE85" s="453"/>
      <c r="AF85" s="454"/>
    </row>
    <row r="86" spans="1:38" ht="15" thickBot="1">
      <c r="B86" s="421"/>
      <c r="E86" s="421"/>
      <c r="W86" s="549" t="s">
        <v>513</v>
      </c>
      <c r="X86" s="550"/>
      <c r="Y86" s="550"/>
      <c r="Z86" s="551"/>
      <c r="AA86" s="552"/>
      <c r="AC86" s="553"/>
      <c r="AD86" s="554"/>
      <c r="AE86" s="554"/>
      <c r="AF86" s="552"/>
    </row>
    <row r="87" spans="1:38">
      <c r="A87" s="421"/>
      <c r="C87" s="421"/>
      <c r="E87" s="421"/>
      <c r="F87" s="200"/>
      <c r="H87" s="210"/>
      <c r="I87" s="201"/>
      <c r="J87" s="199"/>
    </row>
    <row r="88" spans="1:38">
      <c r="A88" s="421"/>
      <c r="C88" s="421"/>
      <c r="E88" s="421"/>
    </row>
    <row r="89" spans="1:38" ht="15" thickBot="1">
      <c r="A89" s="421"/>
      <c r="C89" s="421"/>
      <c r="E89" s="421"/>
    </row>
    <row r="90" spans="1:38" ht="15" thickBot="1">
      <c r="A90" s="421"/>
      <c r="B90" s="555" t="s">
        <v>604</v>
      </c>
      <c r="C90" s="556"/>
      <c r="D90" s="556"/>
      <c r="E90" s="557"/>
      <c r="F90" s="558"/>
      <c r="G90" s="557"/>
      <c r="H90" s="557"/>
      <c r="I90" s="559"/>
      <c r="J90" s="560"/>
      <c r="L90" s="561" t="s">
        <v>605</v>
      </c>
      <c r="M90" s="562"/>
      <c r="N90" s="562"/>
      <c r="O90" s="563"/>
      <c r="P90" s="564"/>
    </row>
    <row r="91" spans="1:38" ht="27" thickBot="1">
      <c r="A91" s="421"/>
      <c r="B91" s="565" t="s">
        <v>606</v>
      </c>
      <c r="C91" s="566" t="s">
        <v>607</v>
      </c>
      <c r="D91" s="567" t="s">
        <v>608</v>
      </c>
      <c r="E91" s="566" t="s">
        <v>609</v>
      </c>
      <c r="F91" s="568" t="s">
        <v>610</v>
      </c>
      <c r="G91" s="569"/>
      <c r="H91" s="570" t="s">
        <v>611</v>
      </c>
      <c r="I91" s="570"/>
      <c r="J91" s="571" t="s">
        <v>612</v>
      </c>
      <c r="L91" s="572" t="s">
        <v>613</v>
      </c>
      <c r="M91" s="573" t="s">
        <v>614</v>
      </c>
      <c r="N91" s="574" t="s">
        <v>615</v>
      </c>
      <c r="O91" s="575" t="s">
        <v>616</v>
      </c>
      <c r="P91" s="576" t="s">
        <v>617</v>
      </c>
    </row>
    <row r="92" spans="1:38">
      <c r="A92" s="421"/>
      <c r="B92" s="577">
        <v>1</v>
      </c>
      <c r="C92" s="578" t="s">
        <v>618</v>
      </c>
      <c r="D92" s="579">
        <v>1</v>
      </c>
      <c r="E92" s="578" t="s">
        <v>619</v>
      </c>
      <c r="F92" s="580" t="str">
        <f>FRCP_y1</f>
        <v>2019-20</v>
      </c>
      <c r="G92" s="581" t="s">
        <v>618</v>
      </c>
      <c r="H92" s="582" t="str">
        <f>IF(dms_RPT="financial",VALUE(LEFT(dms_FRCP_y1,4)-1)&amp;"-"&amp;TEXT(VALUE(MID(dms_FRCP_y1,3,2)),"00"),VALUE(LEFT(dms_FRCP_y1,4)-1))</f>
        <v>2018-19</v>
      </c>
      <c r="I92" s="583" t="s">
        <v>620</v>
      </c>
      <c r="J92" s="584">
        <v>1</v>
      </c>
      <c r="L92" s="585" t="str">
        <f>CRY</f>
        <v>2014-15</v>
      </c>
      <c r="M92" s="586" t="str">
        <f>VALUE(LEFT(CRY,4))&amp;"-"&amp;TEXT(MID(CRY,3,2)+1,"00")</f>
        <v>2014-15</v>
      </c>
      <c r="N92" s="587" t="s">
        <v>621</v>
      </c>
      <c r="O92" s="588">
        <f>VALUE(LEFT(CRY,4)+1)</f>
        <v>2015</v>
      </c>
      <c r="P92" s="589" t="s">
        <v>622</v>
      </c>
    </row>
    <row r="93" spans="1:38">
      <c r="A93" s="421"/>
      <c r="B93" s="590">
        <v>2</v>
      </c>
      <c r="C93" s="591" t="s">
        <v>623</v>
      </c>
      <c r="D93" s="592">
        <v>2</v>
      </c>
      <c r="E93" s="591" t="s">
        <v>624</v>
      </c>
      <c r="F93" s="593" t="str">
        <f>IF(dms_RPT="financial",VALUE(LEFT(dms_FRCP_y1,4)+1)&amp;"-"&amp;TEXT(VALUE(RIGHT(dms_FRCP_y1,2)+1),"00"),VALUE(LEFT(dms_FRCP_y1,4)+1))</f>
        <v>2020-21</v>
      </c>
      <c r="G93" s="594" t="s">
        <v>623</v>
      </c>
      <c r="H93" s="595" t="str">
        <f>IF(dms_RPT="financial",VALUE(LEFT(dms_CRCP_yZ,4)-1)&amp;"-"&amp;TEXT(VALUE(MID(dms_CRCP_yZ,3,2)),"00"),VALUE(LEFT(dms_CRCP_yZ,4)-1))</f>
        <v>2017-18</v>
      </c>
      <c r="I93" s="596" t="s">
        <v>625</v>
      </c>
      <c r="J93" s="597">
        <v>2</v>
      </c>
      <c r="L93" s="598"/>
      <c r="M93" s="599" t="str">
        <f>VALUE(LEFT(dms_CRYf_y1,4)+1)&amp;"-"&amp;TEXT(MID(dms_CRYf_y1,3,2)+2,"00")</f>
        <v>2015-16</v>
      </c>
      <c r="N93" s="600" t="s">
        <v>626</v>
      </c>
      <c r="O93" s="588">
        <f>VALUE(LEFT(dms_CRYc_y1,4)+1)</f>
        <v>2016</v>
      </c>
      <c r="P93" s="589" t="s">
        <v>627</v>
      </c>
    </row>
    <row r="94" spans="1:38">
      <c r="A94" s="421"/>
      <c r="B94" s="590">
        <v>3</v>
      </c>
      <c r="C94" s="591" t="s">
        <v>628</v>
      </c>
      <c r="D94" s="592">
        <v>3</v>
      </c>
      <c r="E94" s="591" t="s">
        <v>629</v>
      </c>
      <c r="F94" s="593" t="str">
        <f>IF(dms_RPT="financial",VALUE(LEFT(dms_FRCP_y2,4)+1)&amp;"-"&amp;TEXT(VALUE(RIGHT(dms_FRCP_y2,2)+1),"00"),VALUE(LEFT(dms_FRCP_y2,4)+1))</f>
        <v>2021-22</v>
      </c>
      <c r="G94" s="594" t="s">
        <v>628</v>
      </c>
      <c r="H94" s="595" t="str">
        <f>IF(dms_RPT="financial",VALUE(LEFT(dms_CRCP_yY,4)-1)&amp;"-"&amp;TEXT(VALUE(MID(dms_CRCP_yY,3,2)),"00"),VALUE(LEFT(dms_CRCP_yY,4)-1))</f>
        <v>2016-17</v>
      </c>
      <c r="I94" s="596" t="s">
        <v>630</v>
      </c>
      <c r="J94" s="597">
        <v>3</v>
      </c>
      <c r="L94" s="601"/>
      <c r="M94" s="599" t="str">
        <f>VALUE(LEFT(dms_CRYf_y2,4)+1)&amp;"-"&amp;TEXT(MID(dms_CRYf_y2,3,2)+2,"00")</f>
        <v>2016-17</v>
      </c>
      <c r="N94" s="600" t="s">
        <v>631</v>
      </c>
      <c r="O94" s="588">
        <f>VALUE(LEFT(dms_CRYc_y2,4)+1)</f>
        <v>2017</v>
      </c>
      <c r="P94" s="589" t="s">
        <v>632</v>
      </c>
    </row>
    <row r="95" spans="1:38">
      <c r="A95" s="421"/>
      <c r="B95" s="590">
        <v>4</v>
      </c>
      <c r="C95" s="591" t="s">
        <v>633</v>
      </c>
      <c r="D95" s="592">
        <v>4</v>
      </c>
      <c r="E95" s="591" t="s">
        <v>634</v>
      </c>
      <c r="F95" s="593" t="str">
        <f>IF(dms_RPT="financial",VALUE(LEFT(dms_FRCP_y3,4)+1)&amp;"-"&amp;TEXT(VALUE(RIGHT(dms_FRCP_y3,2)+1),"00"),VALUE(LEFT(dms_FRCP_y3,4)+1))</f>
        <v>2022-23</v>
      </c>
      <c r="G95" s="594" t="s">
        <v>633</v>
      </c>
      <c r="H95" s="595" t="str">
        <f>IF(dms_RPT="financial",VALUE(LEFT(dms_CRCP_yX,4)-1)&amp;"-"&amp;TEXT(VALUE(MID(dms_CRCP_yX,3,2)),"00"),VALUE(LEFT(dms_CRCP_yX,4)-1))</f>
        <v>2015-16</v>
      </c>
      <c r="I95" s="596" t="s">
        <v>635</v>
      </c>
      <c r="J95" s="597">
        <v>4</v>
      </c>
      <c r="L95" s="601"/>
      <c r="M95" s="599" t="str">
        <f>VALUE(LEFT(dms_CRYf_y3,4)+1)&amp;"-"&amp;TEXT(MID(dms_CRYf_y3,3,2)+2,"00")</f>
        <v>2017-18</v>
      </c>
      <c r="N95" s="600" t="s">
        <v>636</v>
      </c>
      <c r="O95" s="588">
        <f>VALUE(LEFT(dms_CRYc_y3,4)+1)</f>
        <v>2018</v>
      </c>
      <c r="P95" s="589" t="s">
        <v>637</v>
      </c>
    </row>
    <row r="96" spans="1:38">
      <c r="A96" s="421"/>
      <c r="B96" s="590">
        <v>5</v>
      </c>
      <c r="C96" s="591" t="s">
        <v>638</v>
      </c>
      <c r="D96" s="592">
        <v>5</v>
      </c>
      <c r="E96" s="591" t="s">
        <v>639</v>
      </c>
      <c r="F96" s="593" t="str">
        <f>IF(dms_RPT="financial",VALUE(LEFT(dms_FRCP_y4,4)+1)&amp;"-"&amp;TEXT(VALUE(RIGHT(dms_FRCP_y4,2)+1),"00"),VALUE(LEFT(dms_FRCP_y4,4)+1))</f>
        <v>2023-24</v>
      </c>
      <c r="G96" s="594" t="s">
        <v>638</v>
      </c>
      <c r="H96" s="595" t="str">
        <f>IF(dms_RPT="financial",VALUE(LEFT(dms_CRCP_yW,4)-1)&amp;"-"&amp;TEXT(VALUE(MID(dms_CRCP_yW,3,2)),"00"),VALUE(LEFT(dms_CRCP_yW,4)-1))</f>
        <v>2014-15</v>
      </c>
      <c r="I96" s="596" t="s">
        <v>640</v>
      </c>
      <c r="J96" s="597">
        <v>5</v>
      </c>
      <c r="L96" s="601"/>
      <c r="M96" s="599" t="str">
        <f>VALUE(LEFT(dms_CRYf_y4,4)+1)&amp;"-"&amp;TEXT(MID(dms_CRYf_y4,3,2)+2,"00")</f>
        <v>2018-19</v>
      </c>
      <c r="N96" s="600" t="s">
        <v>641</v>
      </c>
      <c r="O96" s="588">
        <f>VALUE(LEFT(dms_CRYc_y4,4)+1)</f>
        <v>2019</v>
      </c>
      <c r="P96" s="589" t="s">
        <v>642</v>
      </c>
    </row>
    <row r="97" spans="1:21">
      <c r="A97" s="421"/>
      <c r="B97" s="590">
        <v>6</v>
      </c>
      <c r="C97" s="591" t="s">
        <v>643</v>
      </c>
      <c r="D97" s="592">
        <v>6</v>
      </c>
      <c r="E97" s="591" t="s">
        <v>644</v>
      </c>
      <c r="F97" s="593" t="str">
        <f>IF(dms_RPT="financial",VALUE(LEFT(dms_FRCP_y5,4)+1)&amp;"-"&amp;TEXT(VALUE(RIGHT(dms_FRCP_y5,2)+1),"00"),VALUE(LEFT(dms_FRCP_y5,4)+1))</f>
        <v>2024-25</v>
      </c>
      <c r="G97" s="594" t="s">
        <v>643</v>
      </c>
      <c r="H97" s="595" t="str">
        <f>IF(dms_RPT="financial",VALUE(LEFT(dms_CRCP_yV,4)-1)&amp;"-"&amp;TEXT(VALUE(MID(dms_CRCP_yV,3,2)),"00"),VALUE(LEFT(dms_CRCP_yV,4)-1))</f>
        <v>2013-14</v>
      </c>
      <c r="I97" s="596" t="s">
        <v>645</v>
      </c>
      <c r="J97" s="597">
        <v>6</v>
      </c>
      <c r="L97" s="601"/>
      <c r="M97" s="599" t="str">
        <f>VALUE(LEFT(dms_CRYf_y5,4)+1)&amp;"-"&amp;TEXT(MID(dms_CRYf_y5,3,2)+2,"00")</f>
        <v>2019-20</v>
      </c>
      <c r="N97" s="600" t="s">
        <v>646</v>
      </c>
      <c r="O97" s="588">
        <f>VALUE(LEFT(dms_CRYc_y5,4)+1)</f>
        <v>2020</v>
      </c>
      <c r="P97" s="589" t="s">
        <v>647</v>
      </c>
    </row>
    <row r="98" spans="1:21">
      <c r="A98" s="421"/>
      <c r="B98" s="590">
        <v>7</v>
      </c>
      <c r="C98" s="591" t="s">
        <v>648</v>
      </c>
      <c r="D98" s="592">
        <v>7</v>
      </c>
      <c r="E98" s="591" t="s">
        <v>649</v>
      </c>
      <c r="F98" s="593" t="str">
        <f>IF(dms_RPT="financial",VALUE(LEFT(dms_FRCP_y6,4)+1)&amp;"-"&amp;TEXT(VALUE(RIGHT(dms_FRCP_y6,2)+1),"00"),VALUE(LEFT(dms_FRCP_y6,4)+1))</f>
        <v>2025-26</v>
      </c>
      <c r="G98" s="594" t="s">
        <v>648</v>
      </c>
      <c r="H98" s="595" t="str">
        <f>IF(dms_RPT="financial",VALUE(LEFT(dms_CRCP_yU,4)-1)&amp;"-"&amp;TEXT(VALUE(MID(dms_CRCP_yU,3,2)),"00"),VALUE(LEFT(dms_CRCP_yU,4)-1))</f>
        <v>2012-13</v>
      </c>
      <c r="I98" s="596" t="s">
        <v>650</v>
      </c>
      <c r="J98" s="597">
        <v>7</v>
      </c>
      <c r="L98" s="601"/>
      <c r="M98" s="599" t="str">
        <f>VALUE(LEFT(dms_CRYf_y6,4)+1)&amp;"-"&amp;TEXT(MID(dms_CRYf_y6,3,2)+2,"00")</f>
        <v>2020-21</v>
      </c>
      <c r="N98" s="600" t="s">
        <v>651</v>
      </c>
      <c r="O98" s="588">
        <f>VALUE(LEFT(dms_CRYc_y6,4)+1)</f>
        <v>2021</v>
      </c>
      <c r="P98" s="589" t="s">
        <v>652</v>
      </c>
    </row>
    <row r="99" spans="1:21">
      <c r="A99" s="421"/>
      <c r="B99" s="590">
        <v>8</v>
      </c>
      <c r="C99" s="591" t="s">
        <v>653</v>
      </c>
      <c r="D99" s="592">
        <v>8</v>
      </c>
      <c r="E99" s="591" t="s">
        <v>654</v>
      </c>
      <c r="F99" s="593" t="str">
        <f>IF(dms_RPT="financial",VALUE(LEFT(dms_FRCP_y7,4)+1)&amp;"-"&amp;TEXT(VALUE(RIGHT(dms_FRCP_y7,2)+1),"00"),VALUE(LEFT(dms_FRCP_y7,4)+1))</f>
        <v>2026-27</v>
      </c>
      <c r="G99" s="594" t="s">
        <v>653</v>
      </c>
      <c r="H99" s="595" t="str">
        <f>IF(dms_RPT="financial",VALUE(LEFT(dms_CRCP_yT,4)-1)&amp;"-"&amp;TEXT(VALUE(MID(dms_CRCP_yT,3,2)),"00"),VALUE(LEFT(dms_CRCP_yT,4)-1))</f>
        <v>2011-12</v>
      </c>
      <c r="I99" s="596" t="s">
        <v>655</v>
      </c>
      <c r="J99" s="597">
        <v>8</v>
      </c>
      <c r="L99" s="601"/>
      <c r="M99" s="599" t="str">
        <f>VALUE(LEFT(dms_CRYf_y7,4)+1)&amp;"-"&amp;TEXT(MID(dms_CRYf_y7,3,2)+2,"00")</f>
        <v>2021-22</v>
      </c>
      <c r="N99" s="600" t="s">
        <v>656</v>
      </c>
      <c r="O99" s="588">
        <f>VALUE(LEFT(dms_CRYc_y7,4)+1)</f>
        <v>2022</v>
      </c>
      <c r="P99" s="589" t="s">
        <v>657</v>
      </c>
    </row>
    <row r="100" spans="1:21">
      <c r="A100" s="421"/>
      <c r="B100" s="590">
        <v>9</v>
      </c>
      <c r="C100" s="591" t="s">
        <v>658</v>
      </c>
      <c r="D100" s="592">
        <v>9</v>
      </c>
      <c r="E100" s="591" t="s">
        <v>659</v>
      </c>
      <c r="F100" s="593" t="str">
        <f>IF(dms_RPT="financial",VALUE(LEFT(dms_FRCP_y8,4)+1)&amp;"-"&amp;TEXT(VALUE(RIGHT(dms_FRCP_y8,2)+1),"00"),VALUE(LEFT(dms_FRCP_y8,4)+1))</f>
        <v>2027-28</v>
      </c>
      <c r="G100" s="594" t="s">
        <v>658</v>
      </c>
      <c r="H100" s="595" t="str">
        <f>IF(dms_RPT="financial",VALUE(LEFT(dms_CRCP_yS,4)-1)&amp;"-"&amp;TEXT(VALUE(MID(dms_CRCP_yS,3,2)),"00"),VALUE(LEFT(dms_CRCP_yS,4)-1))</f>
        <v>2010-11</v>
      </c>
      <c r="I100" s="596" t="s">
        <v>660</v>
      </c>
      <c r="J100" s="597">
        <v>9</v>
      </c>
      <c r="L100" s="601"/>
      <c r="M100" s="599" t="str">
        <f>VALUE(LEFT(dms_CRYf_y8,4)+1)&amp;"-"&amp;TEXT(MID(dms_CRYf_y8,3,2)+2,"00")</f>
        <v>2022-23</v>
      </c>
      <c r="N100" s="600" t="s">
        <v>661</v>
      </c>
      <c r="O100" s="588">
        <f>VALUE(LEFT(dms_CRYc_y8,4)+1)</f>
        <v>2023</v>
      </c>
      <c r="P100" s="589" t="s">
        <v>662</v>
      </c>
    </row>
    <row r="101" spans="1:21">
      <c r="A101" s="421"/>
      <c r="B101" s="602">
        <v>10</v>
      </c>
      <c r="C101" s="603" t="s">
        <v>663</v>
      </c>
      <c r="D101" s="604">
        <v>10</v>
      </c>
      <c r="E101" s="603" t="s">
        <v>664</v>
      </c>
      <c r="F101" s="593" t="str">
        <f>IF(dms_RPT="financial",VALUE(LEFT(dms_FRCP_y9,4)+1)&amp;"-"&amp;TEXT(VALUE(RIGHT(dms_FRCP_y9,2)+1),"00"),VALUE(LEFT(dms_FRCP_y9,4)+1))</f>
        <v>2028-29</v>
      </c>
      <c r="G101" s="594" t="s">
        <v>663</v>
      </c>
      <c r="H101" s="595" t="str">
        <f>IF(dms_RPT="financial",VALUE(LEFT(dms_CRCP_yR,4)-1)&amp;"-"&amp;TEXT(VALUE(MID(dms_CRCP_yR,3,2)),"00"),VALUE(LEFT(dms_CRCP_yR,4)-1))</f>
        <v>2009-10</v>
      </c>
      <c r="I101" s="596" t="s">
        <v>665</v>
      </c>
      <c r="J101" s="597">
        <v>10</v>
      </c>
      <c r="L101" s="601"/>
      <c r="M101" s="599" t="str">
        <f>VALUE(LEFT(dms_CRYf_y9,4)+1)&amp;"-"&amp;TEXT(MID(dms_CRYf_y9,3,2)+2,"00")</f>
        <v>2023-24</v>
      </c>
      <c r="N101" s="600" t="s">
        <v>666</v>
      </c>
      <c r="O101" s="588">
        <f>VALUE(LEFT(dms_CRYc_y9,4)+1)</f>
        <v>2024</v>
      </c>
      <c r="P101" s="589" t="s">
        <v>667</v>
      </c>
    </row>
    <row r="102" spans="1:21">
      <c r="A102" s="421"/>
      <c r="B102" s="590">
        <v>11</v>
      </c>
      <c r="C102" s="603" t="s">
        <v>668</v>
      </c>
      <c r="D102" s="592">
        <v>11</v>
      </c>
      <c r="E102" s="603" t="s">
        <v>669</v>
      </c>
      <c r="F102" s="593" t="str">
        <f>IF(dms_RPT="financial",VALUE(LEFT(dms_FRCP_y10,4)+1)&amp;"-"&amp;TEXT(VALUE(RIGHT(dms_FRCP_y10,2)+1),"00"),VALUE(LEFT(dms_FRCP_y10,4)+1))</f>
        <v>2029-30</v>
      </c>
      <c r="G102" s="594" t="s">
        <v>668</v>
      </c>
      <c r="H102" s="595" t="str">
        <f>IF(dms_RPT="financial",VALUE(LEFT(dms_CRCP_yQ,4)-1)&amp;"-"&amp;TEXT(VALUE(MID(dms_CRCP_yQ,3,2)),"00"),VALUE(LEFT(dms_CRCP_yQ,4)-1))</f>
        <v>2008-09</v>
      </c>
      <c r="I102" s="596" t="s">
        <v>670</v>
      </c>
      <c r="J102" s="597">
        <v>11</v>
      </c>
      <c r="L102" s="601"/>
      <c r="M102" s="599" t="str">
        <f>VALUE(LEFT(dms_CRYf_y10,4)+1)&amp;"-"&amp;TEXT(MID(dms_CRYf_y10,3,2)+2,"00")</f>
        <v>2024-25</v>
      </c>
      <c r="N102" s="600" t="s">
        <v>671</v>
      </c>
      <c r="O102" s="588">
        <f>VALUE(LEFT(dms_CRYc_y10,4)+1)</f>
        <v>2025</v>
      </c>
      <c r="P102" s="589" t="s">
        <v>672</v>
      </c>
    </row>
    <row r="103" spans="1:21">
      <c r="A103" s="421"/>
      <c r="B103" s="590">
        <v>12</v>
      </c>
      <c r="C103" s="603" t="s">
        <v>673</v>
      </c>
      <c r="D103" s="592">
        <v>12</v>
      </c>
      <c r="E103" s="603" t="s">
        <v>674</v>
      </c>
      <c r="F103" s="593" t="str">
        <f>IF(dms_RPT="financial",VALUE(LEFT(dms_FRCP_y11,4)+1)&amp;"-"&amp;TEXT(VALUE(RIGHT(dms_FRCP_y11,2)+1),"00"),VALUE(LEFT(dms_FRCP_y11,4)+1))</f>
        <v>2030-31</v>
      </c>
      <c r="G103" s="594" t="s">
        <v>673</v>
      </c>
      <c r="H103" s="595" t="str">
        <f>IF(dms_RPT="financial",VALUE(LEFT(dms_CRCP_yP,4)-1)&amp;"-"&amp;TEXT(VALUE(MID(dms_CRCP_yP,3,2)),"00"),VALUE(LEFT(dms_CRCP_yP,4)-1))</f>
        <v>2007-08</v>
      </c>
      <c r="I103" s="596" t="s">
        <v>675</v>
      </c>
      <c r="J103" s="597">
        <v>12</v>
      </c>
      <c r="L103" s="601"/>
      <c r="M103" s="599" t="str">
        <f>VALUE(LEFT(dms_CRYf_y11,4)+1)&amp;"-"&amp;TEXT(MID(dms_CRYf_y11,3,2)+2,"00")</f>
        <v>2025-26</v>
      </c>
      <c r="N103" s="600" t="s">
        <v>676</v>
      </c>
      <c r="O103" s="588">
        <f>VALUE(LEFT(dms_CRYc_y11,4)+1)</f>
        <v>2026</v>
      </c>
      <c r="P103" s="589" t="s">
        <v>677</v>
      </c>
    </row>
    <row r="104" spans="1:21">
      <c r="A104" s="421"/>
      <c r="B104" s="602">
        <v>13</v>
      </c>
      <c r="C104" s="603" t="s">
        <v>678</v>
      </c>
      <c r="D104" s="604">
        <v>13</v>
      </c>
      <c r="E104" s="603" t="s">
        <v>679</v>
      </c>
      <c r="F104" s="593" t="str">
        <f>IF(dms_RPT="financial",VALUE(LEFT(dms_FRCP_y12,4)+1)&amp;"-"&amp;TEXT(VALUE(RIGHT(dms_FRCP_y12,2)+1),"00"),VALUE(LEFT(dms_FRCP_y12,4)+1))</f>
        <v>2031-32</v>
      </c>
      <c r="G104" s="594" t="s">
        <v>678</v>
      </c>
      <c r="H104" s="595" t="str">
        <f>IF(dms_RPT="financial",VALUE(LEFT(dms_CRCP_yO,4)-1)&amp;"-"&amp;TEXT(VALUE(MID(dms_CRCP_yO,3,2)),"00"),VALUE(LEFT(dms_CRCP_yO,4)-1))</f>
        <v>2006-07</v>
      </c>
      <c r="I104" s="596" t="s">
        <v>680</v>
      </c>
      <c r="J104" s="597">
        <v>13</v>
      </c>
      <c r="L104" s="601"/>
      <c r="M104" s="599" t="str">
        <f>VALUE(LEFT(dms_CRYf_y12,4)+1)&amp;"-"&amp;TEXT(MID(dms_CRYf_y12,3,2)+2,"00")</f>
        <v>2026-27</v>
      </c>
      <c r="N104" s="600" t="s">
        <v>681</v>
      </c>
      <c r="O104" s="588">
        <f>VALUE(LEFT(dms_CRYc_y12,4)+1)</f>
        <v>2027</v>
      </c>
      <c r="P104" s="589" t="s">
        <v>682</v>
      </c>
    </row>
    <row r="105" spans="1:21">
      <c r="A105" s="421"/>
      <c r="B105" s="590">
        <v>14</v>
      </c>
      <c r="C105" s="603" t="s">
        <v>683</v>
      </c>
      <c r="D105" s="592">
        <v>14</v>
      </c>
      <c r="E105" s="603" t="s">
        <v>684</v>
      </c>
      <c r="F105" s="593" t="str">
        <f>IF(dms_RPT="financial",VALUE(LEFT(dms_FRCP_y13,4)+1)&amp;"-"&amp;TEXT(VALUE(RIGHT(dms_FRCP_y13,2)+1),"00"),VALUE(LEFT(dms_FRCP_y13,4)+1))</f>
        <v>2032-33</v>
      </c>
      <c r="G105" s="594" t="s">
        <v>683</v>
      </c>
      <c r="H105" s="595" t="str">
        <f>IF(dms_RPT="financial",VALUE(LEFT(dms_CRCP_yN,4)-1)&amp;"-"&amp;TEXT(VALUE(MID(dms_CRCP_yN,3,2)),"00"),VALUE(LEFT(dms_CRCP_yN,4)-1))</f>
        <v>2005-06</v>
      </c>
      <c r="I105" s="596" t="s">
        <v>685</v>
      </c>
      <c r="J105" s="597">
        <v>14</v>
      </c>
      <c r="L105" s="601"/>
      <c r="M105" s="599" t="str">
        <f>VALUE(LEFT(dms_CRYf_y13,4)+1)&amp;"-"&amp;TEXT(MID(dms_CRYf_y13,3,2)+2,"00")</f>
        <v>2027-28</v>
      </c>
      <c r="N105" s="600" t="s">
        <v>686</v>
      </c>
      <c r="O105" s="588">
        <f>VALUE(LEFT(dms_CRYc_y13,4)+1)</f>
        <v>2028</v>
      </c>
      <c r="P105" s="589" t="s">
        <v>687</v>
      </c>
      <c r="Q105" s="421"/>
      <c r="R105" s="421"/>
      <c r="S105" s="421"/>
      <c r="T105" s="421"/>
      <c r="U105" s="605"/>
    </row>
    <row r="106" spans="1:21">
      <c r="A106" s="421"/>
      <c r="B106" s="590">
        <v>15</v>
      </c>
      <c r="C106" s="603" t="s">
        <v>688</v>
      </c>
      <c r="D106" s="592">
        <v>15</v>
      </c>
      <c r="E106" s="603" t="s">
        <v>689</v>
      </c>
      <c r="F106" s="593" t="str">
        <f>IF(dms_RPT="financial",VALUE(LEFT(dms_FRCP_y14,4)+1)&amp;"-"&amp;TEXT(VALUE(RIGHT(dms_FRCP_y14,2)+1),"00"),VALUE(LEFT(dms_FRCP_y14,4)+1))</f>
        <v>2033-34</v>
      </c>
      <c r="G106" s="594" t="s">
        <v>688</v>
      </c>
      <c r="H106" s="595" t="str">
        <f>IF(dms_RPT="financial",VALUE(LEFT(dms_CRCP_yM,4)-1)&amp;"-"&amp;TEXT(VALUE(MID(dms_CRCP_yM,3,2)),"00"),VALUE(LEFT(dms_CRCP_yM,4)-1))</f>
        <v>2004-05</v>
      </c>
      <c r="I106" s="596" t="s">
        <v>690</v>
      </c>
      <c r="J106" s="597">
        <v>15</v>
      </c>
      <c r="K106" s="421"/>
      <c r="L106" s="601"/>
      <c r="M106" s="599" t="str">
        <f>VALUE(LEFT(dms_CRYf_y14,4)+1)&amp;"-"&amp;TEXT(MID(dms_CRYf_y14,3,2)+2,"00")</f>
        <v>2028-29</v>
      </c>
      <c r="N106" s="600" t="s">
        <v>691</v>
      </c>
      <c r="O106" s="588">
        <f>VALUE(LEFT(dms_CRYc_y14,4)+1)</f>
        <v>2029</v>
      </c>
      <c r="P106" s="589" t="s">
        <v>692</v>
      </c>
    </row>
    <row r="107" spans="1:21">
      <c r="A107" s="421"/>
      <c r="B107" s="606"/>
      <c r="C107" s="605"/>
      <c r="D107" s="605"/>
      <c r="E107" s="607"/>
      <c r="F107" s="608"/>
      <c r="G107" s="607"/>
      <c r="H107" s="607"/>
      <c r="I107" s="609"/>
      <c r="J107" s="610"/>
      <c r="K107" s="421"/>
      <c r="L107" s="601"/>
      <c r="M107" s="599" t="str">
        <f>VALUE(LEFT(dms_CRYf_y15,4)+1)&amp;"-"&amp;TEXT(MID(dms_CRYf_y15,3,2)+2,"00")</f>
        <v>2029-30</v>
      </c>
      <c r="N107" s="600" t="s">
        <v>693</v>
      </c>
      <c r="O107" s="588">
        <f>VALUE(LEFT(dms_CRYc_y15,4)+1)</f>
        <v>2030</v>
      </c>
      <c r="P107" s="589" t="s">
        <v>694</v>
      </c>
    </row>
    <row r="108" spans="1:21" ht="15" thickBot="1">
      <c r="A108" s="421"/>
      <c r="B108" s="709" t="s">
        <v>695</v>
      </c>
      <c r="C108" s="710"/>
      <c r="D108" s="710"/>
      <c r="E108" s="710"/>
      <c r="F108" s="711"/>
      <c r="G108" s="711"/>
      <c r="H108" s="711"/>
      <c r="I108" s="711"/>
      <c r="J108" s="610"/>
      <c r="K108" s="607"/>
      <c r="L108" s="601"/>
      <c r="M108" s="599" t="str">
        <f>VALUE(LEFT(dms_CRYf_y16,4)+1)&amp;"-"&amp;TEXT(MID(dms_CRYf_y16,3,2)+2,"00")</f>
        <v>2030-31</v>
      </c>
      <c r="N108" s="600" t="s">
        <v>696</v>
      </c>
      <c r="O108" s="588">
        <f>VALUE(LEFT(dms_CRYc_y16,4)+1)</f>
        <v>2031</v>
      </c>
      <c r="P108" s="589" t="s">
        <v>697</v>
      </c>
    </row>
    <row r="109" spans="1:21" ht="28.2" thickBot="1">
      <c r="A109" s="421"/>
      <c r="B109" s="611" t="s">
        <v>698</v>
      </c>
      <c r="C109" s="612" t="s">
        <v>699</v>
      </c>
      <c r="D109" s="612" t="s">
        <v>700</v>
      </c>
      <c r="E109" s="613" t="s">
        <v>701</v>
      </c>
      <c r="F109" s="614" t="s">
        <v>702</v>
      </c>
      <c r="G109" s="615" t="s">
        <v>703</v>
      </c>
      <c r="H109" s="616" t="s">
        <v>704</v>
      </c>
      <c r="I109" s="616" t="s">
        <v>705</v>
      </c>
      <c r="J109" s="610"/>
      <c r="K109" s="421"/>
      <c r="L109" s="601"/>
      <c r="M109" s="599" t="str">
        <f>VALUE(LEFT(dms_CRYf_y17,4)+1)&amp;"-"&amp;TEXT(MID(dms_CRYf_y17,3,2)+2,"00")</f>
        <v>2031-32</v>
      </c>
      <c r="N109" s="600" t="s">
        <v>706</v>
      </c>
      <c r="O109" s="588">
        <f>VALUE(LEFT(dms_CRYc_y17,4)+1)</f>
        <v>2032</v>
      </c>
      <c r="P109" s="589" t="s">
        <v>707</v>
      </c>
    </row>
    <row r="110" spans="1:21">
      <c r="A110" s="421"/>
      <c r="B110" s="617" t="s">
        <v>708</v>
      </c>
      <c r="C110" s="618" t="s">
        <v>709</v>
      </c>
      <c r="D110" s="619">
        <v>2007</v>
      </c>
      <c r="E110" s="620" t="s">
        <v>710</v>
      </c>
      <c r="F110" s="621" t="s">
        <v>711</v>
      </c>
      <c r="G110" s="622" t="s">
        <v>5</v>
      </c>
      <c r="H110" s="623">
        <v>2016</v>
      </c>
      <c r="I110" s="624" t="s">
        <v>712</v>
      </c>
      <c r="J110" s="610"/>
      <c r="K110" s="421"/>
      <c r="L110" s="601"/>
      <c r="M110" s="599" t="str">
        <f>VALUE(LEFT(dms_CRYf_y18,4)+1)&amp;"-"&amp;TEXT(MID(dms_CRYf_y18,3,2)+2,"00")</f>
        <v>2032-33</v>
      </c>
      <c r="N110" s="600" t="s">
        <v>713</v>
      </c>
      <c r="O110" s="588">
        <f>VALUE(LEFT(dms_CRYc_y18,4)+1)</f>
        <v>2033</v>
      </c>
      <c r="P110" s="589" t="s">
        <v>714</v>
      </c>
    </row>
    <row r="111" spans="1:21" ht="15" thickBot="1">
      <c r="A111" s="421"/>
      <c r="B111" s="617" t="s">
        <v>715</v>
      </c>
      <c r="C111" s="618" t="s">
        <v>716</v>
      </c>
      <c r="D111" s="619" t="s">
        <v>717</v>
      </c>
      <c r="E111" s="620" t="s">
        <v>718</v>
      </c>
      <c r="F111" s="625" t="s">
        <v>719</v>
      </c>
      <c r="G111" s="626" t="s">
        <v>6</v>
      </c>
      <c r="H111" s="623">
        <v>2017</v>
      </c>
      <c r="I111" s="627" t="s">
        <v>720</v>
      </c>
      <c r="J111" s="610"/>
      <c r="K111" s="421"/>
      <c r="L111" s="628"/>
      <c r="M111" s="629" t="str">
        <f>VALUE(LEFT(dms_CRYf_y19,4)+1)&amp;"-"&amp;TEXT(MID(dms_CRYf_y19,3,2)+2,"00")</f>
        <v>2033-34</v>
      </c>
      <c r="N111" s="630" t="s">
        <v>721</v>
      </c>
      <c r="O111" s="631">
        <f>VALUE(LEFT(dms_CRYc_y19,4)+1)</f>
        <v>2034</v>
      </c>
      <c r="P111" s="632" t="s">
        <v>722</v>
      </c>
    </row>
    <row r="112" spans="1:21">
      <c r="A112" s="421"/>
      <c r="B112" s="617" t="s">
        <v>723</v>
      </c>
      <c r="C112" s="618" t="s">
        <v>724</v>
      </c>
      <c r="D112" s="619" t="s">
        <v>725</v>
      </c>
      <c r="E112" s="620" t="s">
        <v>726</v>
      </c>
      <c r="F112" s="633" t="s">
        <v>727</v>
      </c>
      <c r="G112" s="626" t="s">
        <v>7</v>
      </c>
      <c r="H112" s="623">
        <v>2018</v>
      </c>
      <c r="I112" s="624" t="s">
        <v>728</v>
      </c>
      <c r="J112" s="610"/>
      <c r="K112" s="421"/>
      <c r="L112" s="421"/>
      <c r="M112" s="421"/>
    </row>
    <row r="113" spans="1:13">
      <c r="A113" s="421"/>
      <c r="B113" s="617" t="s">
        <v>729</v>
      </c>
      <c r="C113" s="618" t="s">
        <v>730</v>
      </c>
      <c r="D113" s="619" t="s">
        <v>731</v>
      </c>
      <c r="E113" s="620" t="s">
        <v>732</v>
      </c>
      <c r="F113" s="625" t="s">
        <v>733</v>
      </c>
      <c r="G113" s="626" t="s">
        <v>11</v>
      </c>
      <c r="H113" s="623">
        <v>2019</v>
      </c>
      <c r="I113" s="627" t="s">
        <v>734</v>
      </c>
      <c r="J113" s="610"/>
      <c r="K113" s="421"/>
      <c r="L113" s="421"/>
      <c r="M113" s="421"/>
    </row>
    <row r="114" spans="1:13">
      <c r="B114" s="617" t="s">
        <v>735</v>
      </c>
      <c r="C114" s="618" t="s">
        <v>736</v>
      </c>
      <c r="D114" s="619" t="s">
        <v>737</v>
      </c>
      <c r="E114" s="620" t="s">
        <v>738</v>
      </c>
      <c r="F114" s="633" t="s">
        <v>739</v>
      </c>
      <c r="G114" s="626" t="s">
        <v>12</v>
      </c>
      <c r="H114" s="623">
        <v>2020</v>
      </c>
      <c r="I114" s="624" t="s">
        <v>740</v>
      </c>
      <c r="J114" s="610"/>
    </row>
    <row r="115" spans="1:13">
      <c r="B115" s="617" t="s">
        <v>741</v>
      </c>
      <c r="C115" s="618" t="s">
        <v>742</v>
      </c>
      <c r="D115" s="619" t="s">
        <v>743</v>
      </c>
      <c r="E115" s="620" t="s">
        <v>744</v>
      </c>
      <c r="F115" s="625" t="s">
        <v>745</v>
      </c>
      <c r="G115" s="626" t="s">
        <v>13</v>
      </c>
      <c r="H115" s="623">
        <v>2021</v>
      </c>
      <c r="I115" s="627" t="s">
        <v>746</v>
      </c>
      <c r="J115" s="610"/>
    </row>
    <row r="116" spans="1:13" ht="15" thickBot="1">
      <c r="B116" s="617" t="s">
        <v>747</v>
      </c>
      <c r="C116" s="618" t="s">
        <v>10</v>
      </c>
      <c r="D116" s="619" t="s">
        <v>748</v>
      </c>
      <c r="E116" s="620" t="s">
        <v>749</v>
      </c>
      <c r="F116" s="633" t="s">
        <v>750</v>
      </c>
      <c r="G116" s="626" t="s">
        <v>14</v>
      </c>
      <c r="H116" s="623">
        <v>2022</v>
      </c>
      <c r="I116" s="624" t="s">
        <v>751</v>
      </c>
      <c r="J116" s="610"/>
    </row>
    <row r="117" spans="1:13">
      <c r="B117" s="617" t="s">
        <v>752</v>
      </c>
      <c r="C117" s="618" t="s">
        <v>0</v>
      </c>
      <c r="D117" s="619" t="s">
        <v>753</v>
      </c>
      <c r="E117" s="620" t="s">
        <v>754</v>
      </c>
      <c r="F117" s="625" t="s">
        <v>755</v>
      </c>
      <c r="G117" s="626" t="s">
        <v>15</v>
      </c>
      <c r="H117" s="623">
        <v>2023</v>
      </c>
      <c r="I117" s="627" t="s">
        <v>756</v>
      </c>
      <c r="J117" s="610"/>
      <c r="L117" s="634" t="s">
        <v>757</v>
      </c>
      <c r="M117" s="635" t="s">
        <v>758</v>
      </c>
    </row>
    <row r="118" spans="1:13">
      <c r="B118" s="617" t="s">
        <v>759</v>
      </c>
      <c r="C118" s="618" t="s">
        <v>4</v>
      </c>
      <c r="D118" s="619" t="s">
        <v>760</v>
      </c>
      <c r="E118" s="620" t="s">
        <v>761</v>
      </c>
      <c r="F118" s="633" t="s">
        <v>762</v>
      </c>
      <c r="G118" s="626" t="s">
        <v>763</v>
      </c>
      <c r="H118" s="623">
        <v>2024</v>
      </c>
      <c r="I118" s="624" t="s">
        <v>764</v>
      </c>
      <c r="J118" s="610"/>
      <c r="L118" s="636" t="s">
        <v>709</v>
      </c>
      <c r="M118" s="637" t="s">
        <v>765</v>
      </c>
    </row>
    <row r="119" spans="1:13">
      <c r="B119" s="617" t="s">
        <v>766</v>
      </c>
      <c r="C119" s="618" t="s">
        <v>5</v>
      </c>
      <c r="D119" s="619" t="s">
        <v>767</v>
      </c>
      <c r="E119" s="620" t="s">
        <v>768</v>
      </c>
      <c r="F119" s="625" t="s">
        <v>769</v>
      </c>
      <c r="G119" s="626" t="s">
        <v>770</v>
      </c>
      <c r="H119" s="623">
        <v>2025</v>
      </c>
      <c r="I119" s="627" t="s">
        <v>771</v>
      </c>
      <c r="J119" s="610"/>
      <c r="L119" s="636" t="s">
        <v>716</v>
      </c>
      <c r="M119" s="637" t="s">
        <v>717</v>
      </c>
    </row>
    <row r="120" spans="1:13">
      <c r="B120" s="617" t="s">
        <v>772</v>
      </c>
      <c r="C120" s="618" t="s">
        <v>6</v>
      </c>
      <c r="D120" s="619" t="s">
        <v>773</v>
      </c>
      <c r="E120" s="620" t="s">
        <v>774</v>
      </c>
      <c r="F120" s="633" t="s">
        <v>775</v>
      </c>
      <c r="G120" s="626" t="s">
        <v>776</v>
      </c>
      <c r="H120" s="623">
        <v>2026</v>
      </c>
      <c r="I120" s="624" t="s">
        <v>777</v>
      </c>
      <c r="J120" s="610"/>
      <c r="L120" s="636" t="s">
        <v>724</v>
      </c>
      <c r="M120" s="637" t="s">
        <v>725</v>
      </c>
    </row>
    <row r="121" spans="1:13">
      <c r="B121" s="617" t="s">
        <v>778</v>
      </c>
      <c r="C121" s="618" t="s">
        <v>7</v>
      </c>
      <c r="D121" s="619" t="s">
        <v>779</v>
      </c>
      <c r="E121" s="620" t="s">
        <v>780</v>
      </c>
      <c r="F121" s="625" t="s">
        <v>781</v>
      </c>
      <c r="G121" s="626" t="s">
        <v>782</v>
      </c>
      <c r="H121" s="623">
        <v>2027</v>
      </c>
      <c r="I121" s="627" t="s">
        <v>783</v>
      </c>
      <c r="J121" s="610"/>
      <c r="L121" s="636" t="s">
        <v>730</v>
      </c>
      <c r="M121" s="637">
        <v>2010</v>
      </c>
    </row>
    <row r="122" spans="1:13">
      <c r="B122" s="617" t="s">
        <v>784</v>
      </c>
      <c r="C122" s="618" t="s">
        <v>11</v>
      </c>
      <c r="D122" s="619">
        <v>2019</v>
      </c>
      <c r="E122" s="620" t="s">
        <v>785</v>
      </c>
      <c r="F122" s="633" t="s">
        <v>786</v>
      </c>
      <c r="G122" s="626" t="s">
        <v>787</v>
      </c>
      <c r="H122" s="623">
        <v>2028</v>
      </c>
      <c r="I122" s="624" t="s">
        <v>788</v>
      </c>
      <c r="J122" s="610"/>
      <c r="L122" s="636" t="s">
        <v>736</v>
      </c>
      <c r="M122" s="637">
        <v>2011</v>
      </c>
    </row>
    <row r="123" spans="1:13">
      <c r="B123" s="617" t="s">
        <v>789</v>
      </c>
      <c r="C123" s="618" t="s">
        <v>12</v>
      </c>
      <c r="D123" s="619" t="s">
        <v>790</v>
      </c>
      <c r="E123" s="620" t="s">
        <v>791</v>
      </c>
      <c r="F123" s="625" t="s">
        <v>792</v>
      </c>
      <c r="G123" s="626" t="s">
        <v>793</v>
      </c>
      <c r="H123" s="623">
        <v>2029</v>
      </c>
      <c r="I123" s="627" t="s">
        <v>794</v>
      </c>
      <c r="J123" s="610"/>
      <c r="L123" s="636" t="s">
        <v>742</v>
      </c>
      <c r="M123" s="637">
        <v>2012</v>
      </c>
    </row>
    <row r="124" spans="1:13" ht="15" thickBot="1">
      <c r="B124" s="617" t="s">
        <v>795</v>
      </c>
      <c r="C124" s="618" t="s">
        <v>12</v>
      </c>
      <c r="D124" s="619" t="s">
        <v>790</v>
      </c>
      <c r="E124" s="620" t="s">
        <v>796</v>
      </c>
      <c r="F124" s="638" t="s">
        <v>797</v>
      </c>
      <c r="G124" s="639" t="s">
        <v>798</v>
      </c>
      <c r="H124" s="640">
        <v>2030</v>
      </c>
      <c r="I124" s="641" t="s">
        <v>799</v>
      </c>
      <c r="J124" s="610"/>
      <c r="L124" s="636" t="s">
        <v>10</v>
      </c>
      <c r="M124" s="637">
        <v>2013</v>
      </c>
    </row>
    <row r="125" spans="1:13">
      <c r="B125" s="617" t="s">
        <v>800</v>
      </c>
      <c r="C125" s="618" t="s">
        <v>13</v>
      </c>
      <c r="D125" s="619" t="s">
        <v>801</v>
      </c>
      <c r="E125" s="620" t="s">
        <v>802</v>
      </c>
      <c r="F125" s="642"/>
      <c r="G125" s="642"/>
      <c r="H125" s="642"/>
      <c r="I125" s="642"/>
      <c r="J125" s="610"/>
      <c r="L125" s="636" t="s">
        <v>0</v>
      </c>
      <c r="M125" s="637">
        <v>2014</v>
      </c>
    </row>
    <row r="126" spans="1:13">
      <c r="B126" s="617" t="s">
        <v>803</v>
      </c>
      <c r="C126" s="618" t="s">
        <v>14</v>
      </c>
      <c r="D126" s="619" t="s">
        <v>804</v>
      </c>
      <c r="E126" s="620" t="s">
        <v>805</v>
      </c>
      <c r="F126" s="642"/>
      <c r="G126" s="642"/>
      <c r="H126" s="642"/>
      <c r="I126" s="642"/>
      <c r="J126" s="610"/>
      <c r="L126" s="636" t="s">
        <v>4</v>
      </c>
      <c r="M126" s="637">
        <v>2015</v>
      </c>
    </row>
    <row r="127" spans="1:13">
      <c r="B127" s="617" t="s">
        <v>806</v>
      </c>
      <c r="C127" s="618" t="s">
        <v>15</v>
      </c>
      <c r="D127" s="619" t="s">
        <v>807</v>
      </c>
      <c r="E127" s="620" t="s">
        <v>808</v>
      </c>
      <c r="F127" s="642"/>
      <c r="G127" s="642"/>
      <c r="H127" s="642"/>
      <c r="I127" s="642"/>
      <c r="J127" s="610"/>
      <c r="L127" s="636" t="s">
        <v>5</v>
      </c>
      <c r="M127" s="637">
        <v>2016</v>
      </c>
    </row>
    <row r="128" spans="1:13">
      <c r="B128" s="617" t="s">
        <v>809</v>
      </c>
      <c r="C128" s="618" t="s">
        <v>763</v>
      </c>
      <c r="D128" s="619" t="s">
        <v>810</v>
      </c>
      <c r="E128" s="620" t="s">
        <v>811</v>
      </c>
      <c r="F128" s="642"/>
      <c r="G128" s="642"/>
      <c r="H128" s="642"/>
      <c r="I128" s="642"/>
      <c r="J128" s="610"/>
      <c r="L128" s="636" t="s">
        <v>6</v>
      </c>
      <c r="M128" s="637">
        <v>2017</v>
      </c>
    </row>
    <row r="129" spans="2:13" ht="15" thickBot="1">
      <c r="B129" s="643" t="s">
        <v>812</v>
      </c>
      <c r="C129" s="644" t="s">
        <v>770</v>
      </c>
      <c r="D129" s="645" t="s">
        <v>813</v>
      </c>
      <c r="E129" s="646" t="s">
        <v>814</v>
      </c>
      <c r="F129" s="647"/>
      <c r="G129" s="647"/>
      <c r="H129" s="647"/>
      <c r="I129" s="647"/>
      <c r="J129" s="648"/>
      <c r="L129" s="636" t="s">
        <v>7</v>
      </c>
      <c r="M129" s="637">
        <v>2018</v>
      </c>
    </row>
    <row r="130" spans="2:13">
      <c r="B130" s="210"/>
      <c r="C130" s="210"/>
      <c r="L130" s="636" t="s">
        <v>11</v>
      </c>
      <c r="M130" s="637">
        <v>2019</v>
      </c>
    </row>
    <row r="131" spans="2:13">
      <c r="B131" s="210"/>
      <c r="C131" s="210"/>
      <c r="E131" s="210"/>
      <c r="L131" s="636" t="s">
        <v>12</v>
      </c>
      <c r="M131" s="637">
        <v>2020</v>
      </c>
    </row>
    <row r="132" spans="2:13">
      <c r="B132" s="210"/>
      <c r="C132" s="210"/>
      <c r="E132" s="210"/>
      <c r="L132" s="636" t="s">
        <v>13</v>
      </c>
      <c r="M132" s="637">
        <v>2021</v>
      </c>
    </row>
    <row r="133" spans="2:13">
      <c r="B133" s="210"/>
      <c r="C133" s="210"/>
      <c r="E133" s="210"/>
      <c r="L133" s="636" t="s">
        <v>14</v>
      </c>
      <c r="M133" s="637">
        <v>2022</v>
      </c>
    </row>
    <row r="134" spans="2:13">
      <c r="B134" s="210"/>
      <c r="C134" s="210"/>
      <c r="E134" s="210"/>
      <c r="L134" s="636" t="s">
        <v>15</v>
      </c>
      <c r="M134" s="637">
        <v>2023</v>
      </c>
    </row>
    <row r="135" spans="2:13">
      <c r="B135" s="210"/>
      <c r="C135" s="210"/>
      <c r="E135" s="210"/>
      <c r="L135" s="636" t="s">
        <v>763</v>
      </c>
      <c r="M135" s="637">
        <v>2024</v>
      </c>
    </row>
    <row r="136" spans="2:13">
      <c r="B136" s="210"/>
      <c r="C136" s="210"/>
      <c r="E136" s="210"/>
      <c r="L136" s="636" t="s">
        <v>770</v>
      </c>
      <c r="M136" s="637">
        <v>2025</v>
      </c>
    </row>
    <row r="137" spans="2:13">
      <c r="B137" s="210"/>
      <c r="C137" s="210"/>
      <c r="E137" s="210"/>
      <c r="L137" s="636" t="s">
        <v>776</v>
      </c>
      <c r="M137" s="637">
        <v>2026</v>
      </c>
    </row>
    <row r="138" spans="2:13">
      <c r="B138" s="210"/>
      <c r="C138" s="210"/>
      <c r="E138" s="210"/>
      <c r="L138" s="636" t="s">
        <v>782</v>
      </c>
      <c r="M138" s="637">
        <v>2027</v>
      </c>
    </row>
    <row r="139" spans="2:13">
      <c r="B139" s="210"/>
      <c r="C139" s="210"/>
      <c r="L139" s="636" t="s">
        <v>787</v>
      </c>
      <c r="M139" s="637">
        <v>2028</v>
      </c>
    </row>
    <row r="140" spans="2:13">
      <c r="B140" s="210"/>
      <c r="L140" s="636" t="s">
        <v>793</v>
      </c>
      <c r="M140" s="637">
        <v>2029</v>
      </c>
    </row>
    <row r="141" spans="2:13">
      <c r="B141" s="210"/>
      <c r="L141" s="636" t="s">
        <v>798</v>
      </c>
      <c r="M141" s="637">
        <v>2030</v>
      </c>
    </row>
    <row r="142" spans="2:13">
      <c r="L142" s="636" t="s">
        <v>815</v>
      </c>
      <c r="M142" s="637">
        <v>2031</v>
      </c>
    </row>
    <row r="143" spans="2:13">
      <c r="L143" s="636" t="s">
        <v>816</v>
      </c>
      <c r="M143" s="637">
        <v>2032</v>
      </c>
    </row>
    <row r="144" spans="2:13">
      <c r="L144" s="636" t="s">
        <v>817</v>
      </c>
      <c r="M144" s="637">
        <v>2033</v>
      </c>
    </row>
    <row r="145" spans="12:13">
      <c r="L145" s="636" t="s">
        <v>818</v>
      </c>
      <c r="M145" s="637">
        <v>2034</v>
      </c>
    </row>
    <row r="146" spans="12:13">
      <c r="L146" s="636" t="s">
        <v>819</v>
      </c>
      <c r="M146" s="637">
        <v>2035</v>
      </c>
    </row>
    <row r="147" spans="12:13" ht="15" thickBot="1">
      <c r="L147" s="649" t="s">
        <v>820</v>
      </c>
      <c r="M147" s="650">
        <v>2036</v>
      </c>
    </row>
  </sheetData>
  <mergeCells count="17">
    <mergeCell ref="AI56:AI60"/>
    <mergeCell ref="AI64:AI65"/>
    <mergeCell ref="O70:P70"/>
    <mergeCell ref="W70:Z70"/>
    <mergeCell ref="B108:I108"/>
    <mergeCell ref="AI53:AI55"/>
    <mergeCell ref="B1:L1"/>
    <mergeCell ref="AC5:AM5"/>
    <mergeCell ref="AC6:AF6"/>
    <mergeCell ref="AI6:AM6"/>
    <mergeCell ref="W51:AA51"/>
    <mergeCell ref="AC51:AF51"/>
    <mergeCell ref="B52:F52"/>
    <mergeCell ref="O52:V52"/>
    <mergeCell ref="W52:AA52"/>
    <mergeCell ref="AC52:AF52"/>
    <mergeCell ref="C53:D53"/>
  </mergeCells>
  <dataValidations count="1">
    <dataValidation type="textLength" operator="greaterThan" showInputMessage="1" showErrorMessage="1" sqref="Q19 O19" xr:uid="{00000000-0002-0000-0000-000000000000}">
      <formula1>1</formula1>
    </dataValidation>
  </dataValidations>
  <pageMargins left="0.7" right="0.7" top="0.75" bottom="0.75" header="0.3" footer="0.3"/>
  <pageSetup paperSize="9" orientation="portrait"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499984740745262"/>
    <pageSetUpPr autoPageBreaks="0"/>
  </sheetPr>
  <dimension ref="A1:AQ100"/>
  <sheetViews>
    <sheetView showGridLines="0" topLeftCell="A22" zoomScale="85" zoomScaleNormal="85" workbookViewId="0">
      <selection activeCell="C34" sqref="C34"/>
    </sheetView>
  </sheetViews>
  <sheetFormatPr defaultColWidth="9.109375" defaultRowHeight="14.4"/>
  <cols>
    <col min="1" max="1" width="36.33203125" style="421" customWidth="1"/>
    <col min="2" max="2" width="44.5546875" style="418" customWidth="1"/>
    <col min="3" max="3" width="21.88671875" style="418" customWidth="1"/>
    <col min="4" max="4" width="33.44140625" style="418" customWidth="1"/>
    <col min="5" max="7" width="17.33203125" style="418" customWidth="1"/>
    <col min="8" max="9" width="13.33203125" style="418" customWidth="1"/>
    <col min="10" max="10" width="20.109375" style="419" customWidth="1"/>
    <col min="11" max="12" width="9.109375" style="419"/>
    <col min="13" max="13" width="11.44140625" style="419" customWidth="1"/>
    <col min="14" max="14" width="9.88671875" style="419" customWidth="1"/>
    <col min="15" max="15" width="9.109375" style="331"/>
    <col min="16" max="19" width="9.109375" style="419"/>
    <col min="20" max="22" width="17.33203125" style="418" customWidth="1"/>
    <col min="23" max="24" width="13.33203125" style="418" customWidth="1"/>
    <col min="25" max="39" width="9.109375" style="418"/>
    <col min="40" max="40" width="37" style="418" customWidth="1"/>
    <col min="41" max="16384" width="9.109375" style="418"/>
  </cols>
  <sheetData>
    <row r="1" spans="2:43" ht="24" customHeight="1">
      <c r="B1" s="1" t="s">
        <v>3</v>
      </c>
      <c r="C1" s="420"/>
      <c r="D1" s="420"/>
      <c r="E1" s="420"/>
      <c r="F1" s="420"/>
      <c r="G1" s="420"/>
      <c r="H1" s="420"/>
      <c r="I1" s="420"/>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row>
    <row r="2" spans="2:43" ht="24" customHeight="1">
      <c r="B2" s="417" t="str">
        <f>INDEX(dms_TradingNameFull_List,MATCH(dms_TradingName,dms_TradingName_List))</f>
        <v>Essential Energy</v>
      </c>
      <c r="C2" s="420"/>
      <c r="D2" s="420"/>
      <c r="E2" s="420"/>
      <c r="F2" s="420"/>
      <c r="G2" s="420"/>
      <c r="H2" s="420"/>
      <c r="I2" s="420"/>
      <c r="M2" s="421"/>
      <c r="N2" s="421"/>
      <c r="O2" s="421"/>
      <c r="P2" s="421"/>
      <c r="Q2" s="421"/>
      <c r="R2" s="421"/>
      <c r="S2" s="421"/>
      <c r="T2" s="421"/>
      <c r="U2" s="421"/>
      <c r="V2" s="421"/>
      <c r="W2" s="421"/>
      <c r="X2" s="421"/>
      <c r="Y2" s="421"/>
      <c r="Z2" s="421"/>
      <c r="AA2" s="421"/>
      <c r="AB2" s="421"/>
      <c r="AC2" s="421"/>
      <c r="AD2" s="421"/>
      <c r="AE2" s="421"/>
      <c r="AF2" s="421"/>
      <c r="AG2" s="421"/>
      <c r="AH2" s="421"/>
      <c r="AI2" s="421"/>
      <c r="AJ2" s="421"/>
      <c r="AK2" s="421"/>
      <c r="AL2" s="421"/>
      <c r="AM2" s="421"/>
      <c r="AN2" s="421"/>
      <c r="AO2" s="421"/>
      <c r="AP2" s="421"/>
      <c r="AQ2" s="421"/>
    </row>
    <row r="3" spans="2:43" ht="24" customHeight="1">
      <c r="B3" s="417" t="str">
        <f ca="1">IF(SUM(dms_SingleYear_Model)&gt;0,CONCATENATE(CRY," to ",FRY),CONCATENATE(FRCP_y1," to ",dms_MultiYear_FinalYear_Result))</f>
        <v>2019-20 to 2023-24</v>
      </c>
      <c r="C3" s="416"/>
      <c r="D3" s="415"/>
      <c r="E3" s="415"/>
      <c r="F3" s="415"/>
      <c r="G3" s="415"/>
      <c r="H3" s="415"/>
      <c r="I3" s="415"/>
      <c r="M3" s="421"/>
      <c r="N3" s="421"/>
      <c r="O3" s="421"/>
      <c r="P3" s="421"/>
      <c r="Q3" s="421"/>
      <c r="R3" s="421"/>
      <c r="S3" s="421"/>
      <c r="T3" s="421"/>
      <c r="U3" s="421"/>
      <c r="V3" s="421"/>
      <c r="W3" s="421"/>
      <c r="X3" s="421"/>
      <c r="Y3" s="421"/>
      <c r="Z3" s="421"/>
      <c r="AA3" s="421"/>
      <c r="AB3" s="421"/>
      <c r="AC3" s="421"/>
      <c r="AD3" s="421"/>
      <c r="AE3" s="421"/>
      <c r="AF3" s="421"/>
      <c r="AG3" s="421"/>
      <c r="AH3" s="421"/>
      <c r="AI3" s="421"/>
      <c r="AJ3" s="421"/>
      <c r="AK3" s="421"/>
      <c r="AL3" s="421"/>
      <c r="AM3" s="421"/>
      <c r="AN3" s="421"/>
      <c r="AO3" s="421"/>
      <c r="AP3" s="421"/>
      <c r="AQ3" s="421"/>
    </row>
    <row r="4" spans="2:43" ht="24" customHeight="1">
      <c r="B4" s="414" t="s">
        <v>16</v>
      </c>
      <c r="C4" s="414"/>
      <c r="D4" s="414"/>
      <c r="E4" s="414"/>
      <c r="F4" s="414"/>
      <c r="G4" s="414"/>
      <c r="H4" s="414"/>
      <c r="I4" s="414"/>
      <c r="M4" s="421"/>
      <c r="N4" s="421"/>
      <c r="O4" s="421"/>
      <c r="P4" s="421"/>
      <c r="Q4" s="421"/>
      <c r="R4" s="421"/>
      <c r="S4" s="421"/>
      <c r="T4" s="421"/>
      <c r="U4" s="421"/>
      <c r="V4" s="421"/>
      <c r="W4" s="421"/>
      <c r="X4" s="421"/>
      <c r="Y4" s="421"/>
      <c r="Z4" s="421"/>
      <c r="AA4" s="421"/>
      <c r="AB4" s="421"/>
      <c r="AC4" s="421"/>
      <c r="AD4" s="421"/>
      <c r="AE4" s="421"/>
      <c r="AF4" s="421"/>
      <c r="AG4" s="421"/>
      <c r="AH4" s="421"/>
      <c r="AI4" s="421"/>
      <c r="AJ4" s="421"/>
      <c r="AK4" s="421"/>
      <c r="AL4" s="421"/>
      <c r="AM4" s="421"/>
      <c r="AN4" s="421"/>
      <c r="AO4" s="421"/>
      <c r="AP4" s="421"/>
      <c r="AQ4" s="421"/>
    </row>
    <row r="5" spans="2:43">
      <c r="B5" s="413"/>
      <c r="M5" s="421"/>
      <c r="N5" s="421"/>
      <c r="O5" s="421"/>
      <c r="P5" s="421"/>
      <c r="Q5" s="421"/>
      <c r="R5" s="421"/>
      <c r="S5" s="421"/>
      <c r="T5" s="421"/>
      <c r="U5" s="421"/>
      <c r="V5" s="421"/>
      <c r="W5" s="421"/>
      <c r="X5" s="421"/>
      <c r="Y5" s="421"/>
      <c r="Z5" s="421"/>
      <c r="AA5" s="421"/>
      <c r="AB5" s="421"/>
      <c r="AC5" s="421"/>
      <c r="AD5" s="421"/>
      <c r="AE5" s="421"/>
      <c r="AF5" s="421"/>
      <c r="AG5" s="421"/>
      <c r="AH5" s="421"/>
      <c r="AI5" s="421"/>
      <c r="AJ5" s="421"/>
      <c r="AK5" s="421"/>
      <c r="AL5" s="421"/>
      <c r="AM5" s="421"/>
      <c r="AN5" s="421"/>
      <c r="AO5" s="421"/>
      <c r="AP5" s="421"/>
      <c r="AQ5" s="421"/>
    </row>
    <row r="6" spans="2:43">
      <c r="B6" s="413"/>
      <c r="M6" s="421"/>
      <c r="N6" s="421"/>
      <c r="O6" s="421"/>
      <c r="P6" s="421"/>
      <c r="Q6" s="421"/>
      <c r="R6" s="421"/>
      <c r="S6" s="421"/>
      <c r="T6" s="421"/>
      <c r="U6" s="421"/>
      <c r="V6" s="421"/>
      <c r="W6" s="421"/>
      <c r="X6" s="421"/>
      <c r="Y6" s="421"/>
      <c r="Z6" s="421"/>
      <c r="AA6" s="421"/>
      <c r="AB6" s="421"/>
      <c r="AC6" s="421"/>
      <c r="AD6" s="421"/>
      <c r="AE6" s="421"/>
      <c r="AF6" s="421"/>
      <c r="AG6" s="421"/>
      <c r="AH6" s="421"/>
      <c r="AI6" s="421"/>
      <c r="AJ6" s="421"/>
      <c r="AK6" s="421"/>
      <c r="AL6" s="421"/>
      <c r="AM6" s="421"/>
      <c r="AN6" s="421"/>
      <c r="AO6" s="421"/>
      <c r="AP6" s="421"/>
      <c r="AQ6" s="421"/>
    </row>
    <row r="7" spans="2:43">
      <c r="B7" s="412" t="s">
        <v>8</v>
      </c>
      <c r="C7" s="411"/>
      <c r="D7" s="411"/>
      <c r="E7" s="411"/>
      <c r="F7" s="411"/>
      <c r="G7" s="411"/>
      <c r="H7" s="411"/>
      <c r="I7" s="411"/>
      <c r="M7" s="421"/>
      <c r="N7" s="421"/>
      <c r="O7" s="421"/>
      <c r="P7" s="421"/>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row>
    <row r="8" spans="2:43" ht="38.25" customHeight="1">
      <c r="B8" s="712" t="s">
        <v>17</v>
      </c>
      <c r="C8" s="713"/>
      <c r="D8" s="712"/>
      <c r="E8" s="712"/>
      <c r="F8" s="712"/>
      <c r="G8" s="712"/>
      <c r="H8" s="712"/>
      <c r="I8" s="712"/>
      <c r="M8" s="421"/>
      <c r="N8" s="421"/>
      <c r="O8" s="421"/>
      <c r="P8" s="421"/>
      <c r="Q8" s="421"/>
      <c r="R8" s="421"/>
      <c r="S8" s="421"/>
      <c r="T8" s="421"/>
      <c r="U8" s="421"/>
      <c r="V8" s="421"/>
      <c r="W8" s="421"/>
      <c r="X8" s="421"/>
      <c r="Y8" s="421"/>
      <c r="Z8" s="421"/>
      <c r="AA8" s="421"/>
      <c r="AB8" s="421"/>
      <c r="AC8" s="421"/>
      <c r="AD8" s="421"/>
      <c r="AE8" s="421"/>
      <c r="AF8" s="421"/>
      <c r="AG8" s="421"/>
      <c r="AH8" s="421"/>
      <c r="AI8" s="421"/>
      <c r="AJ8" s="421"/>
      <c r="AK8" s="421"/>
      <c r="AL8" s="421"/>
      <c r="AM8" s="421"/>
      <c r="AN8" s="421"/>
      <c r="AO8" s="421"/>
      <c r="AP8" s="421"/>
      <c r="AQ8" s="421"/>
    </row>
    <row r="9" spans="2:43">
      <c r="B9" s="410"/>
      <c r="C9" s="409"/>
      <c r="D9" s="409"/>
      <c r="E9" s="409"/>
      <c r="F9" s="409"/>
      <c r="G9" s="409"/>
      <c r="H9" s="409"/>
      <c r="I9" s="409"/>
      <c r="M9" s="421"/>
      <c r="N9" s="421"/>
      <c r="O9" s="421"/>
      <c r="P9" s="421"/>
      <c r="Q9" s="421"/>
      <c r="R9" s="421"/>
      <c r="S9" s="421"/>
      <c r="T9" s="421"/>
      <c r="U9" s="421"/>
      <c r="V9" s="421"/>
      <c r="W9" s="421"/>
      <c r="X9" s="421"/>
      <c r="Y9" s="421"/>
      <c r="Z9" s="421"/>
      <c r="AA9" s="421"/>
      <c r="AB9" s="421"/>
      <c r="AC9" s="421"/>
      <c r="AD9" s="421"/>
      <c r="AE9" s="421"/>
      <c r="AF9" s="421"/>
      <c r="AG9" s="421"/>
      <c r="AH9" s="421"/>
      <c r="AI9" s="421"/>
      <c r="AJ9" s="421"/>
      <c r="AK9" s="421"/>
      <c r="AL9" s="421"/>
      <c r="AM9" s="421"/>
      <c r="AN9" s="421"/>
      <c r="AO9" s="421"/>
      <c r="AP9" s="421"/>
      <c r="AQ9" s="421"/>
    </row>
    <row r="10" spans="2:43" ht="15.6">
      <c r="B10" s="408" t="s">
        <v>18</v>
      </c>
      <c r="C10" s="408"/>
      <c r="D10" s="408"/>
      <c r="E10" s="408"/>
      <c r="F10" s="408"/>
      <c r="G10" s="408"/>
      <c r="H10" s="408"/>
      <c r="I10" s="408"/>
      <c r="M10" s="421"/>
      <c r="N10" s="421"/>
      <c r="O10" s="421"/>
      <c r="P10" s="421"/>
      <c r="Q10" s="421"/>
      <c r="R10" s="421"/>
      <c r="S10" s="421"/>
      <c r="T10" s="421"/>
      <c r="U10" s="421"/>
      <c r="V10" s="421"/>
      <c r="W10" s="421"/>
      <c r="X10" s="421"/>
      <c r="Y10" s="421"/>
      <c r="Z10" s="421"/>
      <c r="AA10" s="421"/>
      <c r="AB10" s="421"/>
      <c r="AC10" s="421"/>
      <c r="AD10" s="421"/>
      <c r="AE10" s="421"/>
      <c r="AF10" s="421"/>
      <c r="AG10" s="421"/>
      <c r="AH10" s="421"/>
      <c r="AI10" s="421"/>
      <c r="AJ10" s="421"/>
      <c r="AK10" s="421"/>
      <c r="AL10" s="421"/>
      <c r="AM10" s="421"/>
      <c r="AN10" s="421"/>
      <c r="AO10" s="421"/>
      <c r="AP10" s="421"/>
      <c r="AQ10" s="421"/>
    </row>
    <row r="11" spans="2:43" ht="15" thickBot="1">
      <c r="B11" s="407"/>
      <c r="C11" s="407"/>
      <c r="D11" s="407"/>
      <c r="E11" s="407"/>
      <c r="F11" s="407"/>
      <c r="G11" s="407"/>
      <c r="H11" s="407"/>
      <c r="I11" s="407"/>
      <c r="M11" s="421"/>
      <c r="N11" s="421"/>
      <c r="O11" s="421"/>
      <c r="P11" s="421"/>
      <c r="Q11" s="421"/>
      <c r="R11" s="421"/>
      <c r="S11" s="421"/>
      <c r="T11" s="421"/>
      <c r="U11" s="421"/>
      <c r="V11" s="421"/>
      <c r="W11" s="421"/>
      <c r="X11" s="421"/>
      <c r="Y11" s="421"/>
      <c r="Z11" s="421"/>
      <c r="AA11" s="421"/>
      <c r="AB11" s="421"/>
      <c r="AC11" s="421"/>
      <c r="AD11" s="421"/>
      <c r="AE11" s="421"/>
      <c r="AF11" s="421"/>
      <c r="AG11" s="421"/>
      <c r="AH11" s="421"/>
      <c r="AI11" s="421"/>
      <c r="AJ11" s="421"/>
      <c r="AK11" s="421"/>
      <c r="AL11" s="421"/>
      <c r="AM11" s="421"/>
      <c r="AN11" s="421"/>
      <c r="AO11" s="421"/>
      <c r="AP11" s="421"/>
      <c r="AQ11" s="421"/>
    </row>
    <row r="12" spans="2:43" ht="21">
      <c r="B12" s="714" t="s">
        <v>19</v>
      </c>
      <c r="C12" s="715"/>
      <c r="D12" s="715"/>
      <c r="E12" s="715"/>
      <c r="F12" s="715"/>
      <c r="G12" s="715"/>
      <c r="H12" s="715"/>
      <c r="I12" s="716"/>
      <c r="M12" s="421"/>
      <c r="N12" s="421"/>
      <c r="O12" s="421"/>
      <c r="P12" s="421"/>
      <c r="Q12" s="421"/>
      <c r="R12" s="421"/>
      <c r="S12" s="421"/>
      <c r="T12" s="421"/>
      <c r="U12" s="421"/>
      <c r="V12" s="421"/>
      <c r="W12" s="421"/>
      <c r="X12" s="421"/>
      <c r="Y12" s="421"/>
      <c r="Z12" s="421"/>
      <c r="AA12" s="421"/>
      <c r="AB12" s="421"/>
      <c r="AC12" s="421"/>
      <c r="AD12" s="421"/>
      <c r="AE12" s="421"/>
      <c r="AF12" s="421"/>
      <c r="AG12" s="421"/>
      <c r="AH12" s="421"/>
      <c r="AI12" s="421"/>
      <c r="AJ12" s="421"/>
      <c r="AK12" s="421"/>
      <c r="AL12" s="421"/>
      <c r="AM12" s="421"/>
      <c r="AN12" s="421"/>
      <c r="AO12" s="421"/>
      <c r="AP12" s="421"/>
      <c r="AQ12" s="421"/>
    </row>
    <row r="13" spans="2:43" ht="20.399999999999999">
      <c r="B13" s="406"/>
      <c r="C13" s="405"/>
      <c r="D13" s="405"/>
      <c r="E13" s="404"/>
      <c r="F13" s="404"/>
      <c r="G13" s="404"/>
      <c r="H13" s="404"/>
      <c r="I13" s="403"/>
      <c r="M13" s="421"/>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c r="AL13" s="421"/>
      <c r="AM13" s="421"/>
      <c r="AN13" s="421"/>
      <c r="AO13" s="421"/>
      <c r="AP13" s="421"/>
      <c r="AQ13" s="421"/>
    </row>
    <row r="14" spans="2:43" ht="15.6">
      <c r="B14" s="402" t="s">
        <v>20</v>
      </c>
      <c r="C14" s="717" t="s">
        <v>369</v>
      </c>
      <c r="D14" s="718"/>
      <c r="E14" s="718"/>
      <c r="F14" s="401" t="s">
        <v>22</v>
      </c>
      <c r="G14" s="404"/>
      <c r="H14" s="404"/>
      <c r="I14" s="403"/>
      <c r="M14" s="421"/>
      <c r="N14" s="421"/>
      <c r="O14" s="421"/>
      <c r="P14" s="421"/>
      <c r="Q14" s="421"/>
      <c r="R14" s="421"/>
      <c r="S14" s="421"/>
      <c r="T14" s="421"/>
      <c r="U14" s="421"/>
      <c r="V14" s="421"/>
      <c r="W14" s="421"/>
      <c r="X14" s="421"/>
      <c r="Y14" s="421"/>
      <c r="Z14" s="421"/>
      <c r="AA14" s="421"/>
      <c r="AB14" s="421"/>
      <c r="AC14" s="421"/>
      <c r="AD14" s="421"/>
      <c r="AE14" s="421"/>
      <c r="AF14" s="421"/>
      <c r="AG14" s="421"/>
      <c r="AH14" s="421"/>
      <c r="AI14" s="421"/>
      <c r="AJ14" s="421"/>
      <c r="AK14" s="421"/>
      <c r="AL14" s="421"/>
      <c r="AM14" s="421"/>
      <c r="AN14" s="421"/>
      <c r="AO14" s="421"/>
      <c r="AP14" s="421"/>
      <c r="AQ14" s="421"/>
    </row>
    <row r="15" spans="2:43">
      <c r="B15" s="400" t="s">
        <v>23</v>
      </c>
      <c r="C15" s="719">
        <f>INDEX(dms_ABN_List,MATCH(dms_TradingName,dms_TradingName_List))</f>
        <v>37428185226</v>
      </c>
      <c r="D15" s="719"/>
      <c r="E15" s="719"/>
      <c r="F15" s="399"/>
      <c r="G15" s="399"/>
      <c r="H15" s="399"/>
      <c r="I15" s="403"/>
      <c r="M15" s="421"/>
      <c r="N15" s="421"/>
      <c r="O15" s="421"/>
      <c r="P15" s="421"/>
      <c r="Q15" s="421"/>
      <c r="R15" s="421"/>
      <c r="S15" s="421"/>
      <c r="T15" s="421"/>
      <c r="U15" s="421"/>
      <c r="V15" s="421"/>
      <c r="W15" s="421"/>
      <c r="X15" s="421"/>
      <c r="Y15" s="421"/>
      <c r="Z15" s="421"/>
      <c r="AA15" s="421"/>
      <c r="AB15" s="421"/>
      <c r="AC15" s="421"/>
      <c r="AD15" s="421"/>
      <c r="AE15" s="421"/>
      <c r="AF15" s="421"/>
      <c r="AG15" s="421"/>
      <c r="AH15" s="421"/>
      <c r="AI15" s="421"/>
      <c r="AJ15" s="421"/>
      <c r="AK15" s="421"/>
      <c r="AL15" s="421"/>
      <c r="AM15" s="421"/>
      <c r="AN15" s="421"/>
      <c r="AO15" s="421"/>
      <c r="AP15" s="421"/>
      <c r="AQ15" s="421"/>
    </row>
    <row r="16" spans="2:43" ht="15" thickBot="1">
      <c r="B16" s="398"/>
      <c r="C16" s="397"/>
      <c r="D16" s="397"/>
      <c r="E16" s="397"/>
      <c r="F16" s="396"/>
      <c r="G16" s="396"/>
      <c r="H16" s="396"/>
      <c r="I16" s="395"/>
      <c r="M16" s="421"/>
      <c r="N16" s="421"/>
      <c r="O16" s="421"/>
      <c r="P16" s="421"/>
      <c r="Q16" s="421"/>
      <c r="R16" s="421"/>
      <c r="S16" s="421"/>
      <c r="T16" s="421"/>
      <c r="U16" s="421"/>
      <c r="V16" s="421"/>
      <c r="W16" s="421"/>
      <c r="X16" s="421"/>
      <c r="Y16" s="421"/>
      <c r="Z16" s="421"/>
      <c r="AA16" s="421"/>
      <c r="AB16" s="421"/>
      <c r="AC16" s="421"/>
      <c r="AD16" s="421"/>
      <c r="AE16" s="421"/>
      <c r="AF16" s="421"/>
      <c r="AG16" s="421"/>
      <c r="AH16" s="421"/>
      <c r="AI16" s="421"/>
      <c r="AJ16" s="421"/>
      <c r="AK16" s="421"/>
      <c r="AL16" s="421"/>
      <c r="AM16" s="421"/>
      <c r="AN16" s="421"/>
      <c r="AO16" s="421"/>
      <c r="AP16" s="421"/>
      <c r="AQ16" s="421"/>
    </row>
    <row r="17" spans="2:43" ht="29.25" customHeight="1">
      <c r="B17" s="394"/>
      <c r="C17" s="393"/>
      <c r="D17" s="393"/>
      <c r="E17" s="393"/>
      <c r="F17" s="392"/>
      <c r="G17" s="392"/>
      <c r="H17" s="392"/>
      <c r="I17" s="391"/>
      <c r="M17" s="421"/>
      <c r="N17" s="421"/>
      <c r="O17" s="421"/>
      <c r="P17" s="421"/>
      <c r="Q17" s="421"/>
      <c r="R17" s="421"/>
      <c r="S17" s="421"/>
      <c r="T17" s="421"/>
      <c r="U17" s="421"/>
      <c r="V17" s="421"/>
      <c r="W17" s="421"/>
      <c r="X17" s="421"/>
      <c r="Y17" s="421"/>
      <c r="Z17" s="421"/>
      <c r="AA17" s="421"/>
      <c r="AB17" s="421"/>
      <c r="AC17" s="421"/>
      <c r="AD17" s="421"/>
      <c r="AE17" s="421"/>
      <c r="AF17" s="421"/>
      <c r="AG17" s="421"/>
      <c r="AH17" s="421"/>
      <c r="AI17" s="421"/>
      <c r="AJ17" s="421"/>
      <c r="AK17" s="421"/>
      <c r="AL17" s="421"/>
      <c r="AM17" s="421"/>
      <c r="AN17" s="421"/>
      <c r="AO17" s="421"/>
      <c r="AP17" s="421"/>
      <c r="AQ17" s="421"/>
    </row>
    <row r="18" spans="2:43">
      <c r="B18" s="402" t="s">
        <v>24</v>
      </c>
      <c r="C18" s="720" t="s">
        <v>25</v>
      </c>
      <c r="D18" s="721"/>
      <c r="E18" s="717" t="str">
        <f>INDEX(dms_Addr1_List,MATCH(dms_TradingName,dms_TradingName_List))</f>
        <v>8 Buller Street</v>
      </c>
      <c r="F18" s="718"/>
      <c r="G18" s="718"/>
      <c r="H18" s="722"/>
      <c r="I18" s="390"/>
      <c r="M18" s="421"/>
      <c r="N18" s="421"/>
      <c r="O18" s="421"/>
      <c r="P18" s="421"/>
      <c r="Q18" s="421"/>
      <c r="R18" s="421"/>
      <c r="S18" s="421"/>
      <c r="T18" s="421"/>
      <c r="U18" s="421"/>
      <c r="V18" s="421"/>
      <c r="W18" s="421"/>
      <c r="X18" s="421"/>
      <c r="Y18" s="421"/>
      <c r="Z18" s="421"/>
      <c r="AA18" s="421"/>
      <c r="AB18" s="421"/>
      <c r="AC18" s="421"/>
      <c r="AD18" s="421"/>
      <c r="AE18" s="421"/>
      <c r="AF18" s="421"/>
      <c r="AG18" s="421"/>
      <c r="AH18" s="421"/>
      <c r="AI18" s="421"/>
      <c r="AJ18" s="421"/>
      <c r="AK18" s="421"/>
      <c r="AL18" s="421"/>
      <c r="AM18" s="421"/>
      <c r="AN18" s="421"/>
      <c r="AO18" s="421"/>
      <c r="AP18" s="421"/>
      <c r="AQ18" s="421"/>
    </row>
    <row r="19" spans="2:43">
      <c r="B19" s="389"/>
      <c r="C19" s="388"/>
      <c r="D19" s="388" t="s">
        <v>26</v>
      </c>
      <c r="E19" s="717"/>
      <c r="F19" s="718"/>
      <c r="G19" s="718"/>
      <c r="H19" s="722"/>
      <c r="I19" s="390"/>
      <c r="M19" s="421"/>
      <c r="N19" s="421"/>
      <c r="O19" s="421"/>
      <c r="P19" s="421"/>
      <c r="Q19" s="421"/>
      <c r="R19" s="421"/>
      <c r="S19" s="421"/>
      <c r="T19" s="421"/>
      <c r="U19" s="421"/>
      <c r="V19" s="421"/>
      <c r="W19" s="421"/>
      <c r="X19" s="421"/>
      <c r="Y19" s="421"/>
      <c r="Z19" s="421"/>
      <c r="AA19" s="421"/>
      <c r="AB19" s="421"/>
      <c r="AC19" s="421"/>
      <c r="AD19" s="421"/>
      <c r="AE19" s="421"/>
      <c r="AF19" s="421"/>
      <c r="AG19" s="421"/>
      <c r="AH19" s="421"/>
      <c r="AI19" s="421"/>
      <c r="AJ19" s="421"/>
      <c r="AK19" s="421"/>
      <c r="AL19" s="421"/>
      <c r="AM19" s="421"/>
      <c r="AN19" s="421"/>
      <c r="AO19" s="421"/>
      <c r="AP19" s="421"/>
      <c r="AQ19" s="421"/>
    </row>
    <row r="20" spans="2:43">
      <c r="B20" s="389"/>
      <c r="C20" s="720" t="s">
        <v>27</v>
      </c>
      <c r="D20" s="721"/>
      <c r="E20" s="717" t="str">
        <f>INDEX(dms_Suburb_List,MATCH(dms_TradingName,dms_TradingName_List))</f>
        <v>PORT MACQUARIE</v>
      </c>
      <c r="F20" s="718"/>
      <c r="G20" s="718"/>
      <c r="H20" s="722"/>
      <c r="I20" s="390"/>
      <c r="M20" s="421"/>
      <c r="N20" s="421"/>
      <c r="O20" s="421"/>
      <c r="P20" s="421"/>
      <c r="Q20" s="421"/>
      <c r="R20" s="421"/>
      <c r="S20" s="421"/>
      <c r="T20" s="421"/>
      <c r="U20" s="421"/>
      <c r="V20" s="421"/>
      <c r="W20" s="421"/>
      <c r="X20" s="421"/>
      <c r="Y20" s="421"/>
      <c r="Z20" s="421"/>
      <c r="AA20" s="421"/>
      <c r="AB20" s="421"/>
      <c r="AC20" s="421"/>
      <c r="AD20" s="421"/>
      <c r="AE20" s="421"/>
      <c r="AF20" s="421"/>
      <c r="AG20" s="421"/>
      <c r="AH20" s="421"/>
      <c r="AI20" s="421"/>
      <c r="AJ20" s="421"/>
      <c r="AK20" s="421"/>
      <c r="AL20" s="421"/>
      <c r="AM20" s="421"/>
      <c r="AN20" s="421"/>
      <c r="AO20" s="421"/>
      <c r="AP20" s="421"/>
      <c r="AQ20" s="421"/>
    </row>
    <row r="21" spans="2:43">
      <c r="B21" s="389"/>
      <c r="C21" s="387"/>
      <c r="D21" s="388" t="s">
        <v>28</v>
      </c>
      <c r="E21" s="386" t="str">
        <f>INDEX(dms_State_List,MATCH(dms_TradingName,dms_TradingName_List))</f>
        <v>NSW</v>
      </c>
      <c r="F21" s="388" t="s">
        <v>29</v>
      </c>
      <c r="G21" s="385" t="str">
        <f>INDEX(dms_PostCode_List,MATCH(dms_TradingName,dms_TradingName_List))</f>
        <v>2444</v>
      </c>
      <c r="H21" s="404"/>
      <c r="I21" s="403"/>
      <c r="M21" s="421"/>
      <c r="N21" s="421"/>
      <c r="O21" s="421"/>
      <c r="P21" s="421"/>
      <c r="Q21" s="421"/>
      <c r="R21" s="421"/>
      <c r="S21" s="421"/>
      <c r="T21" s="421"/>
      <c r="U21" s="421"/>
      <c r="V21" s="421"/>
      <c r="W21" s="421"/>
      <c r="X21" s="421"/>
      <c r="Y21" s="421"/>
      <c r="Z21" s="421"/>
      <c r="AA21" s="421"/>
      <c r="AB21" s="421"/>
      <c r="AC21" s="421"/>
      <c r="AD21" s="421"/>
      <c r="AE21" s="421"/>
      <c r="AF21" s="421"/>
      <c r="AG21" s="421"/>
      <c r="AH21" s="421"/>
      <c r="AI21" s="421"/>
      <c r="AJ21" s="421"/>
      <c r="AK21" s="421"/>
      <c r="AL21" s="421"/>
      <c r="AM21" s="421"/>
      <c r="AN21" s="421"/>
      <c r="AO21" s="421"/>
      <c r="AP21" s="421"/>
      <c r="AQ21" s="421"/>
    </row>
    <row r="22" spans="2:43">
      <c r="B22" s="389"/>
      <c r="C22" s="387"/>
      <c r="D22" s="387"/>
      <c r="E22" s="387"/>
      <c r="F22" s="404"/>
      <c r="G22" s="387"/>
      <c r="H22" s="404"/>
      <c r="I22" s="403"/>
      <c r="M22" s="421"/>
      <c r="N22" s="421"/>
      <c r="O22" s="421"/>
      <c r="P22" s="421"/>
      <c r="Q22" s="421"/>
      <c r="R22" s="421"/>
      <c r="S22" s="421"/>
      <c r="T22" s="421"/>
      <c r="U22" s="421"/>
      <c r="V22" s="421"/>
      <c r="W22" s="421"/>
      <c r="X22" s="421"/>
      <c r="Y22" s="421"/>
      <c r="Z22" s="421"/>
      <c r="AA22" s="421"/>
      <c r="AB22" s="421"/>
      <c r="AC22" s="421"/>
      <c r="AD22" s="421"/>
      <c r="AE22" s="421"/>
      <c r="AF22" s="421"/>
      <c r="AG22" s="421"/>
      <c r="AH22" s="421"/>
      <c r="AI22" s="421"/>
      <c r="AJ22" s="421"/>
      <c r="AK22" s="421"/>
      <c r="AL22" s="421"/>
      <c r="AM22" s="421"/>
      <c r="AN22" s="421"/>
      <c r="AO22" s="421"/>
      <c r="AP22" s="421"/>
      <c r="AQ22" s="421"/>
    </row>
    <row r="23" spans="2:43">
      <c r="B23" s="402" t="s">
        <v>30</v>
      </c>
      <c r="C23" s="720" t="s">
        <v>25</v>
      </c>
      <c r="D23" s="721"/>
      <c r="E23" s="717" t="str">
        <f>INDEX(dms_PAddr1_List,MATCH(dms_TradingName,dms_TradingName_List))</f>
        <v>PO Box 5730</v>
      </c>
      <c r="F23" s="718"/>
      <c r="G23" s="718"/>
      <c r="H23" s="722"/>
      <c r="I23" s="384"/>
      <c r="M23" s="421"/>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1"/>
      <c r="AL23" s="421"/>
      <c r="AM23" s="421"/>
      <c r="AN23" s="421"/>
      <c r="AO23" s="421"/>
      <c r="AP23" s="421"/>
      <c r="AQ23" s="421"/>
    </row>
    <row r="24" spans="2:43">
      <c r="B24" s="389"/>
      <c r="C24" s="388"/>
      <c r="D24" s="388" t="s">
        <v>26</v>
      </c>
      <c r="E24" s="717" t="str">
        <f>IF(ISBLANK(INDEX(dms_PAddr2_List,MATCH(dms_TradingName,dms_TradingName_List))),"",INDEX(dms_PAddr2_List,MATCH(dms_TradingName,dms_TradingName_List)))</f>
        <v/>
      </c>
      <c r="F24" s="718"/>
      <c r="G24" s="718"/>
      <c r="H24" s="722"/>
      <c r="I24" s="384"/>
      <c r="M24" s="421"/>
      <c r="N24" s="421"/>
      <c r="O24" s="421"/>
      <c r="P24" s="421"/>
      <c r="Q24" s="421"/>
      <c r="R24" s="421"/>
      <c r="S24" s="421"/>
      <c r="T24" s="421"/>
      <c r="U24" s="421"/>
      <c r="V24" s="421"/>
      <c r="W24" s="421"/>
      <c r="X24" s="421"/>
      <c r="Y24" s="421"/>
      <c r="Z24" s="421"/>
      <c r="AA24" s="421"/>
      <c r="AB24" s="421"/>
      <c r="AC24" s="421"/>
      <c r="AD24" s="421"/>
      <c r="AE24" s="421"/>
      <c r="AF24" s="421"/>
      <c r="AG24" s="421"/>
      <c r="AH24" s="421"/>
      <c r="AI24" s="421"/>
      <c r="AJ24" s="421"/>
      <c r="AK24" s="421"/>
      <c r="AL24" s="421"/>
      <c r="AM24" s="421"/>
      <c r="AN24" s="421"/>
      <c r="AO24" s="421"/>
      <c r="AP24" s="421"/>
      <c r="AQ24" s="421"/>
    </row>
    <row r="25" spans="2:43">
      <c r="B25" s="389"/>
      <c r="C25" s="720" t="s">
        <v>27</v>
      </c>
      <c r="D25" s="721"/>
      <c r="E25" s="717" t="str">
        <f>INDEX(dms_PSuburb_List,MATCH(dms_TradingName,dms_TradingName_List))</f>
        <v>PORT MACQUARIE</v>
      </c>
      <c r="F25" s="718"/>
      <c r="G25" s="718"/>
      <c r="H25" s="722"/>
      <c r="I25" s="384"/>
      <c r="M25" s="421"/>
      <c r="N25" s="421"/>
      <c r="O25" s="421"/>
      <c r="P25" s="421"/>
      <c r="Q25" s="421"/>
      <c r="R25" s="421"/>
      <c r="S25" s="421"/>
      <c r="T25" s="421"/>
      <c r="U25" s="421"/>
      <c r="V25" s="421"/>
      <c r="W25" s="421"/>
      <c r="X25" s="421"/>
      <c r="Y25" s="421"/>
      <c r="Z25" s="421"/>
      <c r="AA25" s="421"/>
      <c r="AB25" s="421"/>
      <c r="AC25" s="421"/>
      <c r="AD25" s="421"/>
      <c r="AE25" s="421"/>
      <c r="AF25" s="421"/>
      <c r="AG25" s="421"/>
      <c r="AH25" s="421"/>
      <c r="AI25" s="421"/>
      <c r="AJ25" s="421"/>
      <c r="AK25" s="421"/>
      <c r="AL25" s="421"/>
      <c r="AM25" s="421"/>
      <c r="AN25" s="421"/>
      <c r="AO25" s="421"/>
      <c r="AP25" s="421"/>
      <c r="AQ25" s="421"/>
    </row>
    <row r="26" spans="2:43">
      <c r="B26" s="383"/>
      <c r="C26" s="387"/>
      <c r="D26" s="388" t="s">
        <v>28</v>
      </c>
      <c r="E26" s="385" t="str">
        <f>INDEX(dms_PState_List,MATCH(dms_TradingName,dms_TradingName_List))</f>
        <v>NSW</v>
      </c>
      <c r="F26" s="388" t="s">
        <v>29</v>
      </c>
      <c r="G26" s="385" t="str">
        <f>INDEX(dms_PPostCode_List,MATCH(dms_TradingName,dms_TradingName_List))</f>
        <v>2444</v>
      </c>
      <c r="H26" s="404"/>
      <c r="I26" s="403"/>
      <c r="M26" s="421"/>
      <c r="N26" s="421"/>
      <c r="O26" s="421"/>
      <c r="P26" s="421"/>
      <c r="Q26" s="421"/>
      <c r="R26" s="421"/>
      <c r="S26" s="421"/>
      <c r="T26" s="421"/>
      <c r="U26" s="421"/>
      <c r="V26" s="421"/>
      <c r="W26" s="421"/>
      <c r="X26" s="421"/>
      <c r="Y26" s="421"/>
      <c r="Z26" s="421"/>
      <c r="AA26" s="421"/>
      <c r="AB26" s="421"/>
      <c r="AC26" s="421"/>
      <c r="AD26" s="421"/>
      <c r="AE26" s="421"/>
      <c r="AF26" s="421"/>
      <c r="AG26" s="421"/>
      <c r="AH26" s="421"/>
      <c r="AI26" s="421"/>
      <c r="AJ26" s="421"/>
      <c r="AK26" s="421"/>
      <c r="AL26" s="421"/>
      <c r="AM26" s="421"/>
      <c r="AN26" s="421"/>
      <c r="AO26" s="421"/>
      <c r="AP26" s="421"/>
      <c r="AQ26" s="421"/>
    </row>
    <row r="27" spans="2:43">
      <c r="B27" s="382"/>
      <c r="C27" s="381"/>
      <c r="D27" s="381"/>
      <c r="E27" s="381"/>
      <c r="F27" s="380"/>
      <c r="G27" s="380"/>
      <c r="H27" s="380"/>
      <c r="I27" s="379"/>
      <c r="M27" s="421"/>
      <c r="N27" s="421"/>
      <c r="O27" s="421"/>
      <c r="P27" s="421"/>
      <c r="Q27" s="421"/>
      <c r="R27" s="421"/>
      <c r="S27" s="421"/>
      <c r="T27" s="421"/>
      <c r="U27" s="421"/>
      <c r="V27" s="421"/>
      <c r="W27" s="421"/>
      <c r="X27" s="421"/>
      <c r="Y27" s="421"/>
      <c r="Z27" s="421"/>
      <c r="AA27" s="421"/>
      <c r="AB27" s="421"/>
      <c r="AC27" s="421"/>
      <c r="AD27" s="421"/>
      <c r="AE27" s="421"/>
      <c r="AF27" s="421"/>
      <c r="AG27" s="421"/>
      <c r="AH27" s="421"/>
      <c r="AI27" s="421"/>
      <c r="AJ27" s="421"/>
      <c r="AK27" s="421"/>
      <c r="AL27" s="421"/>
      <c r="AM27" s="421"/>
      <c r="AN27" s="421"/>
      <c r="AO27" s="421"/>
      <c r="AP27" s="421"/>
      <c r="AQ27" s="421"/>
    </row>
    <row r="28" spans="2:43">
      <c r="B28" s="383"/>
      <c r="C28" s="378"/>
      <c r="D28" s="378"/>
      <c r="E28" s="378"/>
      <c r="F28" s="404"/>
      <c r="G28" s="404"/>
      <c r="H28" s="404"/>
      <c r="I28" s="403"/>
      <c r="M28" s="421"/>
      <c r="N28" s="421"/>
      <c r="O28" s="421"/>
      <c r="P28" s="421"/>
      <c r="Q28" s="421"/>
      <c r="R28" s="421"/>
      <c r="S28" s="421"/>
      <c r="T28" s="421"/>
      <c r="U28" s="421"/>
      <c r="V28" s="421"/>
      <c r="W28" s="421"/>
      <c r="X28" s="421"/>
      <c r="Y28" s="421"/>
      <c r="Z28" s="421"/>
      <c r="AA28" s="421"/>
      <c r="AB28" s="421"/>
      <c r="AC28" s="421"/>
      <c r="AD28" s="421"/>
      <c r="AE28" s="421"/>
      <c r="AF28" s="421"/>
      <c r="AG28" s="421"/>
      <c r="AH28" s="421"/>
      <c r="AI28" s="421"/>
      <c r="AJ28" s="421"/>
      <c r="AK28" s="421"/>
      <c r="AL28" s="421"/>
      <c r="AM28" s="421"/>
      <c r="AN28" s="421"/>
      <c r="AO28" s="421"/>
      <c r="AP28" s="421"/>
      <c r="AQ28" s="421"/>
    </row>
    <row r="29" spans="2:43">
      <c r="B29" s="377" t="s">
        <v>31</v>
      </c>
      <c r="C29" s="376" t="s">
        <v>838</v>
      </c>
      <c r="D29" s="375"/>
      <c r="E29" s="374"/>
      <c r="F29" s="376"/>
      <c r="G29" s="375"/>
      <c r="H29" s="373"/>
      <c r="I29" s="372"/>
      <c r="M29" s="421"/>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21"/>
      <c r="AL29" s="421"/>
      <c r="AM29" s="421"/>
      <c r="AN29" s="421"/>
      <c r="AO29" s="421"/>
      <c r="AP29" s="421"/>
      <c r="AQ29" s="421"/>
    </row>
    <row r="30" spans="2:43">
      <c r="B30" s="402" t="s">
        <v>32</v>
      </c>
      <c r="C30" s="376" t="s">
        <v>837</v>
      </c>
      <c r="D30" s="371"/>
      <c r="E30" s="370"/>
      <c r="F30" s="7"/>
      <c r="G30" s="371"/>
      <c r="H30" s="404"/>
      <c r="I30" s="403"/>
      <c r="M30" s="421"/>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421"/>
      <c r="AL30" s="421"/>
      <c r="AM30" s="421"/>
      <c r="AN30" s="421"/>
      <c r="AO30" s="421"/>
      <c r="AP30" s="421"/>
      <c r="AQ30" s="421"/>
    </row>
    <row r="31" spans="2:43">
      <c r="B31" s="402" t="s">
        <v>33</v>
      </c>
      <c r="C31" s="376" t="s">
        <v>839</v>
      </c>
      <c r="D31" s="375"/>
      <c r="E31" s="370"/>
      <c r="F31" s="369"/>
      <c r="G31" s="375"/>
      <c r="H31" s="404"/>
      <c r="I31" s="403"/>
      <c r="M31" s="421"/>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1"/>
      <c r="AL31" s="421"/>
      <c r="AM31" s="421"/>
      <c r="AN31" s="421"/>
      <c r="AO31" s="421"/>
      <c r="AP31" s="421"/>
      <c r="AQ31" s="421"/>
    </row>
    <row r="32" spans="2:43" ht="15" thickBot="1">
      <c r="B32" s="398"/>
      <c r="C32" s="397"/>
      <c r="D32" s="397"/>
      <c r="E32" s="397"/>
      <c r="F32" s="396"/>
      <c r="G32" s="396"/>
      <c r="H32" s="396"/>
      <c r="I32" s="395"/>
      <c r="M32" s="421"/>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1"/>
      <c r="AL32" s="421"/>
      <c r="AM32" s="421"/>
      <c r="AN32" s="421"/>
      <c r="AO32" s="421"/>
      <c r="AP32" s="421"/>
      <c r="AQ32" s="421"/>
    </row>
    <row r="33" spans="2:43" ht="21">
      <c r="B33" s="726" t="s">
        <v>34</v>
      </c>
      <c r="C33" s="727"/>
      <c r="D33" s="727"/>
      <c r="E33" s="727"/>
      <c r="F33" s="727"/>
      <c r="G33" s="727"/>
      <c r="H33" s="727"/>
      <c r="I33" s="728"/>
      <c r="M33" s="421"/>
      <c r="N33" s="421"/>
      <c r="O33" s="421"/>
      <c r="P33" s="421"/>
      <c r="Q33" s="421"/>
      <c r="R33" s="421"/>
      <c r="S33" s="421"/>
      <c r="T33" s="421"/>
      <c r="U33" s="421"/>
      <c r="V33" s="421"/>
      <c r="W33" s="421"/>
      <c r="X33" s="421"/>
      <c r="Y33" s="421"/>
      <c r="Z33" s="421"/>
      <c r="AA33" s="421"/>
      <c r="AB33" s="421"/>
      <c r="AC33" s="421"/>
      <c r="AD33" s="421"/>
      <c r="AE33" s="421"/>
      <c r="AF33" s="421"/>
      <c r="AG33" s="421"/>
      <c r="AH33" s="421"/>
      <c r="AI33" s="421"/>
      <c r="AJ33" s="421"/>
      <c r="AK33" s="421"/>
      <c r="AL33" s="421"/>
      <c r="AM33" s="421"/>
      <c r="AN33" s="421"/>
      <c r="AO33" s="421"/>
      <c r="AP33" s="421"/>
      <c r="AQ33" s="421"/>
    </row>
    <row r="34" spans="2:43" ht="15" thickBot="1">
      <c r="B34" s="368"/>
      <c r="C34" s="367"/>
      <c r="D34" s="367"/>
      <c r="E34" s="366"/>
      <c r="F34" s="366"/>
      <c r="G34" s="366"/>
      <c r="H34" s="366"/>
      <c r="I34" s="365"/>
      <c r="M34" s="421"/>
      <c r="N34" s="421"/>
      <c r="O34" s="421"/>
      <c r="P34" s="421"/>
      <c r="Q34" s="421"/>
      <c r="R34" s="421"/>
      <c r="S34" s="421"/>
      <c r="T34" s="421"/>
      <c r="U34" s="421"/>
      <c r="V34" s="421"/>
      <c r="W34" s="421"/>
      <c r="X34" s="421"/>
      <c r="Y34" s="421"/>
      <c r="Z34" s="421"/>
      <c r="AA34" s="421"/>
      <c r="AB34" s="421"/>
      <c r="AC34" s="421"/>
      <c r="AD34" s="421"/>
      <c r="AE34" s="421"/>
      <c r="AF34" s="421"/>
      <c r="AG34" s="421"/>
      <c r="AH34" s="421"/>
      <c r="AI34" s="421"/>
      <c r="AJ34" s="421"/>
      <c r="AK34" s="421"/>
      <c r="AL34" s="421"/>
      <c r="AM34" s="421"/>
      <c r="AN34" s="421"/>
      <c r="AO34" s="421"/>
      <c r="AP34" s="421"/>
      <c r="AQ34" s="421"/>
    </row>
    <row r="35" spans="2:43" ht="15" thickBot="1">
      <c r="B35" s="364" t="s">
        <v>9</v>
      </c>
      <c r="C35" s="363" t="s">
        <v>12</v>
      </c>
      <c r="D35" s="362" t="str">
        <f>dms_FRCP_y2</f>
        <v>2020-21</v>
      </c>
      <c r="E35" s="361" t="str">
        <f>dms_FRCP_y3</f>
        <v>2021-22</v>
      </c>
      <c r="F35" s="361" t="str">
        <f>dms_FRCP_y4</f>
        <v>2022-23</v>
      </c>
      <c r="G35" s="361" t="str">
        <f>dms_FRCP_y5</f>
        <v>2023-24</v>
      </c>
      <c r="H35" s="361" t="str">
        <f>dms_FRCP_y6</f>
        <v>2024-25</v>
      </c>
      <c r="I35" s="360" t="str">
        <f>dms_FRCP_y7</f>
        <v>2025-26</v>
      </c>
      <c r="J35" s="359" t="str">
        <f>dms_FRCP_y8</f>
        <v>2026-27</v>
      </c>
      <c r="K35" s="359" t="str">
        <f>dms_FRCP_y9</f>
        <v>2027-28</v>
      </c>
      <c r="L35" s="359" t="str">
        <f>dms_FRCP_y10</f>
        <v>2028-29</v>
      </c>
      <c r="M35" s="421"/>
      <c r="N35" s="421"/>
      <c r="O35" s="421"/>
      <c r="P35" s="421"/>
      <c r="Q35" s="421"/>
      <c r="R35" s="421"/>
      <c r="S35" s="421"/>
      <c r="T35" s="421"/>
      <c r="U35" s="421"/>
      <c r="V35" s="421"/>
      <c r="W35" s="421"/>
      <c r="X35" s="421"/>
      <c r="Y35" s="421"/>
      <c r="Z35" s="421"/>
      <c r="AA35" s="421"/>
      <c r="AB35" s="421"/>
      <c r="AC35" s="421"/>
      <c r="AD35" s="421"/>
      <c r="AE35" s="421"/>
      <c r="AF35" s="421"/>
      <c r="AG35" s="421"/>
      <c r="AH35" s="421"/>
      <c r="AI35" s="421"/>
      <c r="AJ35" s="421"/>
      <c r="AK35" s="421"/>
      <c r="AL35" s="421"/>
      <c r="AM35" s="421"/>
      <c r="AN35" s="421"/>
      <c r="AO35" s="421"/>
      <c r="AP35" s="421"/>
      <c r="AQ35" s="421"/>
    </row>
    <row r="36" spans="2:43" ht="15" thickBot="1">
      <c r="B36" s="358"/>
      <c r="C36" s="357"/>
      <c r="D36" s="357"/>
      <c r="E36" s="357"/>
      <c r="F36" s="356"/>
      <c r="G36" s="356"/>
      <c r="H36" s="356"/>
      <c r="I36" s="355"/>
      <c r="M36" s="421"/>
      <c r="N36" s="421"/>
      <c r="O36" s="421"/>
      <c r="P36" s="421"/>
      <c r="Q36" s="421"/>
      <c r="R36" s="421"/>
      <c r="S36" s="421"/>
      <c r="T36" s="421"/>
      <c r="U36" s="421"/>
      <c r="V36" s="421"/>
      <c r="W36" s="421"/>
      <c r="X36" s="421"/>
      <c r="Y36" s="421"/>
      <c r="Z36" s="421"/>
      <c r="AA36" s="421"/>
      <c r="AB36" s="421"/>
      <c r="AC36" s="421"/>
      <c r="AD36" s="421"/>
      <c r="AE36" s="421"/>
      <c r="AF36" s="421"/>
      <c r="AG36" s="421"/>
      <c r="AH36" s="421"/>
      <c r="AI36" s="421"/>
      <c r="AJ36" s="421"/>
      <c r="AK36" s="421"/>
      <c r="AL36" s="421"/>
      <c r="AM36" s="421"/>
      <c r="AN36" s="421"/>
      <c r="AO36" s="421"/>
      <c r="AP36" s="421"/>
      <c r="AQ36" s="421"/>
    </row>
    <row r="37" spans="2:43">
      <c r="B37" s="354"/>
      <c r="C37" s="353"/>
      <c r="D37" s="353"/>
      <c r="E37" s="353"/>
      <c r="F37" s="352"/>
      <c r="G37" s="352"/>
      <c r="H37" s="352"/>
      <c r="I37" s="351"/>
      <c r="M37" s="421"/>
      <c r="N37" s="421"/>
      <c r="O37" s="421"/>
      <c r="P37" s="421"/>
      <c r="Q37" s="421"/>
      <c r="R37" s="421"/>
      <c r="S37" s="421"/>
      <c r="T37" s="421"/>
      <c r="U37" s="421"/>
      <c r="V37" s="421"/>
      <c r="W37" s="421"/>
      <c r="X37" s="421"/>
      <c r="Y37" s="421"/>
      <c r="Z37" s="421"/>
      <c r="AA37" s="421"/>
      <c r="AB37" s="421"/>
      <c r="AC37" s="421"/>
      <c r="AD37" s="421"/>
      <c r="AE37" s="421"/>
      <c r="AF37" s="421"/>
      <c r="AG37" s="421"/>
      <c r="AH37" s="421"/>
      <c r="AI37" s="421"/>
      <c r="AJ37" s="421"/>
      <c r="AK37" s="421"/>
      <c r="AL37" s="421"/>
      <c r="AM37" s="421"/>
      <c r="AN37" s="421"/>
      <c r="AO37" s="421"/>
      <c r="AP37" s="421"/>
      <c r="AQ37" s="421"/>
    </row>
    <row r="38" spans="2:43">
      <c r="B38" s="364" t="s">
        <v>1</v>
      </c>
      <c r="C38" s="361" t="str">
        <f>dms_CRCP_FirstYear_Result</f>
        <v>2014-15</v>
      </c>
      <c r="D38" s="350" t="str">
        <f>IF(dms_RPT="financial",VALUE(LEFT(CRCP_y1,4)+1)&amp;"-"&amp;TEXT(MID(CRCP_y1,3,2)+2,"00"),VALUE(LEFT(CRCP_y1,4)+1))</f>
        <v>2015-16</v>
      </c>
      <c r="E38" s="350" t="str">
        <f>IF(dms_RPT="financial",VALUE(LEFT(CRCP_y2,4)+1)&amp;"-"&amp;TEXT(VALUE(MID(CRCP_y2,3,2)+2),"00"),VALUE(LEFT(CRCP_y2,4)+1))</f>
        <v>2016-17</v>
      </c>
      <c r="F38" s="350" t="str">
        <f>IF(dms_RPT="financial",VALUE(LEFT(CRCP_y3,4)+1)&amp;"-"&amp;TEXT(VALUE(MID(CRCP_y3,3,2)+2),"00"),VALUE(LEFT(CRCP_y3,4)+1))</f>
        <v>2017-18</v>
      </c>
      <c r="G38" s="350" t="str">
        <f>IF(dms_RPT="financial",VALUE(LEFT(CRCP_y4,4)+1)&amp;"-"&amp;TEXT(VALUE(MID(CRCP_y4,3,2)+2),"00"),VALUE(LEFT(CRCP_y4,4)+1))</f>
        <v>2018-19</v>
      </c>
      <c r="H38" s="350" t="str">
        <f>IF(dms_RPT="financial",VALUE(LEFT(CRCP_y5,4)+1)&amp;"-"&amp;TEXT(VALUE(MID(CRCP_y5,3,2)+2),"00"),VALUE(LEFT(CRCP_y5,4)+1))</f>
        <v>2019-20</v>
      </c>
      <c r="I38" s="349" t="str">
        <f>IF(dms_RPT="financial",VALUE(LEFT(CRCP_y6,4)+1)&amp;"-"&amp;TEXT(VALUE(MID(CRCP_y6,3,2)+2),"00"),VALUE(LEFT(CRCP_y6,4)+1))</f>
        <v>2020-21</v>
      </c>
      <c r="J38" s="359" t="str">
        <f>IF(dms_RPT="financial",VALUE(LEFT(CRCP_y7,4)+1)&amp;"-"&amp;TEXT(VALUE(MID(CRCP_y7,3,2)+2),"00"),VALUE(LEFT(CRCP_y7,4)+1))</f>
        <v>2021-22</v>
      </c>
      <c r="K38" s="359" t="str">
        <f>IF(dms_RPT="financial",VALUE(LEFT(CRCP_y8,4)+1)&amp;"-"&amp;TEXT(VALUE(MID(CRCP_y8,3,2)+2),"00"),VALUE(LEFT(CRCP_y8,4)+1))</f>
        <v>2022-23</v>
      </c>
      <c r="L38" s="359" t="str">
        <f>IF(dms_RPT="financial",VALUE(LEFT(CRCP_y9,4)+1)&amp;"-"&amp;TEXT(VALUE(MID(CRCP_y9,3,2)+2),"00"),VALUE(LEFT(CRCP_y9,4)+1))</f>
        <v>2023-24</v>
      </c>
      <c r="M38" s="421"/>
      <c r="N38" s="421"/>
      <c r="O38" s="421"/>
      <c r="P38" s="421"/>
      <c r="Q38" s="421"/>
      <c r="R38" s="421"/>
      <c r="S38" s="421"/>
      <c r="T38" s="421"/>
      <c r="U38" s="421"/>
      <c r="V38" s="421"/>
      <c r="W38" s="421"/>
      <c r="X38" s="421"/>
      <c r="Y38" s="421"/>
      <c r="Z38" s="421"/>
      <c r="AA38" s="421"/>
      <c r="AB38" s="421"/>
      <c r="AC38" s="421"/>
      <c r="AD38" s="421"/>
      <c r="AE38" s="421"/>
      <c r="AF38" s="421"/>
      <c r="AG38" s="421"/>
      <c r="AH38" s="421"/>
      <c r="AI38" s="421"/>
      <c r="AJ38" s="421"/>
      <c r="AK38" s="421"/>
      <c r="AL38" s="421"/>
      <c r="AM38" s="421"/>
      <c r="AN38" s="421"/>
      <c r="AO38" s="421"/>
      <c r="AP38" s="421"/>
      <c r="AQ38" s="421"/>
    </row>
    <row r="39" spans="2:43" ht="15" thickBot="1">
      <c r="B39" s="358"/>
      <c r="C39" s="357"/>
      <c r="D39" s="357"/>
      <c r="E39" s="357"/>
      <c r="F39" s="356"/>
      <c r="G39" s="356"/>
      <c r="H39" s="356"/>
      <c r="I39" s="355"/>
      <c r="M39" s="421"/>
      <c r="N39" s="421"/>
      <c r="O39" s="421"/>
      <c r="P39" s="421"/>
      <c r="Q39" s="421"/>
      <c r="R39" s="421"/>
      <c r="S39" s="421"/>
      <c r="T39" s="421"/>
      <c r="U39" s="421"/>
      <c r="V39" s="421"/>
      <c r="W39" s="421"/>
      <c r="X39" s="421"/>
      <c r="Y39" s="421"/>
      <c r="Z39" s="421"/>
      <c r="AA39" s="421"/>
      <c r="AB39" s="421"/>
      <c r="AC39" s="421"/>
      <c r="AD39" s="421"/>
      <c r="AE39" s="421"/>
      <c r="AF39" s="421"/>
      <c r="AG39" s="421"/>
      <c r="AH39" s="421"/>
      <c r="AI39" s="421"/>
      <c r="AJ39" s="421"/>
      <c r="AK39" s="421"/>
      <c r="AL39" s="421"/>
      <c r="AM39" s="421"/>
      <c r="AN39" s="421"/>
      <c r="AO39" s="421"/>
      <c r="AP39" s="421"/>
      <c r="AQ39" s="421"/>
    </row>
    <row r="40" spans="2:43">
      <c r="B40" s="354"/>
      <c r="C40" s="353"/>
      <c r="D40" s="353"/>
      <c r="E40" s="353"/>
      <c r="F40" s="352"/>
      <c r="G40" s="352"/>
      <c r="H40" s="352"/>
      <c r="I40" s="351"/>
      <c r="M40" s="421"/>
      <c r="N40" s="421"/>
      <c r="O40" s="421"/>
      <c r="P40" s="421"/>
      <c r="Q40" s="421"/>
      <c r="R40" s="421"/>
      <c r="S40" s="421"/>
      <c r="T40" s="421"/>
      <c r="U40" s="421"/>
      <c r="V40" s="421"/>
      <c r="W40" s="421"/>
      <c r="X40" s="421"/>
      <c r="Y40" s="421"/>
      <c r="Z40" s="421"/>
      <c r="AA40" s="421"/>
      <c r="AB40" s="421"/>
      <c r="AC40" s="421"/>
      <c r="AD40" s="421"/>
      <c r="AE40" s="421"/>
      <c r="AF40" s="421"/>
      <c r="AG40" s="421"/>
      <c r="AH40" s="421"/>
      <c r="AI40" s="421"/>
      <c r="AJ40" s="421"/>
      <c r="AK40" s="421"/>
      <c r="AL40" s="421"/>
      <c r="AM40" s="421"/>
      <c r="AN40" s="421"/>
      <c r="AO40" s="421"/>
      <c r="AP40" s="421"/>
      <c r="AQ40" s="421"/>
    </row>
    <row r="41" spans="2:43">
      <c r="B41" s="364" t="s">
        <v>35</v>
      </c>
      <c r="C41" s="361" t="str">
        <f>IF(dms_RPT="financial",VALUE(LEFT(PRCP_y2,4)-1)&amp;"-"&amp;TEXT(VALUE(MID(PRCP_y2,3,2)),"00"),VALUE(LEFT(PRCP_y2,4)-1))</f>
        <v>2009-10</v>
      </c>
      <c r="D41" s="361" t="str">
        <f>IF(dms_RPT="financial",VALUE(LEFT(PRCP_y3,4)-1)&amp;"-"&amp;TEXT(VALUE(MID(PRCP_y3,3,2)),"00"),VALUE(LEFT(PRCP_y3,4)-1))</f>
        <v>2010-11</v>
      </c>
      <c r="E41" s="361" t="str">
        <f>IF(dms_RPT="financial",VALUE(LEFT(PRCP_y4,4)-1)&amp;"-"&amp;TEXT(VALUE(MID(PRCP_y4,3,2)),"00"),VALUE(LEFT(PRCP_y4,4)-1))</f>
        <v>2011-12</v>
      </c>
      <c r="F41" s="361" t="str">
        <f>IF(dms_RPT="financial",VALUE(LEFT(PRCP_y5,4)-1)&amp;"-"&amp;TEXT(VALUE(RIGHT(PRCP_y5,2)-1),"00"),VALUE(LEFT(PRCP_y5,4)-1))</f>
        <v>2012-13</v>
      </c>
      <c r="G41" s="350" t="str">
        <f>IF(dms_RPT="financial",VALUE(LEFT(CRCP_y1,4)-1)&amp;"-"&amp;TEXT(VALUE(RIGHT(CRCP_y1,2)-1),"00"),VALUE(LEFT(CRCP_y1,4)-1))</f>
        <v>2013-14</v>
      </c>
      <c r="H41" s="350"/>
      <c r="I41" s="348"/>
      <c r="M41" s="421"/>
      <c r="N41" s="421"/>
      <c r="O41" s="421"/>
      <c r="P41" s="421"/>
      <c r="Q41" s="421"/>
      <c r="R41" s="421"/>
      <c r="S41" s="421"/>
      <c r="T41" s="421"/>
      <c r="U41" s="421"/>
      <c r="V41" s="421"/>
      <c r="W41" s="421"/>
      <c r="X41" s="421"/>
      <c r="Y41" s="421"/>
      <c r="Z41" s="421"/>
      <c r="AA41" s="421"/>
      <c r="AB41" s="421"/>
      <c r="AC41" s="421"/>
      <c r="AD41" s="421"/>
      <c r="AE41" s="421"/>
      <c r="AF41" s="421"/>
      <c r="AG41" s="421"/>
      <c r="AH41" s="421"/>
      <c r="AI41" s="421"/>
      <c r="AJ41" s="421"/>
      <c r="AK41" s="421"/>
      <c r="AL41" s="421"/>
      <c r="AM41" s="421"/>
      <c r="AN41" s="421"/>
      <c r="AO41" s="421"/>
      <c r="AP41" s="421"/>
      <c r="AQ41" s="421"/>
    </row>
    <row r="42" spans="2:43" ht="15" thickBot="1">
      <c r="B42" s="347"/>
      <c r="C42" s="346"/>
      <c r="D42" s="346"/>
      <c r="E42" s="356"/>
      <c r="F42" s="345"/>
      <c r="G42" s="345"/>
      <c r="H42" s="345"/>
      <c r="I42" s="344"/>
      <c r="M42" s="421"/>
      <c r="N42" s="421"/>
      <c r="O42" s="421"/>
      <c r="P42" s="421"/>
      <c r="Q42" s="421"/>
      <c r="R42" s="421"/>
      <c r="S42" s="421"/>
      <c r="T42" s="421"/>
      <c r="U42" s="421"/>
      <c r="V42" s="421"/>
      <c r="W42" s="421"/>
      <c r="X42" s="421"/>
      <c r="Y42" s="421"/>
      <c r="Z42" s="421"/>
      <c r="AA42" s="421"/>
      <c r="AB42" s="421"/>
      <c r="AC42" s="421"/>
      <c r="AD42" s="421"/>
      <c r="AE42" s="421"/>
      <c r="AF42" s="421"/>
      <c r="AG42" s="421"/>
      <c r="AH42" s="421"/>
      <c r="AI42" s="421"/>
      <c r="AJ42" s="421"/>
      <c r="AK42" s="421"/>
      <c r="AL42" s="421"/>
      <c r="AM42" s="421"/>
      <c r="AN42" s="421"/>
      <c r="AO42" s="421"/>
      <c r="AP42" s="421"/>
      <c r="AQ42" s="421"/>
    </row>
    <row r="43" spans="2:43" ht="15" hidden="1" customHeight="1" thickBot="1">
      <c r="B43" s="343"/>
      <c r="C43" s="342"/>
      <c r="D43" s="342"/>
      <c r="E43" s="342"/>
      <c r="F43" s="341"/>
      <c r="G43" s="341"/>
      <c r="H43" s="341"/>
      <c r="I43" s="340"/>
      <c r="M43" s="421"/>
      <c r="N43" s="421"/>
      <c r="O43" s="421"/>
      <c r="P43" s="421"/>
      <c r="Q43" s="421"/>
      <c r="R43" s="421"/>
      <c r="S43" s="421"/>
      <c r="T43" s="421"/>
      <c r="U43" s="421"/>
      <c r="V43" s="421"/>
      <c r="W43" s="421"/>
      <c r="X43" s="421"/>
      <c r="Y43" s="421"/>
      <c r="Z43" s="421"/>
      <c r="AA43" s="421"/>
      <c r="AB43" s="421"/>
      <c r="AC43" s="421"/>
      <c r="AD43" s="421"/>
      <c r="AE43" s="421"/>
      <c r="AF43" s="421"/>
      <c r="AG43" s="421"/>
      <c r="AH43" s="421"/>
      <c r="AI43" s="421"/>
      <c r="AJ43" s="421"/>
      <c r="AK43" s="421"/>
      <c r="AL43" s="421"/>
      <c r="AM43" s="421"/>
      <c r="AN43" s="421"/>
      <c r="AO43" s="421"/>
      <c r="AP43" s="421"/>
      <c r="AQ43" s="421"/>
    </row>
    <row r="44" spans="2:43" ht="15" hidden="1" customHeight="1" thickBot="1">
      <c r="B44" s="339" t="s">
        <v>36</v>
      </c>
      <c r="C44" s="338" t="s">
        <v>4</v>
      </c>
      <c r="D44" s="337" t="s">
        <v>37</v>
      </c>
      <c r="E44" s="336"/>
      <c r="F44" s="335"/>
      <c r="G44" s="335"/>
      <c r="H44" s="335"/>
      <c r="I44" s="334"/>
      <c r="M44" s="421"/>
      <c r="N44" s="421"/>
      <c r="O44" s="421"/>
      <c r="P44" s="421"/>
      <c r="Q44" s="421"/>
      <c r="R44" s="421"/>
      <c r="S44" s="421"/>
      <c r="T44" s="421"/>
      <c r="U44" s="421"/>
      <c r="V44" s="421"/>
      <c r="W44" s="421"/>
      <c r="X44" s="421"/>
      <c r="Y44" s="421"/>
      <c r="Z44" s="421"/>
      <c r="AA44" s="421"/>
      <c r="AB44" s="421"/>
      <c r="AC44" s="421"/>
      <c r="AD44" s="421"/>
      <c r="AE44" s="421"/>
      <c r="AF44" s="421"/>
      <c r="AG44" s="421"/>
      <c r="AH44" s="421"/>
      <c r="AI44" s="421"/>
      <c r="AJ44" s="421"/>
      <c r="AK44" s="421"/>
      <c r="AL44" s="421"/>
      <c r="AM44" s="421"/>
      <c r="AN44" s="421"/>
      <c r="AO44" s="421"/>
      <c r="AP44" s="421"/>
      <c r="AQ44" s="421"/>
    </row>
    <row r="45" spans="2:43" ht="14.25" hidden="1" customHeight="1" thickBot="1">
      <c r="B45" s="333"/>
      <c r="C45" s="332"/>
      <c r="D45" s="332"/>
      <c r="E45" s="332"/>
      <c r="F45" s="332"/>
      <c r="G45" s="332"/>
      <c r="H45" s="332"/>
      <c r="I45" s="334"/>
      <c r="M45" s="421"/>
      <c r="N45" s="421"/>
      <c r="O45" s="421"/>
      <c r="P45" s="421"/>
      <c r="Q45" s="421"/>
      <c r="R45" s="421"/>
      <c r="S45" s="421"/>
      <c r="T45" s="421"/>
      <c r="U45" s="421"/>
      <c r="V45" s="421"/>
      <c r="W45" s="421"/>
      <c r="X45" s="421"/>
      <c r="Y45" s="421"/>
      <c r="Z45" s="421"/>
      <c r="AA45" s="421"/>
      <c r="AB45" s="421"/>
      <c r="AC45" s="421"/>
      <c r="AD45" s="421"/>
      <c r="AE45" s="421"/>
      <c r="AF45" s="421"/>
      <c r="AG45" s="421"/>
      <c r="AH45" s="421"/>
      <c r="AI45" s="421"/>
      <c r="AJ45" s="421"/>
      <c r="AK45" s="421"/>
      <c r="AL45" s="421"/>
      <c r="AM45" s="421"/>
      <c r="AN45" s="421"/>
      <c r="AO45" s="421"/>
      <c r="AP45" s="421"/>
      <c r="AQ45" s="421"/>
    </row>
    <row r="46" spans="2:43" ht="15" hidden="1" customHeight="1" thickBot="1">
      <c r="B46" s="339" t="s">
        <v>38</v>
      </c>
      <c r="C46" s="338" t="s">
        <v>4</v>
      </c>
      <c r="D46" s="337" t="s">
        <v>39</v>
      </c>
      <c r="E46" s="336"/>
      <c r="F46" s="335"/>
      <c r="G46" s="335"/>
      <c r="H46" s="335"/>
      <c r="I46" s="334"/>
    </row>
    <row r="47" spans="2:43" ht="14.25" hidden="1" customHeight="1">
      <c r="B47" s="333"/>
      <c r="C47" s="332"/>
      <c r="D47" s="332"/>
      <c r="E47" s="332"/>
      <c r="F47" s="332"/>
      <c r="G47" s="332"/>
      <c r="H47" s="332"/>
      <c r="I47" s="334"/>
      <c r="K47" s="330"/>
    </row>
    <row r="48" spans="2:43" ht="15" hidden="1" customHeight="1" thickBot="1">
      <c r="B48" s="329"/>
      <c r="C48" s="328"/>
      <c r="D48" s="328"/>
      <c r="E48" s="328"/>
      <c r="F48" s="327"/>
      <c r="G48" s="327"/>
      <c r="H48" s="327"/>
      <c r="I48" s="3"/>
    </row>
    <row r="49" spans="1:11" ht="15.6" hidden="1">
      <c r="B49" s="419"/>
      <c r="C49" s="326" t="s">
        <v>40</v>
      </c>
      <c r="E49" s="325"/>
      <c r="F49" s="419"/>
      <c r="G49" s="419"/>
      <c r="H49" s="419"/>
      <c r="I49" s="419"/>
    </row>
    <row r="50" spans="1:11" ht="15.6" hidden="1">
      <c r="B50" s="419"/>
      <c r="C50" s="326" t="s">
        <v>41</v>
      </c>
      <c r="E50" s="325"/>
      <c r="F50" s="419"/>
      <c r="G50" s="419"/>
      <c r="H50" s="419"/>
      <c r="I50" s="419"/>
    </row>
    <row r="51" spans="1:11" ht="15" thickBot="1">
      <c r="E51" s="324"/>
    </row>
    <row r="52" spans="1:11" ht="15" thickBot="1">
      <c r="B52" s="323" t="s">
        <v>42</v>
      </c>
      <c r="C52" s="729" t="s">
        <v>43</v>
      </c>
      <c r="D52" s="730"/>
      <c r="E52" s="322" t="s">
        <v>44</v>
      </c>
      <c r="F52" s="321"/>
      <c r="G52" s="321"/>
      <c r="H52" s="321"/>
      <c r="I52" s="320"/>
    </row>
    <row r="53" spans="1:11" ht="15" thickBot="1">
      <c r="B53" s="319" t="s">
        <v>45</v>
      </c>
      <c r="C53" s="318" t="s">
        <v>46</v>
      </c>
      <c r="D53" s="317"/>
      <c r="E53" s="317"/>
      <c r="F53" s="317"/>
      <c r="G53" s="317"/>
      <c r="H53" s="317"/>
      <c r="I53" s="316"/>
    </row>
    <row r="54" spans="1:11" ht="39" customHeight="1" thickBot="1">
      <c r="B54" s="315" t="s">
        <v>47</v>
      </c>
      <c r="C54" s="731"/>
      <c r="D54" s="732"/>
      <c r="E54" s="732"/>
      <c r="F54" s="732"/>
      <c r="G54" s="732"/>
      <c r="H54" s="732"/>
      <c r="I54" s="733"/>
    </row>
    <row r="55" spans="1:11" ht="15" customHeight="1">
      <c r="B55" s="314" t="s">
        <v>48</v>
      </c>
      <c r="C55" s="313" t="s">
        <v>49</v>
      </c>
      <c r="D55" s="312" t="s">
        <v>50</v>
      </c>
      <c r="E55" s="322" t="s">
        <v>51</v>
      </c>
      <c r="F55" s="311"/>
      <c r="G55" s="311"/>
      <c r="H55" s="311"/>
      <c r="I55" s="310"/>
      <c r="K55" s="421"/>
    </row>
    <row r="56" spans="1:11" ht="15" thickBot="1">
      <c r="B56" s="309" t="s">
        <v>52</v>
      </c>
      <c r="C56" s="308" t="s">
        <v>53</v>
      </c>
      <c r="D56" s="307"/>
      <c r="E56" s="307"/>
      <c r="F56" s="307"/>
      <c r="G56" s="307"/>
      <c r="H56" s="307"/>
      <c r="I56" s="306"/>
    </row>
    <row r="57" spans="1:11" s="298" customFormat="1" hidden="1">
      <c r="A57" s="421"/>
      <c r="B57" s="305" t="s">
        <v>54</v>
      </c>
      <c r="C57" s="304" t="str">
        <f>INDEX(dms_Sector_List,MATCH(dms_TradingName,dms_TradingName_List))</f>
        <v>Electricity</v>
      </c>
      <c r="D57" s="303" t="s">
        <v>55</v>
      </c>
      <c r="E57" s="302" t="s">
        <v>56</v>
      </c>
      <c r="F57" s="301"/>
      <c r="G57" s="301"/>
      <c r="H57" s="301"/>
      <c r="I57" s="300"/>
      <c r="J57" s="299"/>
    </row>
    <row r="58" spans="1:11" hidden="1">
      <c r="B58" s="297" t="s">
        <v>57</v>
      </c>
      <c r="C58" s="296" t="str">
        <f>INDEX(dms_Segment_List,MATCH(dms_TradingName,dms_TradingName_List))</f>
        <v>Distribution</v>
      </c>
      <c r="D58" s="295" t="s">
        <v>58</v>
      </c>
      <c r="E58" s="294" t="s">
        <v>59</v>
      </c>
      <c r="F58" s="293"/>
      <c r="G58" s="293"/>
      <c r="H58" s="293"/>
      <c r="I58" s="292"/>
    </row>
    <row r="59" spans="1:11" hidden="1">
      <c r="B59" s="297" t="s">
        <v>60</v>
      </c>
      <c r="C59" s="291" t="str">
        <f ca="1">IF(dms_MultiYear_Flag=1,LEFT(dms_Specified_FinalYear,2)&amp;RIGHT(dms_Specified_FinalYear,2),INDEX(dms_RYE_Formula_Result,MATCH(dms_Model,dms_Model_List)))</f>
        <v>2024</v>
      </c>
      <c r="D59" s="295" t="s">
        <v>61</v>
      </c>
      <c r="E59" s="294" t="s">
        <v>62</v>
      </c>
      <c r="F59" s="293"/>
      <c r="G59" s="293"/>
      <c r="H59" s="293"/>
      <c r="I59" s="292"/>
    </row>
    <row r="60" spans="1:11" hidden="1">
      <c r="B60" s="297" t="s">
        <v>63</v>
      </c>
      <c r="C60" s="296" t="str">
        <f>INDEX(dms_RPT_List,MATCH(dms_TradingName,dms_TradingName_List))</f>
        <v>Financial</v>
      </c>
      <c r="D60" s="295" t="s">
        <v>64</v>
      </c>
      <c r="E60" s="294" t="s">
        <v>65</v>
      </c>
      <c r="F60" s="293"/>
      <c r="G60" s="293"/>
      <c r="H60" s="293"/>
      <c r="I60" s="292"/>
    </row>
    <row r="61" spans="1:11" hidden="1">
      <c r="B61" s="297" t="s">
        <v>66</v>
      </c>
      <c r="C61" s="290" t="s">
        <v>543</v>
      </c>
      <c r="D61" s="289" t="s">
        <v>68</v>
      </c>
      <c r="E61" s="288" t="s">
        <v>69</v>
      </c>
      <c r="F61" s="293"/>
      <c r="G61" s="293"/>
      <c r="H61" s="293"/>
      <c r="I61" s="292"/>
    </row>
    <row r="62" spans="1:11" hidden="1">
      <c r="B62" s="297" t="s">
        <v>70</v>
      </c>
      <c r="C62" s="296" t="s">
        <v>71</v>
      </c>
      <c r="D62" s="289" t="s">
        <v>72</v>
      </c>
      <c r="E62" s="288" t="s">
        <v>73</v>
      </c>
      <c r="F62" s="293"/>
      <c r="G62" s="293"/>
      <c r="H62" s="293"/>
      <c r="I62" s="292"/>
    </row>
    <row r="63" spans="1:11" hidden="1">
      <c r="B63" s="297" t="s">
        <v>74</v>
      </c>
      <c r="C63" s="296">
        <v>5</v>
      </c>
      <c r="D63" s="289" t="s">
        <v>75</v>
      </c>
      <c r="E63" s="288"/>
      <c r="F63" s="293"/>
      <c r="G63" s="287"/>
      <c r="H63" s="287"/>
      <c r="I63" s="286"/>
    </row>
    <row r="64" spans="1:11" hidden="1">
      <c r="B64" s="297" t="s">
        <v>76</v>
      </c>
      <c r="C64" s="296" t="str">
        <f>INDEX(dms_RPTMonth_List,MATCH(dms_TradingName,dms_TradingName_List))</f>
        <v>June</v>
      </c>
      <c r="D64" s="289" t="s">
        <v>77</v>
      </c>
      <c r="E64" s="294" t="s">
        <v>78</v>
      </c>
      <c r="F64" s="293"/>
      <c r="G64" s="293"/>
      <c r="H64" s="293"/>
      <c r="I64" s="292"/>
      <c r="K64" s="421"/>
    </row>
    <row r="65" spans="2:13" ht="14.25" hidden="1" customHeight="1">
      <c r="B65" s="297" t="s">
        <v>79</v>
      </c>
      <c r="C65" s="285" t="str">
        <f>CONCATENATE(dms_RPTMonth)&amp;" "&amp;VALUE((LEFT(dms_CRCP_FinalYear_Result,2)&amp;RIGHT(dms_CRCP_FinalYear_Result,2)))</f>
        <v>June 2019</v>
      </c>
      <c r="D65" s="295" t="s">
        <v>80</v>
      </c>
      <c r="E65" s="294" t="s">
        <v>81</v>
      </c>
      <c r="F65" s="293"/>
      <c r="G65" s="293"/>
      <c r="H65" s="293"/>
      <c r="I65" s="292"/>
      <c r="K65" s="421"/>
    </row>
    <row r="66" spans="2:13" ht="14.25" hidden="1" customHeight="1">
      <c r="B66" s="297" t="s">
        <v>830</v>
      </c>
      <c r="C66" s="651" t="str">
        <f>IF(SUM(dms_SingleYear_Model)&gt;0,CONCATENATE(dms_RPTMonth)&amp;" "&amp;VALUE(((LEFT(CRY,2))&amp;RIGHT(CRY,2))-1),CONCATENATE(dms_RPTMonth)&amp;" "&amp;VALUE(((LEFT(dms_CRCP_FirstYear_Result,2)&amp;RIGHT(dms_CRCP_FirstYear_Result,2))))-1)</f>
        <v>June 2014</v>
      </c>
      <c r="D66" s="295" t="s">
        <v>826</v>
      </c>
      <c r="E66" s="294" t="s">
        <v>827</v>
      </c>
      <c r="F66" s="293"/>
      <c r="G66" s="293"/>
      <c r="H66" s="293"/>
      <c r="I66" s="292"/>
      <c r="K66" s="421"/>
    </row>
    <row r="67" spans="2:13" ht="15" hidden="1" customHeight="1">
      <c r="B67" s="297" t="s">
        <v>82</v>
      </c>
      <c r="C67" s="296" t="str">
        <f>INDEX(dms_FormControl_List,MATCH(dms_TradingName,dms_TradingName_List))</f>
        <v>Revenue cap</v>
      </c>
      <c r="D67" s="295" t="s">
        <v>83</v>
      </c>
      <c r="E67" s="294" t="s">
        <v>84</v>
      </c>
      <c r="F67" s="293"/>
      <c r="G67" s="293"/>
      <c r="H67" s="293"/>
      <c r="I67" s="292"/>
      <c r="K67" s="421"/>
    </row>
    <row r="68" spans="2:13" ht="15" hidden="1" customHeight="1">
      <c r="B68" s="297" t="s">
        <v>85</v>
      </c>
      <c r="C68" s="296">
        <v>1</v>
      </c>
      <c r="D68" s="289" t="s">
        <v>86</v>
      </c>
      <c r="E68" s="288"/>
      <c r="F68" s="293"/>
      <c r="G68" s="293"/>
      <c r="H68" s="293"/>
      <c r="I68" s="292"/>
      <c r="K68" s="421"/>
    </row>
    <row r="69" spans="2:13" ht="15.75" hidden="1" customHeight="1" thickBot="1">
      <c r="B69" s="284" t="s">
        <v>87</v>
      </c>
      <c r="C69" s="283" t="str">
        <f>INDEX(dms_JurisdictionList,MATCH(dms_TradingName,dms_TradingName_List))</f>
        <v>NSW</v>
      </c>
      <c r="D69" s="282" t="s">
        <v>88</v>
      </c>
      <c r="E69" s="281" t="s">
        <v>89</v>
      </c>
      <c r="F69" s="280"/>
      <c r="G69" s="280"/>
      <c r="H69" s="280"/>
      <c r="I69" s="279"/>
    </row>
    <row r="70" spans="2:13" ht="15" hidden="1" customHeight="1">
      <c r="B70" s="278" t="s">
        <v>90</v>
      </c>
      <c r="C70" s="277">
        <v>0</v>
      </c>
      <c r="D70" s="303" t="s">
        <v>91</v>
      </c>
      <c r="E70" s="302" t="s">
        <v>92</v>
      </c>
      <c r="F70" s="301"/>
      <c r="G70" s="301"/>
      <c r="H70" s="301"/>
      <c r="I70" s="300"/>
    </row>
    <row r="71" spans="2:13" ht="15" hidden="1" customHeight="1">
      <c r="B71" s="276"/>
      <c r="C71" s="5">
        <v>2013</v>
      </c>
      <c r="D71" s="6" t="s">
        <v>93</v>
      </c>
      <c r="E71" s="275" t="s">
        <v>94</v>
      </c>
      <c r="F71" s="274"/>
      <c r="G71" s="274"/>
      <c r="H71" s="274"/>
      <c r="I71" s="273"/>
    </row>
    <row r="72" spans="2:13" ht="15" hidden="1" customHeight="1">
      <c r="B72" s="272" t="s">
        <v>95</v>
      </c>
      <c r="C72" s="271">
        <f>IF(dms_Model="EB",1,0)</f>
        <v>0</v>
      </c>
      <c r="D72" s="270" t="s">
        <v>96</v>
      </c>
      <c r="E72" s="269"/>
      <c r="F72" s="268"/>
      <c r="G72" s="268"/>
      <c r="H72" s="268"/>
      <c r="I72" s="267"/>
    </row>
    <row r="73" spans="2:13" ht="15" hidden="1" customHeight="1">
      <c r="B73" s="272"/>
      <c r="C73" s="271">
        <f>IF(dms_Model="CA",1,0)</f>
        <v>0</v>
      </c>
      <c r="D73" s="295" t="s">
        <v>97</v>
      </c>
      <c r="E73" s="294" t="s">
        <v>98</v>
      </c>
      <c r="F73" s="293"/>
      <c r="G73" s="293"/>
      <c r="H73" s="293"/>
      <c r="I73" s="292"/>
    </row>
    <row r="74" spans="2:13" hidden="1">
      <c r="B74" s="266"/>
      <c r="C74" s="271">
        <f>IF(dms_Model="ARR",1,0)</f>
        <v>0</v>
      </c>
      <c r="D74" s="295" t="s">
        <v>99</v>
      </c>
      <c r="E74" s="294"/>
      <c r="F74" s="293"/>
      <c r="G74" s="293"/>
      <c r="H74" s="293"/>
      <c r="I74" s="292"/>
    </row>
    <row r="75" spans="2:13" ht="15" hidden="1" customHeight="1">
      <c r="B75" s="265" t="s">
        <v>100</v>
      </c>
      <c r="C75" s="264" t="s">
        <v>37</v>
      </c>
      <c r="D75" s="295" t="s">
        <v>101</v>
      </c>
      <c r="E75" s="294" t="s">
        <v>102</v>
      </c>
      <c r="F75" s="317"/>
      <c r="G75" s="317"/>
      <c r="H75" s="317"/>
      <c r="I75" s="316"/>
    </row>
    <row r="76" spans="2:13" ht="15" hidden="1" customHeight="1">
      <c r="B76" s="263" t="s">
        <v>103</v>
      </c>
      <c r="C76" s="262" t="str">
        <f ca="1">INDIRECT(dms_SingleYear_FinalYear_Ref)</f>
        <v>2014-15</v>
      </c>
      <c r="D76" s="295" t="s">
        <v>104</v>
      </c>
      <c r="E76" s="294" t="s">
        <v>105</v>
      </c>
      <c r="F76" s="317"/>
      <c r="G76" s="317"/>
      <c r="H76" s="317"/>
      <c r="I76" s="261" t="s">
        <v>106</v>
      </c>
      <c r="K76" s="421"/>
      <c r="L76" s="421"/>
      <c r="M76" s="421"/>
    </row>
    <row r="77" spans="2:13" ht="15" hidden="1" customHeight="1">
      <c r="B77" s="260" t="s">
        <v>107</v>
      </c>
      <c r="C77" s="296">
        <f>INDEX(dms_FRCPlength_List,MATCH(dms_TradingName,dms_TradingName_List))</f>
        <v>5</v>
      </c>
      <c r="D77" s="295" t="s">
        <v>108</v>
      </c>
      <c r="E77" s="294" t="s">
        <v>109</v>
      </c>
      <c r="F77" s="293"/>
      <c r="G77" s="293"/>
      <c r="H77" s="293"/>
      <c r="I77" s="292"/>
      <c r="K77" s="421"/>
      <c r="L77" s="421"/>
      <c r="M77" s="421"/>
    </row>
    <row r="78" spans="2:13" ht="15" hidden="1" customHeight="1">
      <c r="B78" s="265" t="s">
        <v>110</v>
      </c>
      <c r="C78" s="285" t="str">
        <f>INDEX(dms_FinalYear_List,MATCH(dms_FRCPlength_Num,dms_FRCPlength_Num_List))</f>
        <v>dms_FRCP_y5</v>
      </c>
      <c r="D78" s="295" t="s">
        <v>111</v>
      </c>
      <c r="E78" s="294" t="s">
        <v>112</v>
      </c>
      <c r="F78" s="317"/>
      <c r="G78" s="317"/>
      <c r="H78" s="317"/>
      <c r="I78" s="316"/>
      <c r="K78" s="421"/>
      <c r="L78" s="421"/>
      <c r="M78" s="421"/>
    </row>
    <row r="79" spans="2:13" ht="15" hidden="1" customHeight="1">
      <c r="B79" s="263" t="s">
        <v>113</v>
      </c>
      <c r="C79" s="262" t="str">
        <f ca="1">IF(dms_MultiYear_Flag=0,INDIRECT(dms_MultiYear_FinalYear_Ref),dms_Specified_FinalYear)</f>
        <v>2023-24</v>
      </c>
      <c r="D79" s="295" t="s">
        <v>114</v>
      </c>
      <c r="E79" s="294" t="s">
        <v>115</v>
      </c>
      <c r="F79" s="317"/>
      <c r="G79" s="317"/>
      <c r="H79" s="317"/>
      <c r="I79" s="261" t="s">
        <v>106</v>
      </c>
      <c r="K79" s="421"/>
      <c r="L79" s="421"/>
      <c r="M79" s="421"/>
    </row>
    <row r="80" spans="2:13" hidden="1">
      <c r="B80" s="260" t="s">
        <v>116</v>
      </c>
      <c r="C80" s="296">
        <f>INDEX(dms_CRCPlength_List,MATCH(dms_TradingName,dms_TradingName_List))</f>
        <v>5</v>
      </c>
      <c r="D80" s="259" t="s">
        <v>117</v>
      </c>
      <c r="E80" s="258" t="s">
        <v>118</v>
      </c>
      <c r="F80" s="293"/>
      <c r="G80" s="293"/>
      <c r="H80" s="293"/>
      <c r="I80" s="292"/>
      <c r="K80" s="421"/>
      <c r="L80" s="421"/>
      <c r="M80" s="421"/>
    </row>
    <row r="81" spans="1:19" s="255" customFormat="1" hidden="1">
      <c r="A81" s="421"/>
      <c r="B81" s="260" t="s">
        <v>119</v>
      </c>
      <c r="C81" s="296" t="str">
        <f>INDEX(dms_CFinalYear_List,MATCH(dms_CRCPlength_Num,dms_CRCPlength_Num_List))</f>
        <v>CRCP_y5</v>
      </c>
      <c r="D81" s="259" t="s">
        <v>120</v>
      </c>
      <c r="E81" s="258" t="s">
        <v>121</v>
      </c>
      <c r="F81" s="293"/>
      <c r="G81" s="293"/>
      <c r="H81" s="293"/>
      <c r="I81" s="292"/>
      <c r="J81" s="257"/>
      <c r="K81" s="257"/>
      <c r="L81" s="257"/>
      <c r="M81" s="257"/>
      <c r="N81" s="257"/>
      <c r="O81" s="256"/>
      <c r="P81" s="257"/>
      <c r="Q81" s="257"/>
      <c r="R81" s="257"/>
      <c r="S81" s="257"/>
    </row>
    <row r="82" spans="1:19" s="255" customFormat="1" hidden="1">
      <c r="A82" s="421"/>
      <c r="B82" s="254" t="s">
        <v>122</v>
      </c>
      <c r="C82" s="296" t="str">
        <f>INDEX(dms_CRCP_years,MATCH(dms_CRCPlength_Num,dms_CRCP_index))</f>
        <v>2014-15</v>
      </c>
      <c r="D82" s="253" t="s">
        <v>123</v>
      </c>
      <c r="E82" s="258" t="s">
        <v>124</v>
      </c>
      <c r="F82" s="252"/>
      <c r="G82" s="252"/>
      <c r="H82" s="252"/>
      <c r="I82" s="310"/>
      <c r="J82" s="257"/>
      <c r="K82" s="257"/>
      <c r="L82" s="257"/>
      <c r="M82" s="257"/>
      <c r="N82" s="257"/>
      <c r="O82" s="256"/>
      <c r="P82" s="257"/>
      <c r="Q82" s="257"/>
      <c r="R82" s="257"/>
      <c r="S82" s="257"/>
    </row>
    <row r="83" spans="1:19" s="419" customFormat="1" ht="15" hidden="1" thickBot="1">
      <c r="A83" s="421"/>
      <c r="B83" s="251" t="s">
        <v>125</v>
      </c>
      <c r="C83" s="250" t="str">
        <f>IF(dms_MultiYear_Flag=0,(IF(SUM(dms_SingleYear_Model)&gt;0,CRY,dms_CRCP_yZ)),dms_Specified_FinalYear)</f>
        <v>2018-19</v>
      </c>
      <c r="D83" s="249" t="s">
        <v>126</v>
      </c>
      <c r="E83" s="248" t="s">
        <v>127</v>
      </c>
      <c r="F83" s="280"/>
      <c r="G83" s="280"/>
      <c r="H83" s="280"/>
      <c r="I83" s="247"/>
      <c r="O83" s="331"/>
    </row>
    <row r="84" spans="1:19" hidden="1">
      <c r="B84" s="246" t="s">
        <v>128</v>
      </c>
      <c r="C84" s="245">
        <f>INDEX(dms_663_List,MATCH(dms_TradingName,dms_TradingName_List))</f>
        <v>5</v>
      </c>
      <c r="D84" s="270" t="s">
        <v>129</v>
      </c>
      <c r="E84" s="244"/>
      <c r="F84" s="243"/>
      <c r="G84" s="243"/>
      <c r="H84" s="243"/>
      <c r="I84" s="242"/>
    </row>
    <row r="85" spans="1:19" s="419" customFormat="1" ht="14.25" hidden="1" customHeight="1" thickBot="1">
      <c r="A85" s="421"/>
      <c r="B85" s="241" t="s">
        <v>130</v>
      </c>
      <c r="C85" s="240" t="str">
        <f>INDEX(dms_DeterminationRef_List,MATCH(dms_TradingName,dms_TradingName_List))</f>
        <v>2014-19 Distribution Determination</v>
      </c>
      <c r="D85" s="249" t="s">
        <v>131</v>
      </c>
      <c r="E85" s="239"/>
      <c r="F85" s="238"/>
      <c r="G85" s="238"/>
      <c r="H85" s="238"/>
      <c r="I85" s="237"/>
      <c r="O85" s="331"/>
    </row>
    <row r="86" spans="1:19" hidden="1">
      <c r="B86" s="305" t="s">
        <v>132</v>
      </c>
      <c r="C86" s="236" t="s">
        <v>133</v>
      </c>
      <c r="D86" s="235" t="s">
        <v>134</v>
      </c>
      <c r="E86" s="723" t="s">
        <v>135</v>
      </c>
      <c r="F86" s="724"/>
      <c r="G86" s="724"/>
      <c r="H86" s="724"/>
      <c r="I86" s="725"/>
    </row>
    <row r="87" spans="1:19" hidden="1">
      <c r="B87" s="297" t="s">
        <v>136</v>
      </c>
      <c r="C87" s="234" t="s">
        <v>133</v>
      </c>
      <c r="D87" s="295" t="s">
        <v>137</v>
      </c>
      <c r="E87" s="233" t="s">
        <v>138</v>
      </c>
      <c r="F87" s="232"/>
      <c r="G87" s="232"/>
      <c r="H87" s="232"/>
      <c r="I87" s="231"/>
    </row>
    <row r="88" spans="1:19" hidden="1">
      <c r="B88" s="297"/>
      <c r="C88" s="234"/>
      <c r="D88" s="295"/>
      <c r="E88" s="233"/>
      <c r="F88" s="232"/>
      <c r="G88" s="232"/>
      <c r="H88" s="232"/>
      <c r="I88" s="231"/>
    </row>
    <row r="89" spans="1:19" ht="15" hidden="1" thickBot="1">
      <c r="B89" s="241" t="s">
        <v>139</v>
      </c>
      <c r="C89" s="230" t="s">
        <v>140</v>
      </c>
      <c r="D89" s="229" t="s">
        <v>141</v>
      </c>
      <c r="E89" s="228" t="s">
        <v>142</v>
      </c>
      <c r="F89" s="227"/>
      <c r="G89" s="227"/>
      <c r="H89" s="227"/>
      <c r="I89" s="226"/>
    </row>
    <row r="90" spans="1:19" ht="15" hidden="1" customHeight="1">
      <c r="B90" s="225" t="s">
        <v>143</v>
      </c>
      <c r="C90" s="304">
        <f>INDEX(dms_CBD_flag,MATCH(dms_TradingName,dms_TradingName_List))</f>
        <v>0</v>
      </c>
      <c r="D90" s="303" t="s">
        <v>144</v>
      </c>
      <c r="E90" s="224"/>
      <c r="F90" s="223"/>
      <c r="G90" s="223"/>
      <c r="H90" s="223"/>
      <c r="I90" s="222"/>
      <c r="K90" s="421"/>
      <c r="L90" s="421"/>
      <c r="M90" s="421"/>
    </row>
    <row r="91" spans="1:19" ht="15" hidden="1" customHeight="1">
      <c r="B91" s="260" t="s">
        <v>145</v>
      </c>
      <c r="C91" s="296">
        <f>INDEX(dms_Urban_flag,MATCH(dms_TradingName,dms_TradingName_List))</f>
        <v>0</v>
      </c>
      <c r="D91" s="295" t="s">
        <v>146</v>
      </c>
      <c r="E91" s="221"/>
      <c r="F91" s="220"/>
      <c r="G91" s="220"/>
      <c r="H91" s="220"/>
      <c r="I91" s="219"/>
      <c r="K91" s="421"/>
      <c r="L91" s="421"/>
      <c r="M91" s="421"/>
    </row>
    <row r="92" spans="1:19" ht="15" hidden="1" customHeight="1">
      <c r="B92" s="260" t="s">
        <v>147</v>
      </c>
      <c r="C92" s="296" t="str">
        <f>INDEX(dms_ShortRural_flag,MATCH(dms_TradingName,dms_TradingName_List))</f>
        <v>YES</v>
      </c>
      <c r="D92" s="295" t="s">
        <v>148</v>
      </c>
      <c r="E92" s="221"/>
      <c r="F92" s="220"/>
      <c r="G92" s="220"/>
      <c r="H92" s="220"/>
      <c r="I92" s="219"/>
      <c r="K92" s="421"/>
      <c r="L92" s="421"/>
      <c r="M92" s="421"/>
    </row>
    <row r="93" spans="1:19" ht="15" hidden="1" customHeight="1" thickBot="1">
      <c r="B93" s="218" t="s">
        <v>149</v>
      </c>
      <c r="C93" s="283" t="str">
        <f>INDEX(dms_LongRural_flag,MATCH(dms_TradingName,dms_TradingName_List))</f>
        <v>YES</v>
      </c>
      <c r="D93" s="282" t="s">
        <v>150</v>
      </c>
      <c r="E93" s="217"/>
      <c r="F93" s="216"/>
      <c r="G93" s="216"/>
      <c r="H93" s="216"/>
      <c r="I93" s="215"/>
      <c r="K93" s="421"/>
      <c r="L93" s="421"/>
      <c r="M93" s="421"/>
    </row>
    <row r="94" spans="1:19" hidden="1"/>
    <row r="95" spans="1:19" hidden="1"/>
    <row r="96" spans="1:19" ht="21" hidden="1">
      <c r="B96" s="214" t="s">
        <v>151</v>
      </c>
      <c r="C96" s="213" t="s">
        <v>152</v>
      </c>
      <c r="D96" s="212" t="s">
        <v>153</v>
      </c>
      <c r="E96" s="211"/>
      <c r="F96" s="211"/>
      <c r="G96" s="211"/>
      <c r="H96" s="211"/>
      <c r="I96" s="211"/>
    </row>
    <row r="98" spans="3:8">
      <c r="E98" s="421"/>
      <c r="F98" s="421"/>
      <c r="G98" s="421"/>
      <c r="H98" s="421"/>
    </row>
    <row r="99" spans="3:8">
      <c r="C99" s="421"/>
      <c r="D99" s="421"/>
      <c r="E99" s="421"/>
      <c r="F99" s="421"/>
      <c r="G99" s="421"/>
      <c r="H99" s="421"/>
    </row>
    <row r="100" spans="3:8">
      <c r="F100" s="421"/>
      <c r="G100" s="421"/>
      <c r="H100" s="421"/>
    </row>
  </sheetData>
  <sheetProtection algorithmName="SHA-256" hashValue="NsdsdM9xL9Kh5bRsl6eNvCXOcXdH1Lwl++Qo9WWZA3M=" saltValue="vExZHxdWpqJ18alQKEUy3g==" spinCount="100000" sheet="1" objects="1" scenarios="1"/>
  <dataConsolidate/>
  <mergeCells count="18">
    <mergeCell ref="E86:I86"/>
    <mergeCell ref="E19:H19"/>
    <mergeCell ref="C20:D20"/>
    <mergeCell ref="E20:H20"/>
    <mergeCell ref="C23:D23"/>
    <mergeCell ref="E23:H23"/>
    <mergeCell ref="E24:H24"/>
    <mergeCell ref="C25:D25"/>
    <mergeCell ref="E25:H25"/>
    <mergeCell ref="B33:I33"/>
    <mergeCell ref="C52:D52"/>
    <mergeCell ref="C54:I54"/>
    <mergeCell ref="B8:I8"/>
    <mergeCell ref="B12:I12"/>
    <mergeCell ref="C14:E14"/>
    <mergeCell ref="C15:E15"/>
    <mergeCell ref="C18:D18"/>
    <mergeCell ref="E18:H18"/>
  </mergeCells>
  <conditionalFormatting sqref="H35">
    <cfRule type="expression" dxfId="3" priority="4">
      <formula>dms_FRCPlength_Num&lt;6</formula>
    </cfRule>
  </conditionalFormatting>
  <conditionalFormatting sqref="H38">
    <cfRule type="expression" dxfId="2" priority="3">
      <formula>dms_CRCPlength_Num&lt;6</formula>
    </cfRule>
  </conditionalFormatting>
  <conditionalFormatting sqref="C87">
    <cfRule type="expression" dxfId="1" priority="2">
      <formula>SUM(dms_SingleYear_Model)&gt;0</formula>
    </cfRule>
  </conditionalFormatting>
  <conditionalFormatting sqref="C71">
    <cfRule type="expression" dxfId="0" priority="1">
      <formula>dms_MultiYear_Flag=1</formula>
    </cfRule>
  </conditionalFormatting>
  <dataValidations count="15">
    <dataValidation type="list" allowBlank="1" showInputMessage="1" showErrorMessage="1" sqref="C35" xr:uid="{00000000-0002-0000-0100-000000000000}">
      <formula1>IF(dms_RPT="financial",dms_FRCP_ListF,dms_FRCP_ListC)</formula1>
    </dataValidation>
    <dataValidation type="list" allowBlank="1" showInputMessage="1" showErrorMessage="1" sqref="C61" xr:uid="{00000000-0002-0000-0100-000001000000}">
      <formula1>dms_Model_List</formula1>
    </dataValidation>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54:I54" xr:uid="{00000000-0002-0000-0100-000002000000}">
      <formula1>150</formula1>
    </dataValidation>
    <dataValidation type="list" allowBlank="1" showInputMessage="1" showErrorMessage="1" sqref="C53" xr:uid="{00000000-0002-0000-0100-000003000000}">
      <formula1>dms_DataQuality_List</formula1>
    </dataValidation>
    <dataValidation type="list" allowBlank="1" showInputMessage="1" showErrorMessage="1" sqref="C60" xr:uid="{00000000-0002-0000-0100-000004000000}">
      <formula1>"Financial, Calendar, Other"</formula1>
    </dataValidation>
    <dataValidation type="textLength" operator="greaterThan" showInputMessage="1" showErrorMessage="1" sqref="E18:H18 E20:H20 E23:H23 E25:H25" xr:uid="{00000000-0002-0000-0100-000005000000}">
      <formula1>1</formula1>
    </dataValidation>
    <dataValidation type="list" operator="lessThanOrEqual" showInputMessage="1" showErrorMessage="1" sqref="E26" xr:uid="{00000000-0002-0000-0100-000006000000}">
      <formula1>"ACT,Qld,NSW,Vic,Tas,SA"</formula1>
    </dataValidation>
    <dataValidation type="list" allowBlank="1" showInputMessage="1" showErrorMessage="1" sqref="C62" xr:uid="{00000000-0002-0000-0100-000007000000}">
      <formula1>"Public, Confidential"</formula1>
    </dataValidation>
    <dataValidation type="list" allowBlank="1" showInputMessage="1" showErrorMessage="1" sqref="C56" xr:uid="{00000000-0002-0000-0100-000008000000}">
      <formula1>"Yes, No"</formula1>
    </dataValidation>
    <dataValidation type="list" operator="lessThanOrEqual" showInputMessage="1" showErrorMessage="1" sqref="H14" xr:uid="{00000000-0002-0000-0100-000009000000}">
      <formula1>dms_TradingName_List</formula1>
    </dataValidation>
    <dataValidation type="list" allowBlank="1" showInputMessage="1" showErrorMessage="1" prompt="Please use drop down to select correct state." sqref="E21" xr:uid="{00000000-0002-0000-0100-00000A000000}">
      <formula1>"ACT, NSW,NT,SA,Qld,Vic,-,Tas,WA"</formula1>
    </dataValidation>
    <dataValidation type="list" allowBlank="1" showInputMessage="1" showErrorMessage="1" sqref="C52:D52" xr:uid="{00000000-0002-0000-0100-00000B000000}">
      <formula1>dms_SourceList</formula1>
    </dataValidation>
    <dataValidation type="list" operator="lessThanOrEqual" showInputMessage="1" showErrorMessage="1" prompt="Please use drop down to select correct business name. ABN will auto populate." sqref="C14:E14" xr:uid="{00000000-0002-0000-0100-00000C000000}">
      <formula1>dms_TradingName_List</formula1>
    </dataValidation>
    <dataValidation type="whole" allowBlank="1" showInputMessage="1" showErrorMessage="1" sqref="G21 G26" xr:uid="{00000000-0002-0000-0100-00000D000000}">
      <formula1>1</formula1>
      <formula2>9999</formula2>
    </dataValidation>
    <dataValidation type="list" allowBlank="1" showInputMessage="1" showErrorMessage="1" sqref="C44 C46" xr:uid="{00000000-0002-0000-0100-00000E000000}">
      <formula1>IF(dms_RPT="financial",dms_CRY_ListF,dms_CRY_ListC)</formula1>
    </dataValidation>
  </dataValidations>
  <pageMargins left="0.25" right="0.25" top="0.75" bottom="0.75" header="0.3" footer="0.3"/>
  <pageSetup paperSize="9"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6" tint="-0.249977111117893"/>
  </sheetPr>
  <dimension ref="A1:N36"/>
  <sheetViews>
    <sheetView showGridLines="0" tabSelected="1" topLeftCell="B10" zoomScaleNormal="100" workbookViewId="0">
      <selection activeCell="G30" sqref="G30"/>
    </sheetView>
  </sheetViews>
  <sheetFormatPr defaultColWidth="9.109375" defaultRowHeight="14.4" outlineLevelRow="1"/>
  <cols>
    <col min="1" max="1" width="22.88671875" style="655" customWidth="1"/>
    <col min="2" max="2" width="70" style="655" customWidth="1"/>
    <col min="3" max="7" width="15.6640625" style="655" customWidth="1"/>
    <col min="8" max="13" width="11.88671875" style="655" customWidth="1"/>
    <col min="14" max="16384" width="9.109375" style="655"/>
  </cols>
  <sheetData>
    <row r="1" spans="1:14" ht="30" customHeight="1">
      <c r="A1" s="652"/>
      <c r="B1" s="653" t="s">
        <v>3</v>
      </c>
      <c r="C1" s="654"/>
      <c r="D1" s="654"/>
      <c r="E1" s="654"/>
      <c r="F1" s="654"/>
      <c r="G1" s="654"/>
      <c r="H1" s="652"/>
      <c r="I1" s="652"/>
      <c r="J1" s="652"/>
      <c r="K1" s="652"/>
      <c r="L1" s="652"/>
      <c r="M1" s="652"/>
      <c r="N1" s="652"/>
    </row>
    <row r="2" spans="1:14" ht="30" customHeight="1">
      <c r="A2" s="652"/>
      <c r="B2" s="656" t="str">
        <f>INDEX(dms_TradingNameFull_List,MATCH(dms_TradingName,dms_TradingName_List))</f>
        <v>Essential Energy</v>
      </c>
      <c r="C2" s="654"/>
      <c r="D2" s="654"/>
      <c r="E2" s="654"/>
      <c r="F2" s="654"/>
      <c r="G2" s="654"/>
      <c r="H2" s="652"/>
      <c r="I2" s="652"/>
      <c r="J2" s="652"/>
      <c r="K2" s="652"/>
      <c r="L2" s="652"/>
      <c r="M2" s="652"/>
      <c r="N2" s="652"/>
    </row>
    <row r="3" spans="1:14" ht="30" customHeight="1">
      <c r="A3" s="652"/>
      <c r="B3" s="656" t="str">
        <f ca="1">IF(SUM(dms_SingleYear_Model)&gt;0,CONCATENATE(CRY," to ",FRY),CONCATENATE(FRCP_y1," to ",dms_MultiYear_FinalYear_Result))</f>
        <v>2019-20 to 2023-24</v>
      </c>
      <c r="C3" s="654"/>
      <c r="D3" s="654"/>
      <c r="E3" s="654"/>
      <c r="F3" s="654"/>
      <c r="G3" s="654"/>
      <c r="H3" s="652"/>
      <c r="I3" s="652"/>
      <c r="J3" s="652"/>
      <c r="K3" s="652"/>
      <c r="L3" s="652"/>
      <c r="M3" s="652"/>
      <c r="N3" s="652"/>
    </row>
    <row r="4" spans="1:14" ht="30" customHeight="1">
      <c r="A4" s="652"/>
      <c r="B4" s="657" t="s">
        <v>834</v>
      </c>
      <c r="C4" s="657"/>
      <c r="D4" s="657"/>
      <c r="E4" s="657"/>
      <c r="F4" s="657"/>
      <c r="G4" s="657"/>
      <c r="H4" s="652"/>
      <c r="I4" s="652"/>
      <c r="J4" s="652"/>
      <c r="K4" s="652"/>
      <c r="L4" s="652"/>
      <c r="M4" s="652"/>
      <c r="N4" s="652"/>
    </row>
    <row r="5" spans="1:14">
      <c r="A5" s="652"/>
    </row>
    <row r="6" spans="1:14">
      <c r="A6" s="652"/>
    </row>
    <row r="7" spans="1:14">
      <c r="B7" s="658" t="s">
        <v>8</v>
      </c>
      <c r="C7" s="658"/>
      <c r="D7" s="658"/>
      <c r="E7" s="658"/>
      <c r="F7" s="658"/>
      <c r="G7" s="658"/>
      <c r="H7" s="658"/>
      <c r="I7" s="658"/>
      <c r="J7" s="658"/>
      <c r="K7" s="659"/>
      <c r="L7" s="659"/>
      <c r="M7" s="659"/>
    </row>
    <row r="8" spans="1:14" ht="34.5" customHeight="1">
      <c r="B8" s="740" t="str">
        <f>CONCATENATE(dms_TradingName," is required to populate all input cells in tables 1 and 2 presented below.")</f>
        <v>Essential Energy is required to populate all input cells in tables 1 and 2 presented below.</v>
      </c>
      <c r="C8" s="741"/>
      <c r="D8" s="652"/>
      <c r="E8" s="652"/>
      <c r="F8" s="652"/>
      <c r="G8" s="652"/>
      <c r="H8" s="652"/>
      <c r="I8" s="652"/>
      <c r="J8" s="652"/>
      <c r="K8" s="652"/>
      <c r="L8" s="652"/>
      <c r="M8" s="660"/>
    </row>
    <row r="9" spans="1:14" ht="34.5" customHeight="1">
      <c r="B9" s="748" t="str">
        <f>CONCATENATE("For 'Approved Excludable Costs' - please overwrite example descriptions in yellow cells in both tables 1 and 2 with descriptions applicable to ",dms_TradingName)</f>
        <v>For 'Approved Excludable Costs' - please overwrite example descriptions in yellow cells in both tables 1 and 2 with descriptions applicable to Essential Energy</v>
      </c>
      <c r="C9" s="749"/>
      <c r="D9" s="652"/>
      <c r="E9" s="652"/>
      <c r="F9" s="652"/>
      <c r="G9" s="652"/>
      <c r="H9" s="652"/>
      <c r="I9" s="652"/>
      <c r="J9" s="652"/>
      <c r="K9" s="652"/>
      <c r="L9" s="652"/>
      <c r="M9" s="660"/>
    </row>
    <row r="12" spans="1:14" ht="16.2" thickBot="1">
      <c r="B12" s="661" t="s">
        <v>835</v>
      </c>
      <c r="C12" s="661"/>
      <c r="D12" s="661"/>
      <c r="E12" s="661"/>
      <c r="F12" s="661"/>
      <c r="G12" s="661"/>
      <c r="H12" s="652"/>
      <c r="I12" s="652"/>
      <c r="J12" s="652"/>
      <c r="K12" s="652"/>
      <c r="L12" s="652"/>
      <c r="M12" s="652"/>
      <c r="N12" s="652"/>
    </row>
    <row r="13" spans="1:14" ht="21.75" customHeight="1" outlineLevel="1">
      <c r="C13" s="737" t="s">
        <v>822</v>
      </c>
      <c r="D13" s="738"/>
      <c r="E13" s="738"/>
      <c r="F13" s="738"/>
      <c r="G13" s="739"/>
      <c r="H13" s="652"/>
      <c r="I13" s="652"/>
      <c r="J13" s="652"/>
      <c r="K13" s="652"/>
      <c r="L13" s="652"/>
      <c r="M13" s="652"/>
      <c r="N13" s="652"/>
    </row>
    <row r="14" spans="1:14" ht="28.5" customHeight="1" outlineLevel="1">
      <c r="C14" s="742" t="str">
        <f>CONCATENATE("$0's, real ", dms_DollarReal_Prev)</f>
        <v>$0's, real June 2014</v>
      </c>
      <c r="D14" s="743"/>
      <c r="E14" s="743"/>
      <c r="F14" s="743"/>
      <c r="G14" s="744"/>
      <c r="H14" s="652"/>
      <c r="I14" s="652"/>
      <c r="J14" s="652"/>
      <c r="K14" s="652"/>
      <c r="L14" s="652"/>
      <c r="M14" s="652"/>
      <c r="N14" s="652"/>
    </row>
    <row r="15" spans="1:14" ht="15" outlineLevel="1" thickBot="1">
      <c r="B15" s="662"/>
      <c r="C15" s="663" t="str">
        <f>CRCP_y1</f>
        <v>2014-15</v>
      </c>
      <c r="D15" s="664" t="str">
        <f>CRCP_y2</f>
        <v>2015-16</v>
      </c>
      <c r="E15" s="664" t="str">
        <f>CRCP_y3</f>
        <v>2016-17</v>
      </c>
      <c r="F15" s="664" t="str">
        <f>CRCP_y4</f>
        <v>2017-18</v>
      </c>
      <c r="G15" s="665" t="str">
        <f>CRCP_y5</f>
        <v>2018-19</v>
      </c>
      <c r="H15" s="652"/>
      <c r="I15" s="652"/>
      <c r="J15" s="652"/>
      <c r="K15" s="652"/>
      <c r="L15" s="652"/>
      <c r="M15" s="652"/>
      <c r="N15" s="652"/>
    </row>
    <row r="16" spans="1:14" ht="18" customHeight="1" outlineLevel="1">
      <c r="B16" s="666" t="s">
        <v>823</v>
      </c>
      <c r="C16" s="667" t="s">
        <v>270</v>
      </c>
      <c r="D16" s="668">
        <v>492861926.95933849</v>
      </c>
      <c r="E16" s="668">
        <v>481169601.83020699</v>
      </c>
      <c r="F16" s="668">
        <v>455594849.01130849</v>
      </c>
      <c r="G16" s="669">
        <v>432637659.4909234</v>
      </c>
      <c r="H16" s="652"/>
      <c r="I16" s="652"/>
      <c r="J16" s="652"/>
      <c r="K16" s="652"/>
      <c r="L16" s="652"/>
      <c r="M16" s="652"/>
      <c r="N16" s="652"/>
    </row>
    <row r="17" spans="2:14" ht="18" customHeight="1" outlineLevel="1">
      <c r="B17" s="670" t="s">
        <v>824</v>
      </c>
      <c r="C17" s="671"/>
      <c r="D17" s="671"/>
      <c r="E17" s="671"/>
      <c r="F17" s="671"/>
      <c r="G17" s="672"/>
      <c r="H17" s="652"/>
      <c r="I17" s="652"/>
      <c r="J17" s="652"/>
      <c r="K17" s="652"/>
      <c r="L17" s="652"/>
      <c r="M17" s="652"/>
      <c r="N17" s="652"/>
    </row>
    <row r="18" spans="2:14" outlineLevel="1">
      <c r="B18" s="673" t="s">
        <v>831</v>
      </c>
      <c r="C18" s="667"/>
      <c r="D18" s="667"/>
      <c r="E18" s="667"/>
      <c r="F18" s="667"/>
      <c r="G18" s="674"/>
      <c r="H18" s="652"/>
      <c r="I18" s="652"/>
      <c r="J18" s="652"/>
      <c r="K18" s="652"/>
      <c r="L18" s="652"/>
      <c r="M18" s="652"/>
      <c r="N18" s="652"/>
    </row>
    <row r="19" spans="2:14" outlineLevel="1">
      <c r="B19" s="673" t="s">
        <v>832</v>
      </c>
      <c r="C19" s="667"/>
      <c r="D19" s="667"/>
      <c r="E19" s="667"/>
      <c r="F19" s="667"/>
      <c r="G19" s="674"/>
      <c r="H19" s="652"/>
      <c r="I19" s="652"/>
      <c r="J19" s="652"/>
      <c r="K19" s="652"/>
      <c r="L19" s="652"/>
      <c r="M19" s="652"/>
      <c r="N19" s="652"/>
    </row>
    <row r="20" spans="2:14" outlineLevel="1">
      <c r="B20" s="673"/>
      <c r="C20" s="667"/>
      <c r="D20" s="667"/>
      <c r="E20" s="667"/>
      <c r="F20" s="667"/>
      <c r="G20" s="674"/>
      <c r="H20" s="652"/>
      <c r="I20" s="652"/>
      <c r="J20" s="652"/>
      <c r="K20" s="652"/>
      <c r="L20" s="652"/>
      <c r="M20" s="652"/>
      <c r="N20" s="652"/>
    </row>
    <row r="21" spans="2:14" ht="15" outlineLevel="1" thickBot="1">
      <c r="B21" s="675"/>
      <c r="C21" s="676"/>
      <c r="D21" s="676"/>
      <c r="E21" s="676"/>
      <c r="F21" s="676"/>
      <c r="G21" s="677"/>
      <c r="H21" s="652"/>
      <c r="I21" s="652"/>
      <c r="J21" s="652"/>
      <c r="K21" s="652"/>
      <c r="L21" s="652"/>
      <c r="M21" s="652"/>
      <c r="N21" s="652"/>
    </row>
    <row r="22" spans="2:14" ht="15" outlineLevel="1" thickBot="1">
      <c r="B22" s="678" t="s">
        <v>821</v>
      </c>
      <c r="C22" s="679">
        <f>SUM(C16)-SUM(C18:C21)</f>
        <v>0</v>
      </c>
      <c r="D22" s="679">
        <f t="shared" ref="D22:G22" si="0">SUM(D16)-SUM(D18:D21)</f>
        <v>492861926.95933849</v>
      </c>
      <c r="E22" s="679">
        <f t="shared" si="0"/>
        <v>481169601.83020699</v>
      </c>
      <c r="F22" s="679">
        <f t="shared" si="0"/>
        <v>455594849.01130849</v>
      </c>
      <c r="G22" s="680">
        <f t="shared" si="0"/>
        <v>432637659.4909234</v>
      </c>
      <c r="H22" s="652"/>
      <c r="I22" s="652"/>
      <c r="J22" s="652"/>
      <c r="K22" s="652"/>
      <c r="L22" s="652"/>
      <c r="M22" s="652"/>
      <c r="N22" s="652"/>
    </row>
    <row r="23" spans="2:14">
      <c r="H23" s="652"/>
      <c r="I23" s="652"/>
      <c r="J23" s="652"/>
      <c r="K23" s="652"/>
      <c r="L23" s="652"/>
      <c r="M23" s="652"/>
      <c r="N23" s="652"/>
    </row>
    <row r="24" spans="2:14">
      <c r="H24" s="652"/>
      <c r="I24" s="652"/>
      <c r="J24" s="652"/>
      <c r="K24" s="652"/>
      <c r="L24" s="652"/>
      <c r="M24" s="652"/>
      <c r="N24" s="652"/>
    </row>
    <row r="25" spans="2:14">
      <c r="C25" s="682"/>
      <c r="D25" s="682"/>
      <c r="E25" s="682"/>
      <c r="F25" s="682"/>
      <c r="G25" s="682"/>
      <c r="H25" s="652"/>
      <c r="I25" s="652"/>
      <c r="J25" s="652"/>
      <c r="K25" s="652"/>
      <c r="L25" s="652"/>
      <c r="M25" s="652"/>
      <c r="N25" s="652"/>
    </row>
    <row r="26" spans="2:14" ht="16.2" thickBot="1">
      <c r="B26" s="661" t="s">
        <v>836</v>
      </c>
      <c r="C26" s="661"/>
      <c r="D26" s="661"/>
      <c r="E26" s="661"/>
      <c r="F26" s="661"/>
      <c r="G26" s="661"/>
      <c r="H26" s="652"/>
      <c r="I26" s="652"/>
      <c r="J26" s="652"/>
      <c r="K26" s="652"/>
      <c r="L26" s="652"/>
      <c r="M26" s="652"/>
      <c r="N26" s="652"/>
    </row>
    <row r="27" spans="2:14" ht="21" customHeight="1" outlineLevel="1">
      <c r="C27" s="734" t="s">
        <v>833</v>
      </c>
      <c r="D27" s="735"/>
      <c r="E27" s="735"/>
      <c r="F27" s="735"/>
      <c r="G27" s="736"/>
      <c r="H27" s="652"/>
      <c r="I27" s="652"/>
      <c r="J27" s="652"/>
      <c r="K27" s="652"/>
      <c r="L27" s="652"/>
      <c r="M27" s="652"/>
      <c r="N27" s="652"/>
    </row>
    <row r="28" spans="2:14" ht="21" customHeight="1" outlineLevel="1">
      <c r="C28" s="745" t="s">
        <v>828</v>
      </c>
      <c r="D28" s="746"/>
      <c r="E28" s="746"/>
      <c r="F28" s="746"/>
      <c r="G28" s="747"/>
      <c r="H28" s="652"/>
      <c r="I28" s="652"/>
      <c r="J28" s="652"/>
      <c r="K28" s="652"/>
      <c r="L28" s="652"/>
      <c r="M28" s="652"/>
      <c r="N28" s="652"/>
    </row>
    <row r="29" spans="2:14" ht="15" outlineLevel="1" thickBot="1">
      <c r="B29" s="662"/>
      <c r="C29" s="663" t="str">
        <f>CRCP_y1</f>
        <v>2014-15</v>
      </c>
      <c r="D29" s="664" t="str">
        <f>CRCP_y2</f>
        <v>2015-16</v>
      </c>
      <c r="E29" s="664" t="str">
        <f>CRCP_y3</f>
        <v>2016-17</v>
      </c>
      <c r="F29" s="664" t="str">
        <f>CRCP_y4</f>
        <v>2017-18</v>
      </c>
      <c r="G29" s="665" t="str">
        <f>CRCP_y5</f>
        <v>2018-19</v>
      </c>
      <c r="H29" s="652"/>
      <c r="I29" s="652"/>
      <c r="J29" s="652"/>
      <c r="K29" s="652"/>
      <c r="L29" s="652"/>
      <c r="M29" s="652"/>
      <c r="N29" s="652"/>
    </row>
    <row r="30" spans="2:14" outlineLevel="1">
      <c r="B30" s="666" t="s">
        <v>825</v>
      </c>
      <c r="C30" s="681"/>
      <c r="D30" s="681">
        <v>405301072.87032872</v>
      </c>
      <c r="E30" s="681">
        <v>400084206.92586094</v>
      </c>
      <c r="F30" s="681">
        <v>436632789.93638355</v>
      </c>
      <c r="G30" s="669">
        <v>478731283.47017586</v>
      </c>
      <c r="H30" s="652"/>
      <c r="I30" s="652"/>
      <c r="J30" s="652"/>
      <c r="K30" s="652"/>
      <c r="L30" s="652"/>
      <c r="M30" s="652"/>
      <c r="N30" s="652"/>
    </row>
    <row r="31" spans="2:14" outlineLevel="1">
      <c r="B31" s="670" t="s">
        <v>829</v>
      </c>
      <c r="C31" s="671"/>
      <c r="D31" s="671"/>
      <c r="E31" s="671"/>
      <c r="F31" s="671"/>
      <c r="G31" s="672"/>
      <c r="H31" s="652"/>
      <c r="I31" s="652"/>
      <c r="J31" s="652"/>
      <c r="K31" s="652"/>
      <c r="L31" s="652"/>
      <c r="M31" s="652"/>
      <c r="N31" s="652"/>
    </row>
    <row r="32" spans="2:14" outlineLevel="1">
      <c r="B32" s="673" t="s">
        <v>831</v>
      </c>
      <c r="C32" s="667"/>
      <c r="D32" s="667"/>
      <c r="E32" s="667"/>
      <c r="F32" s="667"/>
      <c r="G32" s="674"/>
      <c r="H32" s="652"/>
      <c r="I32" s="652"/>
      <c r="J32" s="652"/>
      <c r="K32" s="652"/>
      <c r="L32" s="652"/>
      <c r="M32" s="652"/>
      <c r="N32" s="652"/>
    </row>
    <row r="33" spans="2:14" outlineLevel="1">
      <c r="B33" s="673" t="s">
        <v>832</v>
      </c>
      <c r="C33" s="667"/>
      <c r="D33" s="667"/>
      <c r="E33" s="667"/>
      <c r="F33" s="667"/>
      <c r="G33" s="674"/>
      <c r="H33" s="652"/>
      <c r="I33" s="652"/>
      <c r="J33" s="652"/>
      <c r="K33" s="652"/>
      <c r="L33" s="652"/>
      <c r="M33" s="652"/>
      <c r="N33" s="652"/>
    </row>
    <row r="34" spans="2:14" outlineLevel="1">
      <c r="B34" s="673"/>
      <c r="C34" s="667"/>
      <c r="D34" s="667"/>
      <c r="E34" s="667"/>
      <c r="F34" s="667"/>
      <c r="G34" s="674"/>
      <c r="H34" s="652"/>
      <c r="I34" s="652"/>
      <c r="J34" s="652"/>
      <c r="K34" s="652"/>
      <c r="L34" s="652"/>
      <c r="M34" s="652"/>
      <c r="N34" s="652"/>
    </row>
    <row r="35" spans="2:14" ht="15" outlineLevel="1" thickBot="1">
      <c r="B35" s="675"/>
      <c r="C35" s="676"/>
      <c r="D35" s="676"/>
      <c r="E35" s="676"/>
      <c r="F35" s="676"/>
      <c r="G35" s="677"/>
      <c r="H35" s="652"/>
      <c r="I35" s="652"/>
      <c r="J35" s="652"/>
      <c r="K35" s="652"/>
      <c r="L35" s="652"/>
      <c r="M35" s="652"/>
      <c r="N35" s="652"/>
    </row>
    <row r="36" spans="2:14" ht="15" outlineLevel="1" thickBot="1">
      <c r="B36" s="678" t="s">
        <v>821</v>
      </c>
      <c r="C36" s="679">
        <f>C30-SUM(C32:C35)</f>
        <v>0</v>
      </c>
      <c r="D36" s="679">
        <f>D30-SUM(D32:D35)</f>
        <v>405301072.87032872</v>
      </c>
      <c r="E36" s="679">
        <f>E30-SUM(E32:E35)</f>
        <v>400084206.92586094</v>
      </c>
      <c r="F36" s="679">
        <f>F30-SUM(F32:F35)</f>
        <v>436632789.93638355</v>
      </c>
      <c r="G36" s="680">
        <f>G30-SUM(G32:G35)</f>
        <v>478731283.47017586</v>
      </c>
      <c r="H36" s="652"/>
      <c r="I36" s="652"/>
      <c r="J36" s="652"/>
      <c r="K36" s="652"/>
      <c r="L36" s="652"/>
      <c r="M36" s="652"/>
      <c r="N36" s="652"/>
    </row>
  </sheetData>
  <mergeCells count="6">
    <mergeCell ref="C27:G27"/>
    <mergeCell ref="C13:G13"/>
    <mergeCell ref="B8:C8"/>
    <mergeCell ref="C14:G14"/>
    <mergeCell ref="C28:G28"/>
    <mergeCell ref="B9:C9"/>
  </mergeCells>
  <dataValidations count="1">
    <dataValidation allowBlank="1" showInputMessage="1" showErrorMessage="1" prompt="Input relevant description here" sqref="B18:B21 B32:B35" xr:uid="{00000000-0002-0000-0200-000000000000}"/>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FFD32C62ABAB49A3199274AF23FFB4" ma:contentTypeVersion="13" ma:contentTypeDescription="Create a new document." ma:contentTypeScope="" ma:versionID="62a68ea7a25de04e66fd029b14c387bb">
  <xsd:schema xmlns:xsd="http://www.w3.org/2001/XMLSchema" xmlns:xs="http://www.w3.org/2001/XMLSchema" xmlns:p="http://schemas.microsoft.com/office/2006/metadata/properties" xmlns:ns2="aba53bd8-9663-403a-a53b-863d8ef4d2d4" targetNamespace="http://schemas.microsoft.com/office/2006/metadata/properties" ma:root="true" ma:fieldsID="bd0ec605263772c7bf4f729e40ccfa8f" ns2:_="">
    <xsd:import namespace="aba53bd8-9663-403a-a53b-863d8ef4d2d4"/>
    <xsd:element name="properties">
      <xsd:complexType>
        <xsd:sequence>
          <xsd:element name="documentManagement">
            <xsd:complexType>
              <xsd:all>
                <xsd:element ref="ns2:Status"/>
                <xsd:element ref="ns2:Referenc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a53bd8-9663-403a-a53b-863d8ef4d2d4" elementFormDefault="qualified">
    <xsd:import namespace="http://schemas.microsoft.com/office/2006/documentManagement/types"/>
    <xsd:import namespace="http://schemas.microsoft.com/office/infopath/2007/PartnerControls"/>
    <xsd:element name="Status" ma:index="4" ma:displayName="Status" ma:default="OTHER" ma:description="Status of document" ma:format="Dropdown" ma:internalName="Status" ma:readOnly="false">
      <xsd:simpleType>
        <xsd:restriction base="dms:Choice">
          <xsd:enumeration value="1. Current Templates and Information"/>
          <xsd:enumeration value="2. RIN Attachments"/>
          <xsd:enumeration value="3. Final"/>
          <xsd:enumeration value="4. Submitted"/>
          <xsd:enumeration value="5. Old template versions"/>
          <xsd:enumeration value="OTHER"/>
        </xsd:restriction>
      </xsd:simpleType>
    </xsd:element>
    <xsd:element name="Reference" ma:index="5" nillable="true" ma:displayName="Comments" ma:internalName="Reference">
      <xsd:simpleType>
        <xsd:restriction base="dms:Note">
          <xsd:maxLength value="255"/>
        </xsd:restriction>
      </xsd:simpleType>
    </xsd:element>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ference xmlns="aba53bd8-9663-403a-a53b-863d8ef4d2d4" xsi:nil="true"/>
    <Status xmlns="aba53bd8-9663-403a-a53b-863d8ef4d2d4">2. RIN Attachments</Status>
  </documentManagement>
</p:properties>
</file>

<file path=customXml/itemProps1.xml><?xml version="1.0" encoding="utf-8"?>
<ds:datastoreItem xmlns:ds="http://schemas.openxmlformats.org/officeDocument/2006/customXml" ds:itemID="{95C70825-E884-4F90-8D44-3B49A75D5D70}"/>
</file>

<file path=customXml/itemProps2.xml><?xml version="1.0" encoding="utf-8"?>
<ds:datastoreItem xmlns:ds="http://schemas.openxmlformats.org/officeDocument/2006/customXml" ds:itemID="{CCDD438C-8CDC-4742-992A-6FFE3F9122F1}"/>
</file>

<file path=customXml/itemProps3.xml><?xml version="1.0" encoding="utf-8"?>
<ds:datastoreItem xmlns:ds="http://schemas.openxmlformats.org/officeDocument/2006/customXml" ds:itemID="{CF51D12F-6046-4510-8E29-26C9691AB9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341</vt:i4>
      </vt:variant>
    </vt:vector>
  </HeadingPairs>
  <TitlesOfParts>
    <vt:vector size="343" baseType="lpstr">
      <vt:lpstr>Business &amp; other details</vt:lpstr>
      <vt:lpstr>CESS</vt:lpstr>
      <vt:lpstr>'AER only'!CRCP_y1</vt:lpstr>
      <vt:lpstr>CRCP_y1</vt:lpstr>
      <vt:lpstr>CRCP_y10</vt:lpstr>
      <vt:lpstr>'AER only'!CRCP_y2</vt:lpstr>
      <vt:lpstr>CRCP_y2</vt:lpstr>
      <vt:lpstr>'AER only'!CRCP_y3</vt:lpstr>
      <vt:lpstr>CRCP_y3</vt:lpstr>
      <vt:lpstr>'AER only'!CRCP_y4</vt:lpstr>
      <vt:lpstr>CRCP_y4</vt:lpstr>
      <vt:lpstr>'AER only'!CRCP_y5</vt:lpstr>
      <vt:lpstr>CRCP_y5</vt:lpstr>
      <vt:lpstr>'AER only'!CRCP_y6</vt:lpstr>
      <vt:lpstr>CRCP_y6</vt:lpstr>
      <vt:lpstr>'AER only'!CRCP_y7</vt:lpstr>
      <vt:lpstr>CRCP_y7</vt:lpstr>
      <vt:lpstr>'AER only'!CRCP_y8</vt:lpstr>
      <vt:lpstr>CRCP_y8</vt:lpstr>
      <vt:lpstr>'AER only'!CRCP_y9</vt:lpstr>
      <vt:lpstr>CRCP_y9</vt:lpstr>
      <vt:lpstr>'AER only'!CRY</vt:lpstr>
      <vt:lpstr>CRY</vt:lpstr>
      <vt:lpstr>CRY___financial</vt:lpstr>
      <vt:lpstr>CRY_calendar</vt:lpstr>
      <vt:lpstr>dms_0203_ProjectType</vt:lpstr>
      <vt:lpstr>dms_020303_01_UOM</vt:lpstr>
      <vt:lpstr>dms_020501_01_UOM</vt:lpstr>
      <vt:lpstr>dms_020501_02_UOM</vt:lpstr>
      <vt:lpstr>dms_020501_03_UOM</vt:lpstr>
      <vt:lpstr>dms_020501_04_UOM</vt:lpstr>
      <vt:lpstr>dms_020603_01_UOM</vt:lpstr>
      <vt:lpstr>dms_030601_01_UOM</vt:lpstr>
      <vt:lpstr>dms_030601_02_UOM</vt:lpstr>
      <vt:lpstr>dms_030701_01_UOM</vt:lpstr>
      <vt:lpstr>dms_030702_01_UOM</vt:lpstr>
      <vt:lpstr>dms_030703_01_UOM</vt:lpstr>
      <vt:lpstr>dms_040102_01_UOM</vt:lpstr>
      <vt:lpstr>dms_040102_04_UOM</vt:lpstr>
      <vt:lpstr>dms_663</vt:lpstr>
      <vt:lpstr>dms_663_List</vt:lpstr>
      <vt:lpstr>dms_ABN</vt:lpstr>
      <vt:lpstr>dms_ABN_List</vt:lpstr>
      <vt:lpstr>dms_Addr1</vt:lpstr>
      <vt:lpstr>dms_Addr1_List</vt:lpstr>
      <vt:lpstr>dms_Addr2</vt:lpstr>
      <vt:lpstr>dms_Addr2_List</vt:lpstr>
      <vt:lpstr>dms_AmendmentReason</vt:lpstr>
      <vt:lpstr>dms_ARR</vt:lpstr>
      <vt:lpstr>dms_CA</vt:lpstr>
      <vt:lpstr>dms_CalYears</vt:lpstr>
      <vt:lpstr>dms_CBD_flag</vt:lpstr>
      <vt:lpstr>dms_CFinalYear_List</vt:lpstr>
      <vt:lpstr>dms_Classification</vt:lpstr>
      <vt:lpstr>dms_ContactEmail</vt:lpstr>
      <vt:lpstr>dms_ContactEmail_List</vt:lpstr>
      <vt:lpstr>dms_ContactEmail2</vt:lpstr>
      <vt:lpstr>dms_ContactName1</vt:lpstr>
      <vt:lpstr>dms_ContactName1_List</vt:lpstr>
      <vt:lpstr>dms_ContactName2</vt:lpstr>
      <vt:lpstr>dms_ContactPh1</vt:lpstr>
      <vt:lpstr>dms_ContactPh1_List</vt:lpstr>
      <vt:lpstr>dms_ContactPh2</vt:lpstr>
      <vt:lpstr>dms_crcp_cy1</vt:lpstr>
      <vt:lpstr>dms_crcp_cy10</vt:lpstr>
      <vt:lpstr>dms_crcp_cy11</vt:lpstr>
      <vt:lpstr>dms_crcp_cy12</vt:lpstr>
      <vt:lpstr>dms_crcp_cy13</vt:lpstr>
      <vt:lpstr>dms_crcp_cy14</vt:lpstr>
      <vt:lpstr>dms_crcp_cy15</vt:lpstr>
      <vt:lpstr>dms_crcp_cy2</vt:lpstr>
      <vt:lpstr>dms_crcp_cy3</vt:lpstr>
      <vt:lpstr>dms_crcp_cy4</vt:lpstr>
      <vt:lpstr>dms_crcp_cy5</vt:lpstr>
      <vt:lpstr>dms_crcp_cy6</vt:lpstr>
      <vt:lpstr>dms_crcp_cy7</vt:lpstr>
      <vt:lpstr>dms_crcp_cy8</vt:lpstr>
      <vt:lpstr>dms_crcp_cy9</vt:lpstr>
      <vt:lpstr>dms_CRCP_FinalYear_Ref</vt:lpstr>
      <vt:lpstr>'AER only'!dms_CRCP_FinalYear_Result</vt:lpstr>
      <vt:lpstr>dms_CRCP_FinalYear_Result</vt:lpstr>
      <vt:lpstr>'AER only'!dms_CRCP_FirstYear_Result</vt:lpstr>
      <vt:lpstr>dms_CRCP_FirstYear_Result</vt:lpstr>
      <vt:lpstr>dms_CRCP_index</vt:lpstr>
      <vt:lpstr>dms_CRCP_years</vt:lpstr>
      <vt:lpstr>dms_CRCP_yM</vt:lpstr>
      <vt:lpstr>dms_CRCP_yN</vt:lpstr>
      <vt:lpstr>dms_CRCP_yO</vt:lpstr>
      <vt:lpstr>dms_CRCP_yP</vt:lpstr>
      <vt:lpstr>dms_CRCP_yQ</vt:lpstr>
      <vt:lpstr>dms_CRCP_yR</vt:lpstr>
      <vt:lpstr>dms_CRCP_yS</vt:lpstr>
      <vt:lpstr>dms_CRCP_yT</vt:lpstr>
      <vt:lpstr>dms_CRCP_yU</vt:lpstr>
      <vt:lpstr>dms_CRCP_yV</vt:lpstr>
      <vt:lpstr>dms_CRCP_yW</vt:lpstr>
      <vt:lpstr>dms_CRCP_yX</vt:lpstr>
      <vt:lpstr>dms_CRCP_yY</vt:lpstr>
      <vt:lpstr>dms_CRCP_yZ</vt:lpstr>
      <vt:lpstr>dms_CRCPlength_List</vt:lpstr>
      <vt:lpstr>'AER only'!dms_CRCPlength_Num</vt:lpstr>
      <vt:lpstr>dms_CRCPlength_Num</vt:lpstr>
      <vt:lpstr>dms_CRCPlength_Num_List</vt:lpstr>
      <vt:lpstr>dms_CRY_ListC</vt:lpstr>
      <vt:lpstr>dms_CRY_ListF</vt:lpstr>
      <vt:lpstr>dms_CRYc_y1</vt:lpstr>
      <vt:lpstr>dms_CRYc_y10</vt:lpstr>
      <vt:lpstr>dms_CRYc_y11</vt:lpstr>
      <vt:lpstr>dms_CRYc_y12</vt:lpstr>
      <vt:lpstr>dms_CRYc_y13</vt:lpstr>
      <vt:lpstr>dms_CRYc_y14</vt:lpstr>
      <vt:lpstr>dms_CRYc_y15</vt:lpstr>
      <vt:lpstr>dms_CRYc_y16</vt:lpstr>
      <vt:lpstr>dms_CRYc_y17</vt:lpstr>
      <vt:lpstr>dms_CRYc_y18</vt:lpstr>
      <vt:lpstr>dms_CRYc_y19</vt:lpstr>
      <vt:lpstr>dms_CRYc_y2</vt:lpstr>
      <vt:lpstr>dms_CRYc_y20</vt:lpstr>
      <vt:lpstr>dms_CRYc_y3</vt:lpstr>
      <vt:lpstr>dms_CRYc_y4</vt:lpstr>
      <vt:lpstr>dms_CRYc_y5</vt:lpstr>
      <vt:lpstr>dms_CRYc_y6</vt:lpstr>
      <vt:lpstr>dms_CRYc_y7</vt:lpstr>
      <vt:lpstr>dms_CRYc_y8</vt:lpstr>
      <vt:lpstr>dms_CRYc_y9</vt:lpstr>
      <vt:lpstr>dms_CRYf_y1</vt:lpstr>
      <vt:lpstr>dms_CRYf_y10</vt:lpstr>
      <vt:lpstr>dms_CRYf_y11</vt:lpstr>
      <vt:lpstr>dms_CRYf_y12</vt:lpstr>
      <vt:lpstr>dms_CRYf_y13</vt:lpstr>
      <vt:lpstr>dms_CRYf_y14</vt:lpstr>
      <vt:lpstr>dms_CRYf_y15</vt:lpstr>
      <vt:lpstr>dms_CRYf_y16</vt:lpstr>
      <vt:lpstr>dms_CRYf_y17</vt:lpstr>
      <vt:lpstr>dms_CRYf_y18</vt:lpstr>
      <vt:lpstr>dms_CRYf_y19</vt:lpstr>
      <vt:lpstr>dms_CRYf_y2</vt:lpstr>
      <vt:lpstr>dms_CRYf_y20</vt:lpstr>
      <vt:lpstr>dms_CRYf_y3</vt:lpstr>
      <vt:lpstr>dms_CRYf_y4</vt:lpstr>
      <vt:lpstr>dms_CRYf_y5</vt:lpstr>
      <vt:lpstr>dms_CRYf_y6</vt:lpstr>
      <vt:lpstr>dms_CRYf_y7</vt:lpstr>
      <vt:lpstr>dms_CRYf_y8</vt:lpstr>
      <vt:lpstr>dms_CRYf_y9</vt:lpstr>
      <vt:lpstr>dms_cy1</vt:lpstr>
      <vt:lpstr>dms_cy10</vt:lpstr>
      <vt:lpstr>dms_cy11</vt:lpstr>
      <vt:lpstr>dms_cy12</vt:lpstr>
      <vt:lpstr>dms_cy13</vt:lpstr>
      <vt:lpstr>dms_cy14</vt:lpstr>
      <vt:lpstr>dms_cy15</vt:lpstr>
      <vt:lpstr>dms_cy16</vt:lpstr>
      <vt:lpstr>dms_cy17</vt:lpstr>
      <vt:lpstr>dms_cy18</vt:lpstr>
      <vt:lpstr>dms_cy19</vt:lpstr>
      <vt:lpstr>dms_cy2</vt:lpstr>
      <vt:lpstr>dms_cy20</vt:lpstr>
      <vt:lpstr>dms_cy3</vt:lpstr>
      <vt:lpstr>dms_cy4</vt:lpstr>
      <vt:lpstr>dms_cy5</vt:lpstr>
      <vt:lpstr>dms_cy6</vt:lpstr>
      <vt:lpstr>dms_cy7</vt:lpstr>
      <vt:lpstr>dms_cy8</vt:lpstr>
      <vt:lpstr>dms_cy9</vt:lpstr>
      <vt:lpstr>'AER only'!dms_DataQuality</vt:lpstr>
      <vt:lpstr>dms_DataQuality</vt:lpstr>
      <vt:lpstr>dms_DataQuality_List</vt:lpstr>
      <vt:lpstr>dms_Defined_Names_Used</vt:lpstr>
      <vt:lpstr>dms_DeterminationRef</vt:lpstr>
      <vt:lpstr>dms_DeterminationRef_List</vt:lpstr>
      <vt:lpstr>dms_DollarReal</vt:lpstr>
      <vt:lpstr>dms_DollarReal_Prev</vt:lpstr>
      <vt:lpstr>dms_EB</vt:lpstr>
      <vt:lpstr>dms_EBSS_status</vt:lpstr>
      <vt:lpstr>dms_FeederCat_1</vt:lpstr>
      <vt:lpstr>dms_FeederCat_2</vt:lpstr>
      <vt:lpstr>dms_FeederName_1</vt:lpstr>
      <vt:lpstr>dms_FeederName_2</vt:lpstr>
      <vt:lpstr>dms_FeederName_3</vt:lpstr>
      <vt:lpstr>dms_FeederName_4</vt:lpstr>
      <vt:lpstr>dms_FeederName_5</vt:lpstr>
      <vt:lpstr>dms_FeederType_5_flag</vt:lpstr>
      <vt:lpstr>dms_FinalYear_List</vt:lpstr>
      <vt:lpstr>dms_FinYears</vt:lpstr>
      <vt:lpstr>dms_FormControl</vt:lpstr>
      <vt:lpstr>dms_FormControl_Choices</vt:lpstr>
      <vt:lpstr>dms_FormControl_List</vt:lpstr>
      <vt:lpstr>dms_FRCP_cyear_list</vt:lpstr>
      <vt:lpstr>dms_frcp_fy1</vt:lpstr>
      <vt:lpstr>dms_frcp_fy10</vt:lpstr>
      <vt:lpstr>dms_frcp_fy11</vt:lpstr>
      <vt:lpstr>dms_frcp_fy12</vt:lpstr>
      <vt:lpstr>dms_frcp_fy13</vt:lpstr>
      <vt:lpstr>dms_frcp_fy14</vt:lpstr>
      <vt:lpstr>dms_frcp_fy15</vt:lpstr>
      <vt:lpstr>dms_frcp_fy2</vt:lpstr>
      <vt:lpstr>dms_frcp_fy3</vt:lpstr>
      <vt:lpstr>dms_frcp_fy4</vt:lpstr>
      <vt:lpstr>dms_frcp_fy5</vt:lpstr>
      <vt:lpstr>dms_frcp_fy6</vt:lpstr>
      <vt:lpstr>dms_frcp_fy7</vt:lpstr>
      <vt:lpstr>dms_frcp_fy8</vt:lpstr>
      <vt:lpstr>dms_frcp_fy9</vt:lpstr>
      <vt:lpstr>dms_FRCP_fyear_list</vt:lpstr>
      <vt:lpstr>dms_FRCP_ListC</vt:lpstr>
      <vt:lpstr>dms_FRCP_ListF</vt:lpstr>
      <vt:lpstr>dms_FRCP_y1</vt:lpstr>
      <vt:lpstr>dms_FRCP_y10</vt:lpstr>
      <vt:lpstr>dms_FRCP_y11</vt:lpstr>
      <vt:lpstr>dms_FRCP_y12</vt:lpstr>
      <vt:lpstr>dms_FRCP_y13</vt:lpstr>
      <vt:lpstr>dms_FRCP_y14</vt:lpstr>
      <vt:lpstr>dms_FRCP_y2</vt:lpstr>
      <vt:lpstr>dms_FRCP_y3</vt:lpstr>
      <vt:lpstr>dms_FRCP_y4</vt:lpstr>
      <vt:lpstr>dms_FRCP_y5</vt:lpstr>
      <vt:lpstr>dms_FRCP_y6</vt:lpstr>
      <vt:lpstr>dms_FRCP_y7</vt:lpstr>
      <vt:lpstr>dms_FRCP_y8</vt:lpstr>
      <vt:lpstr>dms_FRCP_y9</vt:lpstr>
      <vt:lpstr>dms_FRCP_years</vt:lpstr>
      <vt:lpstr>dms_FRCPlength_List</vt:lpstr>
      <vt:lpstr>'AER only'!dms_FRCPlength_Num</vt:lpstr>
      <vt:lpstr>dms_FRCPlength_Num</vt:lpstr>
      <vt:lpstr>dms_FRCPlength_Num_List</vt:lpstr>
      <vt:lpstr>dms_fy1</vt:lpstr>
      <vt:lpstr>dms_fy10</vt:lpstr>
      <vt:lpstr>dms_fy11</vt:lpstr>
      <vt:lpstr>dms_fy12</vt:lpstr>
      <vt:lpstr>dms_fy13</vt:lpstr>
      <vt:lpstr>dms_fy14</vt:lpstr>
      <vt:lpstr>dms_fy15</vt:lpstr>
      <vt:lpstr>dms_fy16</vt:lpstr>
      <vt:lpstr>dms_fy17</vt:lpstr>
      <vt:lpstr>dms_fy18</vt:lpstr>
      <vt:lpstr>dms_fy19</vt:lpstr>
      <vt:lpstr>dms_fy2</vt:lpstr>
      <vt:lpstr>dms_fy20</vt:lpstr>
      <vt:lpstr>dms_fy3</vt:lpstr>
      <vt:lpstr>dms_fy4</vt:lpstr>
      <vt:lpstr>dms_fy5</vt:lpstr>
      <vt:lpstr>dms_fy6</vt:lpstr>
      <vt:lpstr>dms_fy7</vt:lpstr>
      <vt:lpstr>dms_fy8</vt:lpstr>
      <vt:lpstr>dms_fy9</vt:lpstr>
      <vt:lpstr>dms_Jurisdiction</vt:lpstr>
      <vt:lpstr>dms_JurisdictionList</vt:lpstr>
      <vt:lpstr>dms_LongRural_flag</vt:lpstr>
      <vt:lpstr>dms_MAIFI_flag_List</vt:lpstr>
      <vt:lpstr>'AER only'!dms_Model</vt:lpstr>
      <vt:lpstr>dms_Model</vt:lpstr>
      <vt:lpstr>dms_Model_List</vt:lpstr>
      <vt:lpstr>'AER only'!dms_MultiYear_FinalYear_Ref</vt:lpstr>
      <vt:lpstr>dms_MultiYear_FinalYear_Ref</vt:lpstr>
      <vt:lpstr>'AER only'!dms_MultiYear_FinalYear_Result</vt:lpstr>
      <vt:lpstr>dms_MultiYear_FinalYear_Result</vt:lpstr>
      <vt:lpstr>'AER only'!dms_MultiYear_Flag</vt:lpstr>
      <vt:lpstr>dms_MultiYear_Flag</vt:lpstr>
      <vt:lpstr>dms_PAddr1</vt:lpstr>
      <vt:lpstr>dms_PAddr1_List</vt:lpstr>
      <vt:lpstr>dms_PAddr2</vt:lpstr>
      <vt:lpstr>dms_PAddr2_List</vt:lpstr>
      <vt:lpstr>dms_PostCode</vt:lpstr>
      <vt:lpstr>dms_PostCode_List</vt:lpstr>
      <vt:lpstr>dms_PPostCode</vt:lpstr>
      <vt:lpstr>dms_PPostCode_List</vt:lpstr>
      <vt:lpstr>dms_PState</vt:lpstr>
      <vt:lpstr>dms_PState_List</vt:lpstr>
      <vt:lpstr>dms_PSuburb</vt:lpstr>
      <vt:lpstr>dms_PSuburb_List</vt:lpstr>
      <vt:lpstr>dms_RCP_cyear_list</vt:lpstr>
      <vt:lpstr>dms_RCP_fyear_list</vt:lpstr>
      <vt:lpstr>dms_Reason_Interruption</vt:lpstr>
      <vt:lpstr>dms_Reason_Interruption_Detailed</vt:lpstr>
      <vt:lpstr>dms_Reg_Year_Span</vt:lpstr>
      <vt:lpstr>dms_RINversion</vt:lpstr>
      <vt:lpstr>'AER only'!dms_RPT</vt:lpstr>
      <vt:lpstr>dms_RPT</vt:lpstr>
      <vt:lpstr>dms_RPT_List</vt:lpstr>
      <vt:lpstr>'AER only'!dms_RPTMonth</vt:lpstr>
      <vt:lpstr>dms_RPTMonth</vt:lpstr>
      <vt:lpstr>dms_RPTMonth_List</vt:lpstr>
      <vt:lpstr>DMS_RSwapc2</vt:lpstr>
      <vt:lpstr>dms_RYE</vt:lpstr>
      <vt:lpstr>dms_RYE_Formula_Result</vt:lpstr>
      <vt:lpstr>dms_Sector</vt:lpstr>
      <vt:lpstr>dms_Sector_List</vt:lpstr>
      <vt:lpstr>'AER only'!dms_Segment</vt:lpstr>
      <vt:lpstr>dms_Segment</vt:lpstr>
      <vt:lpstr>dms_Segment_List</vt:lpstr>
      <vt:lpstr>dms_ShortRural_flag</vt:lpstr>
      <vt:lpstr>'AER only'!dms_SingleYear_FinalYear_Ref</vt:lpstr>
      <vt:lpstr>dms_SingleYear_FinalYear_Ref</vt:lpstr>
      <vt:lpstr>'AER only'!dms_SingleYear_FinalYear_Result</vt:lpstr>
      <vt:lpstr>dms_SingleYear_FinalYear_Result</vt:lpstr>
      <vt:lpstr>'AER only'!dms_SingleYear_Model</vt:lpstr>
      <vt:lpstr>dms_SingleYear_Model</vt:lpstr>
      <vt:lpstr>dms_Source</vt:lpstr>
      <vt:lpstr>dms_SourceList</vt:lpstr>
      <vt:lpstr>'AER only'!dms_Specified_FinalYear</vt:lpstr>
      <vt:lpstr>dms_Specified_FinalYear</vt:lpstr>
      <vt:lpstr>dms_State</vt:lpstr>
      <vt:lpstr>dms_State_List</vt:lpstr>
      <vt:lpstr>dms_STPIS_exclusions</vt:lpstr>
      <vt:lpstr>dms_SubmissionDate</vt:lpstr>
      <vt:lpstr>dms_Suburb</vt:lpstr>
      <vt:lpstr>dms_Suburb_List</vt:lpstr>
      <vt:lpstr>dms_TemplateNumber</vt:lpstr>
      <vt:lpstr>'AER only'!dms_TradingName</vt:lpstr>
      <vt:lpstr>dms_TradingName</vt:lpstr>
      <vt:lpstr>dms_TradingName_List</vt:lpstr>
      <vt:lpstr>dms_TradingNameFull</vt:lpstr>
      <vt:lpstr>dms_TradingNameFull_List</vt:lpstr>
      <vt:lpstr>dms_Urban_flag</vt:lpstr>
      <vt:lpstr>dms_Worksheet_List</vt:lpstr>
      <vt:lpstr>DMS_Xfactor</vt:lpstr>
      <vt:lpstr>'AER only'!FRCP_y1</vt:lpstr>
      <vt:lpstr>FRCP_y1</vt:lpstr>
      <vt:lpstr>FRCP_y10</vt:lpstr>
      <vt:lpstr>FRCP_y2</vt:lpstr>
      <vt:lpstr>FRCP_y3</vt:lpstr>
      <vt:lpstr>FRCP_y4</vt:lpstr>
      <vt:lpstr>'AER only'!FRCP_y5</vt:lpstr>
      <vt:lpstr>FRCP_y5</vt:lpstr>
      <vt:lpstr>FRCP_y6</vt:lpstr>
      <vt:lpstr>FRCP_y7</vt:lpstr>
      <vt:lpstr>FRCP_y8</vt:lpstr>
      <vt:lpstr>FRCP_y9</vt:lpstr>
      <vt:lpstr>'AER only'!FRY</vt:lpstr>
      <vt:lpstr>FRY</vt:lpstr>
      <vt:lpstr>MAIFI_flag</vt:lpstr>
      <vt:lpstr>PRCP_y1</vt:lpstr>
      <vt:lpstr>'AER only'!PRCP_y2</vt:lpstr>
      <vt:lpstr>PRCP_y2</vt:lpstr>
      <vt:lpstr>'AER only'!PRCP_y3</vt:lpstr>
      <vt:lpstr>PRCP_y3</vt:lpstr>
      <vt:lpstr>'AER only'!PRCP_y4</vt:lpstr>
      <vt:lpstr>PRCP_y4</vt:lpstr>
      <vt:lpstr>'AER only'!PRCP_y5</vt:lpstr>
      <vt:lpstr>PRCP_y5</vt:lpstr>
      <vt:lpstr>SheetHeader</vt:lpstr>
      <vt:lpstr>Years</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Hynes, Anthony</dc:creator>
  <cp:lastModifiedBy>David Weatherley</cp:lastModifiedBy>
  <dcterms:created xsi:type="dcterms:W3CDTF">2017-01-20T06:09:20Z</dcterms:created>
  <dcterms:modified xsi:type="dcterms:W3CDTF">2018-04-26T06:59:52Z</dcterms:modified>
  <cp:contentStatus>FINAL RIN @ 20171020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0x01010051FFD32C62ABAB49A3199274AF23FFB4</vt:lpwstr>
  </property>
</Properties>
</file>