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P:\Coy1-Fin\Reg_Affairs\2019 Determination\FINAL DOCUMENTS SUBMITTED 21DEC18\"/>
    </mc:Choice>
  </mc:AlternateContent>
  <xr:revisionPtr revIDLastSave="0" documentId="13_ncr:1_{5F761C9A-C408-449C-9089-3F17380158D5}" xr6:coauthVersionLast="38" xr6:coauthVersionMax="38" xr10:uidLastSave="{00000000-0000-0000-0000-000000000000}"/>
  <bookViews>
    <workbookView xWindow="120" yWindow="12" windowWidth="19440" windowHeight="7860" tabRatio="570" xr2:uid="{00000000-000D-0000-FFFF-FFFF00000000}"/>
  </bookViews>
  <sheets>
    <sheet name="AER Summary" sheetId="8" r:id="rId1"/>
    <sheet name="Proposed price build-up" sheetId="11" r:id="rId2"/>
  </sheets>
  <calcPr calcId="191029" calcMode="autoNoTable"/>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8" l="1"/>
  <c r="AI8" i="11" l="1"/>
  <c r="AI10" i="11"/>
  <c r="AI13" i="11"/>
  <c r="AI15" i="11"/>
  <c r="AI7" i="11"/>
  <c r="W7" i="11"/>
  <c r="AD28" i="11" l="1"/>
  <c r="AD29" i="11" s="1"/>
  <c r="AD13" i="11" s="1"/>
  <c r="AF13" i="11" s="1"/>
  <c r="AH41" i="11"/>
  <c r="AD41" i="11"/>
  <c r="AD42" i="11" s="1"/>
  <c r="AE14" i="11" s="1"/>
  <c r="AF14" i="11" s="1"/>
  <c r="AA42" i="11"/>
  <c r="AE10" i="11" s="1"/>
  <c r="AI40" i="11"/>
  <c r="AI39" i="11"/>
  <c r="AI38" i="11"/>
  <c r="AA38" i="11"/>
  <c r="AC8" i="11" s="1"/>
  <c r="AF8" i="11" s="1"/>
  <c r="AI37" i="11"/>
  <c r="AD37" i="11"/>
  <c r="AD38" i="11" s="1"/>
  <c r="AC12" i="11" s="1"/>
  <c r="AI36" i="11"/>
  <c r="AI35" i="11"/>
  <c r="AA34" i="11"/>
  <c r="AB7" i="11" s="1"/>
  <c r="AD32" i="11"/>
  <c r="AD34" i="11" s="1"/>
  <c r="AB11" i="11" s="1"/>
  <c r="AF11" i="11" s="1"/>
  <c r="AH30" i="11"/>
  <c r="AH16" i="11"/>
  <c r="AH42" i="11" l="1"/>
  <c r="AF15" i="11" s="1"/>
  <c r="AJ15" i="11" s="1"/>
  <c r="AF12" i="11"/>
  <c r="AC16" i="11"/>
  <c r="AI11" i="11"/>
  <c r="AJ13" i="11"/>
  <c r="AB16" i="11"/>
  <c r="AF7" i="11"/>
  <c r="AE16" i="11"/>
  <c r="AF10" i="11"/>
  <c r="AI12" i="11" l="1"/>
  <c r="AJ12" i="11" s="1"/>
  <c r="AJ11" i="11"/>
  <c r="AI14" i="11"/>
  <c r="AJ14" i="11" s="1"/>
  <c r="AJ10" i="11"/>
  <c r="AJ8" i="11"/>
  <c r="AJ7" i="11" l="1"/>
  <c r="V30" i="11" l="1"/>
  <c r="J30" i="11"/>
  <c r="R41" i="11" l="1"/>
  <c r="F41" i="11"/>
  <c r="R37" i="11" l="1"/>
  <c r="R32" i="11"/>
  <c r="R26" i="11"/>
  <c r="K35" i="11"/>
  <c r="W40" i="11" l="1"/>
  <c r="W39" i="11"/>
  <c r="W38" i="11"/>
  <c r="W37" i="11"/>
  <c r="W36" i="11"/>
  <c r="W35" i="11"/>
  <c r="K36" i="11"/>
  <c r="K37" i="11"/>
  <c r="K38" i="11"/>
  <c r="J41" i="11" s="1"/>
  <c r="K39" i="11"/>
  <c r="K40" i="11"/>
  <c r="R42" i="11"/>
  <c r="F37" i="11"/>
  <c r="F32" i="11"/>
  <c r="F34" i="11" s="1"/>
  <c r="F26" i="11"/>
  <c r="F28" i="11" s="1"/>
  <c r="F29" i="11" s="1"/>
  <c r="F13" i="11" s="1"/>
  <c r="O42" i="11"/>
  <c r="O38" i="11"/>
  <c r="O34" i="11"/>
  <c r="C42" i="11"/>
  <c r="C38" i="11"/>
  <c r="C34" i="11"/>
  <c r="V41" i="11" l="1"/>
  <c r="V42" i="11" s="1"/>
  <c r="T15" i="11" s="1"/>
  <c r="W15" i="11" s="1"/>
  <c r="X15" i="11" s="1"/>
  <c r="J42" i="11"/>
  <c r="H15" i="11" s="1"/>
  <c r="K15" i="11" l="1"/>
  <c r="L15" i="11" s="1"/>
  <c r="S14" i="11" l="1"/>
  <c r="T14" i="11" s="1"/>
  <c r="S10" i="11"/>
  <c r="R38" i="11"/>
  <c r="Q12" i="11" s="1"/>
  <c r="T12" i="11" s="1"/>
  <c r="Q8" i="11"/>
  <c r="R34" i="11"/>
  <c r="P11" i="11" s="1"/>
  <c r="T11" i="11" s="1"/>
  <c r="R28" i="11"/>
  <c r="R29" i="11" s="1"/>
  <c r="P7" i="11"/>
  <c r="F42" i="11"/>
  <c r="F38" i="11"/>
  <c r="D11" i="11"/>
  <c r="H11" i="11" s="1"/>
  <c r="Q16" i="11" l="1"/>
  <c r="T8" i="11"/>
  <c r="P16" i="11"/>
  <c r="T7" i="11"/>
  <c r="S16" i="11"/>
  <c r="T10" i="11"/>
  <c r="R13" i="11"/>
  <c r="T13" i="11" s="1"/>
  <c r="W14" i="11" l="1"/>
  <c r="X14" i="11" s="1"/>
  <c r="W12" i="11"/>
  <c r="X12" i="11" s="1"/>
  <c r="G14" i="11"/>
  <c r="H14" i="11" s="1"/>
  <c r="E8" i="11"/>
  <c r="D7" i="11"/>
  <c r="E12" i="11"/>
  <c r="H12" i="11" s="1"/>
  <c r="G10" i="11"/>
  <c r="W13" i="11" l="1"/>
  <c r="X13" i="11" s="1"/>
  <c r="W11" i="11"/>
  <c r="X7" i="11"/>
  <c r="W10" i="11"/>
  <c r="W8" i="11"/>
  <c r="X8" i="11" s="1"/>
  <c r="V16" i="11"/>
  <c r="G16" i="11"/>
  <c r="H10" i="11"/>
  <c r="E16" i="11"/>
  <c r="H8" i="11"/>
  <c r="D16" i="11"/>
  <c r="H7" i="11"/>
  <c r="H13" i="11"/>
  <c r="K14" i="11" l="1"/>
  <c r="L14" i="11" s="1"/>
  <c r="K12" i="11"/>
  <c r="L12" i="11" s="1"/>
  <c r="X11" i="11"/>
  <c r="X10" i="11"/>
  <c r="K8" i="11" l="1"/>
  <c r="L8" i="11" s="1"/>
  <c r="K13" i="11"/>
  <c r="L13" i="11" s="1"/>
  <c r="K11" i="11" l="1"/>
  <c r="L11" i="11" l="1"/>
  <c r="K10" i="11" l="1"/>
  <c r="L10" i="11" l="1"/>
  <c r="K7" i="11" l="1"/>
  <c r="J16" i="11"/>
  <c r="L7" i="11" l="1"/>
  <c r="F61" i="8" l="1"/>
  <c r="G61" i="8" l="1"/>
  <c r="E61" i="8" l="1"/>
  <c r="D61" i="8"/>
  <c r="C61" i="8"/>
  <c r="H61" i="8" l="1"/>
  <c r="AA29" i="11" l="1"/>
  <c r="AA30" i="11" s="1"/>
  <c r="AD9" i="11" s="1"/>
  <c r="C29" i="11"/>
  <c r="C30" i="11" s="1"/>
  <c r="F9" i="11" s="1"/>
  <c r="O29" i="11"/>
  <c r="O30" i="11" s="1"/>
  <c r="R9" i="11" s="1"/>
  <c r="T9" i="11" l="1"/>
  <c r="R16" i="11"/>
  <c r="F16" i="11"/>
  <c r="H9" i="11"/>
  <c r="AD16" i="11"/>
  <c r="AF9" i="11"/>
  <c r="I16" i="11" l="1"/>
  <c r="H16" i="11"/>
  <c r="AF16" i="11"/>
  <c r="AG16" i="11"/>
  <c r="U16" i="11"/>
  <c r="T16" i="11"/>
  <c r="AI9" i="11" l="1"/>
  <c r="W9" i="11"/>
  <c r="AI16" i="11"/>
  <c r="K9" i="11"/>
  <c r="K16" i="11" s="1"/>
  <c r="X9" i="11" l="1"/>
  <c r="X16" i="11" s="1"/>
  <c r="W16" i="11"/>
  <c r="L9" i="11"/>
  <c r="L16" i="11" s="1"/>
  <c r="AJ9" i="11"/>
  <c r="AJ16" i="11" s="1"/>
  <c r="D9" i="8" l="1"/>
  <c r="D8" i="8"/>
  <c r="D49" i="8" l="1"/>
  <c r="C49" i="8"/>
  <c r="E49" i="8" l="1"/>
  <c r="F49" i="8" l="1"/>
  <c r="H45" i="8"/>
  <c r="H47" i="8" l="1"/>
  <c r="H49" i="8" s="1"/>
  <c r="G4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Bedding</author>
  </authors>
  <commentList>
    <comment ref="E24" authorId="0" shapeId="0" xr:uid="{C0205DD6-F472-451A-9437-04D9A5AFD0ED}">
      <text>
        <r>
          <rPr>
            <b/>
            <sz val="9"/>
            <color indexed="81"/>
            <rFont val="Tahoma"/>
            <family val="2"/>
          </rPr>
          <t>John Bedding:</t>
        </r>
        <r>
          <rPr>
            <sz val="9"/>
            <color indexed="81"/>
            <rFont val="Tahoma"/>
            <family val="2"/>
          </rPr>
          <t xml:space="preserve">
OPEX is not recovered over time, only CAPEX</t>
        </r>
      </text>
    </comment>
    <comment ref="F27" authorId="0" shapeId="0" xr:uid="{3E999892-B424-422A-8C26-27D7871B9CE5}">
      <text>
        <r>
          <rPr>
            <b/>
            <sz val="9"/>
            <color indexed="81"/>
            <rFont val="Tahoma"/>
            <family val="2"/>
          </rPr>
          <t>John Bedding:</t>
        </r>
        <r>
          <rPr>
            <sz val="9"/>
            <color indexed="81"/>
            <rFont val="Tahoma"/>
            <family val="2"/>
          </rPr>
          <t xml:space="preserve">
There is no BLR for Night Vision</t>
        </r>
      </text>
    </comment>
    <comment ref="C30" authorId="0" shapeId="0" xr:uid="{0FCD4203-55FE-45D1-B73A-9CDD3B591FFF}">
      <text>
        <r>
          <rPr>
            <b/>
            <sz val="9"/>
            <color indexed="81"/>
            <rFont val="Tahoma"/>
            <family val="2"/>
          </rPr>
          <t>John Bedding:</t>
        </r>
        <r>
          <rPr>
            <sz val="9"/>
            <color indexed="81"/>
            <rFont val="Tahoma"/>
            <family val="2"/>
          </rPr>
          <t xml:space="preserve">
Changed formula to be consistant with annuity model</t>
        </r>
      </text>
    </comment>
  </commentList>
</comments>
</file>

<file path=xl/sharedStrings.xml><?xml version="1.0" encoding="utf-8"?>
<sst xmlns="http://schemas.openxmlformats.org/spreadsheetml/2006/main" count="343" uniqueCount="126">
  <si>
    <t>Total</t>
  </si>
  <si>
    <t>Detailed Service Description</t>
  </si>
  <si>
    <t>Notes:</t>
  </si>
  <si>
    <t>Alternative Control Service Summary</t>
  </si>
  <si>
    <t>Projected Volumes</t>
  </si>
  <si>
    <t>Pricing mechanism</t>
  </si>
  <si>
    <t>Historical revenue, costs and volumes</t>
  </si>
  <si>
    <t>Forecast revenue, costs and volumes</t>
  </si>
  <si>
    <t>Task</t>
  </si>
  <si>
    <t>Details of historic revenue, costs and volumes can be found on the 'Details' sheet.</t>
  </si>
  <si>
    <t>Details of forecast revenue, costs and volumes can be found on the 'Details' sheet.</t>
  </si>
  <si>
    <t>2019-2024 Pricing Methodology for Service (Summary)</t>
  </si>
  <si>
    <t>Projected Costs for FY2019-24 Regulatory Period</t>
  </si>
  <si>
    <t>FY2020</t>
  </si>
  <si>
    <t>FY2021</t>
  </si>
  <si>
    <t>FY2022</t>
  </si>
  <si>
    <t>FY2024</t>
  </si>
  <si>
    <t>FY2023</t>
  </si>
  <si>
    <t>Changes to Service or Pricing since prior Reg period</t>
  </si>
  <si>
    <t>Operating costs</t>
  </si>
  <si>
    <t>Bottum Up cost estimation</t>
  </si>
  <si>
    <t>Fee Methodology Structure Selected</t>
  </si>
  <si>
    <t>Details of historical operating costs can be found on the "Operating Costs" sheet.</t>
  </si>
  <si>
    <t>Details of bottom up costs can be found on the "Bottom Up Estimation" sheet.</t>
  </si>
  <si>
    <t xml:space="preserve">Total </t>
  </si>
  <si>
    <t>Alternative Control Service - Bottom Up Estimation</t>
  </si>
  <si>
    <t>Network Service:</t>
  </si>
  <si>
    <t>Security Light (NEW)</t>
  </si>
  <si>
    <t>Bottom Up Estimation</t>
  </si>
  <si>
    <t>Projected Volumes for FY2019-24 Regulatory Period</t>
  </si>
  <si>
    <t>Capex Recovery</t>
  </si>
  <si>
    <t>Nightwatch Lights</t>
  </si>
  <si>
    <t>Proposed Fee ($2018/19 - Excl GST)</t>
  </si>
  <si>
    <t>Total Direct Costs $2018/19</t>
  </si>
  <si>
    <t>Total Indirect Costs $2018/19</t>
  </si>
  <si>
    <t>TOTAL COSTS $2018/19</t>
  </si>
  <si>
    <t>Overheads</t>
  </si>
  <si>
    <t>Non-system charge</t>
  </si>
  <si>
    <t>Service previously  Unclassifed Service</t>
  </si>
  <si>
    <t>Usage - As per Tariff</t>
  </si>
  <si>
    <t>Nightwatch Lights 250W - Fixed Fee / month</t>
  </si>
  <si>
    <t>250W</t>
  </si>
  <si>
    <t>400W</t>
  </si>
  <si>
    <t xml:space="preserve"> - </t>
  </si>
  <si>
    <r>
      <t xml:space="preserve">
</t>
    </r>
    <r>
      <rPr>
        <b/>
        <sz val="11"/>
        <color theme="1"/>
        <rFont val="Calibri"/>
        <family val="2"/>
        <scheme val="minor"/>
      </rPr>
      <t>Security Light</t>
    </r>
    <r>
      <rPr>
        <sz val="11"/>
        <color theme="1"/>
        <rFont val="Calibri"/>
        <family val="2"/>
        <scheme val="minor"/>
      </rPr>
      <t xml:space="preserve">
Provision of security flood lighting (night watch) as requested of a customer to provide lighting to a private property.</t>
    </r>
  </si>
  <si>
    <t>Fixed Fee (Monthly)</t>
  </si>
  <si>
    <t>Materials</t>
  </si>
  <si>
    <t>Direct Labour Rate (incl on-costs)</t>
  </si>
  <si>
    <t>Fleet rate</t>
  </si>
  <si>
    <t>Total Material Cost</t>
  </si>
  <si>
    <t>Direct cost per service</t>
  </si>
  <si>
    <t>FY2019 Fully Loaded Costs</t>
  </si>
  <si>
    <t>Contractor (T/C)</t>
  </si>
  <si>
    <t>Opex Recovery</t>
  </si>
  <si>
    <t>Installation - Labour</t>
  </si>
  <si>
    <t>Repairs - Labour</t>
  </si>
  <si>
    <t>Usage</t>
  </si>
  <si>
    <t>Nightvision Bracket</t>
  </si>
  <si>
    <t>Misc Parts</t>
  </si>
  <si>
    <t>Luminaire</t>
  </si>
  <si>
    <t>Labour</t>
  </si>
  <si>
    <t>Labour - Installation</t>
  </si>
  <si>
    <t>Labour (Inc Oncosts)</t>
  </si>
  <si>
    <t>Plant</t>
  </si>
  <si>
    <t>Plant (Inc Oncosts)</t>
  </si>
  <si>
    <t>Traffic Control</t>
  </si>
  <si>
    <t>Fleet</t>
  </si>
  <si>
    <t>CAPEX RECOVERY</t>
  </si>
  <si>
    <t>Spot Replacement</t>
  </si>
  <si>
    <t>Bulk Replacement</t>
  </si>
  <si>
    <t>Labour Repairs - Bulk</t>
  </si>
  <si>
    <t>Labour Repairs - Spot</t>
  </si>
  <si>
    <t>Plant - Installation</t>
  </si>
  <si>
    <t>Labour - Repairs</t>
  </si>
  <si>
    <t>Contractor - Repairs</t>
  </si>
  <si>
    <t>Contractor - Installation</t>
  </si>
  <si>
    <t>OPEX  RECOVERY</t>
  </si>
  <si>
    <t>Material Cost (Inc Oncost )</t>
  </si>
  <si>
    <t>Material Cost (lnc Oncosts)</t>
  </si>
  <si>
    <t>Nightwatch Lights 400W - Fixed Fee / month</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</si>
  <si>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relevant employee class an hourly rate ($2018/19) was calculated having regard to the base rate plus statutory on-costs and multiplied by the applicable hours to determine the direct unit cost for each task. The direct unit cost of all tasks relevant to the specific service was then totalled to derive the overall direct unit rate for each service. 
-  The forecast unit rate was applied to the volumes forecast for the 2019 - 2024 regulatory period for this ancillary network service, to calculate an estimate for direct operating expenditure for this ancillary network service. 
-  Overheads were applied to the direct costs based on our Cost Allocation Methodology (CAM).
</t>
  </si>
  <si>
    <t xml:space="preserve">Current Fee ($2017/2018 - Excl GST) - </t>
  </si>
  <si>
    <t>Capital recovery period (years)</t>
  </si>
  <si>
    <t>Pre Tax Real WACC</t>
  </si>
  <si>
    <t>Margin</t>
  </si>
  <si>
    <t>CAPEX Inputs</t>
  </si>
  <si>
    <t>OPEX Inputs</t>
  </si>
  <si>
    <t>Lamp life (years)</t>
  </si>
  <si>
    <t>Spot replacment man hours</t>
  </si>
  <si>
    <t>Total (Monthly)</t>
  </si>
  <si>
    <t>Houlry labour rate (oncosted)</t>
  </si>
  <si>
    <t>Hourly plant rate (oncosted)</t>
  </si>
  <si>
    <t>Monthy materials recovery</t>
  </si>
  <si>
    <t>ENERGY CONSUMPTION</t>
  </si>
  <si>
    <t>Peak</t>
  </si>
  <si>
    <t>Off Peak</t>
  </si>
  <si>
    <t>Shoulder</t>
  </si>
  <si>
    <t>Proportion</t>
  </si>
  <si>
    <t>Rate</t>
  </si>
  <si>
    <t>Burning hours per year</t>
  </si>
  <si>
    <t>Total Load</t>
  </si>
  <si>
    <t>250W HPS</t>
  </si>
  <si>
    <t>400W HPS</t>
  </si>
  <si>
    <t>1000W HPS</t>
  </si>
  <si>
    <t>250W MH</t>
  </si>
  <si>
    <t>400W MH</t>
  </si>
  <si>
    <t>1000W MH</t>
  </si>
  <si>
    <t>Annual kWh</t>
  </si>
  <si>
    <t>Consumption</t>
  </si>
  <si>
    <t>Average rate c/kWh</t>
  </si>
  <si>
    <t>Annual charge  for 250W</t>
  </si>
  <si>
    <t>Annual charge  for 400W</t>
  </si>
  <si>
    <t>Profit margin per service</t>
  </si>
  <si>
    <t>Monthly charge for 250W</t>
  </si>
  <si>
    <t>Monthly charge for 400W</t>
  </si>
  <si>
    <t>Installation fee</t>
  </si>
  <si>
    <t>Total (less installation fee)</t>
  </si>
  <si>
    <t>**</t>
  </si>
  <si>
    <t>**Can be waived if customer is willing to enter contract longer than capital recovery period</t>
  </si>
  <si>
    <t>##</t>
  </si>
  <si>
    <t>## Based on most recent invoice from Origin (Invoice Ref: OMS108 2018 07_04)</t>
  </si>
  <si>
    <t>Nightwatch Lights 1000W - Fixed Fee / month</t>
  </si>
  <si>
    <t>Annual charge  for 1000W</t>
  </si>
  <si>
    <t>Monthly charge for 1000W</t>
  </si>
  <si>
    <t>1000W</t>
  </si>
  <si>
    <t>Included in Fixed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</si>
</sst>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 #,##0_-;\-* #,##0_-;_-* &quot;-&quot;??_-;_-@_-"/>
    <numFmt numFmtId="168" formatCode="&quot;$&quot;#,##0.00"/>
    <numFmt numFmtId="169" formatCode="#,##0.00\ ;\(#,##0.00\);\-\ "/>
    <numFmt numFmtId="170" formatCode="#,##0\ ;\(#,##0\);\-\ "/>
  </numFmts>
  <fonts count="25"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Arial"/>
      <family val="2"/>
    </font>
    <font>
      <b/>
      <sz val="10"/>
      <color theme="0"/>
      <name val="Arial"/>
      <family val="2"/>
    </font>
    <font>
      <b/>
      <sz val="10"/>
      <color theme="1"/>
      <name val="Arial"/>
      <family val="2"/>
    </font>
    <font>
      <b/>
      <sz val="10"/>
      <name val="Arial"/>
      <family val="2"/>
    </font>
    <font>
      <sz val="10"/>
      <color theme="0"/>
      <name val="Arial"/>
      <family val="2"/>
    </font>
    <font>
      <sz val="10"/>
      <color rgb="FFFF0000"/>
      <name val="Arial"/>
      <family val="2"/>
    </font>
    <font>
      <b/>
      <sz val="10"/>
      <color rgb="FFFF0000"/>
      <name val="Arial"/>
      <family val="2"/>
    </font>
    <font>
      <b/>
      <sz val="11"/>
      <color theme="1"/>
      <name val="Calibri"/>
      <family val="2"/>
      <scheme val="minor"/>
    </font>
    <font>
      <b/>
      <sz val="10"/>
      <color theme="0"/>
      <name val="Arial"/>
      <family val="2"/>
    </font>
    <font>
      <sz val="10"/>
      <color theme="0"/>
      <name val="Arial"/>
      <family val="2"/>
    </font>
    <font>
      <sz val="10"/>
      <color theme="1"/>
      <name val="Arial"/>
      <family val="2"/>
    </font>
    <font>
      <b/>
      <sz val="10"/>
      <name val="Arial"/>
      <family val="2"/>
    </font>
    <font>
      <b/>
      <sz val="10"/>
      <color theme="1"/>
      <name val="Arial"/>
      <family val="2"/>
    </font>
    <font>
      <b/>
      <sz val="7"/>
      <color theme="1"/>
      <name val="Arial"/>
      <family val="2"/>
    </font>
    <font>
      <b/>
      <sz val="7"/>
      <name val="Arial"/>
      <family val="2"/>
    </font>
    <font>
      <sz val="10"/>
      <name val="Arial"/>
      <family val="2"/>
    </font>
    <font>
      <sz val="10"/>
      <color rgb="FF0065A6"/>
      <name val="Arial"/>
      <family val="2"/>
    </font>
    <font>
      <b/>
      <sz val="8"/>
      <color theme="1"/>
      <name val="Arial"/>
      <family val="2"/>
    </font>
    <font>
      <sz val="9"/>
      <color indexed="81"/>
      <name val="Tahoma"/>
      <family val="2"/>
    </font>
    <font>
      <b/>
      <sz val="9"/>
      <color indexed="81"/>
      <name val="Tahoma"/>
      <family val="2"/>
    </font>
    <font>
      <sz val="11"/>
      <color indexed="8"/>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rgb="FF5E6A71"/>
        <bgColor indexed="64"/>
      </patternFill>
    </fill>
    <fill>
      <patternFill patternType="solid">
        <fgColor rgb="FFBFBFBF"/>
        <bgColor indexed="64"/>
      </patternFill>
    </fill>
    <fill>
      <patternFill patternType="solid">
        <fgColor rgb="FFD9D9D9"/>
        <bgColor indexed="64"/>
      </patternFill>
    </fill>
    <fill>
      <patternFill patternType="solid">
        <fgColor rgb="FFA6A6A6"/>
        <bgColor indexed="64"/>
      </patternFill>
    </fill>
    <fill>
      <patternFill patternType="solid">
        <fgColor rgb="FF92D050"/>
        <bgColor indexed="64"/>
      </patternFill>
    </fill>
    <fill>
      <patternFill patternType="solid">
        <fgColor theme="4" tint="0.79998168889431442"/>
        <bgColor indexed="64"/>
      </patternFill>
    </fill>
  </fills>
  <borders count="22">
    <border>
      <left/>
      <right/>
      <top/>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4" fillId="0" borderId="0"/>
    <xf numFmtId="43" fontId="24" fillId="0" borderId="0" applyFont="0" applyFill="0" applyBorder="0" applyAlignment="0" applyProtection="0"/>
  </cellStyleXfs>
  <cellXfs count="153">
    <xf numFmtId="0" fontId="0" fillId="0" borderId="0" xfId="0"/>
    <xf numFmtId="0" fontId="2" fillId="0" borderId="0" xfId="0" applyFont="1"/>
    <xf numFmtId="0" fontId="6" fillId="0" borderId="0" xfId="0" applyFont="1"/>
    <xf numFmtId="0" fontId="2" fillId="0" borderId="0" xfId="0" applyFont="1" applyBorder="1"/>
    <xf numFmtId="0" fontId="2" fillId="0" borderId="0" xfId="0" applyFont="1" applyFill="1"/>
    <xf numFmtId="0" fontId="5" fillId="0" borderId="0" xfId="0" applyFont="1" applyFill="1" applyAlignment="1">
      <alignment horizontal="left"/>
    </xf>
    <xf numFmtId="168" fontId="5" fillId="5" borderId="4" xfId="0" applyNumberFormat="1" applyFont="1" applyFill="1" applyBorder="1" applyAlignment="1">
      <alignment horizontal="center" vertical="center" wrapText="1"/>
    </xf>
    <xf numFmtId="168" fontId="4" fillId="7" borderId="4" xfId="0" applyNumberFormat="1" applyFont="1" applyFill="1" applyBorder="1" applyAlignment="1">
      <alignment horizontal="center"/>
    </xf>
    <xf numFmtId="0" fontId="8" fillId="0" borderId="0" xfId="0" applyFont="1"/>
    <xf numFmtId="168" fontId="2" fillId="0" borderId="0" xfId="0" applyNumberFormat="1" applyFont="1" applyAlignment="1">
      <alignment horizontal="center"/>
    </xf>
    <xf numFmtId="0" fontId="2" fillId="0" borderId="6" xfId="0" applyFont="1" applyBorder="1"/>
    <xf numFmtId="0" fontId="4" fillId="7" borderId="4" xfId="0" applyFont="1" applyFill="1" applyBorder="1" applyAlignment="1">
      <alignment horizontal="left" vertical="center"/>
    </xf>
    <xf numFmtId="1" fontId="5" fillId="5" borderId="0" xfId="0" applyNumberFormat="1" applyFont="1" applyFill="1" applyAlignment="1">
      <alignment horizontal="left"/>
    </xf>
    <xf numFmtId="1" fontId="5" fillId="0" borderId="0" xfId="0" applyNumberFormat="1" applyFont="1" applyFill="1" applyAlignment="1">
      <alignment horizontal="left"/>
    </xf>
    <xf numFmtId="1" fontId="5" fillId="5" borderId="4" xfId="0" applyNumberFormat="1" applyFont="1" applyFill="1" applyBorder="1" applyAlignment="1">
      <alignment horizontal="center" vertical="center" wrapText="1"/>
    </xf>
    <xf numFmtId="1" fontId="8" fillId="0" borderId="0" xfId="0" applyNumberFormat="1" applyFont="1"/>
    <xf numFmtId="1" fontId="2" fillId="0" borderId="0" xfId="0" applyNumberFormat="1" applyFont="1"/>
    <xf numFmtId="2" fontId="5" fillId="5" borderId="4" xfId="0" applyNumberFormat="1" applyFont="1" applyFill="1" applyBorder="1" applyAlignment="1">
      <alignment horizontal="center" vertical="center" wrapText="1"/>
    </xf>
    <xf numFmtId="2" fontId="8" fillId="0" borderId="0" xfId="0" applyNumberFormat="1" applyFont="1" applyBorder="1"/>
    <xf numFmtId="2" fontId="2" fillId="0" borderId="0" xfId="0" applyNumberFormat="1" applyFont="1"/>
    <xf numFmtId="2" fontId="4" fillId="7" borderId="4" xfId="3" applyNumberFormat="1" applyFont="1" applyFill="1" applyBorder="1" applyAlignment="1">
      <alignment horizontal="center"/>
    </xf>
    <xf numFmtId="0" fontId="12" fillId="5" borderId="11" xfId="0" applyFont="1" applyFill="1" applyBorder="1"/>
    <xf numFmtId="0" fontId="13" fillId="5" borderId="0" xfId="0" applyFont="1" applyFill="1"/>
    <xf numFmtId="0" fontId="14" fillId="0" borderId="0" xfId="0" applyFont="1"/>
    <xf numFmtId="0" fontId="14" fillId="0" borderId="0" xfId="0" applyFont="1" applyFill="1"/>
    <xf numFmtId="0" fontId="15" fillId="6" borderId="4" xfId="0" applyFont="1" applyFill="1" applyBorder="1"/>
    <xf numFmtId="0" fontId="14" fillId="3" borderId="0" xfId="0" applyFont="1" applyFill="1"/>
    <xf numFmtId="0" fontId="15" fillId="6" borderId="10" xfId="0" applyFont="1" applyFill="1" applyBorder="1"/>
    <xf numFmtId="0" fontId="14" fillId="2" borderId="4" xfId="0" applyFont="1" applyFill="1" applyBorder="1" applyAlignment="1"/>
    <xf numFmtId="0" fontId="14" fillId="4" borderId="0" xfId="0" applyFont="1" applyFill="1" applyBorder="1" applyAlignment="1"/>
    <xf numFmtId="0" fontId="17" fillId="4" borderId="0" xfId="0" applyFont="1" applyFill="1" applyBorder="1" applyAlignment="1">
      <alignment horizontal="center" vertical="center" wrapText="1"/>
    </xf>
    <xf numFmtId="0" fontId="15" fillId="6" borderId="5" xfId="0" applyFont="1" applyFill="1" applyBorder="1"/>
    <xf numFmtId="0" fontId="17" fillId="2" borderId="4" xfId="0" applyFont="1" applyFill="1" applyBorder="1" applyAlignment="1">
      <alignment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5" fillId="6" borderId="4" xfId="0" applyFont="1" applyFill="1" applyBorder="1" applyAlignment="1">
      <alignment horizontal="left" vertical="center"/>
    </xf>
    <xf numFmtId="0" fontId="16" fillId="4" borderId="0" xfId="0" applyFont="1" applyFill="1" applyBorder="1" applyAlignment="1">
      <alignment horizontal="left"/>
    </xf>
    <xf numFmtId="0" fontId="12" fillId="5" borderId="5" xfId="0" applyFont="1" applyFill="1" applyBorder="1"/>
    <xf numFmtId="0" fontId="13" fillId="5" borderId="2" xfId="0" applyFont="1" applyFill="1" applyBorder="1"/>
    <xf numFmtId="0" fontId="13" fillId="5" borderId="3" xfId="0" applyFont="1" applyFill="1" applyBorder="1"/>
    <xf numFmtId="0" fontId="14" fillId="4" borderId="0" xfId="0" applyFont="1" applyFill="1" applyBorder="1" applyAlignment="1">
      <alignment horizontal="left" vertical="top" wrapText="1"/>
    </xf>
    <xf numFmtId="0" fontId="12" fillId="5" borderId="0" xfId="0" applyFont="1" applyFill="1"/>
    <xf numFmtId="0" fontId="14" fillId="4" borderId="0" xfId="0" applyFont="1" applyFill="1" applyBorder="1" applyAlignment="1">
      <alignment horizontal="left" wrapText="1"/>
    </xf>
    <xf numFmtId="0" fontId="14" fillId="4" borderId="0" xfId="0" applyFont="1" applyFill="1" applyBorder="1" applyAlignment="1">
      <alignment horizontal="left"/>
    </xf>
    <xf numFmtId="0" fontId="14" fillId="0" borderId="0" xfId="0" applyFont="1" applyAlignment="1">
      <alignment horizontal="left"/>
    </xf>
    <xf numFmtId="0" fontId="14" fillId="0" borderId="0" xfId="0" applyFont="1" applyFill="1" applyBorder="1" applyAlignment="1">
      <alignment horizontal="left"/>
    </xf>
    <xf numFmtId="0" fontId="15" fillId="2" borderId="3" xfId="0" applyFont="1" applyFill="1" applyBorder="1"/>
    <xf numFmtId="0" fontId="14" fillId="4" borderId="0" xfId="0" applyFont="1" applyFill="1" applyAlignment="1">
      <alignment horizontal="left"/>
    </xf>
    <xf numFmtId="0" fontId="15" fillId="2" borderId="1" xfId="0" applyFont="1" applyFill="1" applyBorder="1"/>
    <xf numFmtId="0" fontId="15" fillId="6" borderId="6" xfId="0" applyFont="1" applyFill="1" applyBorder="1" applyAlignment="1">
      <alignment horizontal="left"/>
    </xf>
    <xf numFmtId="0" fontId="15" fillId="6" borderId="7" xfId="0" applyFont="1" applyFill="1" applyBorder="1" applyAlignment="1">
      <alignment horizontal="right"/>
    </xf>
    <xf numFmtId="0" fontId="15" fillId="6" borderId="8" xfId="0" applyFont="1" applyFill="1" applyBorder="1" applyAlignment="1">
      <alignment horizontal="right"/>
    </xf>
    <xf numFmtId="166" fontId="19" fillId="0" borderId="0" xfId="2" applyNumberFormat="1" applyFont="1"/>
    <xf numFmtId="166" fontId="15" fillId="2" borderId="7" xfId="2" applyNumberFormat="1" applyFont="1" applyFill="1" applyBorder="1"/>
    <xf numFmtId="10" fontId="14" fillId="0" borderId="0" xfId="1" applyNumberFormat="1" applyFont="1"/>
    <xf numFmtId="10" fontId="14" fillId="0" borderId="0" xfId="0" applyNumberFormat="1" applyFont="1"/>
    <xf numFmtId="169" fontId="14" fillId="0" borderId="0" xfId="1" applyNumberFormat="1" applyFont="1"/>
    <xf numFmtId="0" fontId="12" fillId="5" borderId="6" xfId="0" applyFont="1" applyFill="1" applyBorder="1" applyAlignment="1">
      <alignment horizontal="left"/>
    </xf>
    <xf numFmtId="0" fontId="16" fillId="0" borderId="0" xfId="0" applyFont="1"/>
    <xf numFmtId="0" fontId="15" fillId="2" borderId="6" xfId="0" applyFont="1" applyFill="1" applyBorder="1" applyAlignment="1">
      <alignment horizontal="left"/>
    </xf>
    <xf numFmtId="0" fontId="15" fillId="2" borderId="7" xfId="0" applyFont="1" applyFill="1" applyBorder="1" applyAlignment="1">
      <alignment horizontal="right"/>
    </xf>
    <xf numFmtId="0" fontId="15" fillId="2" borderId="8" xfId="0" applyFont="1" applyFill="1" applyBorder="1" applyAlignment="1">
      <alignment horizontal="right"/>
    </xf>
    <xf numFmtId="167" fontId="19" fillId="0" borderId="0" xfId="3" applyNumberFormat="1" applyFont="1" applyAlignment="1"/>
    <xf numFmtId="170" fontId="15" fillId="2" borderId="7" xfId="2" applyNumberFormat="1" applyFont="1" applyFill="1" applyBorder="1" applyAlignment="1"/>
    <xf numFmtId="167" fontId="20" fillId="0" borderId="0" xfId="3" applyNumberFormat="1" applyFont="1" applyAlignment="1">
      <alignment horizontal="right"/>
    </xf>
    <xf numFmtId="167" fontId="20" fillId="0" borderId="0" xfId="3" applyNumberFormat="1" applyFont="1" applyAlignment="1">
      <alignment horizontal="center" vertical="center"/>
    </xf>
    <xf numFmtId="168" fontId="4" fillId="7" borderId="4" xfId="3" applyNumberFormat="1" applyFont="1" applyFill="1" applyBorder="1" applyAlignment="1">
      <alignment horizontal="center"/>
    </xf>
    <xf numFmtId="1" fontId="4" fillId="7" borderId="4" xfId="0" applyNumberFormat="1" applyFont="1" applyFill="1" applyBorder="1" applyAlignment="1">
      <alignment horizontal="center"/>
    </xf>
    <xf numFmtId="0" fontId="7" fillId="2" borderId="6" xfId="0" applyFont="1" applyFill="1" applyBorder="1"/>
    <xf numFmtId="0" fontId="5" fillId="5" borderId="8" xfId="0" applyFont="1" applyFill="1" applyBorder="1" applyAlignment="1"/>
    <xf numFmtId="0" fontId="5" fillId="5" borderId="0" xfId="0" applyFont="1" applyFill="1" applyBorder="1" applyAlignment="1"/>
    <xf numFmtId="0" fontId="21" fillId="2" borderId="4" xfId="0" applyFont="1" applyFill="1" applyBorder="1" applyAlignment="1">
      <alignment horizontal="center" vertical="center"/>
    </xf>
    <xf numFmtId="168" fontId="2" fillId="4" borderId="4" xfId="0" applyNumberFormat="1" applyFont="1" applyFill="1" applyBorder="1" applyAlignment="1">
      <alignment horizontal="left"/>
    </xf>
    <xf numFmtId="0" fontId="14" fillId="4" borderId="0" xfId="0" applyFont="1" applyFill="1" applyBorder="1" applyAlignment="1">
      <alignment horizontal="center" vertical="center"/>
    </xf>
    <xf numFmtId="0" fontId="15" fillId="6" borderId="7" xfId="0" applyFont="1" applyFill="1" applyBorder="1" applyAlignment="1">
      <alignment horizontal="left" vertical="center"/>
    </xf>
    <xf numFmtId="0" fontId="7" fillId="7" borderId="4" xfId="0" applyFont="1" applyFill="1" applyBorder="1" applyAlignment="1">
      <alignment horizontal="left" vertical="center"/>
    </xf>
    <xf numFmtId="0" fontId="2" fillId="4" borderId="4" xfId="0" applyFont="1" applyFill="1" applyBorder="1" applyAlignment="1">
      <alignment vertical="center"/>
    </xf>
    <xf numFmtId="168" fontId="2" fillId="4" borderId="4" xfId="0" applyNumberFormat="1" applyFont="1" applyFill="1" applyBorder="1" applyAlignment="1">
      <alignment horizontal="center" vertical="center"/>
    </xf>
    <xf numFmtId="0" fontId="5" fillId="5" borderId="0" xfId="0" applyFont="1" applyFill="1" applyAlignment="1">
      <alignment horizontal="left"/>
    </xf>
    <xf numFmtId="0" fontId="2" fillId="8" borderId="0" xfId="0" applyFont="1" applyFill="1" applyBorder="1"/>
    <xf numFmtId="0" fontId="4" fillId="7" borderId="13" xfId="0" applyFont="1" applyFill="1" applyBorder="1" applyAlignment="1">
      <alignment horizontal="left" vertical="center"/>
    </xf>
    <xf numFmtId="168" fontId="7" fillId="8" borderId="0" xfId="0" applyNumberFormat="1" applyFont="1" applyFill="1" applyBorder="1" applyAlignment="1"/>
    <xf numFmtId="0" fontId="5" fillId="5" borderId="4" xfId="0" applyFont="1" applyFill="1" applyBorder="1" applyAlignment="1">
      <alignment horizontal="center" vertical="center"/>
    </xf>
    <xf numFmtId="4" fontId="4" fillId="7" borderId="13" xfId="0" applyNumberFormat="1" applyFont="1" applyFill="1" applyBorder="1" applyAlignment="1">
      <alignment horizontal="center"/>
    </xf>
    <xf numFmtId="4" fontId="7" fillId="7" borderId="13" xfId="0" applyNumberFormat="1" applyFont="1" applyFill="1" applyBorder="1" applyAlignment="1">
      <alignment horizontal="center"/>
    </xf>
    <xf numFmtId="2" fontId="4" fillId="7" borderId="10" xfId="0" applyNumberFormat="1" applyFont="1" applyFill="1" applyBorder="1" applyAlignment="1">
      <alignment horizontal="center"/>
    </xf>
    <xf numFmtId="2" fontId="4" fillId="7" borderId="4" xfId="0" applyNumberFormat="1" applyFont="1" applyFill="1" applyBorder="1" applyAlignment="1">
      <alignment horizontal="center"/>
    </xf>
    <xf numFmtId="2" fontId="7" fillId="8" borderId="4" xfId="0" applyNumberFormat="1" applyFont="1" applyFill="1" applyBorder="1" applyAlignment="1">
      <alignment horizontal="center" vertical="center"/>
    </xf>
    <xf numFmtId="2" fontId="4" fillId="7" borderId="8" xfId="0" applyNumberFormat="1" applyFont="1" applyFill="1" applyBorder="1" applyAlignment="1">
      <alignment horizontal="center"/>
    </xf>
    <xf numFmtId="4" fontId="4" fillId="7" borderId="15" xfId="0" applyNumberFormat="1" applyFont="1" applyFill="1" applyBorder="1" applyAlignment="1">
      <alignment horizontal="center"/>
    </xf>
    <xf numFmtId="168" fontId="8" fillId="0" borderId="0" xfId="0" applyNumberFormat="1" applyFont="1" applyBorder="1" applyAlignment="1">
      <alignment horizontal="center"/>
    </xf>
    <xf numFmtId="0" fontId="5" fillId="5" borderId="0" xfId="0" applyFont="1" applyFill="1" applyAlignment="1">
      <alignment horizontal="left"/>
    </xf>
    <xf numFmtId="0" fontId="5" fillId="5" borderId="8" xfId="0" applyNumberFormat="1" applyFont="1" applyFill="1" applyBorder="1" applyAlignment="1">
      <alignment horizontal="left"/>
    </xf>
    <xf numFmtId="0" fontId="6" fillId="0" borderId="12" xfId="0" applyFont="1" applyBorder="1"/>
    <xf numFmtId="164" fontId="2" fillId="0" borderId="12" xfId="2" applyFont="1" applyBorder="1"/>
    <xf numFmtId="0" fontId="2" fillId="0" borderId="12" xfId="0" applyFont="1" applyBorder="1"/>
    <xf numFmtId="0" fontId="6" fillId="0" borderId="12" xfId="0" applyFont="1" applyBorder="1" applyAlignment="1">
      <alignment horizontal="right"/>
    </xf>
    <xf numFmtId="4" fontId="4" fillId="7" borderId="4" xfId="3" applyNumberFormat="1" applyFont="1" applyFill="1" applyBorder="1" applyAlignment="1">
      <alignment horizontal="center"/>
    </xf>
    <xf numFmtId="168" fontId="2" fillId="0" borderId="12" xfId="0" applyNumberFormat="1" applyFont="1" applyBorder="1"/>
    <xf numFmtId="168" fontId="2" fillId="0" borderId="0" xfId="0" applyNumberFormat="1" applyFont="1" applyBorder="1"/>
    <xf numFmtId="0" fontId="6" fillId="0" borderId="0" xfId="0" applyFont="1" applyBorder="1"/>
    <xf numFmtId="9" fontId="2" fillId="0" borderId="17" xfId="0" applyNumberFormat="1" applyFont="1" applyBorder="1" applyAlignment="1">
      <alignment horizontal="center"/>
    </xf>
    <xf numFmtId="0" fontId="2" fillId="0" borderId="17" xfId="0" applyFont="1" applyBorder="1" applyAlignment="1">
      <alignment horizontal="center"/>
    </xf>
    <xf numFmtId="1" fontId="2" fillId="0" borderId="17" xfId="0" applyNumberFormat="1" applyFont="1" applyBorder="1" applyAlignment="1">
      <alignment horizontal="center"/>
    </xf>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17" xfId="0" applyFont="1" applyBorder="1"/>
    <xf numFmtId="10" fontId="2" fillId="0" borderId="17" xfId="1" applyNumberFormat="1" applyFont="1" applyBorder="1"/>
    <xf numFmtId="0" fontId="2" fillId="9" borderId="18" xfId="0" applyFont="1" applyFill="1" applyBorder="1"/>
    <xf numFmtId="0" fontId="2" fillId="9" borderId="19" xfId="0" applyFont="1" applyFill="1" applyBorder="1"/>
    <xf numFmtId="0" fontId="2" fillId="9" borderId="17" xfId="0" applyFont="1" applyFill="1" applyBorder="1" applyAlignment="1">
      <alignment horizontal="center"/>
    </xf>
    <xf numFmtId="1" fontId="2" fillId="9" borderId="17" xfId="0" applyNumberFormat="1" applyFont="1" applyFill="1" applyBorder="1" applyAlignment="1">
      <alignment horizontal="center"/>
    </xf>
    <xf numFmtId="8" fontId="2" fillId="0" borderId="17" xfId="1" applyNumberFormat="1" applyFont="1" applyBorder="1"/>
    <xf numFmtId="1" fontId="4" fillId="0" borderId="0" xfId="0" applyNumberFormat="1" applyFont="1"/>
    <xf numFmtId="2" fontId="10" fillId="8" borderId="4" xfId="0" applyNumberFormat="1" applyFont="1" applyFill="1" applyBorder="1" applyAlignment="1">
      <alignment horizontal="center" vertical="center"/>
    </xf>
    <xf numFmtId="0" fontId="5" fillId="5" borderId="0" xfId="0" applyFont="1" applyFill="1" applyAlignment="1">
      <alignment horizontal="left"/>
    </xf>
    <xf numFmtId="0" fontId="2" fillId="0" borderId="17" xfId="0" applyFont="1" applyBorder="1" applyAlignment="1">
      <alignment horizontal="left"/>
    </xf>
    <xf numFmtId="168" fontId="2" fillId="0" borderId="17" xfId="0" applyNumberFormat="1" applyFont="1" applyBorder="1" applyAlignment="1">
      <alignment horizontal="center"/>
    </xf>
    <xf numFmtId="0" fontId="6" fillId="0" borderId="0" xfId="0" applyFont="1" applyAlignment="1">
      <alignment horizontal="center"/>
    </xf>
    <xf numFmtId="0" fontId="2" fillId="0" borderId="0" xfId="0" applyFont="1" applyAlignment="1">
      <alignment horizontal="center"/>
    </xf>
    <xf numFmtId="4" fontId="6" fillId="0" borderId="0" xfId="0" applyNumberFormat="1" applyFont="1" applyBorder="1"/>
    <xf numFmtId="0" fontId="14" fillId="4" borderId="0" xfId="0" applyFont="1" applyFill="1" applyBorder="1" applyAlignment="1">
      <alignment horizontal="center" vertical="center"/>
    </xf>
    <xf numFmtId="0" fontId="15" fillId="6" borderId="7" xfId="0" applyFont="1" applyFill="1" applyBorder="1" applyAlignment="1">
      <alignment horizontal="left" vertical="center"/>
    </xf>
    <xf numFmtId="168" fontId="1" fillId="4" borderId="4" xfId="0" applyNumberFormat="1" applyFont="1" applyFill="1" applyBorder="1" applyAlignment="1">
      <alignment horizontal="left"/>
    </xf>
    <xf numFmtId="168" fontId="14" fillId="10" borderId="4" xfId="0" applyNumberFormat="1" applyFont="1" applyFill="1" applyBorder="1" applyAlignment="1">
      <alignment horizontal="center"/>
    </xf>
    <xf numFmtId="168" fontId="1" fillId="10" borderId="4" xfId="0" applyNumberFormat="1" applyFont="1" applyFill="1" applyBorder="1" applyAlignment="1">
      <alignment horizontal="center"/>
    </xf>
    <xf numFmtId="0" fontId="14" fillId="4" borderId="1" xfId="0" applyFont="1" applyFill="1" applyBorder="1" applyAlignment="1">
      <alignment horizontal="left" wrapText="1"/>
    </xf>
    <xf numFmtId="0" fontId="14" fillId="4" borderId="0" xfId="0" applyFont="1" applyFill="1" applyBorder="1" applyAlignment="1">
      <alignment horizontal="left" wrapText="1"/>
    </xf>
    <xf numFmtId="0" fontId="9" fillId="4" borderId="0" xfId="0" applyFont="1" applyFill="1" applyBorder="1" applyAlignment="1">
      <alignment horizontal="left" wrapText="1"/>
    </xf>
    <xf numFmtId="0" fontId="14" fillId="4" borderId="0" xfId="0" quotePrefix="1" applyFont="1" applyFill="1" applyBorder="1" applyAlignment="1">
      <alignment horizontal="left" vertical="top" wrapText="1"/>
    </xf>
    <xf numFmtId="0" fontId="14" fillId="4" borderId="0" xfId="0" applyFont="1" applyFill="1" applyBorder="1" applyAlignment="1">
      <alignment horizontal="left" vertical="top" wrapText="1"/>
    </xf>
    <xf numFmtId="0" fontId="16" fillId="4" borderId="10" xfId="0" applyNumberFormat="1" applyFont="1" applyFill="1" applyBorder="1" applyAlignment="1">
      <alignment horizontal="left" wrapText="1"/>
    </xf>
    <xf numFmtId="0" fontId="16" fillId="4" borderId="1" xfId="0" applyNumberFormat="1" applyFont="1" applyFill="1" applyBorder="1" applyAlignment="1">
      <alignment horizontal="left" wrapText="1"/>
    </xf>
    <xf numFmtId="0" fontId="2"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2" fillId="4" borderId="0" xfId="0" quotePrefix="1" applyFont="1" applyFill="1" applyBorder="1" applyAlignment="1">
      <alignment horizontal="left" vertical="top" wrapText="1"/>
    </xf>
    <xf numFmtId="0" fontId="14" fillId="4" borderId="0" xfId="0" applyFont="1" applyFill="1" applyBorder="1" applyAlignment="1">
      <alignment horizontal="center" vertical="center"/>
    </xf>
    <xf numFmtId="168" fontId="19" fillId="4" borderId="4" xfId="0" applyNumberFormat="1" applyFont="1" applyFill="1" applyBorder="1" applyAlignment="1">
      <alignment horizontal="left"/>
    </xf>
    <xf numFmtId="0" fontId="7" fillId="6" borderId="7" xfId="0" applyFont="1" applyFill="1" applyBorder="1" applyAlignment="1">
      <alignment horizontal="left" vertical="center"/>
    </xf>
    <xf numFmtId="0" fontId="15" fillId="6" borderId="7" xfId="0" applyFont="1" applyFill="1" applyBorder="1" applyAlignment="1">
      <alignment horizontal="left" vertical="center"/>
    </xf>
    <xf numFmtId="0" fontId="7" fillId="6" borderId="9"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6" fillId="0" borderId="0" xfId="0" applyFont="1" applyAlignment="1">
      <alignment horizontal="center"/>
    </xf>
    <xf numFmtId="0" fontId="6" fillId="7" borderId="9"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7" fillId="8" borderId="4" xfId="0" applyFont="1" applyFill="1" applyBorder="1" applyAlignment="1">
      <alignment horizontal="left" vertical="center"/>
    </xf>
    <xf numFmtId="0" fontId="6" fillId="0" borderId="16" xfId="0" applyFont="1" applyBorder="1" applyAlignment="1">
      <alignment horizontal="center"/>
    </xf>
  </cellXfs>
  <cellStyles count="7">
    <cellStyle name="Comma" xfId="3" builtinId="3"/>
    <cellStyle name="Comma 33" xfId="6" xr:uid="{A8AC2F46-E2B1-4BF8-BD25-16B94AB763BD}"/>
    <cellStyle name="Currency" xfId="2" builtinId="4"/>
    <cellStyle name="Currency 2" xfId="4" xr:uid="{00000000-0005-0000-0000-000003000000}"/>
    <cellStyle name="Normal" xfId="0" builtinId="0"/>
    <cellStyle name="Normal 2" xfId="5" xr:uid="{00000000-0005-0000-0000-000005000000}"/>
    <cellStyle name="Percent" xfId="1" builtinId="5"/>
  </cellStyles>
  <dxfs count="0"/>
  <tableStyles count="0" defaultTableStyle="TableStyleMedium9" defaultPivotStyle="PivotStyleLight16"/>
  <colors>
    <mruColors>
      <color rgb="FFD9D9D9"/>
      <color rgb="FFA6A6A6"/>
      <color rgb="FFEAEAEA"/>
      <color rgb="FF5E6A71"/>
      <color rgb="FFBFBFBF"/>
      <color rgb="FFBC921A"/>
      <color rgb="FFE0AE20"/>
      <color rgb="FF006A71"/>
      <color rgb="FFF58025"/>
      <color rgb="FF5D8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S62"/>
  <sheetViews>
    <sheetView showGridLines="0" tabSelected="1" topLeftCell="A28" zoomScaleNormal="100" workbookViewId="0">
      <selection activeCell="B52" sqref="B52:H54"/>
    </sheetView>
  </sheetViews>
  <sheetFormatPr defaultColWidth="9.109375" defaultRowHeight="13.2" x14ac:dyDescent="0.25"/>
  <cols>
    <col min="1" max="1" width="2.44140625" style="23" customWidth="1"/>
    <col min="2" max="2" width="41.88671875" style="23" customWidth="1"/>
    <col min="3" max="3" width="24.88671875" style="23" customWidth="1"/>
    <col min="4" max="4" width="25.88671875" style="23" bestFit="1" customWidth="1"/>
    <col min="5" max="5" width="13.88671875" style="23" customWidth="1"/>
    <col min="6" max="6" width="14" style="23" customWidth="1"/>
    <col min="7" max="7" width="12.88671875" style="23" customWidth="1"/>
    <col min="8" max="8" width="13.33203125" style="23" customWidth="1"/>
    <col min="9" max="9" width="11.5546875" style="23" customWidth="1"/>
    <col min="10" max="16384" width="9.109375" style="23"/>
  </cols>
  <sheetData>
    <row r="2" spans="2:19" x14ac:dyDescent="0.25">
      <c r="B2" s="21" t="s">
        <v>3</v>
      </c>
      <c r="C2" s="22"/>
      <c r="D2" s="22"/>
      <c r="E2" s="22"/>
      <c r="F2" s="22"/>
      <c r="G2" s="22"/>
      <c r="H2" s="22"/>
      <c r="O2" s="24"/>
      <c r="P2" s="24"/>
      <c r="Q2" s="24"/>
      <c r="R2" s="24"/>
      <c r="S2" s="24"/>
    </row>
    <row r="3" spans="2:19" ht="75.75" customHeight="1" x14ac:dyDescent="0.25">
      <c r="B3" s="25" t="s">
        <v>26</v>
      </c>
      <c r="C3" s="133" t="s">
        <v>27</v>
      </c>
      <c r="D3" s="134"/>
      <c r="E3" s="134"/>
      <c r="F3" s="134"/>
      <c r="G3" s="134"/>
      <c r="H3" s="134"/>
      <c r="M3" s="26"/>
      <c r="N3" s="26"/>
      <c r="O3" s="24"/>
      <c r="P3" s="24"/>
      <c r="Q3" s="24"/>
      <c r="R3" s="24"/>
      <c r="S3" s="24"/>
    </row>
    <row r="4" spans="2:19" ht="55.5" customHeight="1" x14ac:dyDescent="0.25">
      <c r="B4" s="27"/>
      <c r="C4" s="28"/>
      <c r="D4" s="28"/>
      <c r="E4" s="29"/>
      <c r="F4" s="30"/>
      <c r="G4" s="30"/>
      <c r="H4" s="30"/>
      <c r="M4" s="26"/>
      <c r="N4" s="26"/>
      <c r="O4" s="24"/>
      <c r="P4" s="24"/>
      <c r="Q4" s="24"/>
      <c r="R4" s="24"/>
      <c r="S4" s="24"/>
    </row>
    <row r="5" spans="2:19" x14ac:dyDescent="0.25">
      <c r="B5" s="31" t="s">
        <v>5</v>
      </c>
      <c r="C5" s="32"/>
      <c r="D5" s="71" t="s">
        <v>45</v>
      </c>
      <c r="E5" s="33"/>
      <c r="F5" s="34"/>
      <c r="G5" s="34"/>
      <c r="H5" s="34"/>
      <c r="M5" s="26"/>
      <c r="N5" s="26"/>
      <c r="O5" s="24"/>
      <c r="P5" s="24"/>
      <c r="Q5" s="24"/>
      <c r="R5" s="24"/>
      <c r="S5" s="24"/>
    </row>
    <row r="6" spans="2:19" ht="15" customHeight="1" x14ac:dyDescent="0.25">
      <c r="B6" s="142" t="s">
        <v>81</v>
      </c>
      <c r="C6" s="76" t="s">
        <v>41</v>
      </c>
      <c r="D6" s="77" t="s">
        <v>43</v>
      </c>
      <c r="E6" s="33"/>
      <c r="F6" s="34"/>
      <c r="G6" s="34"/>
      <c r="H6" s="34"/>
      <c r="M6" s="26"/>
      <c r="N6" s="26"/>
      <c r="O6" s="24"/>
      <c r="P6" s="24"/>
      <c r="Q6" s="24"/>
      <c r="R6" s="24"/>
      <c r="S6" s="24"/>
    </row>
    <row r="7" spans="2:19" x14ac:dyDescent="0.25">
      <c r="B7" s="143"/>
      <c r="C7" s="76" t="s">
        <v>42</v>
      </c>
      <c r="D7" s="77" t="s">
        <v>43</v>
      </c>
      <c r="E7" s="33"/>
      <c r="F7" s="34"/>
      <c r="G7" s="34"/>
      <c r="H7" s="34"/>
      <c r="M7" s="26"/>
      <c r="N7" s="26"/>
      <c r="O7" s="24"/>
      <c r="P7" s="24"/>
      <c r="Q7" s="24"/>
      <c r="R7" s="24"/>
      <c r="S7" s="24"/>
    </row>
    <row r="8" spans="2:19" x14ac:dyDescent="0.25">
      <c r="B8" s="140" t="s">
        <v>32</v>
      </c>
      <c r="C8" s="72" t="s">
        <v>41</v>
      </c>
      <c r="D8" s="126">
        <f>'Proposed price build-up'!L16</f>
        <v>71.560624875075547</v>
      </c>
      <c r="E8" s="138"/>
      <c r="F8" s="138"/>
      <c r="G8" s="138"/>
      <c r="H8" s="138"/>
      <c r="O8" s="24"/>
      <c r="P8" s="24"/>
      <c r="Q8" s="24"/>
      <c r="R8" s="24"/>
      <c r="S8" s="24"/>
    </row>
    <row r="9" spans="2:19" x14ac:dyDescent="0.25">
      <c r="B9" s="141"/>
      <c r="C9" s="72" t="s">
        <v>42</v>
      </c>
      <c r="D9" s="126">
        <f>'Proposed price build-up'!X16</f>
        <v>95.458623542001774</v>
      </c>
      <c r="E9" s="138"/>
      <c r="F9" s="138"/>
      <c r="G9" s="138"/>
      <c r="H9" s="138"/>
      <c r="O9" s="24"/>
      <c r="P9" s="24"/>
      <c r="Q9" s="24"/>
      <c r="R9" s="24"/>
      <c r="S9" s="24"/>
    </row>
    <row r="10" spans="2:19" x14ac:dyDescent="0.25">
      <c r="B10" s="124"/>
      <c r="C10" s="125" t="s">
        <v>124</v>
      </c>
      <c r="D10" s="126">
        <f>'Proposed price build-up'!AJ16</f>
        <v>152.38748540005489</v>
      </c>
      <c r="E10" s="123"/>
      <c r="F10" s="123"/>
      <c r="G10" s="123"/>
      <c r="H10" s="123"/>
      <c r="O10" s="24"/>
      <c r="P10" s="24"/>
      <c r="Q10" s="24"/>
      <c r="R10" s="24"/>
      <c r="S10" s="24"/>
    </row>
    <row r="11" spans="2:19" x14ac:dyDescent="0.25">
      <c r="B11" s="74"/>
      <c r="C11" s="72" t="s">
        <v>56</v>
      </c>
      <c r="D11" s="127" t="s">
        <v>125</v>
      </c>
      <c r="E11" s="73"/>
      <c r="F11" s="73"/>
      <c r="G11" s="73"/>
      <c r="H11" s="73"/>
      <c r="O11" s="24"/>
      <c r="P11" s="24"/>
      <c r="Q11" s="24"/>
      <c r="R11" s="24"/>
      <c r="S11" s="24"/>
    </row>
    <row r="12" spans="2:19" x14ac:dyDescent="0.25">
      <c r="B12" s="35" t="s">
        <v>21</v>
      </c>
      <c r="C12" s="139" t="s">
        <v>28</v>
      </c>
      <c r="D12" s="139"/>
      <c r="E12" s="36"/>
      <c r="F12" s="36"/>
      <c r="G12" s="36"/>
      <c r="H12" s="36"/>
      <c r="O12" s="24"/>
      <c r="P12" s="24"/>
      <c r="Q12" s="24"/>
      <c r="R12" s="24"/>
      <c r="S12" s="24"/>
    </row>
    <row r="13" spans="2:19" x14ac:dyDescent="0.25">
      <c r="B13" s="37" t="s">
        <v>1</v>
      </c>
      <c r="C13" s="38"/>
      <c r="D13" s="38"/>
      <c r="E13" s="38"/>
      <c r="F13" s="38"/>
      <c r="G13" s="38"/>
      <c r="H13" s="39"/>
      <c r="O13" s="24"/>
      <c r="P13" s="24"/>
      <c r="Q13" s="24"/>
      <c r="R13" s="24"/>
      <c r="S13" s="24"/>
    </row>
    <row r="14" spans="2:19" ht="89.25" customHeight="1" x14ac:dyDescent="0.25">
      <c r="B14" s="135" t="s">
        <v>44</v>
      </c>
      <c r="C14" s="136"/>
      <c r="D14" s="136"/>
      <c r="E14" s="136"/>
      <c r="F14" s="136"/>
      <c r="G14" s="136"/>
      <c r="H14" s="136"/>
      <c r="O14" s="24"/>
      <c r="P14" s="24"/>
      <c r="Q14" s="24"/>
      <c r="R14" s="24"/>
      <c r="S14" s="24"/>
    </row>
    <row r="15" spans="2:19" x14ac:dyDescent="0.25">
      <c r="B15" s="40"/>
      <c r="C15" s="40"/>
      <c r="D15" s="40"/>
      <c r="E15" s="40"/>
      <c r="F15" s="40"/>
      <c r="G15" s="40"/>
      <c r="H15" s="40"/>
      <c r="O15" s="24"/>
      <c r="P15" s="24"/>
      <c r="Q15" s="24"/>
      <c r="R15" s="24"/>
      <c r="S15" s="24"/>
    </row>
    <row r="16" spans="2:19" x14ac:dyDescent="0.25">
      <c r="O16" s="24"/>
      <c r="P16" s="24"/>
      <c r="Q16" s="24"/>
      <c r="R16" s="24"/>
      <c r="S16" s="24"/>
    </row>
    <row r="17" spans="2:19" x14ac:dyDescent="0.25">
      <c r="B17" s="41" t="s">
        <v>11</v>
      </c>
      <c r="C17" s="22"/>
      <c r="D17" s="22"/>
      <c r="E17" s="22"/>
      <c r="F17" s="22"/>
      <c r="G17" s="22"/>
      <c r="H17" s="22"/>
      <c r="O17" s="24"/>
      <c r="P17" s="24"/>
      <c r="Q17" s="24"/>
      <c r="R17" s="24"/>
      <c r="S17" s="24"/>
    </row>
    <row r="18" spans="2:19" x14ac:dyDescent="0.25">
      <c r="B18" s="129"/>
      <c r="C18" s="129"/>
      <c r="D18" s="129"/>
      <c r="E18" s="129"/>
      <c r="F18" s="129"/>
      <c r="G18" s="129"/>
      <c r="H18" s="129"/>
    </row>
    <row r="19" spans="2:19" ht="112.5" customHeight="1" x14ac:dyDescent="0.25">
      <c r="B19" s="137" t="s">
        <v>80</v>
      </c>
      <c r="C19" s="137"/>
      <c r="D19" s="137"/>
      <c r="E19" s="137"/>
      <c r="F19" s="137"/>
      <c r="G19" s="137"/>
      <c r="H19" s="137"/>
      <c r="I19" s="24"/>
    </row>
    <row r="20" spans="2:19" x14ac:dyDescent="0.25">
      <c r="B20" s="43"/>
      <c r="C20" s="43"/>
      <c r="D20" s="43"/>
      <c r="E20" s="43"/>
      <c r="F20" s="43"/>
      <c r="G20" s="43"/>
      <c r="H20" s="43"/>
    </row>
    <row r="21" spans="2:19" x14ac:dyDescent="0.25">
      <c r="B21" s="44"/>
      <c r="C21" s="44"/>
      <c r="D21" s="44"/>
      <c r="E21" s="44"/>
      <c r="F21" s="44"/>
      <c r="G21" s="44"/>
      <c r="H21" s="44"/>
    </row>
    <row r="22" spans="2:19" x14ac:dyDescent="0.25">
      <c r="B22" s="41" t="s">
        <v>18</v>
      </c>
      <c r="C22" s="22"/>
      <c r="D22" s="22"/>
      <c r="E22" s="22"/>
      <c r="F22" s="22"/>
      <c r="G22" s="22"/>
      <c r="H22" s="22"/>
    </row>
    <row r="23" spans="2:19" x14ac:dyDescent="0.25">
      <c r="B23" s="130" t="s">
        <v>38</v>
      </c>
      <c r="C23" s="130"/>
      <c r="D23" s="130"/>
      <c r="E23" s="130"/>
      <c r="F23" s="130"/>
      <c r="G23" s="130"/>
      <c r="H23" s="130"/>
    </row>
    <row r="24" spans="2:19" x14ac:dyDescent="0.25">
      <c r="B24" s="131"/>
      <c r="C24" s="131"/>
      <c r="D24" s="131"/>
      <c r="E24" s="131"/>
      <c r="F24" s="131"/>
      <c r="G24" s="131"/>
      <c r="H24" s="131"/>
    </row>
    <row r="25" spans="2:19" x14ac:dyDescent="0.25">
      <c r="B25" s="131"/>
      <c r="C25" s="131"/>
      <c r="D25" s="131"/>
      <c r="E25" s="131"/>
      <c r="F25" s="131"/>
      <c r="G25" s="131"/>
      <c r="H25" s="131"/>
    </row>
    <row r="26" spans="2:19" x14ac:dyDescent="0.25">
      <c r="B26" s="131"/>
      <c r="C26" s="132"/>
      <c r="D26" s="132"/>
      <c r="E26" s="132"/>
      <c r="F26" s="132"/>
      <c r="G26" s="132"/>
      <c r="H26" s="132"/>
    </row>
    <row r="27" spans="2:19" x14ac:dyDescent="0.25">
      <c r="B27" s="42"/>
      <c r="C27" s="42"/>
      <c r="D27" s="42"/>
      <c r="E27" s="42"/>
      <c r="F27" s="42"/>
      <c r="G27" s="42"/>
      <c r="H27" s="42"/>
    </row>
    <row r="28" spans="2:19" x14ac:dyDescent="0.25">
      <c r="B28" s="129"/>
      <c r="C28" s="129"/>
      <c r="D28" s="129"/>
      <c r="E28" s="129"/>
      <c r="F28" s="129"/>
      <c r="G28" s="129"/>
      <c r="H28" s="129"/>
    </row>
    <row r="29" spans="2:19" x14ac:dyDescent="0.25">
      <c r="B29" s="43"/>
      <c r="C29" s="43"/>
      <c r="D29" s="43"/>
      <c r="E29" s="43"/>
      <c r="F29" s="43"/>
      <c r="G29" s="43"/>
      <c r="H29" s="43"/>
    </row>
    <row r="30" spans="2:19" x14ac:dyDescent="0.25">
      <c r="B30" s="43"/>
      <c r="C30" s="43"/>
      <c r="D30" s="43"/>
      <c r="E30" s="43"/>
      <c r="F30" s="43"/>
      <c r="G30" s="43"/>
      <c r="H30" s="43"/>
    </row>
    <row r="31" spans="2:19" x14ac:dyDescent="0.25">
      <c r="B31" s="43"/>
      <c r="C31" s="43"/>
      <c r="D31" s="43"/>
      <c r="E31" s="43"/>
      <c r="F31" s="43"/>
      <c r="G31" s="43"/>
      <c r="H31" s="43"/>
    </row>
    <row r="32" spans="2:19" x14ac:dyDescent="0.25">
      <c r="B32" s="43"/>
      <c r="C32" s="43"/>
      <c r="D32" s="43"/>
      <c r="E32" s="43"/>
      <c r="F32" s="43"/>
      <c r="G32" s="43"/>
      <c r="H32" s="43"/>
    </row>
    <row r="33" spans="2:9" x14ac:dyDescent="0.25">
      <c r="B33" s="45"/>
      <c r="C33" s="45"/>
      <c r="D33" s="45"/>
      <c r="E33" s="45"/>
      <c r="F33" s="45"/>
      <c r="G33" s="45"/>
      <c r="H33" s="45"/>
      <c r="I33" s="24"/>
    </row>
    <row r="34" spans="2:9" x14ac:dyDescent="0.25">
      <c r="B34" s="41" t="s">
        <v>2</v>
      </c>
    </row>
    <row r="35" spans="2:9" x14ac:dyDescent="0.25">
      <c r="B35" s="46" t="s">
        <v>6</v>
      </c>
      <c r="C35" s="47" t="s">
        <v>9</v>
      </c>
      <c r="D35" s="47"/>
      <c r="E35" s="47"/>
      <c r="F35" s="47"/>
      <c r="G35" s="47"/>
      <c r="H35" s="47"/>
    </row>
    <row r="36" spans="2:9" x14ac:dyDescent="0.25">
      <c r="B36" s="48" t="s">
        <v>19</v>
      </c>
      <c r="C36" s="47" t="s">
        <v>22</v>
      </c>
      <c r="D36" s="47"/>
      <c r="E36" s="47"/>
      <c r="F36" s="47"/>
      <c r="G36" s="47"/>
      <c r="H36" s="47"/>
    </row>
    <row r="37" spans="2:9" x14ac:dyDescent="0.25">
      <c r="B37" s="48" t="s">
        <v>20</v>
      </c>
      <c r="C37" s="47" t="s">
        <v>23</v>
      </c>
      <c r="D37" s="47"/>
      <c r="E37" s="47"/>
      <c r="F37" s="47"/>
      <c r="G37" s="47"/>
      <c r="H37" s="47"/>
    </row>
    <row r="38" spans="2:9" x14ac:dyDescent="0.25">
      <c r="B38" s="48" t="s">
        <v>7</v>
      </c>
      <c r="C38" s="47" t="s">
        <v>10</v>
      </c>
      <c r="D38" s="47"/>
      <c r="E38" s="47"/>
      <c r="F38" s="47"/>
      <c r="G38" s="47"/>
      <c r="H38" s="47"/>
    </row>
    <row r="41" spans="2:9" x14ac:dyDescent="0.25">
      <c r="B41" s="41" t="s">
        <v>12</v>
      </c>
      <c r="C41" s="22"/>
      <c r="D41" s="22"/>
      <c r="E41" s="22"/>
      <c r="F41" s="22"/>
      <c r="G41" s="22"/>
      <c r="H41" s="22"/>
    </row>
    <row r="43" spans="2:9" x14ac:dyDescent="0.25">
      <c r="B43" s="49"/>
      <c r="C43" s="50" t="s">
        <v>13</v>
      </c>
      <c r="D43" s="50" t="s">
        <v>14</v>
      </c>
      <c r="E43" s="50" t="s">
        <v>15</v>
      </c>
      <c r="F43" s="50" t="s">
        <v>17</v>
      </c>
      <c r="G43" s="50" t="s">
        <v>16</v>
      </c>
      <c r="H43" s="51" t="s">
        <v>0</v>
      </c>
    </row>
    <row r="44" spans="2:9" x14ac:dyDescent="0.25">
      <c r="C44" s="52"/>
      <c r="D44" s="52"/>
      <c r="E44" s="52"/>
      <c r="F44" s="52"/>
      <c r="G44" s="52"/>
      <c r="H44" s="52"/>
    </row>
    <row r="45" spans="2:9" x14ac:dyDescent="0.25">
      <c r="B45" s="68" t="s">
        <v>33</v>
      </c>
      <c r="C45" s="53"/>
      <c r="D45" s="53"/>
      <c r="E45" s="53"/>
      <c r="F45" s="53"/>
      <c r="G45" s="53"/>
      <c r="H45" s="53">
        <f>SUM(C45:G45)</f>
        <v>0</v>
      </c>
    </row>
    <row r="46" spans="2:9" x14ac:dyDescent="0.25">
      <c r="C46" s="54"/>
      <c r="D46" s="55"/>
      <c r="E46" s="54"/>
      <c r="F46" s="54"/>
      <c r="G46" s="54"/>
    </row>
    <row r="47" spans="2:9" x14ac:dyDescent="0.25">
      <c r="B47" s="68" t="s">
        <v>34</v>
      </c>
      <c r="C47" s="53"/>
      <c r="D47" s="53"/>
      <c r="E47" s="53"/>
      <c r="F47" s="53"/>
      <c r="G47" s="53"/>
      <c r="H47" s="53">
        <f>SUM(C47:G47)</f>
        <v>0</v>
      </c>
    </row>
    <row r="48" spans="2:9" x14ac:dyDescent="0.25">
      <c r="C48" s="54"/>
      <c r="D48" s="55"/>
      <c r="E48" s="54"/>
      <c r="F48" s="54"/>
      <c r="G48" s="54"/>
    </row>
    <row r="49" spans="2:9" x14ac:dyDescent="0.25">
      <c r="B49" s="68" t="s">
        <v>35</v>
      </c>
      <c r="C49" s="53">
        <f t="shared" ref="C49:H49" si="0">+C45+C47</f>
        <v>0</v>
      </c>
      <c r="D49" s="53">
        <f t="shared" si="0"/>
        <v>0</v>
      </c>
      <c r="E49" s="53">
        <f t="shared" si="0"/>
        <v>0</v>
      </c>
      <c r="F49" s="53">
        <f t="shared" si="0"/>
        <v>0</v>
      </c>
      <c r="G49" s="53">
        <f t="shared" si="0"/>
        <v>0</v>
      </c>
      <c r="H49" s="53">
        <f t="shared" si="0"/>
        <v>0</v>
      </c>
    </row>
    <row r="50" spans="2:9" x14ac:dyDescent="0.25">
      <c r="C50" s="56"/>
      <c r="D50" s="56"/>
      <c r="E50" s="56"/>
      <c r="F50" s="56"/>
      <c r="G50" s="56"/>
    </row>
    <row r="51" spans="2:9" x14ac:dyDescent="0.25">
      <c r="B51" s="57" t="s">
        <v>2</v>
      </c>
    </row>
    <row r="52" spans="2:9" ht="14.25" customHeight="1" x14ac:dyDescent="0.25">
      <c r="B52" s="128"/>
      <c r="C52" s="128"/>
      <c r="D52" s="128"/>
      <c r="E52" s="128"/>
      <c r="F52" s="128"/>
      <c r="G52" s="128"/>
      <c r="H52" s="128"/>
    </row>
    <row r="53" spans="2:9" x14ac:dyDescent="0.25">
      <c r="B53" s="129"/>
      <c r="C53" s="129"/>
      <c r="D53" s="129"/>
      <c r="E53" s="129"/>
      <c r="F53" s="129"/>
      <c r="G53" s="129"/>
      <c r="H53" s="129"/>
      <c r="I53" s="24"/>
    </row>
    <row r="54" spans="2:9" ht="27.75" customHeight="1" x14ac:dyDescent="0.25">
      <c r="B54" s="129"/>
      <c r="C54" s="129"/>
      <c r="D54" s="129"/>
      <c r="E54" s="129"/>
      <c r="F54" s="129"/>
      <c r="G54" s="129"/>
      <c r="H54" s="129"/>
    </row>
    <row r="57" spans="2:9" x14ac:dyDescent="0.25">
      <c r="B57" s="41" t="s">
        <v>29</v>
      </c>
      <c r="C57" s="22"/>
      <c r="D57" s="22"/>
      <c r="E57" s="22"/>
      <c r="F57" s="22"/>
      <c r="G57" s="22"/>
      <c r="H57" s="22"/>
    </row>
    <row r="58" spans="2:9" x14ac:dyDescent="0.25">
      <c r="B58" s="58"/>
    </row>
    <row r="59" spans="2:9" x14ac:dyDescent="0.25">
      <c r="B59" s="59"/>
      <c r="C59" s="60" t="s">
        <v>13</v>
      </c>
      <c r="D59" s="60" t="s">
        <v>14</v>
      </c>
      <c r="E59" s="60" t="s">
        <v>15</v>
      </c>
      <c r="F59" s="60" t="s">
        <v>17</v>
      </c>
      <c r="G59" s="60" t="s">
        <v>16</v>
      </c>
      <c r="H59" s="61" t="s">
        <v>0</v>
      </c>
    </row>
    <row r="60" spans="2:9" x14ac:dyDescent="0.25">
      <c r="C60" s="62"/>
      <c r="D60" s="62"/>
      <c r="E60" s="62"/>
      <c r="F60" s="62"/>
      <c r="G60" s="62"/>
      <c r="H60" s="62"/>
    </row>
    <row r="61" spans="2:9" x14ac:dyDescent="0.25">
      <c r="B61" s="59" t="s">
        <v>4</v>
      </c>
      <c r="C61" s="63" t="e">
        <f>#REF!</f>
        <v>#REF!</v>
      </c>
      <c r="D61" s="63" t="e">
        <f>#REF!</f>
        <v>#REF!</v>
      </c>
      <c r="E61" s="63" t="e">
        <f>#REF!</f>
        <v>#REF!</v>
      </c>
      <c r="F61" s="63" t="e">
        <f>#REF!</f>
        <v>#REF!</v>
      </c>
      <c r="G61" s="63" t="e">
        <f>#REF!</f>
        <v>#REF!</v>
      </c>
      <c r="H61" s="63" t="e">
        <f>SUM(C61:G61)</f>
        <v>#REF!</v>
      </c>
    </row>
    <row r="62" spans="2:9" x14ac:dyDescent="0.25">
      <c r="C62" s="64"/>
      <c r="D62" s="64"/>
      <c r="E62" s="64"/>
      <c r="F62" s="64"/>
      <c r="G62" s="64"/>
      <c r="H62" s="65"/>
    </row>
  </sheetData>
  <mergeCells count="17">
    <mergeCell ref="C3:H3"/>
    <mergeCell ref="B18:H18"/>
    <mergeCell ref="B14:H14"/>
    <mergeCell ref="B19:H19"/>
    <mergeCell ref="E8:E9"/>
    <mergeCell ref="F8:F9"/>
    <mergeCell ref="G8:G9"/>
    <mergeCell ref="H8:H9"/>
    <mergeCell ref="C12:D12"/>
    <mergeCell ref="B8:B9"/>
    <mergeCell ref="B6:B7"/>
    <mergeCell ref="B52:H54"/>
    <mergeCell ref="B23:H23"/>
    <mergeCell ref="B24:H24"/>
    <mergeCell ref="B25:H25"/>
    <mergeCell ref="B26:H26"/>
    <mergeCell ref="B28:H28"/>
  </mergeCells>
  <pageMargins left="0.39370078740157483" right="0.39370078740157483" top="0.39370078740157483" bottom="0.39370078740157483" header="0.19685039370078741" footer="0.19685039370078741"/>
  <pageSetup paperSize="9" scale="4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47"/>
  <sheetViews>
    <sheetView showGridLines="0" zoomScale="85" zoomScaleNormal="85" workbookViewId="0">
      <selection activeCell="B25" sqref="B25"/>
    </sheetView>
  </sheetViews>
  <sheetFormatPr defaultColWidth="9.109375" defaultRowHeight="13.2" x14ac:dyDescent="0.25"/>
  <cols>
    <col min="1" max="1" width="2.33203125" style="1" customWidth="1"/>
    <col min="2" max="2" width="30.6640625" style="1" customWidth="1"/>
    <col min="3" max="3" width="26" style="16" customWidth="1"/>
    <col min="4" max="4" width="12.88671875" style="16" customWidth="1"/>
    <col min="5" max="5" width="30.5546875" style="16" bestFit="1" customWidth="1"/>
    <col min="6" max="6" width="25.33203125" style="16" customWidth="1"/>
    <col min="7" max="7" width="15.109375" style="19" customWidth="1"/>
    <col min="8" max="12" width="13" style="1" customWidth="1"/>
    <col min="13" max="13" width="2.33203125" style="1" customWidth="1"/>
    <col min="14" max="14" width="30.6640625" style="9" customWidth="1"/>
    <col min="15" max="15" width="25.5546875" style="1" customWidth="1"/>
    <col min="16" max="16" width="12.88671875" style="1" customWidth="1"/>
    <col min="17" max="17" width="30.5546875" style="1" bestFit="1" customWidth="1"/>
    <col min="18" max="18" width="23.6640625" style="1" bestFit="1" customWidth="1"/>
    <col min="19" max="19" width="15.109375" style="1" customWidth="1"/>
    <col min="20" max="24" width="13" style="1" customWidth="1"/>
    <col min="25" max="25" width="1.6640625" style="1" customWidth="1"/>
    <col min="26" max="26" width="23.44140625" style="1" customWidth="1"/>
    <col min="27" max="27" width="24.44140625" style="1" customWidth="1"/>
    <col min="28" max="28" width="10.88671875" style="1" customWidth="1"/>
    <col min="29" max="29" width="30.6640625" style="1" customWidth="1"/>
    <col min="30" max="30" width="28.5546875" style="1" customWidth="1"/>
    <col min="31" max="31" width="13.33203125" style="1" customWidth="1"/>
    <col min="32" max="34" width="14.6640625" style="1" customWidth="1"/>
    <col min="35" max="35" width="15.109375" style="1" customWidth="1"/>
    <col min="36" max="36" width="11" style="1" customWidth="1"/>
    <col min="37" max="16384" width="9.109375" style="1"/>
  </cols>
  <sheetData>
    <row r="1" spans="1:36" x14ac:dyDescent="0.25">
      <c r="H1" s="9"/>
      <c r="I1" s="9"/>
      <c r="J1" s="9"/>
      <c r="K1" s="9"/>
      <c r="L1" s="9"/>
      <c r="M1" s="9"/>
    </row>
    <row r="2" spans="1:36" x14ac:dyDescent="0.25">
      <c r="B2" s="69" t="s">
        <v>25</v>
      </c>
      <c r="C2" s="70"/>
      <c r="D2" s="70"/>
      <c r="E2" s="70"/>
      <c r="F2" s="70"/>
      <c r="G2" s="70"/>
      <c r="H2" s="70"/>
      <c r="I2" s="70"/>
      <c r="J2" s="70"/>
      <c r="K2" s="70"/>
      <c r="L2" s="70"/>
      <c r="N2" s="69" t="s">
        <v>25</v>
      </c>
      <c r="O2" s="70"/>
      <c r="P2" s="70"/>
      <c r="Q2" s="70"/>
      <c r="R2" s="70"/>
      <c r="S2" s="70"/>
      <c r="T2" s="70"/>
      <c r="U2" s="70"/>
      <c r="V2" s="70"/>
      <c r="W2" s="70"/>
      <c r="X2" s="70"/>
      <c r="Z2" s="69" t="s">
        <v>25</v>
      </c>
      <c r="AA2" s="70"/>
      <c r="AB2" s="70"/>
      <c r="AC2" s="70"/>
      <c r="AD2" s="70"/>
      <c r="AE2" s="70"/>
      <c r="AF2" s="70"/>
      <c r="AG2" s="70"/>
      <c r="AH2" s="70"/>
      <c r="AI2" s="70"/>
      <c r="AJ2" s="70"/>
    </row>
    <row r="3" spans="1:36" x14ac:dyDescent="0.25">
      <c r="B3" s="92" t="s">
        <v>31</v>
      </c>
      <c r="C3" s="12"/>
      <c r="D3" s="12"/>
      <c r="E3" s="12"/>
      <c r="F3" s="78"/>
      <c r="G3" s="78"/>
      <c r="H3" s="78"/>
      <c r="I3" s="78"/>
      <c r="J3" s="78"/>
      <c r="K3" s="78"/>
      <c r="L3" s="78"/>
      <c r="N3" s="92" t="s">
        <v>31</v>
      </c>
      <c r="O3" s="12"/>
      <c r="P3" s="12"/>
      <c r="Q3" s="12"/>
      <c r="R3" s="91"/>
      <c r="S3" s="91"/>
      <c r="T3" s="91"/>
      <c r="U3" s="91"/>
      <c r="V3" s="91"/>
      <c r="W3" s="91"/>
      <c r="X3" s="91"/>
      <c r="Z3" s="92" t="s">
        <v>31</v>
      </c>
      <c r="AA3" s="12"/>
      <c r="AB3" s="12"/>
      <c r="AC3" s="12"/>
      <c r="AD3" s="117"/>
      <c r="AE3" s="117"/>
      <c r="AF3" s="117"/>
      <c r="AG3" s="117"/>
      <c r="AH3" s="117"/>
      <c r="AI3" s="117"/>
      <c r="AJ3" s="117"/>
    </row>
    <row r="4" spans="1:36" s="4" customFormat="1" ht="3" customHeight="1" x14ac:dyDescent="0.25">
      <c r="B4" s="5"/>
      <c r="C4" s="13"/>
      <c r="D4" s="13"/>
      <c r="E4" s="13"/>
      <c r="F4" s="5"/>
      <c r="G4" s="5"/>
      <c r="H4" s="5"/>
      <c r="I4" s="5"/>
      <c r="J4" s="5"/>
      <c r="K4" s="5"/>
      <c r="L4" s="5"/>
      <c r="N4" s="5"/>
      <c r="O4" s="13"/>
      <c r="P4" s="13"/>
      <c r="Q4" s="13"/>
      <c r="R4" s="5"/>
      <c r="S4" s="5"/>
      <c r="T4" s="5"/>
      <c r="U4" s="5"/>
      <c r="V4" s="5"/>
      <c r="W4" s="5"/>
      <c r="X4" s="5"/>
      <c r="Z4" s="5"/>
      <c r="AA4" s="13"/>
      <c r="AB4" s="13"/>
      <c r="AC4" s="13"/>
      <c r="AD4" s="5"/>
      <c r="AE4" s="5"/>
      <c r="AF4" s="5"/>
      <c r="AG4" s="5"/>
      <c r="AH4" s="5"/>
      <c r="AI4" s="5"/>
      <c r="AJ4" s="5"/>
    </row>
    <row r="5" spans="1:36" ht="62.4" customHeight="1" x14ac:dyDescent="0.25">
      <c r="B5" s="82"/>
      <c r="C5" s="82" t="s">
        <v>8</v>
      </c>
      <c r="D5" s="14" t="s">
        <v>47</v>
      </c>
      <c r="E5" s="14" t="s">
        <v>48</v>
      </c>
      <c r="F5" s="17" t="s">
        <v>49</v>
      </c>
      <c r="G5" s="17" t="s">
        <v>52</v>
      </c>
      <c r="H5" s="6" t="s">
        <v>50</v>
      </c>
      <c r="I5" s="6" t="s">
        <v>36</v>
      </c>
      <c r="J5" s="6" t="s">
        <v>37</v>
      </c>
      <c r="K5" s="6" t="s">
        <v>112</v>
      </c>
      <c r="L5" s="6" t="s">
        <v>51</v>
      </c>
      <c r="N5" s="82"/>
      <c r="O5" s="82" t="s">
        <v>8</v>
      </c>
      <c r="P5" s="14" t="s">
        <v>47</v>
      </c>
      <c r="Q5" s="14" t="s">
        <v>48</v>
      </c>
      <c r="R5" s="17" t="s">
        <v>49</v>
      </c>
      <c r="S5" s="17" t="s">
        <v>52</v>
      </c>
      <c r="T5" s="6" t="s">
        <v>50</v>
      </c>
      <c r="U5" s="6" t="s">
        <v>36</v>
      </c>
      <c r="V5" s="6" t="s">
        <v>37</v>
      </c>
      <c r="W5" s="6" t="s">
        <v>112</v>
      </c>
      <c r="X5" s="6" t="s">
        <v>51</v>
      </c>
      <c r="Z5" s="82"/>
      <c r="AA5" s="82" t="s">
        <v>8</v>
      </c>
      <c r="AB5" s="14" t="s">
        <v>47</v>
      </c>
      <c r="AC5" s="14" t="s">
        <v>48</v>
      </c>
      <c r="AD5" s="17" t="s">
        <v>49</v>
      </c>
      <c r="AE5" s="17" t="s">
        <v>52</v>
      </c>
      <c r="AF5" s="6" t="s">
        <v>50</v>
      </c>
      <c r="AG5" s="6" t="s">
        <v>36</v>
      </c>
      <c r="AH5" s="6" t="s">
        <v>37</v>
      </c>
      <c r="AI5" s="6" t="s">
        <v>112</v>
      </c>
      <c r="AJ5" s="6" t="s">
        <v>51</v>
      </c>
    </row>
    <row r="6" spans="1:36" ht="18" customHeight="1" x14ac:dyDescent="0.25">
      <c r="B6" s="81" t="s">
        <v>40</v>
      </c>
      <c r="C6" s="81"/>
      <c r="D6" s="81"/>
      <c r="E6" s="81"/>
      <c r="F6" s="81"/>
      <c r="G6" s="81"/>
      <c r="H6" s="81"/>
      <c r="I6" s="81"/>
      <c r="J6" s="81"/>
      <c r="K6" s="81"/>
      <c r="L6" s="79"/>
      <c r="N6" s="81" t="s">
        <v>79</v>
      </c>
      <c r="O6" s="81"/>
      <c r="P6" s="81"/>
      <c r="Q6" s="81"/>
      <c r="R6" s="81"/>
      <c r="S6" s="81"/>
      <c r="T6" s="81"/>
      <c r="U6" s="81"/>
      <c r="V6" s="81"/>
      <c r="W6" s="81"/>
      <c r="X6" s="79"/>
      <c r="Z6" s="81" t="s">
        <v>121</v>
      </c>
      <c r="AA6" s="81"/>
      <c r="AB6" s="81"/>
      <c r="AC6" s="81"/>
      <c r="AD6" s="81"/>
      <c r="AE6" s="81"/>
      <c r="AF6" s="81"/>
      <c r="AG6" s="81"/>
      <c r="AH6" s="81"/>
      <c r="AI6" s="81"/>
      <c r="AJ6" s="79"/>
    </row>
    <row r="7" spans="1:36" x14ac:dyDescent="0.25">
      <c r="B7" s="145" t="s">
        <v>30</v>
      </c>
      <c r="C7" s="80" t="s">
        <v>54</v>
      </c>
      <c r="D7" s="85">
        <f>C34</f>
        <v>5.5184238386294586</v>
      </c>
      <c r="E7" s="85"/>
      <c r="F7" s="85"/>
      <c r="G7" s="86"/>
      <c r="H7" s="89">
        <f>F7+E7+D7+G7</f>
        <v>5.5184238386294586</v>
      </c>
      <c r="I7" s="83">
        <v>2.3207520722162998</v>
      </c>
      <c r="J7" s="83"/>
      <c r="K7" s="83">
        <f>(H7+I7+J7)*C$21</f>
        <v>1.5678351821691519</v>
      </c>
      <c r="L7" s="84">
        <f>SUM(H7:K7)</f>
        <v>9.4070110930149102</v>
      </c>
      <c r="N7" s="145" t="s">
        <v>30</v>
      </c>
      <c r="O7" s="80" t="s">
        <v>54</v>
      </c>
      <c r="P7" s="85">
        <f>O34</f>
        <v>5.5184238386294586</v>
      </c>
      <c r="Q7" s="85"/>
      <c r="R7" s="85"/>
      <c r="S7" s="86"/>
      <c r="T7" s="89">
        <f>R7+Q7+P7+S7</f>
        <v>5.5184238386294586</v>
      </c>
      <c r="U7" s="83">
        <v>2.3207520722162998</v>
      </c>
      <c r="V7" s="83"/>
      <c r="W7" s="83">
        <f>(T7+U7+V7)*C$21</f>
        <v>1.5678351821691519</v>
      </c>
      <c r="X7" s="84">
        <f>SUM(T7:W7)</f>
        <v>9.4070110930149102</v>
      </c>
      <c r="Z7" s="145" t="s">
        <v>30</v>
      </c>
      <c r="AA7" s="80" t="s">
        <v>54</v>
      </c>
      <c r="AB7" s="85">
        <f>AA34</f>
        <v>5.5184238386294586</v>
      </c>
      <c r="AC7" s="85"/>
      <c r="AD7" s="85"/>
      <c r="AE7" s="86"/>
      <c r="AF7" s="89">
        <f>AD7+AC7+AB7+AE7</f>
        <v>5.5184238386294586</v>
      </c>
      <c r="AG7" s="83">
        <v>2.3207520722162998</v>
      </c>
      <c r="AH7" s="83"/>
      <c r="AI7" s="83">
        <f>(AF7+AG7+AH7)*C$21</f>
        <v>1.5678351821691519</v>
      </c>
      <c r="AJ7" s="84">
        <f>SUM(AF7:AI7)</f>
        <v>9.4070110930149102</v>
      </c>
    </row>
    <row r="8" spans="1:36" x14ac:dyDescent="0.25">
      <c r="B8" s="146"/>
      <c r="C8" s="80" t="s">
        <v>66</v>
      </c>
      <c r="D8" s="85"/>
      <c r="E8" s="85">
        <f>C38</f>
        <v>1.7416012062689343</v>
      </c>
      <c r="F8" s="85"/>
      <c r="G8" s="86"/>
      <c r="H8" s="89">
        <f t="shared" ref="H8:H14" si="0">F8+E8+D8+G8</f>
        <v>1.7416012062689343</v>
      </c>
      <c r="I8" s="83">
        <v>0.73242373667095029</v>
      </c>
      <c r="J8" s="83"/>
      <c r="K8" s="83">
        <f t="shared" ref="K8:K15" si="1">(H8+I8+J8)*C$21</f>
        <v>0.49480498858797689</v>
      </c>
      <c r="L8" s="84">
        <f>SUM(H8:K8)</f>
        <v>2.9688299315278615</v>
      </c>
      <c r="N8" s="146"/>
      <c r="O8" s="80" t="s">
        <v>66</v>
      </c>
      <c r="P8" s="85"/>
      <c r="Q8" s="85">
        <f>O38</f>
        <v>1.7416012062689343</v>
      </c>
      <c r="R8" s="85"/>
      <c r="S8" s="86"/>
      <c r="T8" s="89">
        <f t="shared" ref="T8:T14" si="2">R8+Q8+P8+S8</f>
        <v>1.7416012062689343</v>
      </c>
      <c r="U8" s="83">
        <v>0.73242373667095029</v>
      </c>
      <c r="V8" s="83"/>
      <c r="W8" s="83">
        <f t="shared" ref="W8:W15" si="3">(T8+U8+V8)*C$21</f>
        <v>0.49480498858797689</v>
      </c>
      <c r="X8" s="84">
        <f>SUM(T8:W8)</f>
        <v>2.9688299315278615</v>
      </c>
      <c r="Z8" s="146"/>
      <c r="AA8" s="80" t="s">
        <v>66</v>
      </c>
      <c r="AB8" s="85"/>
      <c r="AC8" s="85">
        <f>AA38</f>
        <v>1.7416012062689343</v>
      </c>
      <c r="AD8" s="85"/>
      <c r="AE8" s="86"/>
      <c r="AF8" s="89">
        <f t="shared" ref="AF8:AF14" si="4">AD8+AC8+AB8+AE8</f>
        <v>1.7416012062689343</v>
      </c>
      <c r="AG8" s="83">
        <v>0.73242373667095029</v>
      </c>
      <c r="AH8" s="83"/>
      <c r="AI8" s="83">
        <f t="shared" ref="AI8:AI15" si="5">(AF8+AG8+AH8)*C$21</f>
        <v>0.49480498858797689</v>
      </c>
      <c r="AJ8" s="84">
        <f>SUM(AF8:AI8)</f>
        <v>2.9688299315278615</v>
      </c>
    </row>
    <row r="9" spans="1:36" x14ac:dyDescent="0.25">
      <c r="B9" s="146"/>
      <c r="C9" s="11" t="s">
        <v>46</v>
      </c>
      <c r="D9" s="85"/>
      <c r="E9" s="85"/>
      <c r="F9" s="85">
        <f>C30</f>
        <v>10.949785463054432</v>
      </c>
      <c r="G9" s="86"/>
      <c r="H9" s="89">
        <f t="shared" si="0"/>
        <v>10.949785463054432</v>
      </c>
      <c r="I9" s="83">
        <v>4.604890462712028</v>
      </c>
      <c r="J9" s="83"/>
      <c r="K9" s="83">
        <f t="shared" si="1"/>
        <v>3.1109351851532923</v>
      </c>
      <c r="L9" s="84">
        <f>SUM(H9:K9)</f>
        <v>18.665611110919752</v>
      </c>
      <c r="N9" s="146"/>
      <c r="O9" s="11" t="s">
        <v>46</v>
      </c>
      <c r="P9" s="85"/>
      <c r="Q9" s="85"/>
      <c r="R9" s="85">
        <f>O30</f>
        <v>11.530784376054179</v>
      </c>
      <c r="S9" s="86"/>
      <c r="T9" s="89">
        <f t="shared" si="2"/>
        <v>11.530784376054179</v>
      </c>
      <c r="U9" s="83">
        <v>4.8492273369225547</v>
      </c>
      <c r="V9" s="83"/>
      <c r="W9" s="83">
        <f t="shared" si="3"/>
        <v>3.2760023425953464</v>
      </c>
      <c r="X9" s="84">
        <f>SUM(T9:W9)</f>
        <v>19.656014055572079</v>
      </c>
      <c r="Z9" s="146"/>
      <c r="AA9" s="11" t="s">
        <v>46</v>
      </c>
      <c r="AB9" s="85"/>
      <c r="AC9" s="85"/>
      <c r="AD9" s="85">
        <f>AA30</f>
        <v>26.852887709683433</v>
      </c>
      <c r="AE9" s="86"/>
      <c r="AF9" s="89">
        <f t="shared" si="4"/>
        <v>26.852887709683433</v>
      </c>
      <c r="AG9" s="83">
        <v>11.292879383602546</v>
      </c>
      <c r="AH9" s="83"/>
      <c r="AI9" s="83">
        <f t="shared" si="5"/>
        <v>7.6291534186571965</v>
      </c>
      <c r="AJ9" s="84">
        <f>SUM(AF9:AI9)</f>
        <v>45.774920511943179</v>
      </c>
    </row>
    <row r="10" spans="1:36" x14ac:dyDescent="0.25">
      <c r="B10" s="147"/>
      <c r="C10" s="11" t="s">
        <v>52</v>
      </c>
      <c r="D10" s="7"/>
      <c r="E10" s="7"/>
      <c r="F10" s="85"/>
      <c r="G10" s="88">
        <f>C42</f>
        <v>7.848425014939675</v>
      </c>
      <c r="H10" s="89">
        <f t="shared" si="0"/>
        <v>7.848425014939675</v>
      </c>
      <c r="I10" s="83">
        <v>3.3006251693742934</v>
      </c>
      <c r="J10" s="83"/>
      <c r="K10" s="83">
        <f t="shared" si="1"/>
        <v>2.2298100368627938</v>
      </c>
      <c r="L10" s="84">
        <f>SUM(H10:K10)</f>
        <v>13.378860221176762</v>
      </c>
      <c r="N10" s="147"/>
      <c r="O10" s="11" t="s">
        <v>52</v>
      </c>
      <c r="P10" s="7"/>
      <c r="Q10" s="7"/>
      <c r="R10" s="85"/>
      <c r="S10" s="88">
        <f>O42</f>
        <v>7.848425014939675</v>
      </c>
      <c r="T10" s="89">
        <f t="shared" si="2"/>
        <v>7.848425014939675</v>
      </c>
      <c r="U10" s="83">
        <v>3.3006251693742934</v>
      </c>
      <c r="V10" s="83"/>
      <c r="W10" s="83">
        <f t="shared" si="3"/>
        <v>2.2298100368627938</v>
      </c>
      <c r="X10" s="84">
        <f>SUM(T10:W10)</f>
        <v>13.378860221176762</v>
      </c>
      <c r="Z10" s="147"/>
      <c r="AA10" s="11" t="s">
        <v>52</v>
      </c>
      <c r="AB10" s="7"/>
      <c r="AC10" s="7"/>
      <c r="AD10" s="85"/>
      <c r="AE10" s="88">
        <f>AA42</f>
        <v>7.848425014939675</v>
      </c>
      <c r="AF10" s="89">
        <f t="shared" si="4"/>
        <v>7.848425014939675</v>
      </c>
      <c r="AG10" s="83">
        <v>3.3006251693742934</v>
      </c>
      <c r="AH10" s="83"/>
      <c r="AI10" s="83">
        <f t="shared" si="5"/>
        <v>2.2298100368627938</v>
      </c>
      <c r="AJ10" s="84">
        <f>SUM(AF10:AI10)</f>
        <v>13.378860221176762</v>
      </c>
    </row>
    <row r="11" spans="1:36" x14ac:dyDescent="0.25">
      <c r="B11" s="148" t="s">
        <v>53</v>
      </c>
      <c r="C11" s="80" t="s">
        <v>55</v>
      </c>
      <c r="D11" s="85">
        <f>F34</f>
        <v>3.2998799895908619</v>
      </c>
      <c r="E11" s="85"/>
      <c r="F11" s="85"/>
      <c r="G11" s="86"/>
      <c r="H11" s="89">
        <f t="shared" si="0"/>
        <v>3.2998799895908619</v>
      </c>
      <c r="I11" s="83">
        <v>2.1704311907010494</v>
      </c>
      <c r="J11" s="83"/>
      <c r="K11" s="83">
        <f t="shared" si="1"/>
        <v>1.0940622360583825</v>
      </c>
      <c r="L11" s="84">
        <f>SUM(H11:K11)</f>
        <v>6.5643734163502945</v>
      </c>
      <c r="N11" s="148" t="s">
        <v>53</v>
      </c>
      <c r="O11" s="80" t="s">
        <v>55</v>
      </c>
      <c r="P11" s="85">
        <f>R34</f>
        <v>4.9498199843862931</v>
      </c>
      <c r="Q11" s="85"/>
      <c r="R11" s="85"/>
      <c r="S11" s="86"/>
      <c r="T11" s="89">
        <f t="shared" si="2"/>
        <v>4.9498199843862931</v>
      </c>
      <c r="U11" s="83">
        <v>3.2556467860515741</v>
      </c>
      <c r="V11" s="83"/>
      <c r="W11" s="83">
        <f t="shared" si="3"/>
        <v>1.6410933540875736</v>
      </c>
      <c r="X11" s="84">
        <f>SUM(T11:W11)</f>
        <v>9.8465601245254408</v>
      </c>
      <c r="Z11" s="148" t="s">
        <v>53</v>
      </c>
      <c r="AA11" s="80" t="s">
        <v>55</v>
      </c>
      <c r="AB11" s="85">
        <f>AD34</f>
        <v>6.5997599791817239</v>
      </c>
      <c r="AC11" s="85"/>
      <c r="AD11" s="85"/>
      <c r="AE11" s="86"/>
      <c r="AF11" s="89">
        <f t="shared" si="4"/>
        <v>6.5997599791817239</v>
      </c>
      <c r="AG11" s="83">
        <v>4.3408623814020988</v>
      </c>
      <c r="AH11" s="83"/>
      <c r="AI11" s="83">
        <f t="shared" si="5"/>
        <v>2.188124472116765</v>
      </c>
      <c r="AJ11" s="84">
        <f>SUM(AF11:AI11)</f>
        <v>13.128746832700589</v>
      </c>
    </row>
    <row r="12" spans="1:36" x14ac:dyDescent="0.25">
      <c r="B12" s="149"/>
      <c r="C12" s="80" t="s">
        <v>66</v>
      </c>
      <c r="D12" s="85"/>
      <c r="E12" s="85">
        <f>F38</f>
        <v>1.0414341374405001</v>
      </c>
      <c r="F12" s="85"/>
      <c r="G12" s="86"/>
      <c r="H12" s="89">
        <f t="shared" si="0"/>
        <v>1.0414341374405001</v>
      </c>
      <c r="I12" s="83">
        <v>0.68498283031255247</v>
      </c>
      <c r="J12" s="83"/>
      <c r="K12" s="83">
        <f t="shared" si="1"/>
        <v>0.34528339355061055</v>
      </c>
      <c r="L12" s="84">
        <f t="shared" ref="L12:L15" si="6">SUM(H12:K12)</f>
        <v>2.0717003613036633</v>
      </c>
      <c r="N12" s="149"/>
      <c r="O12" s="80" t="s">
        <v>66</v>
      </c>
      <c r="P12" s="85"/>
      <c r="Q12" s="85">
        <f>R38</f>
        <v>1.5621512061607501</v>
      </c>
      <c r="R12" s="85"/>
      <c r="S12" s="86"/>
      <c r="T12" s="89">
        <f t="shared" si="2"/>
        <v>1.5621512061607501</v>
      </c>
      <c r="U12" s="83">
        <v>1.0274742454688288</v>
      </c>
      <c r="V12" s="83"/>
      <c r="W12" s="83">
        <f t="shared" si="3"/>
        <v>0.51792509032591583</v>
      </c>
      <c r="X12" s="84">
        <f t="shared" ref="X12:X15" si="7">SUM(T12:W12)</f>
        <v>3.1075505419554945</v>
      </c>
      <c r="Z12" s="149"/>
      <c r="AA12" s="80" t="s">
        <v>66</v>
      </c>
      <c r="AB12" s="85"/>
      <c r="AC12" s="85">
        <f>AD38</f>
        <v>2.0828682748810001</v>
      </c>
      <c r="AD12" s="85"/>
      <c r="AE12" s="86"/>
      <c r="AF12" s="89">
        <f t="shared" si="4"/>
        <v>2.0828682748810001</v>
      </c>
      <c r="AG12" s="83">
        <v>1.3699656606251049</v>
      </c>
      <c r="AH12" s="83"/>
      <c r="AI12" s="83">
        <f t="shared" si="5"/>
        <v>0.6905667871012211</v>
      </c>
      <c r="AJ12" s="84">
        <f t="shared" ref="AJ12:AJ15" si="8">SUM(AF12:AI12)</f>
        <v>4.1434007226073266</v>
      </c>
    </row>
    <row r="13" spans="1:36" x14ac:dyDescent="0.25">
      <c r="B13" s="149"/>
      <c r="C13" s="11" t="s">
        <v>46</v>
      </c>
      <c r="D13" s="7"/>
      <c r="E13" s="7"/>
      <c r="F13" s="85">
        <f>F29</f>
        <v>1.1427777777777777</v>
      </c>
      <c r="G13" s="66"/>
      <c r="H13" s="89">
        <f t="shared" si="0"/>
        <v>1.1427777777777777</v>
      </c>
      <c r="I13" s="83">
        <v>0.75163961742634333</v>
      </c>
      <c r="J13" s="83"/>
      <c r="K13" s="83">
        <f t="shared" si="1"/>
        <v>0.3788834790408242</v>
      </c>
      <c r="L13" s="84">
        <f t="shared" si="6"/>
        <v>2.2733008742449452</v>
      </c>
      <c r="N13" s="149"/>
      <c r="O13" s="11" t="s">
        <v>46</v>
      </c>
      <c r="P13" s="7"/>
      <c r="Q13" s="7"/>
      <c r="R13" s="85">
        <f>R29</f>
        <v>3.1887500000000002</v>
      </c>
      <c r="S13" s="66"/>
      <c r="T13" s="89">
        <f t="shared" si="2"/>
        <v>3.1887500000000002</v>
      </c>
      <c r="U13" s="83">
        <v>2.0973376247558848</v>
      </c>
      <c r="V13" s="83"/>
      <c r="W13" s="83">
        <f t="shared" si="3"/>
        <v>1.057217524951177</v>
      </c>
      <c r="X13" s="84">
        <f t="shared" si="7"/>
        <v>6.3433051497070618</v>
      </c>
      <c r="Z13" s="149"/>
      <c r="AA13" s="11" t="s">
        <v>46</v>
      </c>
      <c r="AB13" s="7"/>
      <c r="AC13" s="7"/>
      <c r="AD13" s="85">
        <f>AD29</f>
        <v>3.5264728124999998</v>
      </c>
      <c r="AE13" s="66"/>
      <c r="AF13" s="89">
        <f t="shared" si="4"/>
        <v>3.5264728124999998</v>
      </c>
      <c r="AG13" s="83">
        <v>2.3194681653735643</v>
      </c>
      <c r="AH13" s="83"/>
      <c r="AI13" s="83">
        <f t="shared" si="5"/>
        <v>1.1691881955747128</v>
      </c>
      <c r="AJ13" s="84">
        <f t="shared" si="8"/>
        <v>7.015129173448277</v>
      </c>
    </row>
    <row r="14" spans="1:36" x14ac:dyDescent="0.25">
      <c r="B14" s="150"/>
      <c r="C14" s="11" t="s">
        <v>52</v>
      </c>
      <c r="D14" s="7"/>
      <c r="E14" s="7"/>
      <c r="F14" s="66"/>
      <c r="G14" s="97">
        <f>F42</f>
        <v>3.7051111111111106</v>
      </c>
      <c r="H14" s="89">
        <f t="shared" si="0"/>
        <v>3.7051111111111106</v>
      </c>
      <c r="I14" s="83">
        <v>2.4369639944286674</v>
      </c>
      <c r="J14" s="83"/>
      <c r="K14" s="83">
        <f t="shared" si="1"/>
        <v>1.2284150211079556</v>
      </c>
      <c r="L14" s="84">
        <f t="shared" si="6"/>
        <v>7.3704901266477334</v>
      </c>
      <c r="N14" s="150"/>
      <c r="O14" s="11" t="s">
        <v>52</v>
      </c>
      <c r="P14" s="7"/>
      <c r="Q14" s="7"/>
      <c r="R14" s="66"/>
      <c r="S14" s="97">
        <f>R42</f>
        <v>8.3364999999999991</v>
      </c>
      <c r="T14" s="89">
        <f t="shared" si="2"/>
        <v>8.3364999999999991</v>
      </c>
      <c r="U14" s="83">
        <v>5.4831689874645013</v>
      </c>
      <c r="V14" s="83"/>
      <c r="W14" s="83">
        <f t="shared" si="3"/>
        <v>2.7639337974928999</v>
      </c>
      <c r="X14" s="84">
        <f t="shared" si="7"/>
        <v>16.583602784957399</v>
      </c>
      <c r="Z14" s="150"/>
      <c r="AA14" s="11" t="s">
        <v>52</v>
      </c>
      <c r="AB14" s="7"/>
      <c r="AC14" s="7"/>
      <c r="AD14" s="66"/>
      <c r="AE14" s="97">
        <f>AD42</f>
        <v>11.115333333333332</v>
      </c>
      <c r="AF14" s="89">
        <f t="shared" si="4"/>
        <v>11.115333333333332</v>
      </c>
      <c r="AG14" s="83">
        <v>7.3108919832860018</v>
      </c>
      <c r="AH14" s="83"/>
      <c r="AI14" s="83">
        <f t="shared" si="5"/>
        <v>3.6852450633238671</v>
      </c>
      <c r="AJ14" s="84">
        <f t="shared" si="8"/>
        <v>22.111470379943199</v>
      </c>
    </row>
    <row r="15" spans="1:36" x14ac:dyDescent="0.25">
      <c r="A15" s="10"/>
      <c r="B15" s="75" t="s">
        <v>39</v>
      </c>
      <c r="C15" s="75"/>
      <c r="D15" s="67"/>
      <c r="E15" s="67"/>
      <c r="F15" s="20"/>
      <c r="G15" s="20"/>
      <c r="H15" s="89">
        <f>J42</f>
        <v>7.38370644990803</v>
      </c>
      <c r="I15" s="7"/>
      <c r="J15" s="7"/>
      <c r="K15" s="83">
        <f t="shared" si="1"/>
        <v>1.4767412899816061</v>
      </c>
      <c r="L15" s="84">
        <f t="shared" si="6"/>
        <v>8.8604477398896364</v>
      </c>
      <c r="N15" s="75" t="s">
        <v>39</v>
      </c>
      <c r="O15" s="75"/>
      <c r="P15" s="67"/>
      <c r="Q15" s="67"/>
      <c r="R15" s="20"/>
      <c r="S15" s="20"/>
      <c r="T15" s="89">
        <f>V42</f>
        <v>11.805741366303968</v>
      </c>
      <c r="U15" s="7"/>
      <c r="V15" s="7"/>
      <c r="W15" s="83">
        <f t="shared" si="3"/>
        <v>2.3611482732607936</v>
      </c>
      <c r="X15" s="84">
        <f t="shared" si="7"/>
        <v>14.166889639564761</v>
      </c>
      <c r="Z15" s="75" t="s">
        <v>39</v>
      </c>
      <c r="AA15" s="75"/>
      <c r="AB15" s="67"/>
      <c r="AC15" s="67"/>
      <c r="AD15" s="20"/>
      <c r="AE15" s="20"/>
      <c r="AF15" s="89">
        <f>AH42</f>
        <v>28.715930444743986</v>
      </c>
      <c r="AG15" s="7"/>
      <c r="AH15" s="7"/>
      <c r="AI15" s="83">
        <f t="shared" si="5"/>
        <v>5.7431860889487973</v>
      </c>
      <c r="AJ15" s="84">
        <f t="shared" si="8"/>
        <v>34.459116533692786</v>
      </c>
    </row>
    <row r="16" spans="1:36" x14ac:dyDescent="0.25">
      <c r="B16" s="151" t="s">
        <v>24</v>
      </c>
      <c r="C16" s="151"/>
      <c r="D16" s="87">
        <f>SUM(D7:D15)</f>
        <v>8.818303828220321</v>
      </c>
      <c r="E16" s="87">
        <f t="shared" ref="E16:F16" si="9">SUM(E7:E15)</f>
        <v>2.7830353437094342</v>
      </c>
      <c r="F16" s="87">
        <f t="shared" si="9"/>
        <v>12.092563240832209</v>
      </c>
      <c r="G16" s="87">
        <f t="shared" ref="G16" si="10">SUM(G7:G15)</f>
        <v>11.553536126050785</v>
      </c>
      <c r="H16" s="87">
        <f t="shared" ref="H16" si="11">SUM(H7:H15)</f>
        <v>42.631144988720784</v>
      </c>
      <c r="I16" s="87">
        <f t="shared" ref="I16" si="12">SUM(I7:I15)</f>
        <v>17.002709073842183</v>
      </c>
      <c r="J16" s="87">
        <f t="shared" ref="J16" si="13">SUM(J7:J15)</f>
        <v>0</v>
      </c>
      <c r="K16" s="87">
        <f t="shared" ref="K16" si="14">SUM(K7:K15)</f>
        <v>11.926770812512595</v>
      </c>
      <c r="L16" s="116">
        <f>SUM(L7:L15)</f>
        <v>71.560624875075547</v>
      </c>
      <c r="N16" s="151" t="s">
        <v>24</v>
      </c>
      <c r="O16" s="151"/>
      <c r="P16" s="87">
        <f>SUM(P7:P15)</f>
        <v>10.468243823015751</v>
      </c>
      <c r="Q16" s="87">
        <f>SUM(Q7:Q15)</f>
        <v>3.3037524124296844</v>
      </c>
      <c r="R16" s="87">
        <f>SUM(R7:R15)</f>
        <v>14.719534376054179</v>
      </c>
      <c r="S16" s="87">
        <f>SUM(S7:S15)</f>
        <v>16.184925014939672</v>
      </c>
      <c r="T16" s="87">
        <f t="shared" ref="T16:W16" si="15">SUM(T7:T15)</f>
        <v>56.482196992743255</v>
      </c>
      <c r="U16" s="87">
        <f t="shared" si="15"/>
        <v>23.066655958924891</v>
      </c>
      <c r="V16" s="87">
        <f t="shared" si="15"/>
        <v>0</v>
      </c>
      <c r="W16" s="87">
        <f t="shared" si="15"/>
        <v>15.909770590333629</v>
      </c>
      <c r="X16" s="116">
        <f>SUM(X7:X15)</f>
        <v>95.458623542001774</v>
      </c>
      <c r="Z16" s="151" t="s">
        <v>24</v>
      </c>
      <c r="AA16" s="151"/>
      <c r="AB16" s="87">
        <f>SUM(AB7:AB15)</f>
        <v>12.118183817811182</v>
      </c>
      <c r="AC16" s="87">
        <f>SUM(AC7:AC15)</f>
        <v>3.8244694811499347</v>
      </c>
      <c r="AD16" s="87">
        <f>SUM(AD7:AD15)</f>
        <v>30.379360522183433</v>
      </c>
      <c r="AE16" s="87">
        <f>SUM(AE7:AE15)</f>
        <v>18.963758348273007</v>
      </c>
      <c r="AF16" s="87">
        <f t="shared" ref="AF16:AI16" si="16">SUM(AF7:AF15)</f>
        <v>94.001702614161545</v>
      </c>
      <c r="AG16" s="87">
        <f t="shared" si="16"/>
        <v>32.987868552550864</v>
      </c>
      <c r="AH16" s="87">
        <f t="shared" si="16"/>
        <v>0</v>
      </c>
      <c r="AI16" s="87">
        <f t="shared" si="16"/>
        <v>25.397914233342483</v>
      </c>
      <c r="AJ16" s="116">
        <f>SUM(AJ7:AJ15)</f>
        <v>152.38748540005489</v>
      </c>
    </row>
    <row r="17" spans="2:36" ht="15" customHeight="1" x14ac:dyDescent="0.25">
      <c r="B17" s="8"/>
      <c r="C17" s="15"/>
      <c r="D17" s="15"/>
      <c r="E17" s="15"/>
      <c r="F17" s="15"/>
      <c r="G17" s="18"/>
      <c r="H17" s="90"/>
      <c r="I17" s="90"/>
      <c r="J17" s="90"/>
      <c r="K17" s="90"/>
      <c r="L17" s="90"/>
      <c r="M17" s="90"/>
      <c r="N17" s="8"/>
      <c r="O17" s="15"/>
      <c r="P17" s="15"/>
      <c r="Q17" s="15"/>
      <c r="R17" s="15"/>
      <c r="S17" s="18"/>
      <c r="T17" s="90"/>
      <c r="U17" s="90"/>
      <c r="V17" s="90"/>
      <c r="W17" s="90"/>
      <c r="X17" s="90"/>
      <c r="Z17" s="8"/>
      <c r="AA17" s="15"/>
      <c r="AB17" s="15"/>
      <c r="AC17" s="15"/>
      <c r="AD17" s="15"/>
      <c r="AE17" s="18"/>
      <c r="AF17" s="90"/>
      <c r="AG17" s="90"/>
      <c r="AH17" s="90"/>
      <c r="AI17" s="90"/>
      <c r="AJ17" s="90"/>
    </row>
    <row r="18" spans="2:36" ht="15" customHeight="1" x14ac:dyDescent="0.25">
      <c r="B18" s="100" t="s">
        <v>85</v>
      </c>
      <c r="C18" s="15"/>
      <c r="D18" s="15"/>
      <c r="E18" s="100" t="s">
        <v>86</v>
      </c>
      <c r="F18" s="15"/>
      <c r="G18" s="18"/>
      <c r="H18" s="122"/>
      <c r="I18" s="90"/>
      <c r="J18" s="90"/>
      <c r="K18" s="90"/>
      <c r="L18" s="90"/>
      <c r="M18" s="90"/>
      <c r="N18" s="8"/>
      <c r="O18" s="15"/>
      <c r="P18" s="15"/>
      <c r="Q18" s="100" t="s">
        <v>86</v>
      </c>
      <c r="R18" s="15"/>
      <c r="S18" s="18"/>
      <c r="T18" s="90"/>
      <c r="U18" s="90"/>
      <c r="V18" s="90"/>
      <c r="W18" s="90"/>
      <c r="X18" s="90"/>
      <c r="Z18" s="8"/>
      <c r="AA18" s="15"/>
      <c r="AB18" s="15"/>
      <c r="AC18" s="100" t="s">
        <v>86</v>
      </c>
      <c r="AD18" s="15"/>
      <c r="AE18" s="18"/>
      <c r="AF18" s="90"/>
      <c r="AG18" s="90"/>
      <c r="AH18" s="90"/>
      <c r="AI18" s="90"/>
      <c r="AJ18" s="90"/>
    </row>
    <row r="19" spans="2:36" ht="15" customHeight="1" x14ac:dyDescent="0.3">
      <c r="B19" s="108" t="s">
        <v>82</v>
      </c>
      <c r="C19" s="108">
        <v>3</v>
      </c>
      <c r="D19" s="15"/>
      <c r="E19" s="95" t="s">
        <v>87</v>
      </c>
      <c r="F19" s="95">
        <v>3</v>
      </c>
      <c r="G19" s="18"/>
      <c r="H19"/>
      <c r="I19" s="3"/>
      <c r="J19" s="3"/>
      <c r="K19" s="3"/>
      <c r="L19" s="90"/>
      <c r="M19" s="90"/>
      <c r="N19" s="8"/>
      <c r="O19" s="15"/>
      <c r="P19" s="15"/>
      <c r="Q19" s="95" t="s">
        <v>87</v>
      </c>
      <c r="R19" s="95">
        <v>2</v>
      </c>
      <c r="S19" s="18"/>
      <c r="T19" s="90"/>
      <c r="U19" s="90"/>
      <c r="V19" s="90"/>
      <c r="W19" s="90"/>
      <c r="X19" s="90"/>
      <c r="Z19" s="8"/>
      <c r="AA19" s="15"/>
      <c r="AB19" s="15"/>
      <c r="AC19" s="95" t="s">
        <v>87</v>
      </c>
      <c r="AD19" s="95">
        <v>1.5</v>
      </c>
      <c r="AE19" s="18"/>
      <c r="AF19" s="90"/>
      <c r="AG19" s="90"/>
      <c r="AH19" s="90"/>
      <c r="AI19" s="90"/>
      <c r="AJ19" s="90"/>
    </row>
    <row r="20" spans="2:36" ht="15" customHeight="1" x14ac:dyDescent="0.3">
      <c r="B20" s="108" t="s">
        <v>83</v>
      </c>
      <c r="C20" s="109">
        <v>3.7666131474085818E-2</v>
      </c>
      <c r="D20" s="15"/>
      <c r="E20" s="95" t="s">
        <v>88</v>
      </c>
      <c r="F20" s="95">
        <v>1.9</v>
      </c>
      <c r="G20" s="18"/>
      <c r="H20"/>
      <c r="I20" s="3"/>
      <c r="J20" s="3"/>
      <c r="K20" s="3"/>
      <c r="L20" s="90"/>
      <c r="M20" s="90"/>
      <c r="N20" s="8"/>
      <c r="O20" s="15"/>
      <c r="P20" s="15"/>
      <c r="Q20" s="95" t="s">
        <v>88</v>
      </c>
      <c r="R20" s="95">
        <v>1.9</v>
      </c>
      <c r="S20" s="18"/>
      <c r="T20" s="90"/>
      <c r="U20" s="90"/>
      <c r="V20" s="90"/>
      <c r="W20" s="90"/>
      <c r="X20" s="90"/>
      <c r="Z20" s="8"/>
      <c r="AA20" s="15"/>
      <c r="AB20" s="15"/>
      <c r="AC20" s="95" t="s">
        <v>88</v>
      </c>
      <c r="AD20" s="95">
        <v>1.9</v>
      </c>
      <c r="AE20" s="18"/>
      <c r="AF20" s="90"/>
      <c r="AG20" s="90"/>
      <c r="AH20" s="90"/>
      <c r="AI20" s="90"/>
      <c r="AJ20" s="90"/>
    </row>
    <row r="21" spans="2:36" ht="15" customHeight="1" x14ac:dyDescent="0.3">
      <c r="B21" s="108" t="s">
        <v>84</v>
      </c>
      <c r="C21" s="109">
        <v>0.2</v>
      </c>
      <c r="D21" s="15"/>
      <c r="E21" s="95" t="s">
        <v>90</v>
      </c>
      <c r="F21" s="98">
        <v>62.52404190803739</v>
      </c>
      <c r="G21" s="18"/>
      <c r="H21"/>
      <c r="I21" s="99"/>
      <c r="J21" s="3"/>
      <c r="K21" s="99"/>
      <c r="L21" s="90"/>
      <c r="M21" s="90"/>
      <c r="N21" s="8"/>
      <c r="O21" s="15"/>
      <c r="P21" s="15"/>
      <c r="Q21" s="95" t="s">
        <v>90</v>
      </c>
      <c r="R21" s="98">
        <v>62.52404190803739</v>
      </c>
      <c r="S21" s="18"/>
      <c r="T21" s="90"/>
      <c r="U21" s="90"/>
      <c r="V21" s="90"/>
      <c r="W21" s="90"/>
      <c r="X21" s="90"/>
      <c r="Z21" s="8"/>
      <c r="AA21" s="15"/>
      <c r="AB21" s="15"/>
      <c r="AC21" s="95" t="s">
        <v>90</v>
      </c>
      <c r="AD21" s="98">
        <v>62.52404190803739</v>
      </c>
      <c r="AE21" s="18"/>
      <c r="AF21" s="90"/>
      <c r="AG21" s="90"/>
      <c r="AH21" s="90"/>
      <c r="AI21" s="90"/>
      <c r="AJ21" s="90"/>
    </row>
    <row r="22" spans="2:36" ht="15" customHeight="1" x14ac:dyDescent="0.25">
      <c r="B22" s="108" t="s">
        <v>115</v>
      </c>
      <c r="C22" s="114">
        <v>200</v>
      </c>
      <c r="D22" s="115" t="s">
        <v>117</v>
      </c>
      <c r="E22" s="95" t="s">
        <v>91</v>
      </c>
      <c r="F22" s="98">
        <v>19.732436288346317</v>
      </c>
      <c r="G22" s="18"/>
      <c r="H22" s="3"/>
      <c r="I22" s="99"/>
      <c r="J22" s="3"/>
      <c r="K22" s="99"/>
      <c r="L22" s="90"/>
      <c r="M22" s="90"/>
      <c r="N22" s="8"/>
      <c r="O22" s="15"/>
      <c r="P22" s="15"/>
      <c r="Q22" s="95" t="s">
        <v>91</v>
      </c>
      <c r="R22" s="98">
        <v>19.732436288346317</v>
      </c>
      <c r="S22" s="18"/>
      <c r="T22" s="90"/>
      <c r="U22" s="90"/>
      <c r="V22" s="90"/>
      <c r="W22" s="90"/>
      <c r="X22" s="90"/>
      <c r="Z22" s="8"/>
      <c r="AA22" s="15"/>
      <c r="AB22" s="15"/>
      <c r="AC22" s="95" t="s">
        <v>91</v>
      </c>
      <c r="AD22" s="98">
        <v>19.732436288346317</v>
      </c>
      <c r="AE22" s="18"/>
      <c r="AF22" s="90"/>
      <c r="AG22" s="90"/>
      <c r="AH22" s="90"/>
      <c r="AI22" s="90"/>
      <c r="AJ22" s="90"/>
    </row>
    <row r="23" spans="2:36" ht="15" customHeight="1" x14ac:dyDescent="0.25">
      <c r="B23" s="8"/>
      <c r="C23" s="15"/>
      <c r="D23" s="15"/>
      <c r="E23" s="15"/>
      <c r="F23" s="15"/>
      <c r="G23" s="18"/>
      <c r="H23" s="90"/>
      <c r="I23" s="90"/>
      <c r="J23" s="90"/>
      <c r="K23" s="90"/>
      <c r="L23" s="90"/>
      <c r="M23" s="90"/>
      <c r="N23" s="8"/>
      <c r="O23" s="15"/>
      <c r="P23" s="15"/>
      <c r="Q23" s="15"/>
      <c r="R23" s="15"/>
      <c r="S23" s="18"/>
      <c r="T23" s="90"/>
      <c r="U23" s="90"/>
      <c r="V23" s="90"/>
      <c r="W23" s="90"/>
      <c r="X23" s="90"/>
      <c r="Z23" s="8"/>
      <c r="AA23" s="15"/>
      <c r="AB23" s="15"/>
      <c r="AC23" s="15"/>
      <c r="AD23" s="15"/>
      <c r="AE23" s="18"/>
      <c r="AF23" s="90"/>
      <c r="AG23" s="90"/>
      <c r="AH23" s="90"/>
      <c r="AI23" s="90"/>
      <c r="AJ23" s="90"/>
    </row>
    <row r="24" spans="2:36" x14ac:dyDescent="0.25">
      <c r="B24" s="152" t="s">
        <v>67</v>
      </c>
      <c r="C24" s="152"/>
      <c r="E24" s="152" t="s">
        <v>76</v>
      </c>
      <c r="F24" s="152"/>
      <c r="H24" s="144" t="s">
        <v>93</v>
      </c>
      <c r="I24" s="144"/>
      <c r="J24" s="144"/>
      <c r="K24" s="144"/>
      <c r="N24" s="152" t="s">
        <v>67</v>
      </c>
      <c r="O24" s="152"/>
      <c r="P24" s="16"/>
      <c r="Q24" s="152" t="s">
        <v>76</v>
      </c>
      <c r="R24" s="152"/>
      <c r="S24" s="19"/>
      <c r="T24" s="144" t="s">
        <v>93</v>
      </c>
      <c r="U24" s="144"/>
      <c r="V24" s="144"/>
      <c r="W24" s="144"/>
      <c r="Z24" s="152" t="s">
        <v>67</v>
      </c>
      <c r="AA24" s="152"/>
      <c r="AB24" s="16"/>
      <c r="AC24" s="152" t="s">
        <v>76</v>
      </c>
      <c r="AD24" s="152"/>
      <c r="AE24" s="19"/>
      <c r="AF24" s="144" t="s">
        <v>93</v>
      </c>
      <c r="AG24" s="144"/>
      <c r="AH24" s="144"/>
      <c r="AI24" s="144"/>
    </row>
    <row r="25" spans="2:36" ht="12.75" customHeight="1" x14ac:dyDescent="0.25">
      <c r="B25" s="93" t="s">
        <v>46</v>
      </c>
      <c r="C25" s="96" t="s">
        <v>78</v>
      </c>
      <c r="E25" s="93" t="s">
        <v>46</v>
      </c>
      <c r="F25" s="96" t="s">
        <v>77</v>
      </c>
      <c r="H25" s="121"/>
      <c r="I25" s="121"/>
      <c r="J25" s="120" t="s">
        <v>97</v>
      </c>
      <c r="K25" s="120" t="s">
        <v>98</v>
      </c>
      <c r="N25" s="93" t="s">
        <v>46</v>
      </c>
      <c r="O25" s="96" t="s">
        <v>78</v>
      </c>
      <c r="P25" s="16"/>
      <c r="Q25" s="93" t="s">
        <v>46</v>
      </c>
      <c r="R25" s="96" t="s">
        <v>77</v>
      </c>
      <c r="S25" s="19"/>
      <c r="V25" s="120" t="s">
        <v>97</v>
      </c>
      <c r="W25" s="120" t="s">
        <v>98</v>
      </c>
      <c r="Z25" s="93" t="s">
        <v>46</v>
      </c>
      <c r="AA25" s="96" t="s">
        <v>78</v>
      </c>
      <c r="AB25" s="16"/>
      <c r="AC25" s="93" t="s">
        <v>46</v>
      </c>
      <c r="AD25" s="96" t="s">
        <v>77</v>
      </c>
      <c r="AE25" s="19"/>
      <c r="AH25" s="120" t="s">
        <v>97</v>
      </c>
      <c r="AI25" s="120" t="s">
        <v>98</v>
      </c>
    </row>
    <row r="26" spans="2:36" ht="12.75" customHeight="1" x14ac:dyDescent="0.25">
      <c r="B26" s="95" t="s">
        <v>57</v>
      </c>
      <c r="C26" s="94">
        <v>140.54472034712478</v>
      </c>
      <c r="E26" s="95" t="s">
        <v>68</v>
      </c>
      <c r="F26" s="94">
        <f>(7.34+33.8)/F19</f>
        <v>13.713333333333333</v>
      </c>
      <c r="H26" s="118" t="s">
        <v>94</v>
      </c>
      <c r="I26" s="118"/>
      <c r="J26" s="101">
        <v>0.1</v>
      </c>
      <c r="K26" s="102"/>
      <c r="N26" s="95" t="s">
        <v>57</v>
      </c>
      <c r="O26" s="94">
        <v>140.54472034712478</v>
      </c>
      <c r="P26" s="16"/>
      <c r="Q26" s="95" t="s">
        <v>68</v>
      </c>
      <c r="R26" s="94">
        <f>(30.47+46.06)/R19</f>
        <v>38.265000000000001</v>
      </c>
      <c r="S26" s="19"/>
      <c r="T26" s="118" t="s">
        <v>94</v>
      </c>
      <c r="U26" s="118"/>
      <c r="V26" s="101">
        <v>0.1</v>
      </c>
      <c r="W26" s="102"/>
      <c r="Z26" s="95" t="s">
        <v>57</v>
      </c>
      <c r="AA26" s="94">
        <v>140.54472034712478</v>
      </c>
      <c r="AB26" s="16"/>
      <c r="AC26" s="95" t="s">
        <v>68</v>
      </c>
      <c r="AD26" s="94">
        <v>42.317673749999997</v>
      </c>
      <c r="AE26" s="19"/>
      <c r="AF26" s="118" t="s">
        <v>94</v>
      </c>
      <c r="AG26" s="118"/>
      <c r="AH26" s="101">
        <v>0.1</v>
      </c>
      <c r="AI26" s="102"/>
    </row>
    <row r="27" spans="2:36" x14ac:dyDescent="0.25">
      <c r="B27" s="95" t="s">
        <v>58</v>
      </c>
      <c r="C27" s="94"/>
      <c r="E27" s="95" t="s">
        <v>69</v>
      </c>
      <c r="F27" s="94">
        <v>0</v>
      </c>
      <c r="H27" s="118" t="s">
        <v>95</v>
      </c>
      <c r="I27" s="118"/>
      <c r="J27" s="101">
        <v>0.78</v>
      </c>
      <c r="K27" s="102"/>
      <c r="N27" s="95" t="s">
        <v>58</v>
      </c>
      <c r="O27" s="94"/>
      <c r="P27" s="16"/>
      <c r="Q27" s="95" t="s">
        <v>69</v>
      </c>
      <c r="R27" s="94">
        <v>0</v>
      </c>
      <c r="S27" s="19"/>
      <c r="T27" s="118" t="s">
        <v>95</v>
      </c>
      <c r="U27" s="118"/>
      <c r="V27" s="101">
        <v>0.78</v>
      </c>
      <c r="W27" s="102"/>
      <c r="Z27" s="95" t="s">
        <v>58</v>
      </c>
      <c r="AA27" s="94"/>
      <c r="AB27" s="16"/>
      <c r="AC27" s="95" t="s">
        <v>69</v>
      </c>
      <c r="AD27" s="94">
        <v>0</v>
      </c>
      <c r="AE27" s="19"/>
      <c r="AF27" s="118" t="s">
        <v>95</v>
      </c>
      <c r="AG27" s="118"/>
      <c r="AH27" s="101">
        <v>0.78</v>
      </c>
      <c r="AI27" s="102"/>
    </row>
    <row r="28" spans="2:36" x14ac:dyDescent="0.25">
      <c r="B28" s="95" t="s">
        <v>59</v>
      </c>
      <c r="C28" s="94">
        <v>431.64027224999995</v>
      </c>
      <c r="E28" s="95" t="s">
        <v>0</v>
      </c>
      <c r="F28" s="94">
        <f>SUM(F26:F27)</f>
        <v>13.713333333333333</v>
      </c>
      <c r="H28" s="118" t="s">
        <v>96</v>
      </c>
      <c r="I28" s="118"/>
      <c r="J28" s="101">
        <v>0.12</v>
      </c>
      <c r="K28" s="102"/>
      <c r="N28" s="95" t="s">
        <v>59</v>
      </c>
      <c r="O28" s="94">
        <v>451.38851999999997</v>
      </c>
      <c r="P28" s="16"/>
      <c r="Q28" s="95" t="s">
        <v>0</v>
      </c>
      <c r="R28" s="94">
        <f>SUM(R26:R27)</f>
        <v>38.265000000000001</v>
      </c>
      <c r="S28" s="19"/>
      <c r="T28" s="118" t="s">
        <v>96</v>
      </c>
      <c r="U28" s="118"/>
      <c r="V28" s="101">
        <v>0.12</v>
      </c>
      <c r="W28" s="102"/>
      <c r="Z28" s="95" t="s">
        <v>59</v>
      </c>
      <c r="AA28" s="94">
        <v>972.1893096629999</v>
      </c>
      <c r="AB28" s="16"/>
      <c r="AC28" s="95" t="s">
        <v>0</v>
      </c>
      <c r="AD28" s="94">
        <f>SUM(AD26:AD27)</f>
        <v>42.317673749999997</v>
      </c>
      <c r="AE28" s="19"/>
      <c r="AF28" s="118" t="s">
        <v>96</v>
      </c>
      <c r="AG28" s="118"/>
      <c r="AH28" s="101">
        <v>0.12</v>
      </c>
      <c r="AI28" s="102"/>
    </row>
    <row r="29" spans="2:36" x14ac:dyDescent="0.25">
      <c r="B29" s="95" t="s">
        <v>116</v>
      </c>
      <c r="C29" s="94">
        <f>SUM(C26:C28)-C22</f>
        <v>372.18499259712473</v>
      </c>
      <c r="E29" s="95" t="s">
        <v>89</v>
      </c>
      <c r="F29" s="94">
        <f>F28/12</f>
        <v>1.1427777777777777</v>
      </c>
      <c r="N29" s="95" t="s">
        <v>116</v>
      </c>
      <c r="O29" s="94">
        <f>SUM(O26:O28)-C22</f>
        <v>391.93324034712475</v>
      </c>
      <c r="P29" s="16"/>
      <c r="Q29" s="95" t="s">
        <v>89</v>
      </c>
      <c r="R29" s="94">
        <f>R28/12</f>
        <v>3.1887500000000002</v>
      </c>
      <c r="S29" s="19"/>
      <c r="Z29" s="95" t="s">
        <v>116</v>
      </c>
      <c r="AA29" s="94">
        <f>SUM(AA26:AA28)-C22</f>
        <v>912.73403001012457</v>
      </c>
      <c r="AB29" s="16"/>
      <c r="AC29" s="95" t="s">
        <v>89</v>
      </c>
      <c r="AD29" s="94">
        <f>AD28/12</f>
        <v>3.5264728124999998</v>
      </c>
      <c r="AE29" s="19"/>
    </row>
    <row r="30" spans="2:36" x14ac:dyDescent="0.25">
      <c r="B30" s="95" t="s">
        <v>92</v>
      </c>
      <c r="C30" s="94">
        <f>-PMT($C$20/12,$C$19*12,C29)</f>
        <v>10.949785463054432</v>
      </c>
      <c r="H30" s="104" t="s">
        <v>109</v>
      </c>
      <c r="I30" s="105"/>
      <c r="J30" s="102">
        <f>41389.14/(553.442*1000)*100</f>
        <v>7.4784963916724791</v>
      </c>
      <c r="K30" s="1" t="s">
        <v>119</v>
      </c>
      <c r="N30" s="95" t="s">
        <v>92</v>
      </c>
      <c r="O30" s="94">
        <f>-PMT($C$20/12,$C$19*12,O29)</f>
        <v>11.530784376054179</v>
      </c>
      <c r="P30" s="16"/>
      <c r="Q30" s="16"/>
      <c r="R30" s="16"/>
      <c r="S30" s="19"/>
      <c r="T30" s="104" t="s">
        <v>109</v>
      </c>
      <c r="U30" s="105"/>
      <c r="V30" s="102">
        <f>41389.14/(553.442*1000)*100</f>
        <v>7.4784963916724791</v>
      </c>
      <c r="Z30" s="95" t="s">
        <v>92</v>
      </c>
      <c r="AA30" s="94">
        <f>-PMT($C$20/12,$C$19*12,AA29)</f>
        <v>26.852887709683433</v>
      </c>
      <c r="AB30" s="16"/>
      <c r="AC30" s="16"/>
      <c r="AD30" s="16"/>
      <c r="AE30" s="19"/>
      <c r="AF30" s="104" t="s">
        <v>109</v>
      </c>
      <c r="AG30" s="105"/>
      <c r="AH30" s="102">
        <f>41389.14/(553.442*1000)*100</f>
        <v>7.4784963916724791</v>
      </c>
    </row>
    <row r="31" spans="2:36" x14ac:dyDescent="0.25">
      <c r="E31" s="93" t="s">
        <v>60</v>
      </c>
      <c r="F31" s="96" t="s">
        <v>62</v>
      </c>
      <c r="N31" s="1"/>
      <c r="O31" s="16"/>
      <c r="P31" s="16"/>
      <c r="Q31" s="93" t="s">
        <v>60</v>
      </c>
      <c r="R31" s="96" t="s">
        <v>62</v>
      </c>
      <c r="S31" s="19"/>
      <c r="AA31" s="16"/>
      <c r="AB31" s="16"/>
      <c r="AC31" s="93" t="s">
        <v>60</v>
      </c>
      <c r="AD31" s="96" t="s">
        <v>62</v>
      </c>
      <c r="AE31" s="19"/>
    </row>
    <row r="32" spans="2:36" x14ac:dyDescent="0.25">
      <c r="B32" s="93" t="s">
        <v>60</v>
      </c>
      <c r="C32" s="96" t="s">
        <v>62</v>
      </c>
      <c r="E32" s="95" t="s">
        <v>71</v>
      </c>
      <c r="F32" s="94">
        <f>F20*F21/F19</f>
        <v>39.598559875090345</v>
      </c>
      <c r="H32" s="118" t="s">
        <v>99</v>
      </c>
      <c r="I32" s="118"/>
      <c r="J32" s="102">
        <v>4380</v>
      </c>
      <c r="N32" s="93" t="s">
        <v>60</v>
      </c>
      <c r="O32" s="96" t="s">
        <v>62</v>
      </c>
      <c r="P32" s="16"/>
      <c r="Q32" s="95" t="s">
        <v>71</v>
      </c>
      <c r="R32" s="94">
        <f>R20*R21/R19</f>
        <v>59.397839812635517</v>
      </c>
      <c r="S32" s="19"/>
      <c r="T32" s="118" t="s">
        <v>99</v>
      </c>
      <c r="U32" s="118"/>
      <c r="V32" s="102">
        <v>4380</v>
      </c>
      <c r="Z32" s="93" t="s">
        <v>60</v>
      </c>
      <c r="AA32" s="96" t="s">
        <v>62</v>
      </c>
      <c r="AB32" s="16"/>
      <c r="AC32" s="95" t="s">
        <v>71</v>
      </c>
      <c r="AD32" s="94">
        <f>AD20*AD21/AD19</f>
        <v>79.19711975018069</v>
      </c>
      <c r="AE32" s="19"/>
      <c r="AF32" s="118" t="s">
        <v>99</v>
      </c>
      <c r="AG32" s="118"/>
      <c r="AH32" s="102">
        <v>4380</v>
      </c>
    </row>
    <row r="33" spans="2:35" x14ac:dyDescent="0.25">
      <c r="B33" s="95" t="s">
        <v>61</v>
      </c>
      <c r="C33" s="94">
        <v>187.57212572411217</v>
      </c>
      <c r="E33" s="95" t="s">
        <v>70</v>
      </c>
      <c r="F33" s="94">
        <v>0</v>
      </c>
      <c r="N33" s="95" t="s">
        <v>61</v>
      </c>
      <c r="O33" s="94">
        <v>187.57212572411217</v>
      </c>
      <c r="P33" s="16"/>
      <c r="Q33" s="95" t="s">
        <v>70</v>
      </c>
      <c r="R33" s="94">
        <v>0</v>
      </c>
      <c r="S33" s="19"/>
      <c r="Z33" s="95" t="s">
        <v>61</v>
      </c>
      <c r="AA33" s="94">
        <v>187.57212572411217</v>
      </c>
      <c r="AB33" s="16"/>
      <c r="AC33" s="95" t="s">
        <v>70</v>
      </c>
      <c r="AD33" s="94">
        <v>0</v>
      </c>
      <c r="AE33" s="19"/>
    </row>
    <row r="34" spans="2:35" x14ac:dyDescent="0.25">
      <c r="B34" s="95" t="s">
        <v>92</v>
      </c>
      <c r="C34" s="94">
        <f>-PMT($C$20/12,$C$19*12,C33)</f>
        <v>5.5184238386294586</v>
      </c>
      <c r="E34" s="95" t="s">
        <v>89</v>
      </c>
      <c r="F34" s="94">
        <f>SUM(F32:F33)/12</f>
        <v>3.2998799895908619</v>
      </c>
      <c r="J34" s="2" t="s">
        <v>108</v>
      </c>
      <c r="K34" s="120" t="s">
        <v>107</v>
      </c>
      <c r="N34" s="95" t="s">
        <v>92</v>
      </c>
      <c r="O34" s="94">
        <f>-PMT($C$20/12,$C$19*12,O33)</f>
        <v>5.5184238386294586</v>
      </c>
      <c r="P34" s="16"/>
      <c r="Q34" s="95" t="s">
        <v>89</v>
      </c>
      <c r="R34" s="94">
        <f>SUM(R32:R33)/12</f>
        <v>4.9498199843862931</v>
      </c>
      <c r="S34" s="19"/>
      <c r="V34" s="2" t="s">
        <v>108</v>
      </c>
      <c r="W34" s="120" t="s">
        <v>107</v>
      </c>
      <c r="Z34" s="95" t="s">
        <v>92</v>
      </c>
      <c r="AA34" s="94">
        <f>-PMT($C$20/12,$C$19*12,AA33)</f>
        <v>5.5184238386294586</v>
      </c>
      <c r="AB34" s="16"/>
      <c r="AC34" s="95" t="s">
        <v>89</v>
      </c>
      <c r="AD34" s="94">
        <f>SUM(AD32:AD33)/12</f>
        <v>6.5997599791817239</v>
      </c>
      <c r="AE34" s="19"/>
      <c r="AH34" s="2" t="s">
        <v>108</v>
      </c>
      <c r="AI34" s="120" t="s">
        <v>107</v>
      </c>
    </row>
    <row r="35" spans="2:35" x14ac:dyDescent="0.25">
      <c r="H35" s="110" t="s">
        <v>100</v>
      </c>
      <c r="I35" s="111" t="s">
        <v>101</v>
      </c>
      <c r="J35" s="112">
        <v>273</v>
      </c>
      <c r="K35" s="113">
        <f t="shared" ref="K35:K40" si="17">J35/1000*J$32</f>
        <v>1195.74</v>
      </c>
      <c r="N35" s="1"/>
      <c r="O35" s="16"/>
      <c r="P35" s="16"/>
      <c r="Q35" s="16"/>
      <c r="R35" s="16"/>
      <c r="S35" s="19"/>
      <c r="T35" s="104" t="s">
        <v>100</v>
      </c>
      <c r="U35" s="105" t="s">
        <v>101</v>
      </c>
      <c r="V35" s="102">
        <v>273</v>
      </c>
      <c r="W35" s="103">
        <f t="shared" ref="W35:W40" si="18">V35/1000*V$32</f>
        <v>1195.74</v>
      </c>
      <c r="AA35" s="16"/>
      <c r="AB35" s="16"/>
      <c r="AC35" s="16"/>
      <c r="AD35" s="16"/>
      <c r="AE35" s="19"/>
      <c r="AF35" s="104" t="s">
        <v>100</v>
      </c>
      <c r="AG35" s="105" t="s">
        <v>101</v>
      </c>
      <c r="AH35" s="102">
        <v>273</v>
      </c>
      <c r="AI35" s="103">
        <f t="shared" ref="AI35:AI40" si="19">AH35/1000*AH$32</f>
        <v>1195.74</v>
      </c>
    </row>
    <row r="36" spans="2:35" x14ac:dyDescent="0.25">
      <c r="B36" s="93" t="s">
        <v>63</v>
      </c>
      <c r="C36" s="96" t="s">
        <v>62</v>
      </c>
      <c r="E36" s="93" t="s">
        <v>63</v>
      </c>
      <c r="F36" s="96" t="s">
        <v>62</v>
      </c>
      <c r="H36" s="104" t="s">
        <v>100</v>
      </c>
      <c r="I36" s="105" t="s">
        <v>102</v>
      </c>
      <c r="J36" s="102">
        <v>440</v>
      </c>
      <c r="K36" s="103">
        <f t="shared" si="17"/>
        <v>1927.2</v>
      </c>
      <c r="N36" s="93" t="s">
        <v>63</v>
      </c>
      <c r="O36" s="96" t="s">
        <v>62</v>
      </c>
      <c r="P36" s="16"/>
      <c r="Q36" s="93" t="s">
        <v>63</v>
      </c>
      <c r="R36" s="96" t="s">
        <v>62</v>
      </c>
      <c r="S36" s="19"/>
      <c r="T36" s="110" t="s">
        <v>100</v>
      </c>
      <c r="U36" s="111" t="s">
        <v>102</v>
      </c>
      <c r="V36" s="112">
        <v>440</v>
      </c>
      <c r="W36" s="113">
        <f t="shared" si="18"/>
        <v>1927.2</v>
      </c>
      <c r="Z36" s="93" t="s">
        <v>63</v>
      </c>
      <c r="AA36" s="96" t="s">
        <v>62</v>
      </c>
      <c r="AB36" s="16"/>
      <c r="AC36" s="93" t="s">
        <v>63</v>
      </c>
      <c r="AD36" s="96" t="s">
        <v>62</v>
      </c>
      <c r="AE36" s="19"/>
      <c r="AF36" s="104" t="s">
        <v>100</v>
      </c>
      <c r="AG36" s="105" t="s">
        <v>102</v>
      </c>
      <c r="AH36" s="102">
        <v>440</v>
      </c>
      <c r="AI36" s="103">
        <f t="shared" si="19"/>
        <v>1927.2</v>
      </c>
    </row>
    <row r="37" spans="2:35" x14ac:dyDescent="0.25">
      <c r="B37" s="95" t="s">
        <v>72</v>
      </c>
      <c r="C37" s="94">
        <v>59.197308865038949</v>
      </c>
      <c r="E37" s="95" t="s">
        <v>73</v>
      </c>
      <c r="F37" s="94">
        <f>F20*F22/F19</f>
        <v>12.497209649286001</v>
      </c>
      <c r="H37" s="104" t="s">
        <v>100</v>
      </c>
      <c r="I37" s="105" t="s">
        <v>103</v>
      </c>
      <c r="J37" s="102">
        <v>1064</v>
      </c>
      <c r="K37" s="103">
        <f t="shared" si="17"/>
        <v>4660.3200000000006</v>
      </c>
      <c r="N37" s="95" t="s">
        <v>72</v>
      </c>
      <c r="O37" s="94">
        <v>59.197308865038949</v>
      </c>
      <c r="P37" s="16"/>
      <c r="Q37" s="95" t="s">
        <v>73</v>
      </c>
      <c r="R37" s="94">
        <f>R20*R22/R19</f>
        <v>18.745814473929002</v>
      </c>
      <c r="S37" s="19"/>
      <c r="T37" s="104" t="s">
        <v>100</v>
      </c>
      <c r="U37" s="105" t="s">
        <v>103</v>
      </c>
      <c r="V37" s="102">
        <v>1064</v>
      </c>
      <c r="W37" s="103">
        <f t="shared" si="18"/>
        <v>4660.3200000000006</v>
      </c>
      <c r="Z37" s="95" t="s">
        <v>72</v>
      </c>
      <c r="AA37" s="94">
        <v>59.197308865038949</v>
      </c>
      <c r="AB37" s="16"/>
      <c r="AC37" s="95" t="s">
        <v>73</v>
      </c>
      <c r="AD37" s="94">
        <f>AD20*AD22/AD19</f>
        <v>24.994419298572002</v>
      </c>
      <c r="AE37" s="19"/>
      <c r="AF37" s="110" t="s">
        <v>100</v>
      </c>
      <c r="AG37" s="111" t="s">
        <v>103</v>
      </c>
      <c r="AH37" s="112">
        <v>1064</v>
      </c>
      <c r="AI37" s="113">
        <f t="shared" si="19"/>
        <v>4660.3200000000006</v>
      </c>
    </row>
    <row r="38" spans="2:35" x14ac:dyDescent="0.25">
      <c r="B38" s="95" t="s">
        <v>92</v>
      </c>
      <c r="C38" s="94">
        <f>-PMT($C$20/12,$C$19*12,C37)</f>
        <v>1.7416012062689343</v>
      </c>
      <c r="E38" s="95" t="s">
        <v>89</v>
      </c>
      <c r="F38" s="94">
        <f>F37/12</f>
        <v>1.0414341374405001</v>
      </c>
      <c r="H38" s="110" t="s">
        <v>100</v>
      </c>
      <c r="I38" s="111" t="s">
        <v>104</v>
      </c>
      <c r="J38" s="112">
        <v>268</v>
      </c>
      <c r="K38" s="113">
        <f t="shared" si="17"/>
        <v>1173.8400000000001</v>
      </c>
      <c r="N38" s="95" t="s">
        <v>92</v>
      </c>
      <c r="O38" s="94">
        <f>-PMT($C$20/12,$C$19*12,O37)</f>
        <v>1.7416012062689343</v>
      </c>
      <c r="P38" s="16"/>
      <c r="Q38" s="95" t="s">
        <v>89</v>
      </c>
      <c r="R38" s="94">
        <f>R37/12</f>
        <v>1.5621512061607501</v>
      </c>
      <c r="S38" s="19"/>
      <c r="T38" s="104" t="s">
        <v>100</v>
      </c>
      <c r="U38" s="105" t="s">
        <v>104</v>
      </c>
      <c r="V38" s="102">
        <v>268</v>
      </c>
      <c r="W38" s="103">
        <f t="shared" si="18"/>
        <v>1173.8400000000001</v>
      </c>
      <c r="Z38" s="95" t="s">
        <v>92</v>
      </c>
      <c r="AA38" s="94">
        <f>-PMT($C$20/12,$C$19*12,AA37)</f>
        <v>1.7416012062689343</v>
      </c>
      <c r="AB38" s="16"/>
      <c r="AC38" s="95" t="s">
        <v>89</v>
      </c>
      <c r="AD38" s="94">
        <f>AD37/12</f>
        <v>2.0828682748810001</v>
      </c>
      <c r="AE38" s="19"/>
      <c r="AF38" s="104" t="s">
        <v>100</v>
      </c>
      <c r="AG38" s="105" t="s">
        <v>104</v>
      </c>
      <c r="AH38" s="102">
        <v>268</v>
      </c>
      <c r="AI38" s="103">
        <f t="shared" si="19"/>
        <v>1173.8400000000001</v>
      </c>
    </row>
    <row r="39" spans="2:35" x14ac:dyDescent="0.25">
      <c r="H39" s="104" t="s">
        <v>100</v>
      </c>
      <c r="I39" s="105" t="s">
        <v>105</v>
      </c>
      <c r="J39" s="102">
        <v>425</v>
      </c>
      <c r="K39" s="103">
        <f t="shared" si="17"/>
        <v>1861.5</v>
      </c>
      <c r="N39" s="1"/>
      <c r="O39" s="16"/>
      <c r="P39" s="16"/>
      <c r="Q39" s="16"/>
      <c r="R39" s="16"/>
      <c r="S39" s="19"/>
      <c r="T39" s="110" t="s">
        <v>100</v>
      </c>
      <c r="U39" s="111" t="s">
        <v>105</v>
      </c>
      <c r="V39" s="112">
        <v>425</v>
      </c>
      <c r="W39" s="113">
        <f t="shared" si="18"/>
        <v>1861.5</v>
      </c>
      <c r="AA39" s="16"/>
      <c r="AB39" s="16"/>
      <c r="AC39" s="16"/>
      <c r="AD39" s="16"/>
      <c r="AE39" s="19"/>
      <c r="AF39" s="104" t="s">
        <v>100</v>
      </c>
      <c r="AG39" s="105" t="s">
        <v>105</v>
      </c>
      <c r="AH39" s="102">
        <v>425</v>
      </c>
      <c r="AI39" s="103">
        <f t="shared" si="19"/>
        <v>1861.5</v>
      </c>
    </row>
    <row r="40" spans="2:35" x14ac:dyDescent="0.25">
      <c r="B40" s="93" t="s">
        <v>65</v>
      </c>
      <c r="C40" s="96" t="s">
        <v>64</v>
      </c>
      <c r="E40" s="93" t="s">
        <v>65</v>
      </c>
      <c r="F40" s="96" t="s">
        <v>64</v>
      </c>
      <c r="H40" s="104" t="s">
        <v>100</v>
      </c>
      <c r="I40" s="105" t="s">
        <v>106</v>
      </c>
      <c r="J40" s="102">
        <v>1040</v>
      </c>
      <c r="K40" s="103">
        <f t="shared" si="17"/>
        <v>4555.2</v>
      </c>
      <c r="N40" s="93" t="s">
        <v>65</v>
      </c>
      <c r="O40" s="96" t="s">
        <v>64</v>
      </c>
      <c r="P40" s="16"/>
      <c r="Q40" s="93" t="s">
        <v>65</v>
      </c>
      <c r="R40" s="96" t="s">
        <v>64</v>
      </c>
      <c r="S40" s="19"/>
      <c r="T40" s="104" t="s">
        <v>100</v>
      </c>
      <c r="U40" s="105" t="s">
        <v>106</v>
      </c>
      <c r="V40" s="102">
        <v>1040</v>
      </c>
      <c r="W40" s="103">
        <f t="shared" si="18"/>
        <v>4555.2</v>
      </c>
      <c r="Z40" s="93" t="s">
        <v>65</v>
      </c>
      <c r="AA40" s="96" t="s">
        <v>64</v>
      </c>
      <c r="AB40" s="16"/>
      <c r="AC40" s="93" t="s">
        <v>65</v>
      </c>
      <c r="AD40" s="96" t="s">
        <v>64</v>
      </c>
      <c r="AE40" s="19"/>
      <c r="AF40" s="110" t="s">
        <v>100</v>
      </c>
      <c r="AG40" s="111" t="s">
        <v>106</v>
      </c>
      <c r="AH40" s="112">
        <v>1040</v>
      </c>
      <c r="AI40" s="113">
        <f t="shared" si="19"/>
        <v>4555.2</v>
      </c>
    </row>
    <row r="41" spans="2:35" ht="14.4" customHeight="1" x14ac:dyDescent="0.25">
      <c r="B41" s="95" t="s">
        <v>75</v>
      </c>
      <c r="C41" s="94">
        <v>266.76924547429286</v>
      </c>
      <c r="E41" s="95" t="s">
        <v>74</v>
      </c>
      <c r="F41" s="94">
        <f>333.46/F19*40%</f>
        <v>44.461333333333329</v>
      </c>
      <c r="H41" s="104" t="s">
        <v>110</v>
      </c>
      <c r="I41" s="105"/>
      <c r="J41" s="119">
        <f>(K35+K38)/2*J30/100</f>
        <v>88.604477398896364</v>
      </c>
      <c r="K41" s="119"/>
      <c r="N41" s="95" t="s">
        <v>75</v>
      </c>
      <c r="O41" s="94">
        <v>266.76924547429286</v>
      </c>
      <c r="P41" s="16"/>
      <c r="Q41" s="95" t="s">
        <v>74</v>
      </c>
      <c r="R41" s="94">
        <f>333.46/R19*60%</f>
        <v>100.038</v>
      </c>
      <c r="S41" s="19"/>
      <c r="T41" s="104" t="s">
        <v>111</v>
      </c>
      <c r="U41" s="105"/>
      <c r="V41" s="119">
        <f>(W36+W39)/2*V30/100</f>
        <v>141.66889639564761</v>
      </c>
      <c r="W41" s="119"/>
      <c r="Z41" s="95" t="s">
        <v>75</v>
      </c>
      <c r="AA41" s="94">
        <v>266.76924547429286</v>
      </c>
      <c r="AB41" s="16"/>
      <c r="AC41" s="95" t="s">
        <v>74</v>
      </c>
      <c r="AD41" s="94">
        <f>333.46/AD19*60%</f>
        <v>133.38399999999999</v>
      </c>
      <c r="AE41" s="19"/>
      <c r="AF41" s="104" t="s">
        <v>122</v>
      </c>
      <c r="AG41" s="105"/>
      <c r="AH41" s="119">
        <f>(AI37+AI40)/2*AH30/100</f>
        <v>344.59116533692782</v>
      </c>
      <c r="AI41" s="119"/>
    </row>
    <row r="42" spans="2:35" ht="14.4" customHeight="1" x14ac:dyDescent="0.25">
      <c r="B42" s="95" t="s">
        <v>92</v>
      </c>
      <c r="C42" s="94">
        <f>-PMT($C$20/12,$C$19*12,C41)</f>
        <v>7.848425014939675</v>
      </c>
      <c r="E42" s="95" t="s">
        <v>89</v>
      </c>
      <c r="F42" s="94">
        <f>F41/12</f>
        <v>3.7051111111111106</v>
      </c>
      <c r="H42" s="106" t="s">
        <v>113</v>
      </c>
      <c r="I42" s="107"/>
      <c r="J42" s="119">
        <f>J41/12</f>
        <v>7.38370644990803</v>
      </c>
      <c r="K42" s="119"/>
      <c r="N42" s="95" t="s">
        <v>92</v>
      </c>
      <c r="O42" s="94">
        <f>-PMT($C$20/12,$C$19*12,O41)</f>
        <v>7.848425014939675</v>
      </c>
      <c r="P42" s="16"/>
      <c r="Q42" s="95" t="s">
        <v>89</v>
      </c>
      <c r="R42" s="94">
        <f>R41/12</f>
        <v>8.3364999999999991</v>
      </c>
      <c r="S42" s="19"/>
      <c r="T42" s="106" t="s">
        <v>114</v>
      </c>
      <c r="U42" s="107"/>
      <c r="V42" s="119">
        <f>V41/12</f>
        <v>11.805741366303968</v>
      </c>
      <c r="W42" s="119"/>
      <c r="Z42" s="95" t="s">
        <v>92</v>
      </c>
      <c r="AA42" s="94">
        <f>-PMT($C$20/12,$C$19*12,AA41)</f>
        <v>7.848425014939675</v>
      </c>
      <c r="AB42" s="16"/>
      <c r="AC42" s="95" t="s">
        <v>89</v>
      </c>
      <c r="AD42" s="94">
        <f>AD41/12</f>
        <v>11.115333333333332</v>
      </c>
      <c r="AE42" s="19"/>
      <c r="AF42" s="106" t="s">
        <v>123</v>
      </c>
      <c r="AG42" s="107"/>
      <c r="AH42" s="119">
        <f>AH41/12</f>
        <v>28.715930444743986</v>
      </c>
      <c r="AI42" s="119"/>
    </row>
    <row r="44" spans="2:35" x14ac:dyDescent="0.25">
      <c r="B44" s="1" t="s">
        <v>118</v>
      </c>
    </row>
    <row r="45" spans="2:35" x14ac:dyDescent="0.25">
      <c r="B45" s="1" t="s">
        <v>120</v>
      </c>
    </row>
    <row r="46" spans="2:35" x14ac:dyDescent="0.25">
      <c r="F46" s="19"/>
    </row>
    <row r="47" spans="2:35" x14ac:dyDescent="0.25">
      <c r="F47" s="19"/>
    </row>
  </sheetData>
  <mergeCells count="18">
    <mergeCell ref="AF24:AI24"/>
    <mergeCell ref="Z7:Z10"/>
    <mergeCell ref="Z11:Z14"/>
    <mergeCell ref="Z16:AA16"/>
    <mergeCell ref="Z24:AA24"/>
    <mergeCell ref="AC24:AD24"/>
    <mergeCell ref="T24:W24"/>
    <mergeCell ref="B7:B10"/>
    <mergeCell ref="B11:B14"/>
    <mergeCell ref="B16:C16"/>
    <mergeCell ref="N7:N10"/>
    <mergeCell ref="N11:N14"/>
    <mergeCell ref="N16:O16"/>
    <mergeCell ref="B24:C24"/>
    <mergeCell ref="E24:F24"/>
    <mergeCell ref="H24:K24"/>
    <mergeCell ref="N24:O24"/>
    <mergeCell ref="Q24:R24"/>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AER Summary</vt:lpstr>
      <vt:lpstr>Proposed price build-up</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Christina Gornall</cp:lastModifiedBy>
  <cp:lastPrinted>2017-08-29T06:11:46Z</cp:lastPrinted>
  <dcterms:created xsi:type="dcterms:W3CDTF">2013-06-17T01:25:32Z</dcterms:created>
  <dcterms:modified xsi:type="dcterms:W3CDTF">2018-12-21T05:42:32Z</dcterms:modified>
</cp:coreProperties>
</file>