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eeves\fin_common\Reg Affairs\Electricity Network Price Review 2019\Submission attachments and appendices\Final Model Appendices\"/>
    </mc:Choice>
  </mc:AlternateContent>
  <bookViews>
    <workbookView xWindow="0" yWindow="0" windowWidth="28800" windowHeight="12900" activeTab="1"/>
  </bookViews>
  <sheets>
    <sheet name="Inputs " sheetId="11" r:id="rId1"/>
    <sheet name="CESS Calculation" sheetId="7" r:id="rId2"/>
  </sheets>
  <externalReferences>
    <externalReference r:id="rId3"/>
    <externalReference r:id="rId4"/>
  </externalReferences>
  <definedNames>
    <definedName name="rvanilla01">[1]WACC!$G$19</definedName>
    <definedName name="vanilla01">[1]WACC!$G$18</definedName>
  </definedNames>
  <calcPr calcId="162913" concurrentCalc="0"/>
</workbook>
</file>

<file path=xl/calcChain.xml><?xml version="1.0" encoding="utf-8"?>
<calcChain xmlns="http://schemas.openxmlformats.org/spreadsheetml/2006/main">
  <c r="C3" i="7" l="1"/>
  <c r="D8" i="7"/>
  <c r="E8" i="7"/>
  <c r="F8" i="7"/>
  <c r="G8" i="7"/>
  <c r="I52" i="11"/>
  <c r="H52" i="11"/>
  <c r="G52" i="11"/>
  <c r="F52" i="11"/>
  <c r="E52" i="11"/>
  <c r="E26" i="11"/>
  <c r="F26" i="11"/>
  <c r="G26" i="11"/>
  <c r="H26" i="11"/>
  <c r="I26" i="11"/>
  <c r="I25" i="11"/>
  <c r="H25" i="11"/>
  <c r="G25" i="11"/>
  <c r="F25" i="11"/>
  <c r="E25" i="11"/>
  <c r="E3" i="7"/>
  <c r="F3" i="7"/>
  <c r="G3" i="7"/>
  <c r="D18" i="7"/>
  <c r="D3" i="7"/>
  <c r="C17" i="7"/>
  <c r="C19" i="7"/>
  <c r="G47" i="11"/>
  <c r="F47" i="11"/>
  <c r="I47" i="11"/>
  <c r="H47" i="11"/>
  <c r="E47" i="11"/>
  <c r="I46" i="11"/>
  <c r="I48" i="11"/>
  <c r="G9" i="7"/>
  <c r="G10" i="7"/>
  <c r="I14" i="11"/>
  <c r="H14" i="11"/>
  <c r="G14" i="11"/>
  <c r="F14" i="11"/>
  <c r="E14" i="11"/>
  <c r="I8" i="11"/>
  <c r="H8" i="11"/>
  <c r="G8" i="11"/>
  <c r="F8" i="11"/>
  <c r="F27" i="11"/>
  <c r="E8" i="11"/>
  <c r="E27" i="11"/>
  <c r="G27" i="11"/>
  <c r="H27" i="11"/>
  <c r="I27" i="11"/>
  <c r="G46" i="11"/>
  <c r="G48" i="11"/>
  <c r="E9" i="7"/>
  <c r="E10" i="7"/>
  <c r="H46" i="11"/>
  <c r="H48" i="11"/>
  <c r="F9" i="7"/>
  <c r="F10" i="7"/>
  <c r="E46" i="11"/>
  <c r="E48" i="11"/>
  <c r="F46" i="11"/>
  <c r="F48" i="11"/>
  <c r="D9" i="7"/>
  <c r="D10" i="7"/>
  <c r="E18" i="7"/>
  <c r="G18" i="7"/>
  <c r="C10" i="7"/>
  <c r="E11" i="7"/>
  <c r="E17" i="7"/>
  <c r="F18" i="7"/>
  <c r="G17" i="7"/>
  <c r="F17" i="7"/>
  <c r="F19" i="7"/>
  <c r="C18" i="7"/>
  <c r="G11" i="7"/>
  <c r="D11" i="7"/>
  <c r="F11" i="7"/>
  <c r="D17" i="7"/>
  <c r="D19" i="7"/>
  <c r="C11" i="7"/>
  <c r="C16" i="7"/>
  <c r="C20" i="7"/>
  <c r="F14" i="7"/>
  <c r="G14" i="7"/>
  <c r="G13" i="7"/>
  <c r="E19" i="7"/>
  <c r="F13" i="7"/>
  <c r="E13" i="7"/>
  <c r="E12" i="7"/>
  <c r="G12" i="7"/>
  <c r="F12" i="7"/>
  <c r="D12" i="7"/>
  <c r="G15" i="7"/>
  <c r="G19" i="7"/>
  <c r="D16" i="7"/>
  <c r="D20" i="7"/>
  <c r="C24" i="7"/>
  <c r="F16" i="7"/>
  <c r="F20" i="7"/>
  <c r="E16" i="7"/>
  <c r="E20" i="7"/>
  <c r="G16" i="7"/>
  <c r="G20" i="7"/>
  <c r="C28" i="7"/>
  <c r="C26" i="7"/>
  <c r="C27" i="7"/>
  <c r="C29" i="7"/>
</calcChain>
</file>

<file path=xl/comments1.xml><?xml version="1.0" encoding="utf-8"?>
<comments xmlns="http://schemas.openxmlformats.org/spreadsheetml/2006/main">
  <authors>
    <author>Yee, Patrice</author>
  </authors>
  <commentList>
    <comment ref="A24" authorId="0" shapeId="0">
      <text>
        <r>
          <rPr>
            <sz val="9"/>
            <color indexed="81"/>
            <rFont val="Tahoma"/>
            <family val="2"/>
          </rPr>
          <t>As per Section 2.3.3 of AER capital expenditue incentive guideline, we assume that capex is incurred in the middle of each regulatory year.</t>
        </r>
      </text>
    </comment>
  </commentList>
</comments>
</file>

<file path=xl/sharedStrings.xml><?xml version="1.0" encoding="utf-8"?>
<sst xmlns="http://schemas.openxmlformats.org/spreadsheetml/2006/main" count="94" uniqueCount="70">
  <si>
    <t>Discount rate:</t>
  </si>
  <si>
    <t>Year</t>
  </si>
  <si>
    <t>Underspend</t>
  </si>
  <si>
    <t>Year 1 benefit</t>
  </si>
  <si>
    <t>Year 2 benefit</t>
  </si>
  <si>
    <t>Year 3 benefit</t>
  </si>
  <si>
    <t>Year 4 benefit</t>
  </si>
  <si>
    <t>Year 5 benefit</t>
  </si>
  <si>
    <t>Total financing benefit</t>
  </si>
  <si>
    <t>NPV underspend</t>
  </si>
  <si>
    <t>NPV financing benefit</t>
  </si>
  <si>
    <t>Relevant sharing ratio</t>
  </si>
  <si>
    <t>NSP share</t>
  </si>
  <si>
    <t>Total NSP financing benefit (NPV)</t>
  </si>
  <si>
    <t>Total underspend (NPV) adjusted for deferrals</t>
  </si>
  <si>
    <t>Regulatory period 1</t>
  </si>
  <si>
    <t>Capital expenditure sharing scheme</t>
  </si>
  <si>
    <t>Discount factor (middle of year)*</t>
  </si>
  <si>
    <t>Discount factor (end of year)**</t>
  </si>
  <si>
    <t>Notes</t>
  </si>
  <si>
    <t>* Capex is assumed to occur mid-year. Hence, a mid-year discount rate is required for capex allowance, actual capex and underspend.</t>
  </si>
  <si>
    <t>** The financing benefit is calculated on an end of year basis. Hence, an end of year discount rate is required.</t>
  </si>
  <si>
    <t>Consumer share</t>
  </si>
  <si>
    <t>2014-15</t>
  </si>
  <si>
    <t>2015-16</t>
  </si>
  <si>
    <t>2016-17</t>
  </si>
  <si>
    <t>2017-18</t>
  </si>
  <si>
    <t>2018-19</t>
  </si>
  <si>
    <t>Financial year</t>
  </si>
  <si>
    <t>AER 2015 Final Decision</t>
  </si>
  <si>
    <t>Forecast Net Capital Expenditure – As Incurred ($m Real 2013-14)</t>
  </si>
  <si>
    <t>Source: AER FD Distribution SCS PTRM</t>
  </si>
  <si>
    <t>Forecast Capital Expenditure – As Incurred ($m Real 2013-14)</t>
  </si>
  <si>
    <t>Forecast Customer Contributions – As Incurred ($m Real 2013-14)</t>
  </si>
  <si>
    <t>Source: AER FD Transmission SCS PTRM</t>
  </si>
  <si>
    <t>Actual CPI Inflation rate</t>
  </si>
  <si>
    <t>Distribution CPI inflation rate</t>
  </si>
  <si>
    <t>Transmission CPI inflation rate</t>
  </si>
  <si>
    <t>Source: Roll-forward model</t>
  </si>
  <si>
    <t>Calculations - convert AER capex allowance to nominal values</t>
  </si>
  <si>
    <t>Actual Net Capital Expenditure – As Incurred ($m Nominal)</t>
  </si>
  <si>
    <t xml:space="preserve">Distribution </t>
  </si>
  <si>
    <t>Transmission</t>
  </si>
  <si>
    <t>Actual Capital Expenditure – As Incurred ($m Nominal)</t>
  </si>
  <si>
    <t>Source: Evoenergy Distribution SCS RFM</t>
  </si>
  <si>
    <t>Source: Evoenergy Transmission SCS RFM</t>
  </si>
  <si>
    <t>AER Final Decision - SCS PTRM for 2014-19</t>
  </si>
  <si>
    <t>Nominal Vanilla WACC</t>
  </si>
  <si>
    <t>Actual Net Capital Expenditure - Nominal</t>
  </si>
  <si>
    <t>AER Forecast Net Capital Expenditure (Distribution)- ($m Nominal)</t>
  </si>
  <si>
    <t>AER Forecast Net Capital Expenditure (Transmission)- ($m Nominal)</t>
  </si>
  <si>
    <t>Total net capex allowance - ($m Nominal)</t>
  </si>
  <si>
    <t>Evoenergy Actual Net Capital Expenditure (Distribution)- ($m Nominal)</t>
  </si>
  <si>
    <t>Evoenergy Actual Net Capital Expenditure (Transmission)- ($m Nominal)</t>
  </si>
  <si>
    <t>Notes:</t>
  </si>
  <si>
    <t>https://www.aer.gov.au/system/files/AER%20-%20TransGrid%20final%20framework%20%26%20approach%202018-23%20-%20July%202016.pdf</t>
  </si>
  <si>
    <t>AER, in response to CESS issues raised by Western Power as part of TransGrid's Framework and Approach process, clarified that</t>
  </si>
  <si>
    <t xml:space="preserve">it intends for the CESS to apply to capex net of asset disposals. It wants to remove any distortions for business to inefficiently defer asset disposals and maximise the value of disposed assets. This affects the RAB and flows through to customers. Absent a CESS a NSP may have an incentive to defer disposal of assets across regulatory periods, which may not be an efficient outcome. </t>
  </si>
  <si>
    <t>it intends for the CESS will apply to capex net of capital contributions. the CESS is designed to supplement the incentives a service provider already faces when incurring capex. Without a CESS, a service provider faces a declining incentive to reduce its net capex over the regulatory control period. However, capex that is recovered through a capital contribution has no net impact on the RAB, so the same incentives do not apply. We consider that a CESS is not needed to incentivise expenditure that is recovered through a contribution.</t>
  </si>
  <si>
    <t>The treatment of capital contributions</t>
  </si>
  <si>
    <t>The treatment of asset disposals</t>
  </si>
  <si>
    <r>
      <rPr>
        <b/>
        <sz val="11"/>
        <color theme="1"/>
        <rFont val="Calibri"/>
        <family val="2"/>
        <scheme val="minor"/>
      </rPr>
      <t xml:space="preserve">Source: </t>
    </r>
    <r>
      <rPr>
        <sz val="11"/>
        <color theme="1"/>
        <rFont val="Calibri"/>
        <family val="2"/>
        <scheme val="minor"/>
      </rPr>
      <t>AER Framework and approach for TransGrid for regulatory control period commencing 1 July 2018, pages 21-22.</t>
    </r>
  </si>
  <si>
    <t>Minus Actual Customer Contributions – As Incurred ($m Nominal)</t>
  </si>
  <si>
    <t>Minus Actual Asset Disposal – As Incurred ($m Nominal)</t>
  </si>
  <si>
    <t>Minus Actual Net Capital Expenditure – As Incurred ($m Nominal)</t>
  </si>
  <si>
    <t>CESS calculation</t>
  </si>
  <si>
    <t>NPV of CESS payments</t>
  </si>
  <si>
    <t>Financial year ending 30 June</t>
  </si>
  <si>
    <t>Capex allowance ($m, nominal)</t>
  </si>
  <si>
    <t>Actual capex, ($m, nominal)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</si>
</sst>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color theme="1"/>
      <name val="Calibri"/>
      <family val="2"/>
      <scheme val="minor"/>
    </font>
    <font>
      <b/>
      <i/>
      <sz val="12"/>
      <name val="Arial"/>
      <family val="2"/>
    </font>
    <font>
      <sz val="10"/>
      <color theme="1"/>
      <name val="Arial"/>
      <family val="2"/>
    </font>
    <font>
      <b/>
      <sz val="10"/>
      <color theme="1"/>
      <name val="Arial"/>
      <family val="2"/>
    </font>
    <font>
      <b/>
      <sz val="11"/>
      <color theme="1"/>
      <name val="Calibri"/>
      <family val="2"/>
      <scheme val="minor"/>
    </font>
    <font>
      <sz val="11"/>
      <color theme="1"/>
      <name val="Calibri"/>
      <family val="2"/>
      <scheme val="minor"/>
    </font>
    <font>
      <sz val="11"/>
      <color rgb="FF3F3F76"/>
      <name val="Calibri"/>
      <family val="2"/>
      <scheme val="minor"/>
    </font>
    <font>
      <b/>
      <sz val="11"/>
      <color rgb="FFFA7D00"/>
      <name val="Calibri"/>
      <family val="2"/>
      <scheme val="minor"/>
    </font>
    <font>
      <sz val="11"/>
      <color rgb="FFFA7D00"/>
      <name val="Calibri"/>
      <family val="2"/>
      <scheme val="minor"/>
    </font>
    <font>
      <b/>
      <sz val="10"/>
      <name val="Arial"/>
      <family val="2"/>
    </font>
    <font>
      <sz val="10"/>
      <name val="Arial"/>
      <family val="2"/>
    </font>
    <font>
      <sz val="11"/>
      <name val="Calibri"/>
      <family val="2"/>
      <scheme val="minor"/>
    </font>
    <font>
      <b/>
      <sz val="11"/>
      <name val="Calibri"/>
      <family val="2"/>
      <scheme val="minor"/>
    </font>
    <font>
      <b/>
      <sz val="12"/>
      <color theme="1"/>
      <name val="Calibri"/>
      <family val="2"/>
      <scheme val="minor"/>
    </font>
    <font>
      <sz val="9"/>
      <color indexed="81"/>
      <name val="Tahoma"/>
      <family val="2"/>
    </font>
  </fonts>
  <fills count="9">
    <fill>
      <patternFill patternType="none"/>
    </fill>
    <fill>
      <patternFill patternType="gray125"/>
    </fill>
    <fill>
      <patternFill patternType="solid">
        <fgColor indexed="42"/>
        <bgColor indexed="64"/>
      </patternFill>
    </fill>
    <fill>
      <patternFill patternType="solid">
        <fgColor theme="9" tint="0.39997558519241921"/>
        <bgColor indexed="64"/>
      </patternFill>
    </fill>
    <fill>
      <patternFill patternType="solid">
        <fgColor rgb="FFFFCC99"/>
      </patternFill>
    </fill>
    <fill>
      <patternFill patternType="solid">
        <fgColor rgb="FFF2F2F2"/>
      </patternFill>
    </fill>
    <fill>
      <patternFill patternType="solid">
        <fgColor indexed="47"/>
        <bgColor indexed="64"/>
      </patternFill>
    </fill>
    <fill>
      <patternFill patternType="solid">
        <fgColor indexed="9"/>
        <bgColor indexed="64"/>
      </patternFill>
    </fill>
    <fill>
      <patternFill patternType="solid">
        <fgColor theme="4" tint="0.79998168889431442"/>
        <bgColor indexed="64"/>
      </patternFill>
    </fill>
  </fills>
  <borders count="35">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indexed="64"/>
      </top>
      <bottom style="thin">
        <color indexed="23"/>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right style="medium">
        <color indexed="64"/>
      </right>
      <top style="medium">
        <color indexed="64"/>
      </top>
      <bottom/>
      <diagonal/>
    </border>
  </borders>
  <cellStyleXfs count="5">
    <xf numFmtId="0" fontId="0" fillId="0" borderId="0"/>
    <xf numFmtId="9" fontId="5" fillId="0" borderId="0" applyFont="0" applyFill="0" applyBorder="0" applyAlignment="0" applyProtection="0"/>
    <xf numFmtId="0" fontId="6" fillId="4" borderId="28" applyNumberFormat="0" applyAlignment="0" applyProtection="0"/>
    <xf numFmtId="0" fontId="7" fillId="5" borderId="28" applyNumberFormat="0" applyAlignment="0" applyProtection="0"/>
    <xf numFmtId="0" fontId="8" fillId="0" borderId="29" applyNumberFormat="0" applyFill="0" applyAlignment="0" applyProtection="0"/>
  </cellStyleXfs>
  <cellXfs count="81">
    <xf numFmtId="0" fontId="0" fillId="0" borderId="0" xfId="0"/>
    <xf numFmtId="0" fontId="2" fillId="0" borderId="0" xfId="0" applyFont="1"/>
    <xf numFmtId="9" fontId="2" fillId="0" borderId="0" xfId="0" applyNumberFormat="1" applyFont="1"/>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2" fillId="0" borderId="6" xfId="0" applyFont="1" applyBorder="1"/>
    <xf numFmtId="0" fontId="2" fillId="2" borderId="7" xfId="0" applyFont="1" applyFill="1" applyBorder="1" applyProtection="1">
      <protection locked="0"/>
    </xf>
    <xf numFmtId="1" fontId="2" fillId="0" borderId="7" xfId="0" applyNumberFormat="1" applyFont="1" applyBorder="1"/>
    <xf numFmtId="1" fontId="2" fillId="0" borderId="0" xfId="0" applyNumberFormat="1" applyFont="1" applyBorder="1"/>
    <xf numFmtId="0" fontId="2" fillId="0" borderId="9" xfId="0" applyFont="1" applyBorder="1"/>
    <xf numFmtId="2" fontId="2" fillId="0" borderId="10" xfId="0" applyNumberFormat="1" applyFont="1" applyBorder="1"/>
    <xf numFmtId="2" fontId="2" fillId="0" borderId="11" xfId="0" applyNumberFormat="1" applyFont="1" applyBorder="1"/>
    <xf numFmtId="2" fontId="2" fillId="0" borderId="7" xfId="0" applyNumberFormat="1" applyFont="1" applyBorder="1"/>
    <xf numFmtId="2" fontId="2" fillId="0" borderId="0" xfId="0" applyNumberFormat="1" applyFont="1" applyBorder="1"/>
    <xf numFmtId="2" fontId="2" fillId="0" borderId="8" xfId="0" applyNumberFormat="1" applyFont="1" applyBorder="1"/>
    <xf numFmtId="0" fontId="2" fillId="0" borderId="12" xfId="0" applyFont="1" applyBorder="1"/>
    <xf numFmtId="2" fontId="2" fillId="0" borderId="13" xfId="0" applyNumberFormat="1" applyFont="1" applyBorder="1"/>
    <xf numFmtId="2" fontId="2" fillId="0" borderId="14" xfId="0" applyNumberFormat="1" applyFont="1" applyBorder="1"/>
    <xf numFmtId="2" fontId="2" fillId="0" borderId="15" xfId="0" applyNumberFormat="1" applyFont="1" applyBorder="1"/>
    <xf numFmtId="0" fontId="2" fillId="0" borderId="16" xfId="0" applyFont="1" applyBorder="1"/>
    <xf numFmtId="2" fontId="2" fillId="0" borderId="17" xfId="0" applyNumberFormat="1" applyFont="1" applyBorder="1"/>
    <xf numFmtId="2" fontId="2" fillId="0" borderId="1" xfId="0" applyNumberFormat="1" applyFont="1" applyBorder="1"/>
    <xf numFmtId="2" fontId="2" fillId="0" borderId="18" xfId="0" applyNumberFormat="1" applyFont="1" applyBorder="1"/>
    <xf numFmtId="2" fontId="2" fillId="0" borderId="0" xfId="0" applyNumberFormat="1" applyFont="1"/>
    <xf numFmtId="0" fontId="2" fillId="0" borderId="19" xfId="0" applyFont="1" applyBorder="1"/>
    <xf numFmtId="2" fontId="2" fillId="0" borderId="20" xfId="0" applyNumberFormat="1" applyFont="1" applyBorder="1"/>
    <xf numFmtId="9" fontId="2" fillId="0" borderId="21" xfId="0" applyNumberFormat="1" applyFont="1" applyBorder="1"/>
    <xf numFmtId="2" fontId="2" fillId="0" borderId="21" xfId="0" applyNumberFormat="1" applyFont="1" applyBorder="1"/>
    <xf numFmtId="0" fontId="3" fillId="0" borderId="16" xfId="0" applyFont="1" applyBorder="1"/>
    <xf numFmtId="0" fontId="2" fillId="0" borderId="0" xfId="0" applyFont="1" applyBorder="1" applyAlignment="1">
      <alignment horizontal="left"/>
    </xf>
    <xf numFmtId="0" fontId="2" fillId="0" borderId="0" xfId="0" applyFont="1" applyBorder="1"/>
    <xf numFmtId="0" fontId="3" fillId="0" borderId="0" xfId="0" applyFont="1" applyBorder="1"/>
    <xf numFmtId="2" fontId="2" fillId="0" borderId="26" xfId="0" applyNumberFormat="1" applyFont="1" applyBorder="1"/>
    <xf numFmtId="0" fontId="3" fillId="0" borderId="1" xfId="0" applyFont="1" applyFill="1" applyBorder="1"/>
    <xf numFmtId="0" fontId="0" fillId="0" borderId="1" xfId="0" applyBorder="1"/>
    <xf numFmtId="2" fontId="3" fillId="0" borderId="0" xfId="0" applyNumberFormat="1" applyFont="1" applyBorder="1"/>
    <xf numFmtId="10" fontId="2" fillId="2" borderId="0" xfId="0" applyNumberFormat="1" applyFont="1" applyFill="1" applyBorder="1" applyProtection="1">
      <protection locked="0"/>
    </xf>
    <xf numFmtId="164" fontId="2" fillId="0" borderId="0" xfId="0" applyNumberFormat="1" applyFont="1" applyBorder="1"/>
    <xf numFmtId="164" fontId="2" fillId="0" borderId="8" xfId="0" applyNumberFormat="1" applyFont="1" applyBorder="1"/>
    <xf numFmtId="0" fontId="0" fillId="3" borderId="0" xfId="0" applyFill="1"/>
    <xf numFmtId="0" fontId="4" fillId="0" borderId="0" xfId="0" applyFont="1"/>
    <xf numFmtId="0" fontId="10" fillId="7" borderId="0" xfId="0" applyFont="1" applyFill="1" applyBorder="1"/>
    <xf numFmtId="0" fontId="0" fillId="6" borderId="14" xfId="0" applyFill="1" applyBorder="1"/>
    <xf numFmtId="0" fontId="9" fillId="7" borderId="0" xfId="0" applyFont="1" applyFill="1" applyBorder="1" applyAlignment="1">
      <alignment vertical="center"/>
    </xf>
    <xf numFmtId="0" fontId="9" fillId="7" borderId="30" xfId="0" quotePrefix="1" applyFont="1" applyFill="1" applyBorder="1" applyAlignment="1">
      <alignment horizontal="right" vertical="center"/>
    </xf>
    <xf numFmtId="164" fontId="0" fillId="0" borderId="0" xfId="0" applyNumberFormat="1"/>
    <xf numFmtId="164" fontId="11" fillId="0" borderId="28" xfId="2" applyNumberFormat="1" applyFont="1" applyFill="1"/>
    <xf numFmtId="0" fontId="4" fillId="3" borderId="0" xfId="0" applyFont="1" applyFill="1"/>
    <xf numFmtId="164" fontId="6" fillId="8" borderId="28" xfId="2" applyNumberFormat="1" applyFill="1"/>
    <xf numFmtId="10" fontId="6" fillId="8" borderId="28" xfId="1" applyNumberFormat="1" applyFont="1" applyFill="1" applyBorder="1"/>
    <xf numFmtId="0" fontId="9" fillId="7" borderId="0" xfId="0" applyFont="1" applyFill="1" applyBorder="1"/>
    <xf numFmtId="2" fontId="6" fillId="8" borderId="28" xfId="2" applyNumberFormat="1" applyFill="1"/>
    <xf numFmtId="164" fontId="2" fillId="2" borderId="0" xfId="0" applyNumberFormat="1" applyFont="1" applyFill="1" applyBorder="1" applyProtection="1">
      <protection locked="0"/>
    </xf>
    <xf numFmtId="164" fontId="12" fillId="0" borderId="29" xfId="4" applyNumberFormat="1" applyFont="1"/>
    <xf numFmtId="164" fontId="11" fillId="5" borderId="28" xfId="3" applyNumberFormat="1" applyFont="1"/>
    <xf numFmtId="0" fontId="13" fillId="0" borderId="0" xfId="0" applyFont="1"/>
    <xf numFmtId="0" fontId="0" fillId="0" borderId="0" xfId="0" applyAlignment="1">
      <alignment horizontal="left" vertical="top" wrapText="1"/>
    </xf>
    <xf numFmtId="0" fontId="4" fillId="0" borderId="0" xfId="0" applyFont="1" applyAlignment="1">
      <alignment horizontal="left" vertical="top" wrapText="1"/>
    </xf>
    <xf numFmtId="2" fontId="3" fillId="0" borderId="22" xfId="0" applyNumberFormat="1" applyFont="1" applyBorder="1"/>
    <xf numFmtId="0" fontId="4" fillId="0" borderId="27" xfId="0" applyFont="1" applyBorder="1" applyAlignment="1">
      <alignment horizontal="center"/>
    </xf>
    <xf numFmtId="0" fontId="4" fillId="0" borderId="34" xfId="0" applyFont="1" applyBorder="1" applyAlignment="1">
      <alignment horizontal="center"/>
    </xf>
    <xf numFmtId="0" fontId="3" fillId="0" borderId="19" xfId="0" applyFont="1" applyBorder="1" applyAlignment="1">
      <alignment horizontal="left"/>
    </xf>
    <xf numFmtId="0" fontId="0" fillId="0" borderId="0" xfId="0" applyAlignment="1">
      <alignment horizontal="left" vertical="top" wrapText="1"/>
    </xf>
    <xf numFmtId="0" fontId="0" fillId="0" borderId="0" xfId="0" applyAlignment="1">
      <alignment horizontal="left" wrapText="1"/>
    </xf>
    <xf numFmtId="0" fontId="9" fillId="6" borderId="14" xfId="0" applyFont="1" applyFill="1" applyBorder="1" applyAlignment="1">
      <alignment horizontal="left" vertical="center"/>
    </xf>
    <xf numFmtId="0" fontId="4" fillId="6" borderId="14" xfId="0" applyFont="1" applyFill="1" applyBorder="1" applyAlignment="1">
      <alignment horizontal="center"/>
    </xf>
    <xf numFmtId="0" fontId="11" fillId="0" borderId="31" xfId="2" applyFont="1" applyFill="1" applyBorder="1" applyAlignment="1">
      <alignment horizontal="left"/>
    </xf>
    <xf numFmtId="0" fontId="11" fillId="0" borderId="32" xfId="2" applyFont="1" applyFill="1" applyBorder="1" applyAlignment="1">
      <alignment horizontal="left"/>
    </xf>
    <xf numFmtId="0" fontId="11" fillId="0" borderId="33" xfId="2" applyFont="1" applyFill="1" applyBorder="1" applyAlignment="1">
      <alignment horizontal="left"/>
    </xf>
    <xf numFmtId="0" fontId="12" fillId="0" borderId="31" xfId="2" applyFont="1" applyFill="1" applyBorder="1" applyAlignment="1">
      <alignment horizontal="left"/>
    </xf>
    <xf numFmtId="0" fontId="12" fillId="0" borderId="32" xfId="2" applyFont="1" applyFill="1" applyBorder="1" applyAlignment="1">
      <alignment horizontal="left"/>
    </xf>
    <xf numFmtId="0" fontId="12" fillId="0" borderId="33" xfId="2" applyFont="1" applyFill="1" applyBorder="1" applyAlignment="1">
      <alignment horizontal="left"/>
    </xf>
    <xf numFmtId="0" fontId="2" fillId="0" borderId="0" xfId="0" applyFont="1" applyFill="1" applyBorder="1" applyAlignment="1">
      <alignment horizontal="left" wrapText="1"/>
    </xf>
    <xf numFmtId="0" fontId="1" fillId="0" borderId="1" xfId="0" applyFont="1" applyBorder="1" applyAlignment="1" applyProtection="1">
      <alignment horizontal="left"/>
    </xf>
    <xf numFmtId="0" fontId="3" fillId="0" borderId="23" xfId="0" applyFont="1" applyBorder="1" applyAlignment="1">
      <alignment horizontal="center"/>
    </xf>
    <xf numFmtId="0" fontId="4" fillId="0" borderId="24" xfId="0" applyFont="1" applyBorder="1" applyAlignment="1">
      <alignment horizontal="center"/>
    </xf>
    <xf numFmtId="0" fontId="4" fillId="0" borderId="25" xfId="0" applyFont="1" applyBorder="1" applyAlignment="1">
      <alignment horizontal="center"/>
    </xf>
    <xf numFmtId="0" fontId="3" fillId="0" borderId="25" xfId="0" applyFont="1" applyBorder="1" applyAlignment="1">
      <alignment horizontal="center"/>
    </xf>
    <xf numFmtId="0" fontId="2" fillId="0" borderId="27" xfId="0" applyFont="1" applyFill="1" applyBorder="1" applyAlignment="1">
      <alignment horizontal="left" wrapText="1"/>
    </xf>
  </cellXfs>
  <cellStyles count="5">
    <cellStyle name="Calculation" xfId="3" builtinId="22"/>
    <cellStyle name="Input" xfId="2" builtinId="20"/>
    <cellStyle name="Linked Cell" xfId="4" builtinId="2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users$\p_yee\Downloads\CESS\CESS_Calculation_2016110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eeves\FIN_COMMON\Electricity%20Network%20Price%20Review%202019\Modelling\RFM%20and%20PTRM\171106%20Distribution%20RF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Deferral"/>
      <sheetName val="CESS Scenario Calculation"/>
      <sheetName val="WACC"/>
      <sheetName val="RCP2-CESS"/>
      <sheetName val="CESS Result Chart"/>
      <sheetName val="CESS Results"/>
      <sheetName val="Results 1 mod"/>
      <sheetName val="real vs nom"/>
      <sheetName val="CAPEX-Forecasts"/>
      <sheetName val="2015-2035"/>
      <sheetName val="This Reg Period"/>
      <sheetName val="2 Reg Periods"/>
      <sheetName val="Next Reg Period"/>
      <sheetName val="Long term futures"/>
      <sheetName val="CAPEX-hastings"/>
      <sheetName val="CAPEX-bidder"/>
      <sheetName val="CAPEX-TG-Jul2015"/>
      <sheetName val="CAPEX-NSWEN-Jan2016"/>
      <sheetName val="Michelle working"/>
      <sheetName val="Michelle Base"/>
      <sheetName val="Michelle CAPEX + 10"/>
      <sheetName val="Michelle CAPEX - 10"/>
    </sheetNames>
    <sheetDataSet>
      <sheetData sheetId="0" refreshError="1"/>
      <sheetData sheetId="1"/>
      <sheetData sheetId="2"/>
      <sheetData sheetId="3">
        <row r="18">
          <cell r="G18">
            <v>6.8422502046808581E-2</v>
          </cell>
        </row>
        <row r="19">
          <cell r="G19">
            <v>5.2520399690763192E-2</v>
          </cell>
        </row>
      </sheetData>
      <sheetData sheetId="4"/>
      <sheetData sheetId="5" refreshError="1"/>
      <sheetData sheetId="6"/>
      <sheetData sheetId="7"/>
      <sheetData sheetId="8"/>
      <sheetData sheetId="9"/>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Intro"/>
      <sheetName val="DMS input"/>
      <sheetName val="RFM input"/>
      <sheetName val="Adjustment for previous period"/>
      <sheetName val="RAB roll forward"/>
      <sheetName val="Total RAB roll forward"/>
      <sheetName val="TAB roll forward"/>
      <sheetName val="RAB remaining lives"/>
      <sheetName val="TAB remaining lives"/>
      <sheetName val="PTRM input summary"/>
    </sheetNames>
    <sheetDataSet>
      <sheetData sheetId="0"/>
      <sheetData sheetId="1"/>
      <sheetData sheetId="2"/>
      <sheetData sheetId="3"/>
      <sheetData sheetId="4">
        <row r="71">
          <cell r="H71">
            <v>67.327417046271407</v>
          </cell>
        </row>
        <row r="187">
          <cell r="H187">
            <v>6.4827100683921113E-2</v>
          </cell>
          <cell r="I187">
            <v>6.3848435378806731E-2</v>
          </cell>
          <cell r="J187">
            <v>6.3532820917942587E-2</v>
          </cell>
          <cell r="K187">
            <v>6.2952832756986307E-2</v>
          </cell>
          <cell r="L187">
            <v>6.2372840153568587E-2</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I63"/>
  <sheetViews>
    <sheetView showGridLines="0" workbookViewId="0">
      <selection activeCell="E46" sqref="E46"/>
    </sheetView>
  </sheetViews>
  <sheetFormatPr defaultRowHeight="15" x14ac:dyDescent="0.25"/>
  <cols>
    <col min="1" max="1" width="59.5703125" bestFit="1" customWidth="1"/>
    <col min="4" max="4" width="5.140625" bestFit="1" customWidth="1"/>
    <col min="5" max="5" width="16.7109375" bestFit="1" customWidth="1"/>
  </cols>
  <sheetData>
    <row r="3" spans="1:9" ht="15.75" x14ac:dyDescent="0.25">
      <c r="A3" s="57" t="s">
        <v>29</v>
      </c>
    </row>
    <row r="4" spans="1:9" x14ac:dyDescent="0.25">
      <c r="A4" s="66" t="s">
        <v>30</v>
      </c>
      <c r="B4" s="66"/>
      <c r="C4" s="66"/>
      <c r="D4" s="44"/>
      <c r="E4" s="67" t="s">
        <v>1</v>
      </c>
      <c r="F4" s="67"/>
      <c r="G4" s="67"/>
      <c r="H4" s="67"/>
      <c r="I4" s="67"/>
    </row>
    <row r="5" spans="1:9" ht="14.25" customHeight="1" x14ac:dyDescent="0.25">
      <c r="A5" s="52" t="s">
        <v>41</v>
      </c>
      <c r="B5" s="43"/>
      <c r="C5" s="43"/>
      <c r="D5" s="45" t="s">
        <v>1</v>
      </c>
      <c r="E5" s="46" t="s">
        <v>23</v>
      </c>
      <c r="F5" s="46" t="s">
        <v>24</v>
      </c>
      <c r="G5" s="46" t="s">
        <v>25</v>
      </c>
      <c r="H5" s="46" t="s">
        <v>26</v>
      </c>
      <c r="I5" s="46" t="s">
        <v>27</v>
      </c>
    </row>
    <row r="6" spans="1:9" x14ac:dyDescent="0.25">
      <c r="A6" t="s">
        <v>32</v>
      </c>
      <c r="E6" s="50">
        <v>67.731518951017932</v>
      </c>
      <c r="F6" s="50">
        <v>55.625027173139621</v>
      </c>
      <c r="G6" s="50">
        <v>52.237084217044156</v>
      </c>
      <c r="H6" s="50">
        <v>48.816322137659895</v>
      </c>
      <c r="I6" s="50">
        <v>54.128992921377808</v>
      </c>
    </row>
    <row r="7" spans="1:9" x14ac:dyDescent="0.25">
      <c r="A7" t="s">
        <v>33</v>
      </c>
      <c r="E7" s="50">
        <v>5.9112643243526009</v>
      </c>
      <c r="F7" s="50">
        <v>6.0267461583113562</v>
      </c>
      <c r="G7" s="50">
        <v>5.318569954972558</v>
      </c>
      <c r="H7" s="50">
        <v>5.9672728298613329</v>
      </c>
      <c r="I7" s="50">
        <v>6.8181493469565693</v>
      </c>
    </row>
    <row r="8" spans="1:9" x14ac:dyDescent="0.25">
      <c r="A8" s="68" t="s">
        <v>30</v>
      </c>
      <c r="B8" s="69"/>
      <c r="C8" s="69"/>
      <c r="D8" s="70"/>
      <c r="E8" s="48">
        <f>E6-E7</f>
        <v>61.820254626665331</v>
      </c>
      <c r="F8" s="48">
        <f t="shared" ref="F8:I8" si="0">F6-F7</f>
        <v>49.598281014828267</v>
      </c>
      <c r="G8" s="48">
        <f t="shared" si="0"/>
        <v>46.918514262071596</v>
      </c>
      <c r="H8" s="48">
        <f t="shared" si="0"/>
        <v>42.849049307798566</v>
      </c>
      <c r="I8" s="48">
        <f t="shared" si="0"/>
        <v>47.310843574421241</v>
      </c>
    </row>
    <row r="9" spans="1:9" x14ac:dyDescent="0.25">
      <c r="A9" s="42" t="s">
        <v>31</v>
      </c>
      <c r="E9" s="47"/>
      <c r="F9" s="47"/>
      <c r="G9" s="47"/>
      <c r="H9" s="47"/>
      <c r="I9" s="47"/>
    </row>
    <row r="10" spans="1:9" x14ac:dyDescent="0.25">
      <c r="A10" s="42"/>
      <c r="E10" s="47"/>
      <c r="F10" s="47"/>
      <c r="G10" s="47"/>
      <c r="H10" s="47"/>
      <c r="I10" s="47"/>
    </row>
    <row r="11" spans="1:9" ht="14.25" customHeight="1" x14ac:dyDescent="0.25">
      <c r="A11" s="42" t="s">
        <v>42</v>
      </c>
      <c r="E11" s="47"/>
      <c r="F11" s="47"/>
      <c r="G11" s="47"/>
      <c r="H11" s="47"/>
      <c r="I11" s="47"/>
    </row>
    <row r="12" spans="1:9" x14ac:dyDescent="0.25">
      <c r="A12" t="s">
        <v>32</v>
      </c>
      <c r="E12" s="50">
        <v>10.832833463931316</v>
      </c>
      <c r="F12" s="50">
        <v>11.611507177672802</v>
      </c>
      <c r="G12" s="50">
        <v>18.488842008126678</v>
      </c>
      <c r="H12" s="50">
        <v>13.674172887056818</v>
      </c>
      <c r="I12" s="50">
        <v>8.1471688415016281</v>
      </c>
    </row>
    <row r="13" spans="1:9" x14ac:dyDescent="0.25">
      <c r="A13" t="s">
        <v>33</v>
      </c>
      <c r="E13" s="50">
        <v>6.3346860782876407E-2</v>
      </c>
      <c r="F13" s="50">
        <v>6.4168162562379893E-2</v>
      </c>
      <c r="G13" s="50">
        <v>6.4651555178821443E-2</v>
      </c>
      <c r="H13" s="50">
        <v>6.6791852218096845E-2</v>
      </c>
      <c r="I13" s="50">
        <v>6.8264433568956825E-2</v>
      </c>
    </row>
    <row r="14" spans="1:9" x14ac:dyDescent="0.25">
      <c r="A14" s="68" t="s">
        <v>30</v>
      </c>
      <c r="B14" s="69"/>
      <c r="C14" s="69"/>
      <c r="D14" s="70"/>
      <c r="E14" s="48">
        <f>E12-E13</f>
        <v>10.769486603148438</v>
      </c>
      <c r="F14" s="48">
        <f t="shared" ref="F14:I14" si="1">F12-F13</f>
        <v>11.547339015110422</v>
      </c>
      <c r="G14" s="48">
        <f t="shared" si="1"/>
        <v>18.424190452947858</v>
      </c>
      <c r="H14" s="48">
        <f t="shared" si="1"/>
        <v>13.607381034838721</v>
      </c>
      <c r="I14" s="48">
        <f t="shared" si="1"/>
        <v>8.0789044079326722</v>
      </c>
    </row>
    <row r="15" spans="1:9" x14ac:dyDescent="0.25">
      <c r="A15" s="42" t="s">
        <v>34</v>
      </c>
    </row>
    <row r="18" spans="1:9" x14ac:dyDescent="0.25">
      <c r="A18" s="49" t="s">
        <v>35</v>
      </c>
      <c r="B18" s="41"/>
      <c r="C18" s="41"/>
      <c r="D18" s="41"/>
      <c r="E18" s="41"/>
      <c r="F18" s="41"/>
      <c r="G18" s="41"/>
      <c r="H18" s="41"/>
      <c r="I18" s="41"/>
    </row>
    <row r="19" spans="1:9" x14ac:dyDescent="0.25">
      <c r="A19" t="s">
        <v>36</v>
      </c>
      <c r="E19" s="51">
        <v>2.4498886414253906E-2</v>
      </c>
      <c r="F19" s="51">
        <v>2.4879227053140163E-2</v>
      </c>
      <c r="G19" s="51">
        <v>1.5083667216591934E-2</v>
      </c>
      <c r="H19" s="51">
        <v>1.2769909449732886E-2</v>
      </c>
      <c r="I19" s="51">
        <v>2.3800000000000002E-2</v>
      </c>
    </row>
    <row r="20" spans="1:9" x14ac:dyDescent="0.25">
      <c r="A20" t="s">
        <v>37</v>
      </c>
      <c r="E20" s="51">
        <v>2.7450980392156765E-2</v>
      </c>
      <c r="F20" s="51">
        <v>1.7175572519083859E-2</v>
      </c>
      <c r="G20" s="51">
        <v>1.5037593984962294E-2</v>
      </c>
      <c r="H20" s="51">
        <v>1.4760147601476037E-2</v>
      </c>
      <c r="I20" s="51">
        <v>2.3800000000000002E-2</v>
      </c>
    </row>
    <row r="22" spans="1:9" x14ac:dyDescent="0.25">
      <c r="A22" s="42" t="s">
        <v>38</v>
      </c>
    </row>
    <row r="24" spans="1:9" x14ac:dyDescent="0.25">
      <c r="A24" s="49" t="s">
        <v>39</v>
      </c>
      <c r="B24" s="49"/>
      <c r="C24" s="49"/>
      <c r="D24" s="49"/>
      <c r="E24" s="49"/>
      <c r="F24" s="49"/>
      <c r="G24" s="49"/>
      <c r="H24" s="49"/>
      <c r="I24" s="49"/>
    </row>
    <row r="25" spans="1:9" x14ac:dyDescent="0.25">
      <c r="A25" t="s">
        <v>49</v>
      </c>
      <c r="E25" s="56">
        <f>E8*(1+E19)</f>
        <v>63.33478202286426</v>
      </c>
      <c r="F25" s="56">
        <f>F8*(1+E19)*SQRT(1+F19)</f>
        <v>51.441599149097897</v>
      </c>
      <c r="G25" s="56">
        <f>G8*(1+E19)*(1+F19)*SQRT(1+G19)</f>
        <v>49.634008697109778</v>
      </c>
      <c r="H25" s="56">
        <f>H8*(1+E19)*(1+F19)*(1+G19)*SQRT(1+H19)</f>
        <v>45.960273744581841</v>
      </c>
      <c r="I25" s="56">
        <f>I8*(1+E19)*(1+F19)*(1+G19)*(1+H19)*SQRT(1+I19)</f>
        <v>51.673165255096336</v>
      </c>
    </row>
    <row r="26" spans="1:9" x14ac:dyDescent="0.25">
      <c r="A26" t="s">
        <v>50</v>
      </c>
      <c r="E26" s="56">
        <f>E14*SQRT(1+E20)</f>
        <v>10.916302348213895</v>
      </c>
      <c r="F26" s="56">
        <f>F14*(1+E20)*SQRT(1+F20)</f>
        <v>11.965779297295594</v>
      </c>
      <c r="G26" s="56">
        <f>G14*(1+E20)*(1+F20)*SQRT(1+G20)</f>
        <v>19.399320181045166</v>
      </c>
      <c r="H26" s="56">
        <f>H14*(1+E20)*(1+F20)*(1+G20)*SQRT(1+H20)</f>
        <v>14.541037954927061</v>
      </c>
      <c r="I26" s="56">
        <f>I14*(1+E20)*(1+F20)*(1+G20)*(1+H20)*SQRT(1+I20)</f>
        <v>8.7995932007969255</v>
      </c>
    </row>
    <row r="27" spans="1:9" ht="15.75" thickBot="1" x14ac:dyDescent="0.3">
      <c r="A27" s="42" t="s">
        <v>51</v>
      </c>
      <c r="B27" s="42"/>
      <c r="C27" s="42"/>
      <c r="D27" s="42"/>
      <c r="E27" s="55">
        <f>SUM(E25:E26)</f>
        <v>74.25108437107815</v>
      </c>
      <c r="F27" s="55">
        <f t="shared" ref="F27:I27" si="2">SUM(F25:F26)</f>
        <v>63.407378446393494</v>
      </c>
      <c r="G27" s="55">
        <f t="shared" si="2"/>
        <v>69.033328878154947</v>
      </c>
      <c r="H27" s="55">
        <f t="shared" si="2"/>
        <v>60.501311699508904</v>
      </c>
      <c r="I27" s="55">
        <f t="shared" si="2"/>
        <v>60.472758455893263</v>
      </c>
    </row>
    <row r="28" spans="1:9" ht="15.75" thickTop="1" x14ac:dyDescent="0.25"/>
    <row r="30" spans="1:9" x14ac:dyDescent="0.25">
      <c r="A30" s="66" t="s">
        <v>40</v>
      </c>
      <c r="B30" s="66"/>
      <c r="C30" s="66"/>
      <c r="D30" s="66"/>
      <c r="E30" s="66"/>
      <c r="F30" s="66"/>
      <c r="G30" s="66"/>
      <c r="H30" s="66"/>
      <c r="I30" s="66"/>
    </row>
    <row r="31" spans="1:9" x14ac:dyDescent="0.25">
      <c r="A31" s="52" t="s">
        <v>41</v>
      </c>
      <c r="D31" s="45" t="s">
        <v>1</v>
      </c>
      <c r="E31" s="46" t="s">
        <v>23</v>
      </c>
      <c r="F31" s="46" t="s">
        <v>24</v>
      </c>
      <c r="G31" s="46" t="s">
        <v>25</v>
      </c>
      <c r="H31" s="46" t="s">
        <v>26</v>
      </c>
      <c r="I31" s="46" t="s">
        <v>27</v>
      </c>
    </row>
    <row r="32" spans="1:9" x14ac:dyDescent="0.25">
      <c r="A32" t="s">
        <v>43</v>
      </c>
      <c r="E32" s="50">
        <v>67.327417046271407</v>
      </c>
      <c r="F32" s="50">
        <v>58.159786195116865</v>
      </c>
      <c r="G32" s="50">
        <v>54.055530810054641</v>
      </c>
      <c r="H32" s="50">
        <v>66.33070760017695</v>
      </c>
      <c r="I32" s="50">
        <v>58.664741070003586</v>
      </c>
    </row>
    <row r="33" spans="1:9" x14ac:dyDescent="0.25">
      <c r="A33" t="s">
        <v>62</v>
      </c>
      <c r="E33" s="53">
        <v>6.2309276504836291</v>
      </c>
      <c r="F33" s="53">
        <v>7.9003899985736874</v>
      </c>
      <c r="G33" s="53">
        <v>9.1002169448360952</v>
      </c>
      <c r="H33" s="53">
        <v>7.4819180536645122</v>
      </c>
      <c r="I33" s="53">
        <v>6.1368791508552745</v>
      </c>
    </row>
    <row r="34" spans="1:9" x14ac:dyDescent="0.25">
      <c r="A34" t="s">
        <v>63</v>
      </c>
      <c r="E34" s="53">
        <v>0</v>
      </c>
      <c r="F34" s="53">
        <v>6.1270611809330737E-2</v>
      </c>
      <c r="G34" s="53">
        <v>0.22005214214231664</v>
      </c>
      <c r="H34" s="53">
        <v>0.26897792871368142</v>
      </c>
      <c r="I34" s="53">
        <v>0.42483058687647357</v>
      </c>
    </row>
    <row r="35" spans="1:9" x14ac:dyDescent="0.25">
      <c r="A35" s="68" t="s">
        <v>40</v>
      </c>
      <c r="B35" s="69"/>
      <c r="C35" s="69"/>
      <c r="D35" s="70"/>
      <c r="E35" s="48">
        <v>61.096489395787778</v>
      </c>
      <c r="F35" s="48">
        <v>50.198125584733845</v>
      </c>
      <c r="G35" s="48">
        <v>44.735261723076228</v>
      </c>
      <c r="H35" s="48">
        <v>58.579811617798754</v>
      </c>
      <c r="I35" s="48">
        <v>52.10303133227184</v>
      </c>
    </row>
    <row r="36" spans="1:9" x14ac:dyDescent="0.25">
      <c r="A36" s="42" t="s">
        <v>44</v>
      </c>
    </row>
    <row r="38" spans="1:9" x14ac:dyDescent="0.25">
      <c r="A38" s="52" t="s">
        <v>42</v>
      </c>
    </row>
    <row r="39" spans="1:9" x14ac:dyDescent="0.25">
      <c r="A39" t="s">
        <v>43</v>
      </c>
      <c r="E39" s="50">
        <v>11.78363896078783</v>
      </c>
      <c r="F39" s="50">
        <v>9.8117219338479469</v>
      </c>
      <c r="G39" s="50">
        <v>8.9906978324234128</v>
      </c>
      <c r="H39" s="50">
        <v>7.8655075254342961</v>
      </c>
      <c r="I39" s="50">
        <v>14.1602534212332</v>
      </c>
    </row>
    <row r="40" spans="1:9" ht="14.25" customHeight="1" x14ac:dyDescent="0.25">
      <c r="A40" t="s">
        <v>62</v>
      </c>
      <c r="E40" s="53">
        <v>0.95905766231817824</v>
      </c>
      <c r="F40" s="53">
        <v>0.27547259710029048</v>
      </c>
      <c r="G40" s="53">
        <v>6.6335608590771561E-2</v>
      </c>
      <c r="H40" s="53">
        <v>3.0027533676881192E-2</v>
      </c>
      <c r="I40" s="53">
        <v>3.1554961838592008E-2</v>
      </c>
    </row>
    <row r="41" spans="1:9" ht="14.25" customHeight="1" x14ac:dyDescent="0.25">
      <c r="A41" t="s">
        <v>64</v>
      </c>
      <c r="E41" s="53">
        <v>0</v>
      </c>
      <c r="F41" s="53">
        <v>1.3874428190669271E-2</v>
      </c>
      <c r="G41" s="53">
        <v>4.9602757857683352E-2</v>
      </c>
      <c r="H41" s="53">
        <v>6.084707128631861E-2</v>
      </c>
      <c r="I41" s="53">
        <v>9.6103413123526424E-2</v>
      </c>
    </row>
    <row r="42" spans="1:9" x14ac:dyDescent="0.25">
      <c r="A42" s="68" t="s">
        <v>40</v>
      </c>
      <c r="B42" s="69"/>
      <c r="C42" s="69"/>
      <c r="D42" s="70"/>
      <c r="E42" s="48">
        <v>10.824581298469651</v>
      </c>
      <c r="F42" s="48">
        <v>9.5223749085569871</v>
      </c>
      <c r="G42" s="48">
        <v>8.8747594659749591</v>
      </c>
      <c r="H42" s="48">
        <v>7.7746329204710962</v>
      </c>
      <c r="I42" s="48">
        <v>14.032595046271082</v>
      </c>
    </row>
    <row r="43" spans="1:9" x14ac:dyDescent="0.25">
      <c r="A43" s="42" t="s">
        <v>45</v>
      </c>
    </row>
    <row r="44" spans="1:9" x14ac:dyDescent="0.25">
      <c r="A44" s="42"/>
    </row>
    <row r="45" spans="1:9" x14ac:dyDescent="0.25">
      <c r="A45" s="49" t="s">
        <v>48</v>
      </c>
      <c r="B45" s="49"/>
      <c r="C45" s="49"/>
      <c r="D45" s="49"/>
      <c r="E45" s="49"/>
      <c r="F45" s="49"/>
      <c r="G45" s="49"/>
      <c r="H45" s="49"/>
      <c r="I45" s="49"/>
    </row>
    <row r="46" spans="1:9" x14ac:dyDescent="0.25">
      <c r="A46" t="s">
        <v>52</v>
      </c>
      <c r="E46" s="47">
        <f>E35</f>
        <v>61.096489395787778</v>
      </c>
      <c r="F46" s="47">
        <f t="shared" ref="F46:I46" si="3">F35</f>
        <v>50.198125584733845</v>
      </c>
      <c r="G46" s="47">
        <f t="shared" si="3"/>
        <v>44.735261723076228</v>
      </c>
      <c r="H46" s="47">
        <f t="shared" si="3"/>
        <v>58.579811617798754</v>
      </c>
      <c r="I46" s="47">
        <f t="shared" si="3"/>
        <v>52.10303133227184</v>
      </c>
    </row>
    <row r="47" spans="1:9" x14ac:dyDescent="0.25">
      <c r="A47" t="s">
        <v>53</v>
      </c>
      <c r="E47" s="47">
        <f>E42</f>
        <v>10.824581298469651</v>
      </c>
      <c r="F47" s="47">
        <f t="shared" ref="F47:I47" si="4">F42</f>
        <v>9.5223749085569871</v>
      </c>
      <c r="G47" s="47">
        <f t="shared" si="4"/>
        <v>8.8747594659749591</v>
      </c>
      <c r="H47" s="47">
        <f t="shared" si="4"/>
        <v>7.7746329204710962</v>
      </c>
      <c r="I47" s="47">
        <f t="shared" si="4"/>
        <v>14.032595046271082</v>
      </c>
    </row>
    <row r="48" spans="1:9" ht="15.75" thickBot="1" x14ac:dyDescent="0.3">
      <c r="A48" s="42" t="s">
        <v>51</v>
      </c>
      <c r="E48" s="55">
        <f>SUM(E46:E47)</f>
        <v>71.921070694257423</v>
      </c>
      <c r="F48" s="55">
        <f t="shared" ref="F48" si="5">SUM(F46:F47)</f>
        <v>59.720500493290828</v>
      </c>
      <c r="G48" s="55">
        <f t="shared" ref="G48" si="6">SUM(G46:G47)</f>
        <v>53.610021189051189</v>
      </c>
      <c r="H48" s="55">
        <f t="shared" ref="H48" si="7">SUM(H46:H47)</f>
        <v>66.354444538269846</v>
      </c>
      <c r="I48" s="55">
        <f t="shared" ref="I48" si="8">SUM(I46:I47)</f>
        <v>66.135626378542923</v>
      </c>
    </row>
    <row r="49" spans="1:9" ht="15.75" thickTop="1" x14ac:dyDescent="0.25">
      <c r="A49" s="42"/>
    </row>
    <row r="50" spans="1:9" x14ac:dyDescent="0.25">
      <c r="A50" s="42"/>
    </row>
    <row r="51" spans="1:9" x14ac:dyDescent="0.25">
      <c r="A51" t="s">
        <v>46</v>
      </c>
    </row>
    <row r="52" spans="1:9" x14ac:dyDescent="0.25">
      <c r="A52" s="71" t="s">
        <v>47</v>
      </c>
      <c r="B52" s="72"/>
      <c r="C52" s="72"/>
      <c r="D52" s="73"/>
      <c r="E52" s="51">
        <f>'[2]RFM input'!H187</f>
        <v>6.4827100683921113E-2</v>
      </c>
      <c r="F52" s="51">
        <f>'[2]RFM input'!I187</f>
        <v>6.3848435378806731E-2</v>
      </c>
      <c r="G52" s="51">
        <f>'[2]RFM input'!J187</f>
        <v>6.3532820917942587E-2</v>
      </c>
      <c r="H52" s="51">
        <f>'[2]RFM input'!K187</f>
        <v>6.2952832756986307E-2</v>
      </c>
      <c r="I52" s="51">
        <f>'[2]RFM input'!L187</f>
        <v>6.2372840153568587E-2</v>
      </c>
    </row>
    <row r="55" spans="1:9" x14ac:dyDescent="0.25">
      <c r="A55" t="s">
        <v>54</v>
      </c>
    </row>
    <row r="56" spans="1:9" x14ac:dyDescent="0.25">
      <c r="A56" t="s">
        <v>56</v>
      </c>
    </row>
    <row r="57" spans="1:9" x14ac:dyDescent="0.25">
      <c r="A57" s="42" t="s">
        <v>59</v>
      </c>
    </row>
    <row r="58" spans="1:9" ht="84" customHeight="1" x14ac:dyDescent="0.25">
      <c r="A58" s="64" t="s">
        <v>58</v>
      </c>
      <c r="B58" s="64"/>
      <c r="C58" s="64"/>
      <c r="D58" s="64"/>
      <c r="E58" s="64"/>
      <c r="F58" s="64"/>
      <c r="G58" s="64"/>
    </row>
    <row r="59" spans="1:9" x14ac:dyDescent="0.25">
      <c r="A59" s="59" t="s">
        <v>60</v>
      </c>
      <c r="B59" s="58"/>
      <c r="C59" s="58"/>
      <c r="D59" s="58"/>
      <c r="E59" s="58"/>
      <c r="F59" s="58"/>
      <c r="G59" s="58"/>
    </row>
    <row r="60" spans="1:9" ht="55.5" customHeight="1" x14ac:dyDescent="0.25">
      <c r="A60" s="65" t="s">
        <v>57</v>
      </c>
      <c r="B60" s="65"/>
      <c r="C60" s="65"/>
      <c r="D60" s="65"/>
      <c r="E60" s="65"/>
      <c r="F60" s="65"/>
      <c r="G60" s="65"/>
    </row>
    <row r="62" spans="1:9" ht="14.25" customHeight="1" x14ac:dyDescent="0.25">
      <c r="A62" t="s">
        <v>61</v>
      </c>
    </row>
    <row r="63" spans="1:9" x14ac:dyDescent="0.25">
      <c r="A63" t="s">
        <v>55</v>
      </c>
    </row>
  </sheetData>
  <mergeCells count="12">
    <mergeCell ref="A58:G58"/>
    <mergeCell ref="A60:G60"/>
    <mergeCell ref="A4:C4"/>
    <mergeCell ref="E4:I4"/>
    <mergeCell ref="A30:C30"/>
    <mergeCell ref="D30:F30"/>
    <mergeCell ref="G30:I30"/>
    <mergeCell ref="A42:D42"/>
    <mergeCell ref="A35:D35"/>
    <mergeCell ref="A14:D14"/>
    <mergeCell ref="A8:D8"/>
    <mergeCell ref="A52:D52"/>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7"/>
  <sheetViews>
    <sheetView tabSelected="1" topLeftCell="A4" zoomScaleNormal="100" workbookViewId="0">
      <selection activeCell="G25" sqref="G25"/>
    </sheetView>
  </sheetViews>
  <sheetFormatPr defaultRowHeight="15" x14ac:dyDescent="0.25"/>
  <cols>
    <col min="1" max="1" width="4.140625" customWidth="1"/>
    <col min="2" max="2" width="39.42578125" bestFit="1" customWidth="1"/>
    <col min="3" max="3" width="12.140625" bestFit="1" customWidth="1"/>
  </cols>
  <sheetData>
    <row r="1" spans="2:8" ht="16.5" thickBot="1" x14ac:dyDescent="0.3">
      <c r="B1" s="75" t="s">
        <v>16</v>
      </c>
      <c r="C1" s="75"/>
      <c r="D1" s="75"/>
      <c r="E1" s="75"/>
      <c r="F1" s="75"/>
      <c r="G1" s="75"/>
    </row>
    <row r="2" spans="2:8" x14ac:dyDescent="0.25">
      <c r="B2" s="1" t="s">
        <v>28</v>
      </c>
      <c r="C2" s="1" t="s">
        <v>23</v>
      </c>
      <c r="D2" s="1" t="s">
        <v>24</v>
      </c>
      <c r="E2" s="1" t="s">
        <v>25</v>
      </c>
      <c r="F2" s="1" t="s">
        <v>26</v>
      </c>
      <c r="G2" s="1" t="s">
        <v>27</v>
      </c>
    </row>
    <row r="3" spans="2:8" x14ac:dyDescent="0.25">
      <c r="B3" s="31" t="s">
        <v>0</v>
      </c>
      <c r="C3" s="38">
        <f>'Inputs '!E52</f>
        <v>6.4827100683921113E-2</v>
      </c>
      <c r="D3" s="38">
        <f>'Inputs '!F52</f>
        <v>6.3848435378806731E-2</v>
      </c>
      <c r="E3" s="38">
        <f>'Inputs '!G52</f>
        <v>6.3532820917942587E-2</v>
      </c>
      <c r="F3" s="38">
        <f>'Inputs '!H52</f>
        <v>6.2952832756986307E-2</v>
      </c>
      <c r="G3" s="38">
        <f>'Inputs '!I52</f>
        <v>6.2372840153568587E-2</v>
      </c>
    </row>
    <row r="4" spans="2:8" ht="15.75" thickBot="1" x14ac:dyDescent="0.3">
      <c r="B4" s="1"/>
      <c r="C4" s="2"/>
      <c r="D4" s="1"/>
      <c r="E4" s="1"/>
      <c r="F4" s="1"/>
      <c r="G4" s="1"/>
    </row>
    <row r="5" spans="2:8" ht="15.75" thickBot="1" x14ac:dyDescent="0.3">
      <c r="B5" s="76" t="s">
        <v>15</v>
      </c>
      <c r="C5" s="77"/>
      <c r="D5" s="77"/>
      <c r="E5" s="77"/>
      <c r="F5" s="77"/>
      <c r="G5" s="78"/>
    </row>
    <row r="6" spans="2:8" ht="15.75" thickBot="1" x14ac:dyDescent="0.3">
      <c r="B6" s="63" t="s">
        <v>67</v>
      </c>
      <c r="C6" s="61">
        <v>2015</v>
      </c>
      <c r="D6" s="61">
        <v>2016</v>
      </c>
      <c r="E6" s="61">
        <v>2017</v>
      </c>
      <c r="F6" s="62">
        <v>2018</v>
      </c>
      <c r="G6" s="62">
        <v>2019</v>
      </c>
    </row>
    <row r="7" spans="2:8" x14ac:dyDescent="0.25">
      <c r="B7" s="3" t="s">
        <v>1</v>
      </c>
      <c r="C7" s="4">
        <v>1</v>
      </c>
      <c r="D7" s="5">
        <v>2</v>
      </c>
      <c r="E7" s="5">
        <v>3</v>
      </c>
      <c r="F7" s="5">
        <v>4</v>
      </c>
      <c r="G7" s="6">
        <v>5</v>
      </c>
    </row>
    <row r="8" spans="2:8" x14ac:dyDescent="0.25">
      <c r="B8" s="7" t="s">
        <v>68</v>
      </c>
      <c r="C8" s="8">
        <v>0</v>
      </c>
      <c r="D8" s="54">
        <f>'Inputs '!F27</f>
        <v>63.407378446393494</v>
      </c>
      <c r="E8" s="54">
        <f>'Inputs '!G27</f>
        <v>69.033328878154947</v>
      </c>
      <c r="F8" s="54">
        <f>'Inputs '!H27</f>
        <v>60.501311699508904</v>
      </c>
      <c r="G8" s="54">
        <f>'Inputs '!I27</f>
        <v>60.472758455893263</v>
      </c>
      <c r="H8" s="47"/>
    </row>
    <row r="9" spans="2:8" x14ac:dyDescent="0.25">
      <c r="B9" s="7" t="s">
        <v>69</v>
      </c>
      <c r="C9" s="8">
        <v>0</v>
      </c>
      <c r="D9" s="54">
        <f>'Inputs '!F48</f>
        <v>59.720500493290828</v>
      </c>
      <c r="E9" s="54">
        <f>'Inputs '!G48</f>
        <v>53.610021189051189</v>
      </c>
      <c r="F9" s="54">
        <f>'Inputs '!H48</f>
        <v>66.354444538269846</v>
      </c>
      <c r="G9" s="54">
        <f>'Inputs '!I48</f>
        <v>66.135626378542923</v>
      </c>
      <c r="H9" s="47"/>
    </row>
    <row r="10" spans="2:8" x14ac:dyDescent="0.25">
      <c r="B10" s="7" t="s">
        <v>2</v>
      </c>
      <c r="C10" s="9">
        <f>C8-C9</f>
        <v>0</v>
      </c>
      <c r="D10" s="10">
        <f>D8-D9</f>
        <v>3.6868779531026661</v>
      </c>
      <c r="E10" s="39">
        <f>E8-E9</f>
        <v>15.423307689103758</v>
      </c>
      <c r="F10" s="39">
        <f>F8-F9</f>
        <v>-5.853132838760942</v>
      </c>
      <c r="G10" s="40">
        <f>G8-G9</f>
        <v>-5.6628679226496601</v>
      </c>
      <c r="H10" s="47"/>
    </row>
    <row r="11" spans="2:8" x14ac:dyDescent="0.25">
      <c r="B11" s="7" t="s">
        <v>3</v>
      </c>
      <c r="C11" s="14">
        <f>C$10*((1+$C$3)^(1/2)-1)</f>
        <v>0</v>
      </c>
      <c r="D11" s="15">
        <f>$C$10*$D$3</f>
        <v>0</v>
      </c>
      <c r="E11" s="15">
        <f>$C$10*$E$3</f>
        <v>0</v>
      </c>
      <c r="F11" s="15">
        <f>$C$10*$F$3</f>
        <v>0</v>
      </c>
      <c r="G11" s="16">
        <f>$C$10*$G$3</f>
        <v>0</v>
      </c>
    </row>
    <row r="12" spans="2:8" x14ac:dyDescent="0.25">
      <c r="B12" s="7" t="s">
        <v>4</v>
      </c>
      <c r="C12" s="14"/>
      <c r="D12" s="15">
        <f>D$10*((1+$D$3)^(1/2)-1)</f>
        <v>0.11587962940811089</v>
      </c>
      <c r="E12" s="15">
        <f>$D10*$E$3</f>
        <v>0.2342377567407824</v>
      </c>
      <c r="F12" s="15">
        <f>$D10*$F$3</f>
        <v>0.23209941117709215</v>
      </c>
      <c r="G12" s="16">
        <f>$D10*$G$3</f>
        <v>0.22996104923458874</v>
      </c>
    </row>
    <row r="13" spans="2:8" x14ac:dyDescent="0.25">
      <c r="B13" s="7" t="s">
        <v>5</v>
      </c>
      <c r="C13" s="14"/>
      <c r="D13" s="15"/>
      <c r="E13" s="15">
        <f>E$10*((1+$E$3)^(1/2)-1)</f>
        <v>0.48239905833420066</v>
      </c>
      <c r="F13" s="15">
        <f>$E10*$F$3</f>
        <v>0.97094090951168988</v>
      </c>
      <c r="G13" s="16">
        <f>$E10*$G$3</f>
        <v>0.96199550513177401</v>
      </c>
    </row>
    <row r="14" spans="2:8" x14ac:dyDescent="0.25">
      <c r="B14" s="7" t="s">
        <v>6</v>
      </c>
      <c r="C14" s="14"/>
      <c r="D14" s="15"/>
      <c r="E14" s="15"/>
      <c r="F14" s="15">
        <f>F$10*((1+$F$3)^(1/2)-1)</f>
        <v>-0.1814239346601188</v>
      </c>
      <c r="G14" s="16">
        <f>$F10*$G$3</f>
        <v>-0.36507651894963938</v>
      </c>
    </row>
    <row r="15" spans="2:8" x14ac:dyDescent="0.25">
      <c r="B15" s="7" t="s">
        <v>7</v>
      </c>
      <c r="C15" s="14"/>
      <c r="D15" s="15"/>
      <c r="E15" s="15"/>
      <c r="F15" s="15"/>
      <c r="G15" s="16">
        <f>G$10*((1+$G$3)^(1/2)-1)</f>
        <v>-0.173933419477588</v>
      </c>
    </row>
    <row r="16" spans="2:8" x14ac:dyDescent="0.25">
      <c r="B16" s="11" t="s">
        <v>8</v>
      </c>
      <c r="C16" s="12">
        <f>SUM(C11:C15)</f>
        <v>0</v>
      </c>
      <c r="D16" s="13">
        <f>SUM(D11:D15)</f>
        <v>0.11587962940811089</v>
      </c>
      <c r="E16" s="13">
        <f>SUM(E11:E15)</f>
        <v>0.71663681507498311</v>
      </c>
      <c r="F16" s="13">
        <f>SUM(F11:F15)</f>
        <v>1.0216163860286633</v>
      </c>
      <c r="G16" s="34">
        <f>SUM(G11:G15)</f>
        <v>0.65294661593913539</v>
      </c>
    </row>
    <row r="17" spans="2:8" x14ac:dyDescent="0.25">
      <c r="B17" s="17" t="s">
        <v>17</v>
      </c>
      <c r="C17" s="18">
        <f>(1+C3)*(1+D3)*(1+E3)*(1+F$3)*(1+G$3)^0.5</f>
        <v>1.3199644209307555</v>
      </c>
      <c r="D17" s="19">
        <f>(1+D3)*(1+E3)*(1+F$3)*(1+G$3)^0.5</f>
        <v>1.239604457928394</v>
      </c>
      <c r="E17" s="19">
        <f>(1+E3)*(1+F$3)*(1+G$3)^0.5</f>
        <v>1.1652077652273893</v>
      </c>
      <c r="F17" s="19">
        <f>(1+F$3)*(1+G$3)^0.5</f>
        <v>1.0956011345486172</v>
      </c>
      <c r="G17" s="20">
        <f>(1+G$3)^0.5</f>
        <v>1.0307147229731264</v>
      </c>
    </row>
    <row r="18" spans="2:8" x14ac:dyDescent="0.25">
      <c r="B18" s="17" t="s">
        <v>18</v>
      </c>
      <c r="C18" s="18">
        <f>(1+$G$3)*(1+F3)*(1+E3)*(1+D3)</f>
        <v>1.277678565449917</v>
      </c>
      <c r="D18" s="19">
        <f>(1+$G$3)*(1+F3)*(1+E3)</f>
        <v>1.2009967989424841</v>
      </c>
      <c r="E18" s="19">
        <f>(1+$G$3)*(1+F3)</f>
        <v>1.1292522198853208</v>
      </c>
      <c r="F18" s="19">
        <f>(1+$G$3)</f>
        <v>1.0623728401535686</v>
      </c>
      <c r="G18" s="20">
        <f>1</f>
        <v>1</v>
      </c>
    </row>
    <row r="19" spans="2:8" x14ac:dyDescent="0.25">
      <c r="B19" s="7" t="s">
        <v>9</v>
      </c>
      <c r="C19" s="14">
        <f>C10*C17</f>
        <v>0</v>
      </c>
      <c r="D19" s="15">
        <f>D10*D17</f>
        <v>4.5702703465039773</v>
      </c>
      <c r="E19" s="15">
        <f>E10*E17</f>
        <v>17.971357884835001</v>
      </c>
      <c r="F19" s="15">
        <f>F10*F17</f>
        <v>-6.4126989788102566</v>
      </c>
      <c r="G19" s="16">
        <f>G10*G17</f>
        <v>-5.8368013421272478</v>
      </c>
    </row>
    <row r="20" spans="2:8" ht="15.75" thickBot="1" x14ac:dyDescent="0.3">
      <c r="B20" s="21" t="s">
        <v>10</v>
      </c>
      <c r="C20" s="22">
        <f>C16*C18</f>
        <v>0</v>
      </c>
      <c r="D20" s="23">
        <f>D16*D18</f>
        <v>0.13917106398178253</v>
      </c>
      <c r="E20" s="23">
        <f t="shared" ref="E20:G20" si="0">E16*E18</f>
        <v>0.80926371427497079</v>
      </c>
      <c r="F20" s="23">
        <f t="shared" si="0"/>
        <v>1.0853375015726956</v>
      </c>
      <c r="G20" s="24">
        <f t="shared" si="0"/>
        <v>0.65294661593913539</v>
      </c>
    </row>
    <row r="21" spans="2:8" x14ac:dyDescent="0.25">
      <c r="B21" s="32"/>
      <c r="C21" s="15"/>
      <c r="D21" s="15"/>
      <c r="E21" s="15"/>
      <c r="F21" s="15"/>
      <c r="G21" s="15"/>
    </row>
    <row r="22" spans="2:8" ht="15.75" thickBot="1" x14ac:dyDescent="0.3">
      <c r="B22" s="33"/>
      <c r="C22" s="37"/>
      <c r="D22" s="1"/>
    </row>
    <row r="23" spans="2:8" ht="15.75" thickBot="1" x14ac:dyDescent="0.3">
      <c r="B23" s="76" t="s">
        <v>65</v>
      </c>
      <c r="C23" s="79"/>
      <c r="D23" s="1"/>
    </row>
    <row r="24" spans="2:8" x14ac:dyDescent="0.25">
      <c r="B24" s="26" t="s">
        <v>14</v>
      </c>
      <c r="C24" s="27">
        <f>SUM(C19:G19)</f>
        <v>10.292127910401472</v>
      </c>
      <c r="D24" s="1"/>
    </row>
    <row r="25" spans="2:8" x14ac:dyDescent="0.25">
      <c r="B25" s="7" t="s">
        <v>11</v>
      </c>
      <c r="C25" s="28">
        <v>0.3</v>
      </c>
      <c r="D25" s="1"/>
      <c r="E25" s="1"/>
      <c r="F25" s="1"/>
      <c r="G25" s="1"/>
    </row>
    <row r="26" spans="2:8" x14ac:dyDescent="0.25">
      <c r="B26" s="7" t="s">
        <v>22</v>
      </c>
      <c r="C26" s="29">
        <f>(1-C25)*C24</f>
        <v>7.20448953728103</v>
      </c>
      <c r="D26" s="1"/>
      <c r="E26" s="1"/>
      <c r="F26" s="1"/>
      <c r="G26" s="1"/>
    </row>
    <row r="27" spans="2:8" x14ac:dyDescent="0.25">
      <c r="B27" s="7" t="s">
        <v>12</v>
      </c>
      <c r="C27" s="29">
        <f>C25*C24</f>
        <v>3.0876383731204418</v>
      </c>
      <c r="D27" s="1"/>
      <c r="E27" s="1"/>
      <c r="F27" s="1"/>
      <c r="G27" s="1"/>
    </row>
    <row r="28" spans="2:8" x14ac:dyDescent="0.25">
      <c r="B28" s="7" t="s">
        <v>13</v>
      </c>
      <c r="C28" s="29">
        <f>SUM(C20:G20)</f>
        <v>2.6867188957685841</v>
      </c>
      <c r="D28" s="1"/>
      <c r="E28" s="1"/>
      <c r="F28" s="1"/>
      <c r="G28" s="1"/>
    </row>
    <row r="29" spans="2:8" ht="15.75" thickBot="1" x14ac:dyDescent="0.3">
      <c r="B29" s="30" t="s">
        <v>66</v>
      </c>
      <c r="C29" s="60">
        <f>C27-C28</f>
        <v>0.40091947735185762</v>
      </c>
      <c r="D29" s="1"/>
      <c r="E29" s="1"/>
      <c r="G29" s="25"/>
    </row>
    <row r="30" spans="2:8" x14ac:dyDescent="0.25">
      <c r="D30" s="1"/>
      <c r="E30" s="1"/>
      <c r="F30" s="1"/>
      <c r="G30" s="1"/>
    </row>
    <row r="31" spans="2:8" ht="15.75" thickBot="1" x14ac:dyDescent="0.3">
      <c r="B31" s="35" t="s">
        <v>19</v>
      </c>
      <c r="C31" s="36"/>
      <c r="D31" s="36"/>
      <c r="E31" s="36"/>
      <c r="F31" s="36"/>
      <c r="G31" s="36"/>
      <c r="H31" s="36"/>
    </row>
    <row r="32" spans="2:8" ht="25.5" customHeight="1" x14ac:dyDescent="0.25">
      <c r="B32" s="80" t="s">
        <v>20</v>
      </c>
      <c r="C32" s="80"/>
      <c r="D32" s="80"/>
      <c r="E32" s="80"/>
      <c r="F32" s="80"/>
      <c r="G32" s="80"/>
      <c r="H32" s="80"/>
    </row>
    <row r="33" spans="2:8" ht="24.75" customHeight="1" x14ac:dyDescent="0.25">
      <c r="B33" s="74" t="s">
        <v>21</v>
      </c>
      <c r="C33" s="74"/>
      <c r="D33" s="74"/>
      <c r="E33" s="74"/>
      <c r="F33" s="74"/>
      <c r="G33" s="74"/>
      <c r="H33" s="74"/>
    </row>
    <row r="36" spans="2:8" ht="15" customHeight="1" x14ac:dyDescent="0.25"/>
    <row r="37" spans="2:8" ht="15" customHeight="1" x14ac:dyDescent="0.25"/>
  </sheetData>
  <mergeCells count="5">
    <mergeCell ref="B33:H33"/>
    <mergeCell ref="B1:G1"/>
    <mergeCell ref="B5:G5"/>
    <mergeCell ref="B23:C23"/>
    <mergeCell ref="B32:H32"/>
  </mergeCells>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Inputs </vt:lpstr>
      <vt:lpstr>CESS Calculation</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AER capital expenditure sharing scheme model</dc:title>
  <dc:creator>AER</dc:creator>
  <cp:lastModifiedBy>Yee, Patrice</cp:lastModifiedBy>
  <cp:lastPrinted>2017-01-23T04:36:36Z</cp:lastPrinted>
  <dcterms:created xsi:type="dcterms:W3CDTF">2013-07-10T04:27:39Z</dcterms:created>
  <dcterms:modified xsi:type="dcterms:W3CDTF">2018-01-30T22:50:15Z</dcterms:modified>
</cp:coreProperties>
</file>