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730" windowHeight="11760" activeTab="4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L22" i="13" l="1"/>
  <c r="D25" i="4" s="1"/>
  <c r="D27" i="4" s="1"/>
  <c r="D28" i="4" s="1"/>
  <c r="M21" i="13"/>
  <c r="N21" i="13" s="1"/>
  <c r="M22" i="13"/>
  <c r="E25" i="4" s="1"/>
  <c r="K23" i="3"/>
  <c r="G11" i="4" s="1"/>
  <c r="G12" i="4" s="1"/>
  <c r="G22" i="13"/>
  <c r="G15" i="13"/>
  <c r="H15" i="13"/>
  <c r="E10" i="4"/>
  <c r="H22" i="13"/>
  <c r="E9" i="4"/>
  <c r="K22" i="13"/>
  <c r="H9" i="4"/>
  <c r="G19" i="4"/>
  <c r="J22" i="13"/>
  <c r="G9" i="4"/>
  <c r="F19" i="4"/>
  <c r="I22" i="13"/>
  <c r="F9" i="4"/>
  <c r="E19" i="4"/>
  <c r="I15" i="13"/>
  <c r="F10" i="4"/>
  <c r="J15" i="13"/>
  <c r="G10" i="4"/>
  <c r="K15" i="13"/>
  <c r="H10" i="4"/>
  <c r="H31" i="3"/>
  <c r="D26" i="4"/>
  <c r="L15" i="13"/>
  <c r="I31" i="3"/>
  <c r="E26" i="4"/>
  <c r="M15" i="13"/>
  <c r="J31" i="3"/>
  <c r="F26" i="4"/>
  <c r="N15" i="13"/>
  <c r="K31" i="3"/>
  <c r="G26" i="4"/>
  <c r="O15" i="13"/>
  <c r="L31" i="3"/>
  <c r="H26" i="4"/>
  <c r="E8" i="4"/>
  <c r="E13" i="4"/>
  <c r="E18" i="4"/>
  <c r="E21" i="4"/>
  <c r="F8" i="4"/>
  <c r="F13" i="4"/>
  <c r="G8" i="4"/>
  <c r="G13" i="4"/>
  <c r="H8" i="4"/>
  <c r="H13" i="4"/>
  <c r="H23" i="3"/>
  <c r="I12" i="3"/>
  <c r="J12" i="3"/>
  <c r="K12" i="3"/>
  <c r="L12" i="3"/>
  <c r="H12" i="3"/>
  <c r="P19" i="13"/>
  <c r="M14" i="13"/>
  <c r="M9" i="13"/>
  <c r="N9" i="13"/>
  <c r="O9" i="13"/>
  <c r="P9" i="13"/>
  <c r="F7" i="13"/>
  <c r="C15" i="13"/>
  <c r="G7" i="13"/>
  <c r="C10" i="13"/>
  <c r="G10" i="13"/>
  <c r="H7" i="13"/>
  <c r="H10" i="13"/>
  <c r="I7" i="13"/>
  <c r="I10" i="13"/>
  <c r="J7" i="13"/>
  <c r="J10" i="13"/>
  <c r="K7" i="13"/>
  <c r="K10" i="13"/>
  <c r="C43" i="4"/>
  <c r="B1" i="2"/>
  <c r="B1" i="10" s="1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C41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H30" i="3"/>
  <c r="L10" i="13"/>
  <c r="I30" i="3"/>
  <c r="N14" i="13"/>
  <c r="M10" i="13"/>
  <c r="N10" i="13"/>
  <c r="K30" i="3"/>
  <c r="O14" i="13"/>
  <c r="J30" i="3"/>
  <c r="O10" i="13"/>
  <c r="P10" i="13"/>
  <c r="P14" i="13"/>
  <c r="P15" i="13"/>
  <c r="L30" i="3"/>
  <c r="I23" i="3" l="1"/>
  <c r="E11" i="4" s="1"/>
  <c r="E12" i="4" s="1"/>
  <c r="J23" i="3"/>
  <c r="F11" i="4" s="1"/>
  <c r="F12" i="4" s="1"/>
  <c r="L23" i="3"/>
  <c r="H11" i="4" s="1"/>
  <c r="H12" i="4" s="1"/>
  <c r="H20" i="4" s="1"/>
  <c r="E20" i="4"/>
  <c r="H14" i="4"/>
  <c r="F14" i="4"/>
  <c r="F18" i="4" s="1"/>
  <c r="F21" i="4" s="1"/>
  <c r="G14" i="4"/>
  <c r="E27" i="4"/>
  <c r="E28" i="4" s="1"/>
  <c r="G20" i="4"/>
  <c r="H16" i="4"/>
  <c r="G15" i="4"/>
  <c r="F20" i="4"/>
  <c r="H15" i="4"/>
  <c r="N22" i="13"/>
  <c r="F25" i="4" s="1"/>
  <c r="F27" i="4" s="1"/>
  <c r="F28" i="4" s="1"/>
  <c r="O21" i="13"/>
  <c r="B1" i="5"/>
  <c r="B1" i="9"/>
  <c r="B1" i="4"/>
  <c r="B1" i="3"/>
  <c r="B1" i="13"/>
  <c r="O22" i="13" l="1"/>
  <c r="G25" i="4" s="1"/>
  <c r="G27" i="4" s="1"/>
  <c r="G28" i="4" s="1"/>
  <c r="P21" i="13"/>
  <c r="G18" i="4"/>
  <c r="G21" i="4" s="1"/>
  <c r="H18" i="4"/>
  <c r="H21" i="4" s="1"/>
  <c r="D35" i="4" l="1"/>
  <c r="P22" i="13"/>
  <c r="H25" i="4" s="1"/>
  <c r="H27" i="4" s="1"/>
  <c r="H28" i="4" s="1"/>
  <c r="D31" i="4" s="1"/>
  <c r="D34" i="4" l="1"/>
  <c r="D36" i="4" s="1"/>
  <c r="D33" i="4"/>
  <c r="E41" i="4" l="1"/>
  <c r="K8" i="10" s="1"/>
  <c r="D41" i="4"/>
  <c r="F41" i="4"/>
  <c r="L8" i="10" s="1"/>
  <c r="G41" i="4"/>
  <c r="M8" i="10" s="1"/>
  <c r="H41" i="4"/>
  <c r="N8" i="10" s="1"/>
  <c r="J8" i="10" l="1"/>
  <c r="O8" i="10" s="1"/>
  <c r="D43" i="4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linked to the Distribution PTRM</t>
        </r>
      </text>
    </comment>
  </commentList>
</comments>
</file>

<file path=xl/sharedStrings.xml><?xml version="1.0" encoding="utf-8"?>
<sst xmlns="http://schemas.openxmlformats.org/spreadsheetml/2006/main" count="298" uniqueCount="136">
  <si>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</si>
  <si>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</si>
  <si>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</si>
  <si>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</si>
  <si>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</si>
  <si>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</si>
  <si>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</si>
  <si>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</si>
  <si>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</si>
  <si>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</si>
  <si>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</si>
  <si>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</si>
  <si>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</si>
  <si>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</si>
  <si>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</si>
  <si>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</si>
  <si>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</si>
  <si>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</si>
  <si>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</si>
  <si>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</si>
  <si>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</si>
  <si>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</si>
  <si>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</si>
  <si>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</si>
  <si>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</si>
  <si>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</si>
  <si>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</si>
  <si>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</si>
  <si>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</si>
  <si>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</si>
  <si>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</si>
  <si>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</si>
  <si>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</si>
  <si>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</si>
  <si>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</si>
  <si>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</si>
  <si>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</si>
  <si>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</si>
  <si>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</si>
  <si>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</si>
  <si>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</si>
  <si>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</si>
  <si>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</si>
  <si>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</si>
  <si>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</si>
  <si>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</si>
  <si>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</si>
  <si>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</si>
  <si>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</si>
  <si>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</si>
  <si>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</si>
  <si>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</si>
  <si>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</si>
  <si>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</si>
  <si>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</si>
  <si>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</si>
  <si>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</si>
  <si>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</si>
  <si>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</si>
  <si>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</si>
  <si>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</si>
  <si>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</si>
  <si>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</si>
  <si>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</si>
  <si>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</si>
  <si>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</si>
  <si>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</si>
  <si>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</si>
  <si>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</si>
  <si>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</si>
  <si>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</si>
  <si>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</si>
  <si>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</si>
  <si>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</si>
  <si>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</si>
  <si>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</si>
  <si>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</si>
  <si>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</si>
  <si>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</si>
  <si>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</si>
  <si>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</si>
  <si>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</si>
  <si>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</si>
  <si>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</si>
  <si>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</si>
  <si>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</si>
  <si>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</si>
  <si>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</si>
  <si>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</si>
  <si>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</si>
  <si>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</si>
  <si>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</si>
  <si>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</si>
  <si>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</si>
  <si>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</si>
  <si>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</si>
  <si>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</si>
  <si>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</si>
  <si>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</si>
  <si>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</si>
  <si>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</si>
  <si>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</si>
  <si>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</si>
  <si>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</si>
  <si>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</si>
  <si>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</si>
  <si>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</si>
  <si>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</si>
  <si>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</si>
  <si>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</si>
  <si>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</si>
  <si>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</si>
  <si>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</si>
  <si>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</si>
  <si>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</si>
  <si>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</si>
  <si>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</si>
  <si>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</si>
  <si>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</si>
  <si>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</si>
  <si>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</si>
  <si>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</si>
  <si>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</si>
  <si>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</si>
  <si>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</si>
  <si>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</si>
  <si>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</si>
  <si>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2019-24</t>
  </si>
  <si>
    <t>Forecast Real Vanilla WACC</t>
  </si>
  <si>
    <t>Customer contributions</t>
  </si>
  <si>
    <t xml:space="preserve">Total capex allowance </t>
  </si>
  <si>
    <t>AER updates</t>
  </si>
  <si>
    <t>Evoenergy Dx</t>
  </si>
  <si>
    <t>Evoenergy updates</t>
  </si>
  <si>
    <t>Revised Proposal</t>
  </si>
  <si>
    <t xml:space="preserve">Other excludable capex (potential pass through)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</si>
</sst>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  <numFmt numFmtId="193" formatCode="&quot;$&quot;#,##0.0000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0" fontId="24" fillId="57" borderId="28" xfId="0" applyNumberFormat="1" applyFont="1" applyFill="1" applyBorder="1" applyAlignment="1">
      <alignment horizontal="center" vertical="center"/>
    </xf>
    <xf numFmtId="0" fontId="101" fillId="57" borderId="0" xfId="265" applyFont="1" applyFill="1" applyBorder="1" applyAlignment="1" applyProtection="1">
      <alignment horizontal="center" vertical="center"/>
    </xf>
    <xf numFmtId="164" fontId="24" fillId="0" borderId="6" xfId="0" applyNumberFormat="1" applyFont="1" applyFill="1" applyBorder="1" applyAlignment="1">
      <alignment horizontal="right" vertical="center"/>
    </xf>
    <xf numFmtId="0" fontId="101" fillId="58" borderId="0" xfId="265" applyFont="1" applyFill="1" applyBorder="1" applyAlignment="1" applyProtection="1">
      <alignment horizontal="center" vertical="center"/>
    </xf>
    <xf numFmtId="10" fontId="24" fillId="58" borderId="28" xfId="0" applyNumberFormat="1" applyFont="1" applyFill="1" applyBorder="1" applyAlignment="1">
      <alignment horizontal="center" vertical="center"/>
    </xf>
    <xf numFmtId="2" fontId="24" fillId="58" borderId="26" xfId="1" applyNumberFormat="1" applyFont="1" applyFill="1" applyBorder="1" applyAlignment="1">
      <alignment horizontal="center" vertical="center"/>
    </xf>
    <xf numFmtId="2" fontId="24" fillId="59" borderId="26" xfId="1" applyNumberFormat="1" applyFont="1" applyFill="1" applyBorder="1" applyAlignment="1">
      <alignment horizontal="center" vertical="center"/>
    </xf>
    <xf numFmtId="2" fontId="24" fillId="60" borderId="26" xfId="1" applyNumberFormat="1" applyFont="1" applyFill="1" applyBorder="1" applyAlignment="1">
      <alignment horizontal="center" vertical="center"/>
    </xf>
    <xf numFmtId="2" fontId="24" fillId="58" borderId="2" xfId="1" applyNumberFormat="1" applyFont="1" applyFill="1" applyBorder="1" applyAlignment="1">
      <alignment horizontal="center" vertical="center"/>
    </xf>
    <xf numFmtId="193" fontId="24" fillId="61" borderId="2" xfId="0" applyNumberFormat="1" applyFont="1" applyFill="1" applyBorder="1" applyAlignment="1">
      <alignment horizontal="right" vertical="center"/>
    </xf>
    <xf numFmtId="193" fontId="24" fillId="61" borderId="39" xfId="0" applyNumberFormat="1" applyFont="1" applyFill="1" applyBorder="1" applyAlignment="1">
      <alignment horizontal="right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3" sqref="C13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Dx 2019-24 Revised Proposal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C14" sqref="C14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Dx 2019-24 Revised Proposal - Capital expenditure sharing scheme model</v>
      </c>
      <c r="F1" s="138"/>
      <c r="G1" s="139" t="s">
        <v>50</v>
      </c>
      <c r="H1" s="140" t="s">
        <v>51</v>
      </c>
      <c r="I1" s="162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132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134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127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7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6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J17" sqref="J17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Evoenergy Dx 2019-24 Revised Proposal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7" t="s">
        <v>131</v>
      </c>
      <c r="L1" s="209" t="s">
        <v>133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69">
        <v>2.4498886414253906E-2</v>
      </c>
      <c r="H8" s="169">
        <v>2.4879227053140163E-2</v>
      </c>
      <c r="I8" s="169">
        <v>1.5083667216591934E-2</v>
      </c>
      <c r="J8" s="169">
        <v>1.2769909449732886E-2</v>
      </c>
      <c r="K8" s="169">
        <v>2.3800000000000002E-2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2"/>
      <c r="H9" s="172"/>
      <c r="I9" s="172"/>
      <c r="J9" s="172"/>
      <c r="K9" s="172"/>
      <c r="L9" s="169">
        <v>2.4999999999999911E-2</v>
      </c>
      <c r="M9" s="187">
        <f t="shared" ref="M9:P9" si="0">L9</f>
        <v>2.4999999999999911E-2</v>
      </c>
      <c r="N9" s="187">
        <f t="shared" si="0"/>
        <v>2.4999999999999911E-2</v>
      </c>
      <c r="O9" s="187">
        <f t="shared" si="0"/>
        <v>2.4999999999999911E-2</v>
      </c>
      <c r="P9" s="187">
        <f t="shared" si="0"/>
        <v>2.4999999999999911E-2</v>
      </c>
    </row>
    <row r="10" spans="1:20" ht="11.25" customHeight="1">
      <c r="A10" s="11"/>
      <c r="B10" s="11"/>
      <c r="C10" s="182" t="str">
        <f>"CPI Index (base year "&amp;F7&amp;")"</f>
        <v>CPI Index (base year 2013-14)</v>
      </c>
      <c r="D10" s="108" t="s">
        <v>116</v>
      </c>
      <c r="E10" s="108" t="s">
        <v>33</v>
      </c>
      <c r="F10" s="180">
        <v>1</v>
      </c>
      <c r="G10" s="164">
        <f>IF(G7&lt;&gt;"",(F10*(1+G8)),"")</f>
        <v>1.0244988864142539</v>
      </c>
      <c r="H10" s="164">
        <f>IF(H7&lt;&gt;"",(G10*(1+H8)),"")</f>
        <v>1.0499876268250434</v>
      </c>
      <c r="I10" s="164">
        <f>IF(I7&lt;&gt;"",(H10*(1+I8)),"")</f>
        <v>1.0658252907696115</v>
      </c>
      <c r="J10" s="164">
        <f>IF(J7&lt;&gt;"",(I10*(1+J8)),"")</f>
        <v>1.0794357832219748</v>
      </c>
      <c r="K10" s="164">
        <f>IF(K7&lt;&gt;"",(J10*(1+K8)),"")</f>
        <v>1.1051263548626578</v>
      </c>
      <c r="L10" s="119">
        <f t="shared" ref="L10:P10" si="1">IF(L7&lt;&gt;"",(K10*(1+L9)),"")</f>
        <v>1.1327545137342241</v>
      </c>
      <c r="M10" s="119">
        <f t="shared" si="1"/>
        <v>1.1610733765775796</v>
      </c>
      <c r="N10" s="119">
        <f t="shared" si="1"/>
        <v>1.1901002109920189</v>
      </c>
      <c r="O10" s="119">
        <f t="shared" si="1"/>
        <v>1.2198527162668193</v>
      </c>
      <c r="P10" s="119">
        <f t="shared" si="1"/>
        <v>1.2503490341734897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10"/>
      <c r="D12" s="108"/>
      <c r="E12" s="108"/>
      <c r="F12" s="108"/>
      <c r="G12" s="168"/>
      <c r="H12" s="168"/>
      <c r="I12" s="168"/>
      <c r="J12" s="168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06">
        <v>2.4879227053140163E-2</v>
      </c>
      <c r="H13" s="206">
        <v>1.5083667216591934E-2</v>
      </c>
      <c r="I13" s="206">
        <v>1.2769909449732886E-2</v>
      </c>
      <c r="J13" s="206">
        <v>1.9486474094452033E-2</v>
      </c>
      <c r="K13" s="206">
        <v>0.02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06">
        <v>2.44995114800401E-2</v>
      </c>
      <c r="M14" s="187">
        <f t="shared" ref="M14:P14" si="2">L14</f>
        <v>2.44995114800401E-2</v>
      </c>
      <c r="N14" s="187">
        <f t="shared" si="2"/>
        <v>2.44995114800401E-2</v>
      </c>
      <c r="O14" s="187">
        <f t="shared" si="2"/>
        <v>2.44995114800401E-2</v>
      </c>
      <c r="P14" s="187">
        <f t="shared" si="2"/>
        <v>2.44995114800401E-2</v>
      </c>
    </row>
    <row r="15" spans="1:20" ht="11.25" customHeight="1">
      <c r="A15" s="11"/>
      <c r="B15" s="11"/>
      <c r="C15" s="182" t="str">
        <f>"CPI Index (base year "&amp;F7&amp;")"</f>
        <v>CPI Index (base year 2013-14)</v>
      </c>
      <c r="D15" s="108" t="s">
        <v>55</v>
      </c>
      <c r="E15" s="108" t="s">
        <v>33</v>
      </c>
      <c r="F15" s="180">
        <v>1</v>
      </c>
      <c r="G15" s="164">
        <f>IF(G7&lt;&gt;"",(F15*(1+G13)),"")</f>
        <v>1.0248792270531402</v>
      </c>
      <c r="H15" s="164">
        <f>IF(H7&lt;&gt;"",(G15*(1+H13)),"")</f>
        <v>1.0403381642512077</v>
      </c>
      <c r="I15" s="164">
        <f>IF(I7&lt;&gt;"",(H15*(1+I13)),"")</f>
        <v>1.0536231884057969</v>
      </c>
      <c r="J15" s="164">
        <f>IF(J7&lt;&gt;"",(I15*(1+J13)),"")</f>
        <v>1.0741545893719804</v>
      </c>
      <c r="K15" s="119">
        <f>IF(K7&lt;&gt;"",(J15*(1+K13)),"")</f>
        <v>1.09563768115942</v>
      </c>
      <c r="L15" s="119">
        <f t="shared" ref="L15:P15" si="3">IF(L7&lt;&gt;"",(K15*(1+L14)),"")</f>
        <v>1.1224802691069498</v>
      </c>
      <c r="M15" s="119">
        <f t="shared" si="3"/>
        <v>1.149980487346054</v>
      </c>
      <c r="N15" s="119">
        <f t="shared" si="3"/>
        <v>1.1781544474976107</v>
      </c>
      <c r="O15" s="119">
        <f t="shared" si="3"/>
        <v>1.2070186559093388</v>
      </c>
      <c r="P15" s="119">
        <f t="shared" si="3"/>
        <v>1.2365900233264122</v>
      </c>
    </row>
    <row r="16" spans="1:20" s="171" customFormat="1" ht="11.25" customHeight="1">
      <c r="A16" s="2"/>
      <c r="B16" s="2"/>
      <c r="C16" s="110"/>
      <c r="D16" s="170"/>
      <c r="E16" s="170"/>
      <c r="F16" s="170"/>
      <c r="G16" s="118"/>
      <c r="H16" s="118"/>
      <c r="I16" s="118"/>
      <c r="J16" s="118"/>
      <c r="K16" s="174"/>
      <c r="L16" s="174"/>
      <c r="M16" s="174"/>
      <c r="N16" s="174"/>
      <c r="O16" s="174"/>
      <c r="P16" s="174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06">
        <v>3.9937757261681028E-2</v>
      </c>
      <c r="H20" s="206">
        <v>3.8954443119186832E-2</v>
      </c>
      <c r="I20" s="206">
        <v>3.8594655145808732E-2</v>
      </c>
      <c r="J20" s="206">
        <v>3.7966032691911566E-2</v>
      </c>
      <c r="K20" s="206">
        <v>3.7053154467784566E-2</v>
      </c>
      <c r="L20" s="118"/>
      <c r="M20" s="118"/>
      <c r="N20" s="118"/>
      <c r="O20" s="118"/>
      <c r="P20" s="118"/>
    </row>
    <row r="21" spans="1:16" ht="11.25" customHeight="1">
      <c r="C21" s="204" t="s">
        <v>128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10">
        <v>3.6191393564570212E-2</v>
      </c>
      <c r="M21" s="187">
        <f t="shared" ref="M21" si="4">L21</f>
        <v>3.6191393564570212E-2</v>
      </c>
      <c r="N21" s="187">
        <f t="shared" ref="N21" si="5">M21</f>
        <v>3.6191393564570212E-2</v>
      </c>
      <c r="O21" s="187">
        <f t="shared" ref="O21" si="6">N21</f>
        <v>3.6191393564570212E-2</v>
      </c>
      <c r="P21" s="187">
        <f t="shared" ref="P21" si="7">O21</f>
        <v>3.6191393564570212E-2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8">
        <f>IF(AND(G13&lt;&gt;"",G20&lt;&gt;""),((1+G20)*(1+G13)-1),"")</f>
        <v>6.5810604845727649E-2</v>
      </c>
      <c r="H22" s="188">
        <f>IF(AND(H13&lt;&gt;"",H20&lt;&gt;""),((1+H20)*(1+H13)-1),"")</f>
        <v>5.4625686192396161E-2</v>
      </c>
      <c r="I22" s="188">
        <f>IF(AND(I13&lt;&gt;"",I20&lt;&gt;""),((1+I20)*(1+I13)-1),"")</f>
        <v>5.1857414846997241E-2</v>
      </c>
      <c r="J22" s="188">
        <f>IF(AND(J13&lt;&gt;"",J20&lt;&gt;""),((1+J20)*(1+J13)-1),"")</f>
        <v>5.8192330898883649E-2</v>
      </c>
      <c r="K22" s="188">
        <f>IF(AND(K13&lt;&gt;"",K20&lt;&gt;""),((1+K20)*(1+K13)-1),"")</f>
        <v>5.7794217557140204E-2</v>
      </c>
      <c r="L22" s="188">
        <f>IF(AND(L14&lt;&gt;"",L21&lt;&gt;""),((1+L21)*(1+L14)-1),"")</f>
        <v>6.157757650672413E-2</v>
      </c>
      <c r="M22" s="188">
        <f t="shared" ref="M22:P22" si="8">IF(AND(M14&lt;&gt;"",M21&lt;&gt;""),((1+M21)*(1+M14)-1),"")</f>
        <v>6.157757650672413E-2</v>
      </c>
      <c r="N22" s="188">
        <f t="shared" si="8"/>
        <v>6.157757650672413E-2</v>
      </c>
      <c r="O22" s="188">
        <f t="shared" si="8"/>
        <v>6.157757650672413E-2</v>
      </c>
      <c r="P22" s="188">
        <f t="shared" si="8"/>
        <v>6.157757650672413E-2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>
      <selection activeCell="J21" sqref="J21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Evoenergy Dx 2019-24 Revised Proposal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 s="209" t="s">
        <v>133</v>
      </c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130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55.625027173139621</v>
      </c>
      <c r="J8" s="103">
        <v>52.237084217044156</v>
      </c>
      <c r="K8" s="103">
        <v>48.816322137659895</v>
      </c>
      <c r="L8" s="103">
        <v>54.128992921377808</v>
      </c>
      <c r="M8" s="2"/>
      <c r="N8" s="2"/>
    </row>
    <row r="9" spans="2:14" ht="10.5" customHeight="1">
      <c r="C9" s="110" t="s">
        <v>129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6.0267461583113562</v>
      </c>
      <c r="J9" s="103">
        <v>5.318569954972558</v>
      </c>
      <c r="K9" s="103">
        <v>5.9672728298613329</v>
      </c>
      <c r="L9" s="103">
        <v>6.8181493469565693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0.77688694691169891</v>
      </c>
      <c r="J10" s="103">
        <v>0.84179192111158574</v>
      </c>
      <c r="K10" s="103">
        <v>0.37441311236235503</v>
      </c>
      <c r="L10" s="103">
        <v>0.36076076415284625</v>
      </c>
      <c r="M10" s="2"/>
      <c r="N10" s="2"/>
    </row>
    <row r="11" spans="2:14" s="95" customFormat="1" ht="10.5" customHeight="1">
      <c r="H11" s="10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48.821394067916565</v>
      </c>
      <c r="J12" s="92">
        <f t="shared" si="0"/>
        <v>46.076722340960011</v>
      </c>
      <c r="K12" s="92">
        <f t="shared" si="0"/>
        <v>42.474636195436211</v>
      </c>
      <c r="L12" s="92">
        <f t="shared" si="0"/>
        <v>46.950082810268398</v>
      </c>
      <c r="M12" s="2"/>
      <c r="N12" s="2"/>
    </row>
    <row r="13" spans="2:14" ht="10.5" customHeight="1">
      <c r="D13" s="95"/>
      <c r="E13" s="95"/>
      <c r="F13" s="95"/>
      <c r="G13" s="95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103">
        <v>58.159786195116865</v>
      </c>
      <c r="J18" s="103">
        <v>54.055530810054641</v>
      </c>
      <c r="K18" s="211">
        <v>71.544175486257004</v>
      </c>
      <c r="L18" s="211">
        <v>63.395642441612047</v>
      </c>
    </row>
    <row r="19" spans="2:14" s="2" customFormat="1" ht="10.5" customHeight="1">
      <c r="B19" s="100"/>
      <c r="C19" s="110" t="s">
        <v>129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7.9003899985736874</v>
      </c>
      <c r="J19" s="103">
        <v>9.1002169448360952</v>
      </c>
      <c r="K19" s="211">
        <v>10.874872017319213</v>
      </c>
      <c r="L19" s="211">
        <v>6.8774322567756094</v>
      </c>
    </row>
    <row r="20" spans="2:14" s="2" customFormat="1" ht="10.5" customHeight="1">
      <c r="B20" s="100"/>
      <c r="C20" s="183" t="s">
        <v>123</v>
      </c>
      <c r="D20" s="108" t="s">
        <v>55</v>
      </c>
      <c r="E20" s="184" t="s">
        <v>60</v>
      </c>
      <c r="F20" s="184" t="s">
        <v>64</v>
      </c>
      <c r="G20" s="185"/>
      <c r="H20" s="186"/>
      <c r="I20" s="213">
        <v>6.1270611809330737E-2</v>
      </c>
      <c r="J20" s="213">
        <v>0.22005214214231664</v>
      </c>
      <c r="K20" s="212">
        <v>0.51494400490546066</v>
      </c>
      <c r="L20" s="212">
        <v>0.43439377172033655</v>
      </c>
    </row>
    <row r="21" spans="2:14" s="2" customFormat="1" ht="10.5" customHeight="1">
      <c r="B21" s="100"/>
      <c r="C21" s="205" t="s">
        <v>135</v>
      </c>
      <c r="D21" s="108" t="s">
        <v>55</v>
      </c>
      <c r="E21" s="184" t="s">
        <v>60</v>
      </c>
      <c r="F21" s="184" t="s">
        <v>64</v>
      </c>
      <c r="G21" s="185"/>
      <c r="H21" s="186"/>
      <c r="I21" s="186"/>
      <c r="J21" s="212">
        <v>2.1934468800000002</v>
      </c>
      <c r="K21" s="212">
        <v>3.3389455000000003</v>
      </c>
      <c r="L21" s="186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50.198125584733845</v>
      </c>
      <c r="J23" s="214">
        <f t="shared" si="1"/>
        <v>42.541814843076224</v>
      </c>
      <c r="K23" s="214">
        <f t="shared" si="1"/>
        <v>56.815413964032331</v>
      </c>
      <c r="L23" s="214">
        <f t="shared" si="1"/>
        <v>56.083816413116097</v>
      </c>
    </row>
    <row r="24" spans="2:14" s="2" customFormat="1" ht="10.5" customHeight="1">
      <c r="B24" s="100"/>
      <c r="D24" s="21"/>
      <c r="E24" s="21"/>
      <c r="F24" s="21"/>
      <c r="G24" s="2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1">
    <cfRule type="expression" dxfId="12" priority="20">
      <formula>IF($H$6&lt;&gt;"","FALSE","TRUE")</formula>
    </cfRule>
  </conditionalFormatting>
  <conditionalFormatting sqref="H18:H19">
    <cfRule type="expression" dxfId="11" priority="15">
      <formula>IF($H$6&lt;&gt;"","FALSE","TRUE")</formula>
    </cfRule>
  </conditionalFormatting>
  <conditionalFormatting sqref="H20:H21">
    <cfRule type="expression" dxfId="10" priority="10">
      <formula>IF($H$6&lt;&gt;"","FALSE","TRUE")</formula>
    </cfRule>
  </conditionalFormatting>
  <conditionalFormatting sqref="H29">
    <cfRule type="expression" dxfId="9" priority="3">
      <formula>IF($H$6&lt;&gt;"","FALSE","TRUE")</formula>
    </cfRule>
  </conditionalFormatting>
  <conditionalFormatting sqref="I8:L10">
    <cfRule type="expression" dxfId="8" priority="6">
      <formula>IF($H$6&lt;&gt;"","FALSE","TRUE")</formula>
    </cfRule>
  </conditionalFormatting>
  <conditionalFormatting sqref="I18:L19">
    <cfRule type="expression" dxfId="7" priority="5">
      <formula>IF($H$6&lt;&gt;"","FALSE","TRUE")</formula>
    </cfRule>
  </conditionalFormatting>
  <conditionalFormatting sqref="I20:L20 J21:L21">
    <cfRule type="expression" dxfId="6" priority="4">
      <formula>IF($H$6&lt;&gt;"","FALSE","TRUE")</formula>
    </cfRule>
  </conditionalFormatting>
  <conditionalFormatting sqref="I29:L29">
    <cfRule type="expression" dxfId="5" priority="2">
      <formula>IF($H$6&lt;&gt;"","FALSE","TRUE")</formula>
    </cfRule>
  </conditionalFormatting>
  <conditionalFormatting sqref="I21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tabSelected="1" zoomScaleNormal="100" workbookViewId="0">
      <selection activeCell="H35" sqref="H35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Evoenergy Dx 2019-24 Revised Proposal - Capital expenditure sharing scheme model</v>
      </c>
      <c r="J1" s="163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8" t="s">
        <v>12</v>
      </c>
      <c r="D6" s="159"/>
      <c r="E6" s="160"/>
      <c r="F6" s="160"/>
      <c r="G6" s="160"/>
      <c r="H6" s="160"/>
      <c r="I6" s="129"/>
    </row>
    <row r="7" spans="2:23" ht="11.25" customHeight="1">
      <c r="C7" s="157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2" t="s">
        <v>11</v>
      </c>
      <c r="I7" s="129"/>
    </row>
    <row r="8" spans="2:23" ht="11.25" customHeight="1">
      <c r="C8" s="189" t="s">
        <v>125</v>
      </c>
      <c r="D8" s="190"/>
      <c r="E8" s="191">
        <f>'Input | Inflation and Disc Rate'!H20</f>
        <v>3.8954443119186832E-2</v>
      </c>
      <c r="F8" s="191">
        <f>'Input | Inflation and Disc Rate'!I20</f>
        <v>3.8594655145808732E-2</v>
      </c>
      <c r="G8" s="191">
        <f>'Input | Inflation and Disc Rate'!J20</f>
        <v>3.7966032691911566E-2</v>
      </c>
      <c r="H8" s="196">
        <f>'Input | Inflation and Disc Rate'!K20</f>
        <v>3.7053154467784566E-2</v>
      </c>
      <c r="I8" s="129"/>
      <c r="J8" s="109"/>
      <c r="K8" s="109"/>
    </row>
    <row r="9" spans="2:23" ht="11.25" customHeight="1">
      <c r="C9" s="195" t="s">
        <v>126</v>
      </c>
      <c r="D9" s="190"/>
      <c r="E9" s="191">
        <f>'Input | Inflation and Disc Rate'!H22</f>
        <v>5.4625686192396161E-2</v>
      </c>
      <c r="F9" s="191">
        <f>'Input | Inflation and Disc Rate'!I22</f>
        <v>5.1857414846997241E-2</v>
      </c>
      <c r="G9" s="191">
        <f>'Input | Inflation and Disc Rate'!J22</f>
        <v>5.8192330898883649E-2</v>
      </c>
      <c r="H9" s="196">
        <f>'Input | Inflation and Disc Rate'!K22</f>
        <v>5.7794217557140204E-2</v>
      </c>
      <c r="I9" s="129"/>
      <c r="J9" s="109"/>
      <c r="K9" s="109"/>
    </row>
    <row r="10" spans="2:23" ht="11.25" customHeight="1">
      <c r="C10" s="153" t="s">
        <v>14</v>
      </c>
      <c r="D10" s="131"/>
      <c r="E10" s="147">
        <f>'Input | Reported Capex'!I$12*'Input | Inflation and Disc Rate'!H$15*(1+'Input | Inflation and Disc Rate'!H$20)^0.5</f>
        <v>51.770571507286817</v>
      </c>
      <c r="F10" s="147">
        <f>'Input | Reported Capex'!J$12*'Input | Inflation and Disc Rate'!I$15*(1+'Input | Inflation and Disc Rate'!I$20)^0.5</f>
        <v>49.475471284277781</v>
      </c>
      <c r="G10" s="147">
        <f>'Input | Reported Capex'!K$12*'Input | Inflation and Disc Rate'!J$15*(1+'Input | Inflation and Disc Rate'!J$20)^0.5</f>
        <v>46.482344683504763</v>
      </c>
      <c r="H10" s="150">
        <f>'Input | Reported Capex'!L$12*'Input | Inflation and Disc Rate'!K$15*(1+'Input | Inflation and Disc Rate'!K$20)^0.5</f>
        <v>52.384624011230855</v>
      </c>
      <c r="I10" s="129"/>
      <c r="J10" s="109"/>
      <c r="K10" s="109"/>
      <c r="N10" s="181"/>
    </row>
    <row r="11" spans="2:23" ht="11.25" customHeight="1">
      <c r="C11" s="153" t="s">
        <v>16</v>
      </c>
      <c r="D11" s="131"/>
      <c r="E11" s="147">
        <f>'Input | Reported Capex'!I23*(1+E$9)^0.5</f>
        <v>51.55095000643945</v>
      </c>
      <c r="F11" s="147">
        <f>'Input | Reported Capex'!J23*(1+F$9)^0.5</f>
        <v>43.630927920491601</v>
      </c>
      <c r="G11" s="147">
        <f>'Input | Reported Capex'!K23*(1+G$9)^0.5</f>
        <v>58.445150352036805</v>
      </c>
      <c r="H11" s="150">
        <f>'Input | Reported Capex'!L23*(1+H$9)^0.5</f>
        <v>57.68171352676989</v>
      </c>
      <c r="I11" s="129"/>
      <c r="J11" s="109"/>
      <c r="K11" s="109"/>
    </row>
    <row r="12" spans="2:23" s="19" customFormat="1" ht="11.25" customHeight="1">
      <c r="C12" s="153" t="s">
        <v>18</v>
      </c>
      <c r="D12" s="121"/>
      <c r="E12" s="193">
        <f>(E10-E11)</f>
        <v>0.2196215008473672</v>
      </c>
      <c r="F12" s="193">
        <f t="shared" ref="F12:H12" si="0">(F10-F11)</f>
        <v>5.8445433637861797</v>
      </c>
      <c r="G12" s="193">
        <f t="shared" si="0"/>
        <v>-11.962805668532042</v>
      </c>
      <c r="H12" s="198">
        <f t="shared" si="0"/>
        <v>-5.2970895155390352</v>
      </c>
      <c r="I12" s="129"/>
      <c r="J12" s="109"/>
      <c r="K12" s="109"/>
    </row>
    <row r="13" spans="2:23" ht="11.25" customHeight="1">
      <c r="C13" s="153" t="s">
        <v>100</v>
      </c>
      <c r="D13" s="121"/>
      <c r="E13" s="193">
        <f>$D$12*$E$8</f>
        <v>0</v>
      </c>
      <c r="F13" s="193">
        <f>$D$12*$F$8*(1+'Input | Inflation and Disc Rate'!H13)</f>
        <v>0</v>
      </c>
      <c r="G13" s="193">
        <f>$D$12*$G$8*(1+'Input | Inflation and Disc Rate'!H13)*(1+'Input | Inflation and Disc Rate'!I13)</f>
        <v>0</v>
      </c>
      <c r="H13" s="198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3" t="s">
        <v>101</v>
      </c>
      <c r="D14" s="121"/>
      <c r="E14" s="194"/>
      <c r="F14" s="193">
        <f>$E$12*F$8</f>
        <v>8.4762160878090777E-3</v>
      </c>
      <c r="G14" s="193">
        <f>$E$12*G$8*(1+'Input | Inflation and Disc Rate'!I13)</f>
        <v>8.4446345919200732E-3</v>
      </c>
      <c r="H14" s="198">
        <f>$E$12*H$8*(1+'Input | Inflation and Disc Rate'!I13)*(1+'Input | Inflation and Disc Rate'!J13)</f>
        <v>8.4021861623161231E-3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3" t="s">
        <v>102</v>
      </c>
      <c r="D15" s="121"/>
      <c r="E15" s="193"/>
      <c r="F15" s="193"/>
      <c r="G15" s="193">
        <f>$F$12*G$8</f>
        <v>0.22189412441880088</v>
      </c>
      <c r="H15" s="198">
        <f>$F$12*$H$8*(1+'Input | Inflation and Disc Rate'!J13)</f>
        <v>0.22077873487560695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3" t="s">
        <v>103</v>
      </c>
      <c r="D16" s="121"/>
      <c r="E16" s="193"/>
      <c r="F16" s="193"/>
      <c r="G16" s="193"/>
      <c r="H16" s="198">
        <f>$G$12*$H$8</f>
        <v>-0.44325968630420653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3" t="s">
        <v>104</v>
      </c>
      <c r="D17" s="121"/>
      <c r="E17" s="193"/>
      <c r="F17" s="193"/>
      <c r="G17" s="193"/>
      <c r="H17" s="198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4" t="s">
        <v>20</v>
      </c>
      <c r="D18" s="122"/>
      <c r="E18" s="199">
        <f>SUM(E13:E17)</f>
        <v>0</v>
      </c>
      <c r="F18" s="199">
        <f t="shared" ref="F18:H18" si="1">SUM(F13:F17)</f>
        <v>8.4762160878090777E-3</v>
      </c>
      <c r="G18" s="199">
        <f t="shared" si="1"/>
        <v>0.23033875901072096</v>
      </c>
      <c r="H18" s="200">
        <f t="shared" si="1"/>
        <v>-0.21407876526628347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5" t="s">
        <v>124</v>
      </c>
      <c r="D19" s="167"/>
      <c r="E19" s="199">
        <f>F19*(1+F$9)</f>
        <v>1.1773963119276063</v>
      </c>
      <c r="F19" s="199">
        <f>G19*(1+G$9)</f>
        <v>1.1193497286881511</v>
      </c>
      <c r="G19" s="199">
        <f>H19*(1+H$9)</f>
        <v>1.0577942175571402</v>
      </c>
      <c r="H19" s="201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3" t="s">
        <v>21</v>
      </c>
      <c r="D20" s="121"/>
      <c r="E20" s="193">
        <f>E12*E19</f>
        <v>0.25858154511769582</v>
      </c>
      <c r="F20" s="193">
        <f t="shared" ref="F20:H20" si="2">F12*F19</f>
        <v>6.5420880285601939</v>
      </c>
      <c r="G20" s="193">
        <f t="shared" si="2"/>
        <v>-12.654186661932972</v>
      </c>
      <c r="H20" s="198">
        <f t="shared" si="2"/>
        <v>-5.2970895155390352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4" t="s">
        <v>22</v>
      </c>
      <c r="D21" s="122"/>
      <c r="E21" s="199">
        <f>E18*E19</f>
        <v>0</v>
      </c>
      <c r="F21" s="199">
        <f t="shared" ref="F21:H21" si="3">F18*F19</f>
        <v>9.4878501781912317E-3</v>
      </c>
      <c r="G21" s="199">
        <f t="shared" si="3"/>
        <v>0.24365100736082826</v>
      </c>
      <c r="H21" s="200">
        <f t="shared" si="3"/>
        <v>-0.21407876526628347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58" t="s">
        <v>13</v>
      </c>
      <c r="D23" s="159"/>
      <c r="E23" s="160"/>
      <c r="F23" s="160"/>
      <c r="G23" s="160"/>
      <c r="H23" s="160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2" t="s">
        <v>9</v>
      </c>
      <c r="D24" s="148" t="str">
        <f>'Input | General'!$D$17</f>
        <v>2019-20</v>
      </c>
      <c r="E24" s="148" t="str">
        <f>'Input | General'!$E$17</f>
        <v>2020-21</v>
      </c>
      <c r="F24" s="148" t="str">
        <f>'Input | General'!$F$17</f>
        <v>2021-22</v>
      </c>
      <c r="G24" s="148" t="str">
        <f>'Input | General'!$G$17</f>
        <v>2022-23</v>
      </c>
      <c r="H24" s="149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6" t="s">
        <v>99</v>
      </c>
      <c r="D25" s="202">
        <f>'Input | Inflation and Disc Rate'!L$22</f>
        <v>6.157757650672413E-2</v>
      </c>
      <c r="E25" s="202">
        <f>'Input | Inflation and Disc Rate'!M$22</f>
        <v>6.157757650672413E-2</v>
      </c>
      <c r="F25" s="202">
        <f>'Input | Inflation and Disc Rate'!N$22</f>
        <v>6.157757650672413E-2</v>
      </c>
      <c r="G25" s="202">
        <f>'Input | Inflation and Disc Rate'!O$22</f>
        <v>6.157757650672413E-2</v>
      </c>
      <c r="H25" s="203">
        <f>'Input | Inflation and Disc Rate'!P$22</f>
        <v>6.157757650672413E-2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7" t="s">
        <v>15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50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7" t="s">
        <v>17</v>
      </c>
      <c r="D27" s="165">
        <f>1/(1+D25)^(0.5)</f>
        <v>0.97056389559651135</v>
      </c>
      <c r="E27" s="165">
        <f>1/((1+E25)^(0.5)*(1+D25))</f>
        <v>0.91426563359626845</v>
      </c>
      <c r="F27" s="165">
        <f>1/((1+F25)^(0.5)*(1+E25)*(1+D25))</f>
        <v>0.86123299307507317</v>
      </c>
      <c r="G27" s="165">
        <f>1/((1+G25)^(0.5)*(1+F25)*(1+E25)*(1+D25))</f>
        <v>0.81127654929287973</v>
      </c>
      <c r="H27" s="166">
        <f>1/((1+H25)^(0.5)*(1+G25)*(1+F25)*(1+E25)*(1+D25))</f>
        <v>0.76421786522893931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2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1" t="s">
        <v>23</v>
      </c>
      <c r="D30" s="161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3" t="s">
        <v>24</v>
      </c>
      <c r="D31" s="135">
        <f>SUM(D20:H20)-SUM(D28:H28)</f>
        <v>-11.150606603794117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3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3" t="s">
        <v>26</v>
      </c>
      <c r="D33" s="135">
        <f>(1-D32)*D31</f>
        <v>-7.805424622655881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3" t="s">
        <v>27</v>
      </c>
      <c r="D34" s="135">
        <f>D32*D31</f>
        <v>-3.3451819811382348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3" t="s">
        <v>28</v>
      </c>
      <c r="D35" s="135">
        <f>SUM(D21:H21)</f>
        <v>3.9060092272736019E-2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4" t="s">
        <v>29</v>
      </c>
      <c r="D36" s="136">
        <f>D34-D35</f>
        <v>-3.3842420734109711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215">
        <f>-PMT('Input | Inflation and Disc Rate'!L21,5,'Calc | CESS Revenue Increments'!$D$36)</f>
        <v>-0.75207748691214771</v>
      </c>
      <c r="E41" s="215">
        <f>-PMT('Input | Inflation and Disc Rate'!M21,5,'Calc | CESS Revenue Increments'!$D$36)</f>
        <v>-0.75207748691214771</v>
      </c>
      <c r="F41" s="215">
        <f>-PMT('Input | Inflation and Disc Rate'!N21,5,'Calc | CESS Revenue Increments'!$D$36)</f>
        <v>-0.75207748691214771</v>
      </c>
      <c r="G41" s="215">
        <f>-PMT('Input | Inflation and Disc Rate'!O21,5,'Calc | CESS Revenue Increments'!$D$36)</f>
        <v>-0.75207748691214771</v>
      </c>
      <c r="H41" s="216">
        <f>-PMT('Input | Inflation and Disc Rate'!P21,5,'Calc | CESS Revenue Increments'!$D$36)</f>
        <v>-0.75207748691214771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208">
        <f>SUM(D41:H41)</f>
        <v>-3.7603874345607387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37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Evoenergy Dx 2019-24 Revised Proposal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7"/>
      <c r="K3" s="217"/>
      <c r="L3" s="217"/>
      <c r="M3" s="67"/>
      <c r="N3" s="217"/>
      <c r="O3" s="217"/>
      <c r="P3" s="217"/>
      <c r="Q3" s="217"/>
      <c r="R3" s="217"/>
      <c r="S3" s="217"/>
      <c r="T3" s="217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8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5">
        <f>'Calc | CESS Revenue Increments'!D41</f>
        <v>-0.75207748691214771</v>
      </c>
      <c r="K8" s="175">
        <f>'Calc | CESS Revenue Increments'!E41</f>
        <v>-0.75207748691214771</v>
      </c>
      <c r="L8" s="175">
        <f>'Calc | CESS Revenue Increments'!F41</f>
        <v>-0.75207748691214771</v>
      </c>
      <c r="M8" s="175">
        <f>'Calc | CESS Revenue Increments'!G41</f>
        <v>-0.75207748691214771</v>
      </c>
      <c r="N8" s="175">
        <f>'Calc | CESS Revenue Increments'!H41</f>
        <v>-0.75207748691214771</v>
      </c>
      <c r="O8" s="86">
        <f>SUM(J8:N8)</f>
        <v>-3.7603874345607387</v>
      </c>
      <c r="P8" s="179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6"/>
      <c r="K10" s="176"/>
      <c r="L10" s="176"/>
      <c r="M10" s="176"/>
      <c r="N10" s="176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Evoenergy Dx 2019-24 Revised Proposal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2018-09-23T01:02:22Z</dcterms:created>
  <dcterms:modified xsi:type="dcterms:W3CDTF">2018-11-26T06:40:41Z</dcterms:modified>
  <cp:contentStatus/>
</cp:coreProperties>
</file>