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730" windowHeight="11760" activeTab="4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L23" i="3" l="1"/>
  <c r="H11" i="4" s="1"/>
  <c r="H12" i="4" s="1"/>
  <c r="H20" i="4" s="1"/>
  <c r="I23" i="3"/>
  <c r="E11" i="4" s="1"/>
  <c r="E12" i="4" s="1"/>
  <c r="J23" i="3"/>
  <c r="F11" i="4" s="1"/>
  <c r="F12" i="4" s="1"/>
  <c r="K23" i="3"/>
  <c r="G11" i="4" s="1"/>
  <c r="G12" i="4" s="1"/>
  <c r="L22" i="13"/>
  <c r="D25" i="4" s="1"/>
  <c r="D27" i="4" s="1"/>
  <c r="D28" i="4" s="1"/>
  <c r="M21" i="13"/>
  <c r="M22" i="13" s="1"/>
  <c r="E25" i="4" s="1"/>
  <c r="E27" i="4" s="1"/>
  <c r="E28" i="4" s="1"/>
  <c r="K22" i="13"/>
  <c r="H9" i="4"/>
  <c r="G19" i="4"/>
  <c r="F19" i="4"/>
  <c r="E19" i="4"/>
  <c r="E21" i="4"/>
  <c r="J22" i="13"/>
  <c r="G9" i="4"/>
  <c r="I22" i="13"/>
  <c r="F9" i="4"/>
  <c r="H22" i="13"/>
  <c r="E9" i="4"/>
  <c r="M14" i="13"/>
  <c r="N14" i="13"/>
  <c r="O14" i="13"/>
  <c r="P14" i="13"/>
  <c r="E8" i="4"/>
  <c r="E13" i="4"/>
  <c r="E18" i="4"/>
  <c r="F8" i="4"/>
  <c r="F13" i="4"/>
  <c r="G8" i="4"/>
  <c r="G13" i="4"/>
  <c r="H8" i="4"/>
  <c r="H13" i="4"/>
  <c r="H23" i="3"/>
  <c r="I12" i="3"/>
  <c r="J12" i="3"/>
  <c r="K12" i="3"/>
  <c r="L12" i="3"/>
  <c r="H12" i="3"/>
  <c r="G22" i="13"/>
  <c r="P19" i="13"/>
  <c r="M9" i="13"/>
  <c r="N9" i="13"/>
  <c r="O9" i="13"/>
  <c r="P9" i="13"/>
  <c r="F7" i="13"/>
  <c r="C15" i="13"/>
  <c r="G7" i="13"/>
  <c r="G15" i="13"/>
  <c r="C10" i="13"/>
  <c r="G10" i="13"/>
  <c r="H7" i="13"/>
  <c r="H10" i="13"/>
  <c r="I7" i="13"/>
  <c r="I10" i="13"/>
  <c r="J7" i="13"/>
  <c r="J10" i="13"/>
  <c r="K7" i="13"/>
  <c r="K10" i="13"/>
  <c r="H15" i="13"/>
  <c r="I15" i="13"/>
  <c r="C43" i="4"/>
  <c r="B1" i="2"/>
  <c r="B1" i="9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C41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H30" i="3"/>
  <c r="L10" i="13"/>
  <c r="I30" i="3"/>
  <c r="M10" i="13"/>
  <c r="N10" i="13"/>
  <c r="K30" i="3"/>
  <c r="J30" i="3"/>
  <c r="O10" i="13"/>
  <c r="P10" i="13"/>
  <c r="L30" i="3"/>
  <c r="B1" i="13"/>
  <c r="B1" i="3"/>
  <c r="B1" i="10"/>
  <c r="B1" i="5"/>
  <c r="B1" i="4"/>
  <c r="F10" i="4"/>
  <c r="J15" i="13"/>
  <c r="E10" i="4"/>
  <c r="G10" i="4"/>
  <c r="K15" i="13"/>
  <c r="H10" i="4"/>
  <c r="H31" i="3"/>
  <c r="D26" i="4"/>
  <c r="L15" i="13"/>
  <c r="M15" i="13"/>
  <c r="I31" i="3"/>
  <c r="E26" i="4"/>
  <c r="N15" i="13"/>
  <c r="J31" i="3"/>
  <c r="F26" i="4"/>
  <c r="K31" i="3"/>
  <c r="G26" i="4"/>
  <c r="O15" i="13"/>
  <c r="L31" i="3"/>
  <c r="H26" i="4"/>
  <c r="P15" i="13"/>
  <c r="N21" i="13" l="1"/>
  <c r="N22" i="13" s="1"/>
  <c r="F25" i="4" s="1"/>
  <c r="G14" i="4"/>
  <c r="E20" i="4"/>
  <c r="F14" i="4"/>
  <c r="F18" i="4" s="1"/>
  <c r="F21" i="4" s="1"/>
  <c r="H14" i="4"/>
  <c r="H16" i="4"/>
  <c r="G20" i="4"/>
  <c r="G15" i="4"/>
  <c r="F20" i="4"/>
  <c r="H15" i="4"/>
  <c r="F27" i="4"/>
  <c r="F28" i="4" s="1"/>
  <c r="O21" i="13"/>
  <c r="H18" i="4" l="1"/>
  <c r="H21" i="4" s="1"/>
  <c r="G18" i="4"/>
  <c r="G21" i="4" s="1"/>
  <c r="P21" i="13"/>
  <c r="O22" i="13"/>
  <c r="G25" i="4" s="1"/>
  <c r="G27" i="4" s="1"/>
  <c r="G28" i="4" s="1"/>
  <c r="D35" i="4" l="1"/>
  <c r="P22" i="13"/>
  <c r="H25" i="4" s="1"/>
  <c r="H27" i="4" s="1"/>
  <c r="H28" i="4" s="1"/>
  <c r="D31" i="4" s="1"/>
  <c r="D33" i="4" l="1"/>
  <c r="D34" i="4"/>
  <c r="D36" i="4" s="1"/>
  <c r="D41" i="4" l="1"/>
  <c r="E41" i="4"/>
  <c r="K8" i="10" s="1"/>
  <c r="F41" i="4"/>
  <c r="L8" i="10" s="1"/>
  <c r="G41" i="4"/>
  <c r="M8" i="10" s="1"/>
  <c r="H41" i="4"/>
  <c r="N8" i="10" s="1"/>
  <c r="D43" i="4" l="1"/>
  <c r="J8" i="10"/>
  <c r="O8" i="10" s="1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<sst xmlns="http://schemas.openxmlformats.org/spreadsheetml/2006/main" count="298" uniqueCount="136">
  <si>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</si>
  <si>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</si>
  <si>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</si>
  <si>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</si>
  <si>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</si>
  <si>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</si>
  <si>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</si>
  <si>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</si>
  <si>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</si>
  <si>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</si>
  <si>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</si>
  <si>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</si>
  <si>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</si>
  <si>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</si>
  <si>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</si>
  <si>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</si>
  <si>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</si>
  <si>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</si>
  <si>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</si>
  <si>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</si>
  <si>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</si>
  <si>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</si>
  <si>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</si>
  <si>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</si>
  <si>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</si>
  <si>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</si>
  <si>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</si>
  <si>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</si>
  <si>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</si>
  <si>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</si>
  <si>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</si>
  <si>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</si>
  <si>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</si>
  <si>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</si>
  <si>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</si>
  <si>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</si>
  <si>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</si>
  <si>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</si>
  <si>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</si>
  <si>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</si>
  <si>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</si>
  <si>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</si>
  <si>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</si>
  <si>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</si>
  <si>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</si>
  <si>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</si>
  <si>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</si>
  <si>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</si>
  <si>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</si>
  <si>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</si>
  <si>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</si>
  <si>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</si>
  <si>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</si>
  <si>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</si>
  <si>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</si>
  <si>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</si>
  <si>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</si>
  <si>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</si>
  <si>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</si>
  <si>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</si>
  <si>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</si>
  <si>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</si>
  <si>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</si>
  <si>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</si>
  <si>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</si>
  <si>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</si>
  <si>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</si>
  <si>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</si>
  <si>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</si>
  <si>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</si>
  <si>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</si>
  <si>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</si>
  <si>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</si>
  <si>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</si>
  <si>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</si>
  <si>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</si>
  <si>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</si>
  <si>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</si>
  <si>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</si>
  <si>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</si>
  <si>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</si>
  <si>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</si>
  <si>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</si>
  <si>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</si>
  <si>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</si>
  <si>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</si>
  <si>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</si>
  <si>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</si>
  <si>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</si>
  <si>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</si>
  <si>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</si>
  <si>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</si>
  <si>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</si>
  <si>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</si>
  <si>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</si>
  <si>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</si>
  <si>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</si>
  <si>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</si>
  <si>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</si>
  <si>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</si>
  <si>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</si>
  <si>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</si>
  <si>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</si>
  <si>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</si>
  <si>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</si>
  <si>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</si>
  <si>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</si>
  <si>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</si>
  <si>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</si>
  <si>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</si>
  <si>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</si>
  <si>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</si>
  <si>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</si>
  <si>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</si>
  <si>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</si>
  <si>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</si>
  <si>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</si>
  <si>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</si>
  <si>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</si>
  <si>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</si>
  <si>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</si>
  <si>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</si>
  <si>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</si>
  <si>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</si>
  <si>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</si>
  <si>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</si>
  <si>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</si>
  <si>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</si>
  <si>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</si>
  <si>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</si>
  <si>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</si>
  <si>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</si>
  <si>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AER updates</t>
  </si>
  <si>
    <t>Evoenergy Tx</t>
  </si>
  <si>
    <t>Revised Proposal</t>
  </si>
  <si>
    <t>Evoenergy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</si>
</sst>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0" fillId="3" borderId="0" xfId="0" applyNumberFormat="1" applyFill="1"/>
    <xf numFmtId="10" fontId="24" fillId="57" borderId="28" xfId="0" applyNumberFormat="1" applyFont="1" applyFill="1" applyBorder="1" applyAlignment="1">
      <alignment horizontal="center" vertical="center"/>
    </xf>
    <xf numFmtId="0" fontId="101" fillId="57" borderId="0" xfId="265" applyFont="1" applyFill="1" applyBorder="1" applyAlignment="1" applyProtection="1">
      <alignment horizontal="center" vertical="center"/>
    </xf>
    <xf numFmtId="164" fontId="24" fillId="3" borderId="2" xfId="0" applyNumberFormat="1" applyFont="1" applyFill="1" applyBorder="1" applyAlignment="1">
      <alignment horizontal="right" vertical="center"/>
    </xf>
    <xf numFmtId="4" fontId="24" fillId="3" borderId="39" xfId="0" applyNumberFormat="1" applyFont="1" applyFill="1" applyBorder="1" applyAlignment="1">
      <alignment horizontal="right" vertical="center"/>
    </xf>
    <xf numFmtId="0" fontId="101" fillId="58" borderId="0" xfId="265" applyFont="1" applyFill="1" applyBorder="1" applyAlignment="1" applyProtection="1">
      <alignment horizontal="center" vertical="center"/>
    </xf>
    <xf numFmtId="2" fontId="24" fillId="58" borderId="26" xfId="1" applyNumberFormat="1" applyFont="1" applyFill="1" applyBorder="1" applyAlignment="1">
      <alignment horizontal="center" vertical="center"/>
    </xf>
    <xf numFmtId="2" fontId="24" fillId="59" borderId="26" xfId="1" applyNumberFormat="1" applyFont="1" applyFill="1" applyBorder="1" applyAlignment="1">
      <alignment horizontal="center" vertical="center"/>
    </xf>
    <xf numFmtId="2" fontId="24" fillId="58" borderId="2" xfId="1" applyNumberFormat="1" applyFont="1" applyFill="1" applyBorder="1" applyAlignment="1">
      <alignment horizontal="center" vertical="center"/>
    </xf>
    <xf numFmtId="10" fontId="24" fillId="58" borderId="28" xfId="0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Tx 2019-24 Revised Proposal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topLeftCell="A4" workbookViewId="0">
      <selection activeCell="C16" sqref="C16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Tx 2019-24 Revised Proposal - Capital expenditure sharing scheme model</v>
      </c>
      <c r="F1" s="138"/>
      <c r="G1" s="139" t="s">
        <v>50</v>
      </c>
      <c r="H1" s="140" t="s">
        <v>51</v>
      </c>
      <c r="I1" s="162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133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134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127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7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6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G20" sqref="G20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Evoenergy Tx 2019-24 Revised Proposal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9" t="s">
        <v>132</v>
      </c>
      <c r="L1" s="212" t="s">
        <v>135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69">
        <v>2.7450980392156765E-2</v>
      </c>
      <c r="H8" s="169">
        <v>1.7175572519083859E-2</v>
      </c>
      <c r="I8" s="169">
        <v>1.5037593984962294E-2</v>
      </c>
      <c r="J8" s="169">
        <v>1.4760147601476037E-2</v>
      </c>
      <c r="K8" s="169">
        <v>2.3800000000000002E-2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2"/>
      <c r="H9" s="172"/>
      <c r="I9" s="172"/>
      <c r="J9" s="172"/>
      <c r="K9" s="172"/>
      <c r="L9" s="169">
        <v>2.4999999999999911E-2</v>
      </c>
      <c r="M9" s="187">
        <f t="shared" ref="M9:P9" si="0">L9</f>
        <v>2.4999999999999911E-2</v>
      </c>
      <c r="N9" s="187">
        <f t="shared" si="0"/>
        <v>2.4999999999999911E-2</v>
      </c>
      <c r="O9" s="187">
        <f t="shared" si="0"/>
        <v>2.4999999999999911E-2</v>
      </c>
      <c r="P9" s="187">
        <f t="shared" si="0"/>
        <v>2.4999999999999911E-2</v>
      </c>
    </row>
    <row r="10" spans="1:20" ht="11.25" customHeight="1">
      <c r="A10" s="11"/>
      <c r="B10" s="11"/>
      <c r="C10" s="182" t="str">
        <f>"CPI Index (base year "&amp;F7&amp;")"</f>
        <v>CPI Index (base year 2013-14)</v>
      </c>
      <c r="D10" s="108" t="s">
        <v>116</v>
      </c>
      <c r="E10" s="108" t="s">
        <v>33</v>
      </c>
      <c r="F10" s="180">
        <v>1</v>
      </c>
      <c r="G10" s="164">
        <f>IF(G7&lt;&gt;"",(F10*(1+G8)),"")</f>
        <v>1.0274509803921568</v>
      </c>
      <c r="H10" s="164">
        <f>IF(H7&lt;&gt;"",(G10*(1+H8)),"")</f>
        <v>1.0450980392156861</v>
      </c>
      <c r="I10" s="164">
        <f>IF(I7&lt;&gt;"",(H10*(1+I8)),"")</f>
        <v>1.0608137992038917</v>
      </c>
      <c r="J10" s="164">
        <f>IF(J7&lt;&gt;"",(I10*(1+J8)),"")</f>
        <v>1.0764715674578238</v>
      </c>
      <c r="K10" s="164">
        <f>IF(K7&lt;&gt;"",(J10*(1+K8)),"")</f>
        <v>1.10209159076332</v>
      </c>
      <c r="L10" s="119">
        <f t="shared" ref="L10:P10" si="1">IF(L7&lt;&gt;"",(K10*(1+L9)),"")</f>
        <v>1.1296438805324029</v>
      </c>
      <c r="M10" s="119">
        <f t="shared" si="1"/>
        <v>1.157884977545713</v>
      </c>
      <c r="N10" s="119">
        <f t="shared" si="1"/>
        <v>1.1868321019843557</v>
      </c>
      <c r="O10" s="119">
        <f t="shared" si="1"/>
        <v>1.2165029045339646</v>
      </c>
      <c r="P10" s="119">
        <f t="shared" si="1"/>
        <v>1.2469154771473137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10"/>
      <c r="D12" s="108"/>
      <c r="E12" s="108"/>
      <c r="F12" s="108"/>
      <c r="G12" s="168"/>
      <c r="H12" s="168"/>
      <c r="I12" s="168"/>
      <c r="J12" s="168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08">
        <v>1.7175572519083859E-2</v>
      </c>
      <c r="H13" s="208">
        <v>1.6885553470919357E-2</v>
      </c>
      <c r="I13" s="208">
        <v>1.4760147601476037E-2</v>
      </c>
      <c r="J13" s="208">
        <v>1.9090909090909047E-2</v>
      </c>
      <c r="K13" s="208">
        <v>0.02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08">
        <v>2.44995114800401E-2</v>
      </c>
      <c r="M14" s="187">
        <f t="shared" ref="M14:P14" si="2">L14</f>
        <v>2.44995114800401E-2</v>
      </c>
      <c r="N14" s="187">
        <f t="shared" si="2"/>
        <v>2.44995114800401E-2</v>
      </c>
      <c r="O14" s="187">
        <f t="shared" si="2"/>
        <v>2.44995114800401E-2</v>
      </c>
      <c r="P14" s="187">
        <f t="shared" si="2"/>
        <v>2.44995114800401E-2</v>
      </c>
    </row>
    <row r="15" spans="1:20" ht="11.25" customHeight="1">
      <c r="A15" s="11"/>
      <c r="B15" s="11"/>
      <c r="C15" s="182" t="str">
        <f>"CPI Index (base year "&amp;F7&amp;")"</f>
        <v>CPI Index (base year 2013-14)</v>
      </c>
      <c r="D15" s="108" t="s">
        <v>55</v>
      </c>
      <c r="E15" s="108" t="s">
        <v>33</v>
      </c>
      <c r="F15" s="180">
        <v>1</v>
      </c>
      <c r="G15" s="164">
        <f>IF(G7&lt;&gt;"",(F15*(1+G13)),"")</f>
        <v>1.0171755725190839</v>
      </c>
      <c r="H15" s="164">
        <f>IF(H7&lt;&gt;"",(G15*(1+H13)),"")</f>
        <v>1.0343511450381679</v>
      </c>
      <c r="I15" s="164">
        <f>IF(I7&lt;&gt;"",(H15*(1+I13)),"")</f>
        <v>1.0496183206106871</v>
      </c>
      <c r="J15" s="164">
        <f>IF(J7&lt;&gt;"",(I15*(1+J13)),"")</f>
        <v>1.0696564885496183</v>
      </c>
      <c r="K15" s="119">
        <f>IF(K7&lt;&gt;"",(J15*(1+K13)),"")</f>
        <v>1.0910496183206106</v>
      </c>
      <c r="L15" s="119">
        <f t="shared" ref="L15:P15" si="3">IF(L7&lt;&gt;"",(K15*(1+L14)),"")</f>
        <v>1.1177798009699498</v>
      </c>
      <c r="M15" s="119">
        <f t="shared" si="3"/>
        <v>1.1451648600359701</v>
      </c>
      <c r="N15" s="119">
        <f t="shared" si="3"/>
        <v>1.1732208396709598</v>
      </c>
      <c r="O15" s="119">
        <f t="shared" si="3"/>
        <v>1.2019641771011009</v>
      </c>
      <c r="P15" s="119">
        <f t="shared" si="3"/>
        <v>1.2314117122565864</v>
      </c>
    </row>
    <row r="16" spans="1:20" s="171" customFormat="1" ht="11.25" customHeight="1">
      <c r="A16" s="2"/>
      <c r="B16" s="2"/>
      <c r="C16" s="110"/>
      <c r="D16" s="170"/>
      <c r="E16" s="170"/>
      <c r="F16" s="170"/>
      <c r="G16" s="118"/>
      <c r="H16" s="118"/>
      <c r="I16" s="118"/>
      <c r="J16" s="118"/>
      <c r="K16" s="174"/>
      <c r="L16" s="174"/>
      <c r="M16" s="174"/>
      <c r="N16" s="174"/>
      <c r="O16" s="174"/>
      <c r="P16" s="174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08">
        <v>3.9937757261681028E-2</v>
      </c>
      <c r="H20" s="208">
        <v>3.8954443119186832E-2</v>
      </c>
      <c r="I20" s="208">
        <v>3.8594655145808732E-2</v>
      </c>
      <c r="J20" s="208">
        <v>3.7966032691911566E-2</v>
      </c>
      <c r="K20" s="208">
        <v>3.7053154467784566E-2</v>
      </c>
      <c r="L20" s="118"/>
      <c r="M20" s="118"/>
      <c r="N20" s="118"/>
      <c r="O20" s="118"/>
      <c r="P20" s="118"/>
    </row>
    <row r="21" spans="1:16" ht="11.25" customHeight="1">
      <c r="C21" s="204" t="s">
        <v>128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16">
        <v>3.6191393564570212E-2</v>
      </c>
      <c r="M21" s="187">
        <f t="shared" ref="M21" si="4">L21</f>
        <v>3.6191393564570212E-2</v>
      </c>
      <c r="N21" s="187">
        <f t="shared" ref="N21" si="5">M21</f>
        <v>3.6191393564570212E-2</v>
      </c>
      <c r="O21" s="187">
        <f t="shared" ref="O21" si="6">N21</f>
        <v>3.6191393564570212E-2</v>
      </c>
      <c r="P21" s="187">
        <f t="shared" ref="P21" si="7">O21</f>
        <v>3.6191393564570212E-2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8">
        <f>IF(AND(G13&lt;&gt;"",G20&lt;&gt;""),((1+G20)*(1+G13)-1),"")</f>
        <v>5.7799283626862374E-2</v>
      </c>
      <c r="H22" s="188">
        <f>IF(AND(H13&lt;&gt;"",H20&lt;&gt;""),((1+H20)*(1+H13)-1),"")</f>
        <v>5.6497763922325195E-2</v>
      </c>
      <c r="I22" s="188">
        <f>IF(AND(I13&lt;&gt;"",I20&lt;&gt;""),((1+I20)*(1+I13)-1),"")</f>
        <v>5.3924465553864875E-2</v>
      </c>
      <c r="J22" s="188">
        <f>IF(AND(J13&lt;&gt;"",J20&lt;&gt;""),((1+J20)*(1+J13)-1),"")</f>
        <v>5.7781747861484378E-2</v>
      </c>
      <c r="K22" s="188">
        <f>IF(AND(K13&lt;&gt;"",K20&lt;&gt;""),((1+K20)*(1+K13)-1),"")</f>
        <v>5.7794217557140204E-2</v>
      </c>
      <c r="L22" s="188">
        <f>IF(AND(L14&lt;&gt;"",L21&lt;&gt;""),((1+L21)*(1+L14)-1),"")</f>
        <v>6.157757650672413E-2</v>
      </c>
      <c r="M22" s="188">
        <f t="shared" ref="M22:P22" si="8">IF(AND(M14&lt;&gt;"",M21&lt;&gt;""),((1+M21)*(1+M14)-1),"")</f>
        <v>6.157757650672413E-2</v>
      </c>
      <c r="N22" s="188">
        <f t="shared" si="8"/>
        <v>6.157757650672413E-2</v>
      </c>
      <c r="O22" s="188">
        <f t="shared" si="8"/>
        <v>6.157757650672413E-2</v>
      </c>
      <c r="P22" s="188">
        <f t="shared" si="8"/>
        <v>6.157757650672413E-2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J22" sqref="J22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Evoenergy Tx 2019-24 Revised Proposal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 s="212" t="s">
        <v>135</v>
      </c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131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11.611507177672802</v>
      </c>
      <c r="J8" s="103">
        <v>18.488842008126678</v>
      </c>
      <c r="K8" s="103">
        <v>13.674172887056818</v>
      </c>
      <c r="L8" s="103">
        <v>8.1471688415016281</v>
      </c>
      <c r="M8" s="2"/>
      <c r="N8" s="2"/>
    </row>
    <row r="9" spans="2:14" ht="10.5" customHeight="1">
      <c r="C9" s="110" t="s">
        <v>130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6.4168162562379893E-2</v>
      </c>
      <c r="J9" s="103">
        <v>6.4651555178821443E-2</v>
      </c>
      <c r="K9" s="103">
        <v>6.6791852218096845E-2</v>
      </c>
      <c r="L9" s="103">
        <v>6.8264433568956825E-2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0.17252697308830112</v>
      </c>
      <c r="J10" s="103">
        <v>0.18694072888841431</v>
      </c>
      <c r="K10" s="103">
        <v>8.3147697637644971E-2</v>
      </c>
      <c r="L10" s="103">
        <v>8.0115855847153722E-2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11.374812042022121</v>
      </c>
      <c r="J12" s="92">
        <f t="shared" si="0"/>
        <v>18.237249724059446</v>
      </c>
      <c r="K12" s="92">
        <f t="shared" si="0"/>
        <v>13.524233337201075</v>
      </c>
      <c r="L12" s="92">
        <f t="shared" si="0"/>
        <v>7.9987885520855189</v>
      </c>
      <c r="M12" s="2"/>
      <c r="N12" s="2"/>
    </row>
    <row r="13" spans="2:14" ht="10.5" customHeight="1">
      <c r="D13" s="95"/>
      <c r="E13" s="95"/>
      <c r="F13" s="95"/>
      <c r="G13" s="95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103">
        <v>9.8117219338479469</v>
      </c>
      <c r="J18" s="103">
        <v>8.9906978324234128</v>
      </c>
      <c r="K18" s="213">
        <v>13.566107393802213</v>
      </c>
      <c r="L18" s="213">
        <v>16.020203488599421</v>
      </c>
    </row>
    <row r="19" spans="2:14" s="2" customFormat="1" ht="10.5" customHeight="1">
      <c r="B19" s="100"/>
      <c r="C19" s="110" t="s">
        <v>130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0.27547259710029048</v>
      </c>
      <c r="J19" s="103">
        <v>6.6335608590771561E-2</v>
      </c>
      <c r="K19" s="213">
        <v>3.6436774226807844</v>
      </c>
      <c r="L19" s="213">
        <v>0.4361585475542778</v>
      </c>
    </row>
    <row r="20" spans="2:14" s="2" customFormat="1" ht="10.5" customHeight="1">
      <c r="B20" s="100"/>
      <c r="C20" s="183" t="s">
        <v>123</v>
      </c>
      <c r="D20" s="108" t="s">
        <v>55</v>
      </c>
      <c r="E20" s="184" t="s">
        <v>60</v>
      </c>
      <c r="F20" s="184" t="s">
        <v>64</v>
      </c>
      <c r="G20" s="185"/>
      <c r="H20" s="186"/>
      <c r="I20" s="186">
        <v>1.3874428190669271E-2</v>
      </c>
      <c r="J20" s="186">
        <v>4.9602757857683352E-2</v>
      </c>
      <c r="K20" s="214">
        <v>0.11649254509453941</v>
      </c>
      <c r="L20" s="214">
        <v>8.6540228279663428E-2</v>
      </c>
    </row>
    <row r="21" spans="2:14" s="2" customFormat="1" ht="10.5" customHeight="1">
      <c r="B21" s="100"/>
      <c r="C21" s="205" t="s">
        <v>129</v>
      </c>
      <c r="D21" s="108" t="s">
        <v>55</v>
      </c>
      <c r="E21" s="184" t="s">
        <v>60</v>
      </c>
      <c r="F21" s="184" t="s">
        <v>64</v>
      </c>
      <c r="G21" s="185"/>
      <c r="H21" s="186"/>
      <c r="I21" s="186"/>
      <c r="J21" s="186"/>
      <c r="K21" s="186"/>
      <c r="L21" s="186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9.5223749085569871</v>
      </c>
      <c r="J23" s="92">
        <f t="shared" si="1"/>
        <v>8.8747594659749591</v>
      </c>
      <c r="K23" s="215">
        <f t="shared" si="1"/>
        <v>9.8059374260268886</v>
      </c>
      <c r="L23" s="215">
        <f t="shared" si="1"/>
        <v>15.49750471276548</v>
      </c>
    </row>
    <row r="24" spans="2:14" s="2" customFormat="1" ht="10.5" customHeight="1">
      <c r="B24" s="100"/>
      <c r="D24" s="21"/>
      <c r="E24" s="21"/>
      <c r="F24" s="21"/>
      <c r="G24" s="2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tabSelected="1" zoomScaleNormal="100" workbookViewId="0">
      <selection activeCell="E27" sqref="E27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Evoenergy Tx 2019-24 Revised Proposal - Capital expenditure sharing scheme model</v>
      </c>
      <c r="J1" s="163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8" t="s">
        <v>12</v>
      </c>
      <c r="D6" s="159"/>
      <c r="E6" s="160"/>
      <c r="F6" s="160"/>
      <c r="G6" s="160"/>
      <c r="H6" s="160"/>
      <c r="I6" s="129"/>
    </row>
    <row r="7" spans="2:23" ht="11.25" customHeight="1">
      <c r="C7" s="157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2" t="s">
        <v>11</v>
      </c>
      <c r="I7" s="129"/>
    </row>
    <row r="8" spans="2:23" ht="11.25" customHeight="1">
      <c r="C8" s="189" t="s">
        <v>125</v>
      </c>
      <c r="D8" s="190"/>
      <c r="E8" s="191">
        <f>'Input | Inflation and Disc Rate'!H20</f>
        <v>3.8954443119186832E-2</v>
      </c>
      <c r="F8" s="191">
        <f>'Input | Inflation and Disc Rate'!I20</f>
        <v>3.8594655145808732E-2</v>
      </c>
      <c r="G8" s="191">
        <f>'Input | Inflation and Disc Rate'!J20</f>
        <v>3.7966032691911566E-2</v>
      </c>
      <c r="H8" s="196">
        <f>'Input | Inflation and Disc Rate'!K20</f>
        <v>3.7053154467784566E-2</v>
      </c>
      <c r="I8" s="129"/>
      <c r="J8" s="109"/>
      <c r="K8" s="109"/>
    </row>
    <row r="9" spans="2:23" ht="11.25" customHeight="1">
      <c r="C9" s="195" t="s">
        <v>126</v>
      </c>
      <c r="D9" s="190"/>
      <c r="E9" s="191">
        <f>'Input | Inflation and Disc Rate'!H22</f>
        <v>5.6497763922325195E-2</v>
      </c>
      <c r="F9" s="191">
        <f>'Input | Inflation and Disc Rate'!I22</f>
        <v>5.3924465553864875E-2</v>
      </c>
      <c r="G9" s="191">
        <f>'Input | Inflation and Disc Rate'!J22</f>
        <v>5.7781747861484378E-2</v>
      </c>
      <c r="H9" s="196">
        <f>'Input | Inflation and Disc Rate'!K22</f>
        <v>5.7794217557140204E-2</v>
      </c>
      <c r="I9" s="129"/>
      <c r="J9" s="109"/>
      <c r="K9" s="109"/>
    </row>
    <row r="10" spans="2:23" ht="11.25" customHeight="1">
      <c r="C10" s="153" t="s">
        <v>14</v>
      </c>
      <c r="D10" s="131"/>
      <c r="E10" s="147">
        <f>'Input | Reported Capex'!I$12*'Input | Inflation and Disc Rate'!H$15*(1+'Input | Inflation and Disc Rate'!H$20)^0.5</f>
        <v>11.992520816574066</v>
      </c>
      <c r="F10" s="147">
        <f>'Input | Reported Capex'!J$12*'Input | Inflation and Disc Rate'!I$15*(1+'Input | Inflation and Disc Rate'!I$20)^0.5</f>
        <v>19.508046814671992</v>
      </c>
      <c r="G10" s="147">
        <f>'Input | Reported Capex'!K$12*'Input | Inflation and Disc Rate'!J$15*(1+'Input | Inflation and Disc Rate'!J$20)^0.5</f>
        <v>14.738339483565216</v>
      </c>
      <c r="H10" s="150">
        <f>'Input | Reported Capex'!L$12*'Input | Inflation and Disc Rate'!K$15*(1+'Input | Inflation and Disc Rate'!K$20)^0.5</f>
        <v>8.8872874358571927</v>
      </c>
      <c r="I10" s="129"/>
      <c r="J10" s="109"/>
      <c r="K10" s="109"/>
      <c r="N10" s="181"/>
    </row>
    <row r="11" spans="2:23" ht="11.25" customHeight="1">
      <c r="C11" s="153" t="s">
        <v>16</v>
      </c>
      <c r="D11" s="131"/>
      <c r="E11" s="147">
        <f>'Input | Reported Capex'!I23*(1+E$9)^0.5</f>
        <v>9.7876756123033353</v>
      </c>
      <c r="F11" s="147">
        <f>'Input | Reported Capex'!J23*(1+F$9)^0.5</f>
        <v>9.1109011401069928</v>
      </c>
      <c r="G11" s="147">
        <f>'Input | Reported Capex'!K23*(1+G$9)^0.5</f>
        <v>10.085261234687207</v>
      </c>
      <c r="H11" s="150">
        <f>'Input | Reported Capex'!L23*(1+H$9)^0.5</f>
        <v>15.93904773949097</v>
      </c>
      <c r="I11" s="129"/>
      <c r="J11" s="109"/>
      <c r="K11" s="207"/>
    </row>
    <row r="12" spans="2:23" s="19" customFormat="1" ht="11.25" customHeight="1">
      <c r="C12" s="153" t="s">
        <v>18</v>
      </c>
      <c r="D12" s="121"/>
      <c r="E12" s="193">
        <f>(E10-E11)</f>
        <v>2.2048452042707307</v>
      </c>
      <c r="F12" s="193">
        <f t="shared" ref="F12:H12" si="0">(F10-F11)</f>
        <v>10.397145674564999</v>
      </c>
      <c r="G12" s="193">
        <f t="shared" si="0"/>
        <v>4.6530782488780087</v>
      </c>
      <c r="H12" s="198">
        <f t="shared" si="0"/>
        <v>-7.0517603036337775</v>
      </c>
      <c r="I12" s="129"/>
      <c r="J12" s="109"/>
      <c r="K12" s="207"/>
    </row>
    <row r="13" spans="2:23" ht="11.25" customHeight="1">
      <c r="C13" s="153" t="s">
        <v>100</v>
      </c>
      <c r="D13" s="121"/>
      <c r="E13" s="193">
        <f>$D$12*$E$8</f>
        <v>0</v>
      </c>
      <c r="F13" s="193">
        <f>$D$12*$F$8*(1+'Input | Inflation and Disc Rate'!H13)</f>
        <v>0</v>
      </c>
      <c r="G13" s="193">
        <f>$D$12*$G$8*(1+'Input | Inflation and Disc Rate'!H13)*(1+'Input | Inflation and Disc Rate'!I13)</f>
        <v>0</v>
      </c>
      <c r="H13" s="198">
        <f>$D$12*$H$8*(1+'Input | Inflation and Disc Rate'!H13)*(1+'Input | Inflation and Disc Rate'!I13)*(1+'Input | Inflation and Disc Rate'!J13)</f>
        <v>0</v>
      </c>
      <c r="I13" s="129"/>
      <c r="J13" s="109"/>
      <c r="K13" s="207"/>
      <c r="L13" s="128"/>
      <c r="M13" s="128"/>
      <c r="N13" s="128"/>
      <c r="O13" s="128"/>
    </row>
    <row r="14" spans="2:23" ht="11.25" customHeight="1">
      <c r="C14" s="153" t="s">
        <v>101</v>
      </c>
      <c r="D14" s="121"/>
      <c r="E14" s="194"/>
      <c r="F14" s="193">
        <f>$E$12*F$8</f>
        <v>8.5095240308719067E-2</v>
      </c>
      <c r="G14" s="193">
        <f>$E$12*G$8*(1+'Input | Inflation and Disc Rate'!I13)</f>
        <v>8.4944785624115962E-2</v>
      </c>
      <c r="H14" s="198">
        <f>$E$12*H$8*(1+'Input | Inflation and Disc Rate'!I13)*(1+'Input | Inflation and Disc Rate'!J13)</f>
        <v>8.4485002576657267E-2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3" t="s">
        <v>102</v>
      </c>
      <c r="D15" s="121"/>
      <c r="E15" s="193"/>
      <c r="F15" s="193"/>
      <c r="G15" s="193">
        <f>$F$12*G$8</f>
        <v>0.39473837258310168</v>
      </c>
      <c r="H15" s="198">
        <f>$F$12*$H$8*(1+'Input | Inflation and Disc Rate'!J13)</f>
        <v>0.39260176101169508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3" t="s">
        <v>103</v>
      </c>
      <c r="D16" s="121"/>
      <c r="E16" s="193"/>
      <c r="F16" s="193"/>
      <c r="G16" s="193"/>
      <c r="H16" s="198">
        <f>$G$12*$H$8</f>
        <v>0.17241122710636536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3" t="s">
        <v>104</v>
      </c>
      <c r="D17" s="121"/>
      <c r="E17" s="193"/>
      <c r="F17" s="193"/>
      <c r="G17" s="193"/>
      <c r="H17" s="198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4" t="s">
        <v>20</v>
      </c>
      <c r="D18" s="122"/>
      <c r="E18" s="199">
        <f>SUM(E13:E17)</f>
        <v>0</v>
      </c>
      <c r="F18" s="199">
        <f t="shared" ref="F18:H18" si="1">SUM(F13:F17)</f>
        <v>8.5095240308719067E-2</v>
      </c>
      <c r="G18" s="199">
        <f t="shared" si="1"/>
        <v>0.47968315820721763</v>
      </c>
      <c r="H18" s="200">
        <f t="shared" si="1"/>
        <v>0.6494979906947177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5" t="s">
        <v>124</v>
      </c>
      <c r="D19" s="167"/>
      <c r="E19" s="199">
        <f>F19*(1+F$9)</f>
        <v>1.1792523321506885</v>
      </c>
      <c r="F19" s="199">
        <f>G19*(1+G$9)</f>
        <v>1.118915416325363</v>
      </c>
      <c r="G19" s="199">
        <f>H19*(1+H$9)</f>
        <v>1.0577942175571402</v>
      </c>
      <c r="H19" s="201">
        <v>1</v>
      </c>
      <c r="I19" s="129"/>
      <c r="J19" s="109"/>
      <c r="K19" s="207"/>
      <c r="L19" s="129"/>
      <c r="M19" s="129"/>
      <c r="N19" s="129"/>
      <c r="O19" s="129"/>
    </row>
    <row r="20" spans="3:15" s="19" customFormat="1" ht="11.25" customHeight="1">
      <c r="C20" s="153" t="s">
        <v>21</v>
      </c>
      <c r="D20" s="121"/>
      <c r="E20" s="193">
        <f>E12*E19</f>
        <v>2.6000688491675201</v>
      </c>
      <c r="F20" s="193">
        <f t="shared" ref="F20:H20" si="2">F12*F19</f>
        <v>11.633526581051344</v>
      </c>
      <c r="G20" s="193">
        <f t="shared" si="2"/>
        <v>4.921999265504061</v>
      </c>
      <c r="H20" s="198">
        <f t="shared" si="2"/>
        <v>-7.0517603036337775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4" t="s">
        <v>22</v>
      </c>
      <c r="D21" s="122"/>
      <c r="E21" s="199">
        <f>E18*E19</f>
        <v>0</v>
      </c>
      <c r="F21" s="199">
        <f t="shared" ref="F21:H21" si="3">F18*F19</f>
        <v>9.5214376237337195E-2</v>
      </c>
      <c r="G21" s="199">
        <f t="shared" si="3"/>
        <v>0.50740607101114166</v>
      </c>
      <c r="H21" s="200">
        <f t="shared" si="3"/>
        <v>0.6494979906947177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58" t="s">
        <v>13</v>
      </c>
      <c r="D23" s="159"/>
      <c r="E23" s="160"/>
      <c r="F23" s="160"/>
      <c r="G23" s="160"/>
      <c r="H23" s="160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2" t="s">
        <v>9</v>
      </c>
      <c r="D24" s="148" t="str">
        <f>'Input | General'!$D$17</f>
        <v>2019-20</v>
      </c>
      <c r="E24" s="148" t="str">
        <f>'Input | General'!$E$17</f>
        <v>2020-21</v>
      </c>
      <c r="F24" s="148" t="str">
        <f>'Input | General'!$F$17</f>
        <v>2021-22</v>
      </c>
      <c r="G24" s="148" t="str">
        <f>'Input | General'!$G$17</f>
        <v>2022-23</v>
      </c>
      <c r="H24" s="149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6" t="s">
        <v>99</v>
      </c>
      <c r="D25" s="202">
        <f>'Input | Inflation and Disc Rate'!L$22</f>
        <v>6.157757650672413E-2</v>
      </c>
      <c r="E25" s="202">
        <f>'Input | Inflation and Disc Rate'!M$22</f>
        <v>6.157757650672413E-2</v>
      </c>
      <c r="F25" s="202">
        <f>'Input | Inflation and Disc Rate'!N$22</f>
        <v>6.157757650672413E-2</v>
      </c>
      <c r="G25" s="202">
        <f>'Input | Inflation and Disc Rate'!O$22</f>
        <v>6.157757650672413E-2</v>
      </c>
      <c r="H25" s="203">
        <f>'Input | Inflation and Disc Rate'!P$22</f>
        <v>6.157757650672413E-2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7" t="s">
        <v>15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50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7" t="s">
        <v>17</v>
      </c>
      <c r="D27" s="165">
        <f>1/(1+D25)^(0.5)</f>
        <v>0.97056389559651135</v>
      </c>
      <c r="E27" s="165">
        <f>1/((1+E25)^(0.5)*(1+D25))</f>
        <v>0.91426563359626845</v>
      </c>
      <c r="F27" s="165">
        <f>1/((1+F25)^(0.5)*(1+E25)*(1+D25))</f>
        <v>0.86123299307507317</v>
      </c>
      <c r="G27" s="165">
        <f>1/((1+G25)^(0.5)*(1+F25)*(1+E25)*(1+D25))</f>
        <v>0.81127654929287973</v>
      </c>
      <c r="H27" s="166">
        <f>1/((1+H25)^(0.5)*(1+G25)*(1+F25)*(1+E25)*(1+D25))</f>
        <v>0.76421786522893931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2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1" t="s">
        <v>23</v>
      </c>
      <c r="D30" s="161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3" t="s">
        <v>24</v>
      </c>
      <c r="D31" s="135">
        <f>SUM(D20:H20)-SUM(D28:H28)</f>
        <v>12.103834392089148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3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3" t="s">
        <v>26</v>
      </c>
      <c r="D33" s="135">
        <f>(1-D32)*D31</f>
        <v>8.4726840744624035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3" t="s">
        <v>27</v>
      </c>
      <c r="D34" s="135">
        <f>D32*D31</f>
        <v>3.6311503176267443</v>
      </c>
      <c r="E34" s="128"/>
      <c r="F34" s="130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3" t="s">
        <v>28</v>
      </c>
      <c r="D35" s="135">
        <f>SUM(D21:H21)</f>
        <v>1.2521184379431967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4" t="s">
        <v>29</v>
      </c>
      <c r="D36" s="136">
        <f>D34-D35</f>
        <v>2.3790318796835477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210">
        <f>-PMT('Input | Inflation and Disc Rate'!L21,5,'Calc | CESS Revenue Increments'!$D$36)</f>
        <v>0.52869040646165655</v>
      </c>
      <c r="E41" s="210">
        <f>-PMT('Input | Inflation and Disc Rate'!M21,5,'Calc | CESS Revenue Increments'!$D$36)</f>
        <v>0.52869040646165655</v>
      </c>
      <c r="F41" s="210">
        <f>-PMT('Input | Inflation and Disc Rate'!N21,5,'Calc | CESS Revenue Increments'!$D$36)</f>
        <v>0.52869040646165655</v>
      </c>
      <c r="G41" s="210">
        <f>-PMT('Input | Inflation and Disc Rate'!O21,5,'Calc | CESS Revenue Increments'!$D$36)</f>
        <v>0.52869040646165655</v>
      </c>
      <c r="H41" s="211">
        <f>-PMT('Input | Inflation and Disc Rate'!P21,5,'Calc | CESS Revenue Increments'!$D$36)</f>
        <v>0.52869040646165655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206">
        <f>SUM(D41:H41)</f>
        <v>2.6434520323082826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37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B1" sqref="B1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Evoenergy Tx 2019-24 Revised Proposal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7"/>
      <c r="K3" s="217"/>
      <c r="L3" s="217"/>
      <c r="M3" s="67"/>
      <c r="N3" s="217"/>
      <c r="O3" s="217"/>
      <c r="P3" s="217"/>
      <c r="Q3" s="217"/>
      <c r="R3" s="217"/>
      <c r="S3" s="217"/>
      <c r="T3" s="217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8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5">
        <f>'Calc | CESS Revenue Increments'!D41</f>
        <v>0.52869040646165655</v>
      </c>
      <c r="K8" s="175">
        <f>'Calc | CESS Revenue Increments'!E41</f>
        <v>0.52869040646165655</v>
      </c>
      <c r="L8" s="175">
        <f>'Calc | CESS Revenue Increments'!F41</f>
        <v>0.52869040646165655</v>
      </c>
      <c r="M8" s="175">
        <f>'Calc | CESS Revenue Increments'!G41</f>
        <v>0.52869040646165655</v>
      </c>
      <c r="N8" s="175">
        <f>'Calc | CESS Revenue Increments'!H41</f>
        <v>0.52869040646165655</v>
      </c>
      <c r="O8" s="86">
        <f>SUM(J8:N8)</f>
        <v>2.6434520323082826</v>
      </c>
      <c r="P8" s="179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6"/>
      <c r="K10" s="176"/>
      <c r="L10" s="176"/>
      <c r="M10" s="176"/>
      <c r="N10" s="176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Evoenergy Tx 2019-24 Revised Proposal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2018-09-23T01:05:26Z</dcterms:created>
  <dcterms:modified xsi:type="dcterms:W3CDTF">2018-11-28T01:57:03Z</dcterms:modified>
  <cp:contentStatus/>
</cp:coreProperties>
</file>